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255" windowWidth="14820" windowHeight="8565" tabRatio="878" activeTab="1"/>
  </bookViews>
  <sheets>
    <sheet name="CDPS" sheetId="15" r:id="rId1"/>
    <sheet name="TH" sheetId="34" r:id="rId2"/>
    <sheet name="tra vinh" sheetId="40" r:id="rId3"/>
    <sheet name="TH - TT" sheetId="35" r:id="rId4"/>
    <sheet name="331" sheetId="12" r:id="rId5"/>
    <sheet name="331-CT" sheetId="14" r:id="rId6"/>
    <sheet name="HOANG KIM" sheetId="41" r:id="rId7"/>
    <sheet name="KHANH TRÂN" sheetId="42" r:id="rId8"/>
  </sheets>
  <definedNames>
    <definedName name="_Fill" localSheetId="6" hidden="1">#REF!</definedName>
    <definedName name="_Fill" localSheetId="3" hidden="1">#REF!</definedName>
    <definedName name="_xlnm._FilterDatabase" localSheetId="5" hidden="1">'331-CT'!$A$12:$J$32</definedName>
    <definedName name="_xlnm._FilterDatabase" localSheetId="6" hidden="1">'HOANG KIM'!$A$4:$M$18</definedName>
    <definedName name="_xlnm._FilterDatabase" localSheetId="1" hidden="1">TH!$A$9:$M$1209</definedName>
    <definedName name="_xlnm._FilterDatabase" localSheetId="3" hidden="1">'TH - TT'!$A$4:$M$168</definedName>
    <definedName name="Dong">IF([0]!Loai="x",ROW([0]!Loai)-1,"")</definedName>
    <definedName name="DSKH">'331'!$B$4:$B$40</definedName>
    <definedName name="DSTK">CDPS!$A$10:$D$40</definedName>
    <definedName name="DSTT" localSheetId="6">'HOANG KIM'!$K$5:$K$18</definedName>
    <definedName name="DSTT">'TH - TT'!$K$7:$K$236</definedName>
    <definedName name="DSTT1" localSheetId="6">'HOANG KIM'!$I$5:$I$18</definedName>
    <definedName name="DSTT1">'TH - TT'!$I$7:$I$237</definedName>
    <definedName name="KH">TH!$H$11:$H$1335</definedName>
    <definedName name="KHC">TH!$K$11:$K$1335</definedName>
    <definedName name="KHN">TH!$J$11:$J$1335</definedName>
    <definedName name="Loai">OFFSET(TH!$L$5,,,COUNTA(TH!$L$5:$L$39645))</definedName>
    <definedName name="_xlnm.Print_Area" localSheetId="3">'TH - TT'!$197:$208</definedName>
    <definedName name="_xlnm.Print_Titles" localSheetId="6">'HOANG KIM'!$3:$4</definedName>
    <definedName name="_xlnm.Print_Titles" localSheetId="7">'KHANH TRÂN'!$2:$3</definedName>
    <definedName name="_xlnm.Print_Titles" localSheetId="3">'TH - TT'!$3:$4</definedName>
    <definedName name="_xlnm.Print_Titles" localSheetId="2">'tra vinh'!$2:$4</definedName>
    <definedName name="TH">TH!$I$11:$I$1335</definedName>
    <definedName name="THN">TH!$A$11:$A$1386</definedName>
    <definedName name="TM">TH!$A$11:$K$1335</definedName>
  </definedNames>
  <calcPr calcId="144525"/>
</workbook>
</file>

<file path=xl/calcChain.xml><?xml version="1.0" encoding="utf-8"?>
<calcChain xmlns="http://schemas.openxmlformats.org/spreadsheetml/2006/main">
  <c r="E1182" i="34" l="1"/>
  <c r="E1183" i="34"/>
  <c r="J27" i="40"/>
  <c r="H171" i="35"/>
  <c r="J30" i="40"/>
  <c r="K27" i="40"/>
  <c r="L27" i="40" l="1"/>
  <c r="E171" i="35"/>
  <c r="L17" i="34"/>
  <c r="L18" i="34"/>
  <c r="L19" i="34"/>
  <c r="L20" i="34"/>
  <c r="L21" i="34"/>
  <c r="L22" i="34"/>
  <c r="L23" i="34"/>
  <c r="L24" i="34"/>
  <c r="L25" i="34"/>
  <c r="L26" i="34"/>
  <c r="L27" i="34"/>
  <c r="L28" i="34"/>
  <c r="L29" i="34"/>
  <c r="L30" i="34"/>
  <c r="L31" i="34"/>
  <c r="L32" i="34"/>
  <c r="L33" i="34"/>
  <c r="L34" i="34"/>
  <c r="L35" i="34"/>
  <c r="L36" i="34"/>
  <c r="L37" i="34"/>
  <c r="L38" i="34"/>
  <c r="L39" i="34"/>
  <c r="L40" i="34"/>
  <c r="L41" i="34"/>
  <c r="L42" i="34"/>
  <c r="L43" i="34"/>
  <c r="L44" i="34"/>
  <c r="L45" i="34"/>
  <c r="L46" i="34"/>
  <c r="L47" i="34"/>
  <c r="L48" i="34"/>
  <c r="L49" i="34"/>
  <c r="L50" i="34"/>
  <c r="L51" i="34"/>
  <c r="L52" i="34"/>
  <c r="L53" i="34"/>
  <c r="L54" i="34"/>
  <c r="L55" i="34"/>
  <c r="L56" i="34"/>
  <c r="L57" i="34"/>
  <c r="L58" i="34"/>
  <c r="L59" i="34"/>
  <c r="L60" i="34"/>
  <c r="L61" i="34"/>
  <c r="L62" i="34"/>
  <c r="L63" i="34"/>
  <c r="L64" i="34"/>
  <c r="L65" i="34"/>
  <c r="L66" i="34"/>
  <c r="L67" i="34"/>
  <c r="L68" i="34"/>
  <c r="L69" i="34"/>
  <c r="L70" i="34"/>
  <c r="L71" i="34"/>
  <c r="L72" i="34"/>
  <c r="L73" i="34"/>
  <c r="L74" i="34"/>
  <c r="L75" i="34"/>
  <c r="L76" i="34"/>
  <c r="L77" i="34"/>
  <c r="L78" i="34"/>
  <c r="L79" i="34"/>
  <c r="L80" i="34"/>
  <c r="L81" i="34"/>
  <c r="L82" i="34"/>
  <c r="L83" i="34"/>
  <c r="L84" i="34"/>
  <c r="L85" i="34"/>
  <c r="L86" i="34"/>
  <c r="L87" i="34"/>
  <c r="L88" i="34"/>
  <c r="L89" i="34"/>
  <c r="L90" i="34"/>
  <c r="L91" i="34"/>
  <c r="L92" i="34"/>
  <c r="L93" i="34"/>
  <c r="L94" i="34"/>
  <c r="L95" i="34"/>
  <c r="L96" i="34"/>
  <c r="L97" i="34"/>
  <c r="L98" i="34"/>
  <c r="L99" i="34"/>
  <c r="L100" i="34"/>
  <c r="L101" i="34"/>
  <c r="L102" i="34"/>
  <c r="L103" i="34"/>
  <c r="L104" i="34"/>
  <c r="L105" i="34"/>
  <c r="L106" i="34"/>
  <c r="L107" i="34"/>
  <c r="L108" i="34"/>
  <c r="L109" i="34"/>
  <c r="L110" i="34"/>
  <c r="L111" i="34"/>
  <c r="L112" i="34"/>
  <c r="L113" i="34"/>
  <c r="L114" i="34"/>
  <c r="L115" i="34"/>
  <c r="L116" i="34"/>
  <c r="L117" i="34"/>
  <c r="L118" i="34"/>
  <c r="L119" i="34"/>
  <c r="L120" i="34"/>
  <c r="L121" i="34"/>
  <c r="L122" i="34"/>
  <c r="L123" i="34"/>
  <c r="L124" i="34"/>
  <c r="L125" i="34"/>
  <c r="L126" i="34"/>
  <c r="L127" i="34"/>
  <c r="L128" i="34"/>
  <c r="L129" i="34"/>
  <c r="L130" i="34"/>
  <c r="L131" i="34"/>
  <c r="L132" i="34"/>
  <c r="L133" i="34"/>
  <c r="L134" i="34"/>
  <c r="L135" i="34"/>
  <c r="L136" i="34"/>
  <c r="L137" i="34"/>
  <c r="L138" i="34"/>
  <c r="L139" i="34"/>
  <c r="L140" i="34"/>
  <c r="L141" i="34"/>
  <c r="L142" i="34"/>
  <c r="L143" i="34"/>
  <c r="L144" i="34"/>
  <c r="L145" i="34"/>
  <c r="L146" i="34"/>
  <c r="L147" i="34"/>
  <c r="L148" i="34"/>
  <c r="L149" i="34"/>
  <c r="L150" i="34"/>
  <c r="L151" i="34"/>
  <c r="L152" i="34"/>
  <c r="L153" i="34"/>
  <c r="L154" i="34"/>
  <c r="L155" i="34"/>
  <c r="L156" i="34"/>
  <c r="L157" i="34"/>
  <c r="L158" i="34"/>
  <c r="L159" i="34"/>
  <c r="L160" i="34"/>
  <c r="L161" i="34"/>
  <c r="L162" i="34"/>
  <c r="L163" i="34"/>
  <c r="L164" i="34"/>
  <c r="L165" i="34"/>
  <c r="L166" i="34"/>
  <c r="L167" i="34"/>
  <c r="L168" i="34"/>
  <c r="L169" i="34"/>
  <c r="L170" i="34"/>
  <c r="L171" i="34"/>
  <c r="L172" i="34"/>
  <c r="L173" i="34"/>
  <c r="L174" i="34"/>
  <c r="L175" i="34"/>
  <c r="L176" i="34"/>
  <c r="L177" i="34"/>
  <c r="L178" i="34"/>
  <c r="L179" i="34"/>
  <c r="L180" i="34"/>
  <c r="L181" i="34"/>
  <c r="L182" i="34"/>
  <c r="L183" i="34"/>
  <c r="L184" i="34"/>
  <c r="L185" i="34"/>
  <c r="L186" i="34"/>
  <c r="L187" i="34"/>
  <c r="L188" i="34"/>
  <c r="L189" i="34"/>
  <c r="L190" i="34"/>
  <c r="L191" i="34"/>
  <c r="L192" i="34"/>
  <c r="L193" i="34"/>
  <c r="L194" i="34"/>
  <c r="L195" i="34"/>
  <c r="L196" i="34"/>
  <c r="L197" i="34"/>
  <c r="L198" i="34"/>
  <c r="L199" i="34"/>
  <c r="L200" i="34"/>
  <c r="L201" i="34"/>
  <c r="L202" i="34"/>
  <c r="L203" i="34"/>
  <c r="L204" i="34"/>
  <c r="L205" i="34"/>
  <c r="L206" i="34"/>
  <c r="L207" i="34"/>
  <c r="L208" i="34"/>
  <c r="L209" i="34"/>
  <c r="L210" i="34"/>
  <c r="L211" i="34"/>
  <c r="L212" i="34"/>
  <c r="L213" i="34"/>
  <c r="L214" i="34"/>
  <c r="L215" i="34"/>
  <c r="L216" i="34"/>
  <c r="L217" i="34"/>
  <c r="L218" i="34"/>
  <c r="L219" i="34"/>
  <c r="L220" i="34"/>
  <c r="L221" i="34"/>
  <c r="L222" i="34"/>
  <c r="L223" i="34"/>
  <c r="L224" i="34"/>
  <c r="L225" i="34"/>
  <c r="L226" i="34"/>
  <c r="L227" i="34"/>
  <c r="L228" i="34"/>
  <c r="L229" i="34"/>
  <c r="L230" i="34"/>
  <c r="L231" i="34"/>
  <c r="L232" i="34"/>
  <c r="L233" i="34"/>
  <c r="L234" i="34"/>
  <c r="L235" i="34"/>
  <c r="L236" i="34"/>
  <c r="L237" i="34"/>
  <c r="L238" i="34"/>
  <c r="L239" i="34"/>
  <c r="L240" i="34"/>
  <c r="L241" i="34"/>
  <c r="L242" i="34"/>
  <c r="L243" i="34"/>
  <c r="L244" i="34"/>
  <c r="L245" i="34"/>
  <c r="L246" i="34"/>
  <c r="L247" i="34"/>
  <c r="L248" i="34"/>
  <c r="L249" i="34"/>
  <c r="L250" i="34"/>
  <c r="L251" i="34"/>
  <c r="L252" i="34"/>
  <c r="L253" i="34"/>
  <c r="L254" i="34"/>
  <c r="L255" i="34"/>
  <c r="L256" i="34"/>
  <c r="L257" i="34"/>
  <c r="L258" i="34"/>
  <c r="L259" i="34"/>
  <c r="L260" i="34"/>
  <c r="L261" i="34"/>
  <c r="L262" i="34"/>
  <c r="L263" i="34"/>
  <c r="L264" i="34"/>
  <c r="L265" i="34"/>
  <c r="L266" i="34"/>
  <c r="L267" i="34"/>
  <c r="L268" i="34"/>
  <c r="L269" i="34"/>
  <c r="L270" i="34"/>
  <c r="L271" i="34"/>
  <c r="L272" i="34"/>
  <c r="L273" i="34"/>
  <c r="L274" i="34"/>
  <c r="L275" i="34"/>
  <c r="L276" i="34"/>
  <c r="L277" i="34"/>
  <c r="L278" i="34"/>
  <c r="L279" i="34"/>
  <c r="L280" i="34"/>
  <c r="L281" i="34"/>
  <c r="L282" i="34"/>
  <c r="L283" i="34"/>
  <c r="L284" i="34"/>
  <c r="L285" i="34"/>
  <c r="L286" i="34"/>
  <c r="L287" i="34"/>
  <c r="L288" i="34"/>
  <c r="L289" i="34"/>
  <c r="L290" i="34"/>
  <c r="L291" i="34"/>
  <c r="L292" i="34"/>
  <c r="L293" i="34"/>
  <c r="L294" i="34"/>
  <c r="L295" i="34"/>
  <c r="L296" i="34"/>
  <c r="L297" i="34"/>
  <c r="L298" i="34"/>
  <c r="L299" i="34"/>
  <c r="L300" i="34"/>
  <c r="L301" i="34"/>
  <c r="L302" i="34"/>
  <c r="L303" i="34"/>
  <c r="L304" i="34"/>
  <c r="L305" i="34"/>
  <c r="L306" i="34"/>
  <c r="L307" i="34"/>
  <c r="L308" i="34"/>
  <c r="L309" i="34"/>
  <c r="L310" i="34"/>
  <c r="L311" i="34"/>
  <c r="L312" i="34"/>
  <c r="L313" i="34"/>
  <c r="L314" i="34"/>
  <c r="L315" i="34"/>
  <c r="L316" i="34"/>
  <c r="L317" i="34"/>
  <c r="L318" i="34"/>
  <c r="L319" i="34"/>
  <c r="L320" i="34"/>
  <c r="L321" i="34"/>
  <c r="L322" i="34"/>
  <c r="L323" i="34"/>
  <c r="L324" i="34"/>
  <c r="L325" i="34"/>
  <c r="L326" i="34"/>
  <c r="L327" i="34"/>
  <c r="L328" i="34"/>
  <c r="L329" i="34"/>
  <c r="L330" i="34"/>
  <c r="L331" i="34"/>
  <c r="L332" i="34"/>
  <c r="L333" i="34"/>
  <c r="L334" i="34"/>
  <c r="L335" i="34"/>
  <c r="L336" i="34"/>
  <c r="L337" i="34"/>
  <c r="L338" i="34"/>
  <c r="L339" i="34"/>
  <c r="L340" i="34"/>
  <c r="L341" i="34"/>
  <c r="L342" i="34"/>
  <c r="L343" i="34"/>
  <c r="L344" i="34"/>
  <c r="L345" i="34"/>
  <c r="L346" i="34"/>
  <c r="L347" i="34"/>
  <c r="L348" i="34"/>
  <c r="L349" i="34"/>
  <c r="L350" i="34"/>
  <c r="L351" i="34"/>
  <c r="L352" i="34"/>
  <c r="L353" i="34"/>
  <c r="L354" i="34"/>
  <c r="L355" i="34"/>
  <c r="L356" i="34"/>
  <c r="L357" i="34"/>
  <c r="L358" i="34"/>
  <c r="L359" i="34"/>
  <c r="L360" i="34"/>
  <c r="L361" i="34"/>
  <c r="L362" i="34"/>
  <c r="L363" i="34"/>
  <c r="L364" i="34"/>
  <c r="L365" i="34"/>
  <c r="L366" i="34"/>
  <c r="L367" i="34"/>
  <c r="L368" i="34"/>
  <c r="L369" i="34"/>
  <c r="L370" i="34"/>
  <c r="L371" i="34"/>
  <c r="L372" i="34"/>
  <c r="L373" i="34"/>
  <c r="L374" i="34"/>
  <c r="L375" i="34"/>
  <c r="L376" i="34"/>
  <c r="L377" i="34"/>
  <c r="L378" i="34"/>
  <c r="L379" i="34"/>
  <c r="L380" i="34"/>
  <c r="L381" i="34"/>
  <c r="L382" i="34"/>
  <c r="L383" i="34"/>
  <c r="L384" i="34"/>
  <c r="L385" i="34"/>
  <c r="L386" i="34"/>
  <c r="L387" i="34"/>
  <c r="L388" i="34"/>
  <c r="L389" i="34"/>
  <c r="L390" i="34"/>
  <c r="L391" i="34"/>
  <c r="L392" i="34"/>
  <c r="L393" i="34"/>
  <c r="L394" i="34"/>
  <c r="L395" i="34"/>
  <c r="L396" i="34"/>
  <c r="L397" i="34"/>
  <c r="L398" i="34"/>
  <c r="L399" i="34"/>
  <c r="L400" i="34"/>
  <c r="L401" i="34"/>
  <c r="L402" i="34"/>
  <c r="L403" i="34"/>
  <c r="L404" i="34"/>
  <c r="L405" i="34"/>
  <c r="L406" i="34"/>
  <c r="L407" i="34"/>
  <c r="L408" i="34"/>
  <c r="L409" i="34"/>
  <c r="L410" i="34"/>
  <c r="L411" i="34"/>
  <c r="L412" i="34"/>
  <c r="L413" i="34"/>
  <c r="L414" i="34"/>
  <c r="L415" i="34"/>
  <c r="L416" i="34"/>
  <c r="L417" i="34"/>
  <c r="L418" i="34"/>
  <c r="L419" i="34"/>
  <c r="L420" i="34"/>
  <c r="L421" i="34"/>
  <c r="L422" i="34"/>
  <c r="L423" i="34"/>
  <c r="L424" i="34"/>
  <c r="L425" i="34"/>
  <c r="L426" i="34"/>
  <c r="L427" i="34"/>
  <c r="L428" i="34"/>
  <c r="L429" i="34"/>
  <c r="L430" i="34"/>
  <c r="L431" i="34"/>
  <c r="L432" i="34"/>
  <c r="L433" i="34"/>
  <c r="L434" i="34"/>
  <c r="L435" i="34"/>
  <c r="L436" i="34"/>
  <c r="L437" i="34"/>
  <c r="L438" i="34"/>
  <c r="L439" i="34"/>
  <c r="L440" i="34"/>
  <c r="L441" i="34"/>
  <c r="L442" i="34"/>
  <c r="L443" i="34"/>
  <c r="L444" i="34"/>
  <c r="L445" i="34"/>
  <c r="L446" i="34"/>
  <c r="L447" i="34"/>
  <c r="L448" i="34"/>
  <c r="L449" i="34"/>
  <c r="L450" i="34"/>
  <c r="L451" i="34"/>
  <c r="L452" i="34"/>
  <c r="L453" i="34"/>
  <c r="L454" i="34"/>
  <c r="L455" i="34"/>
  <c r="L456" i="34"/>
  <c r="L457" i="34"/>
  <c r="L458" i="34"/>
  <c r="L459" i="34"/>
  <c r="L460" i="34"/>
  <c r="L461" i="34"/>
  <c r="L462" i="34"/>
  <c r="L463" i="34"/>
  <c r="L464" i="34"/>
  <c r="L465" i="34"/>
  <c r="L466" i="34"/>
  <c r="L467" i="34"/>
  <c r="L468" i="34"/>
  <c r="L469" i="34"/>
  <c r="L470" i="34"/>
  <c r="L471" i="34"/>
  <c r="L472" i="34"/>
  <c r="L473" i="34"/>
  <c r="L474" i="34"/>
  <c r="L475" i="34"/>
  <c r="L476" i="34"/>
  <c r="L477" i="34"/>
  <c r="L478" i="34"/>
  <c r="L479" i="34"/>
  <c r="L480" i="34"/>
  <c r="L481" i="34"/>
  <c r="L482" i="34"/>
  <c r="L483" i="34"/>
  <c r="L484" i="34"/>
  <c r="L485" i="34"/>
  <c r="L486" i="34"/>
  <c r="L487" i="34"/>
  <c r="L488" i="34"/>
  <c r="L489" i="34"/>
  <c r="L490" i="34"/>
  <c r="L491" i="34"/>
  <c r="L492" i="34"/>
  <c r="L493" i="34"/>
  <c r="L494" i="34"/>
  <c r="L495" i="34"/>
  <c r="L496" i="34"/>
  <c r="L497" i="34"/>
  <c r="L498" i="34"/>
  <c r="L499" i="34"/>
  <c r="L500" i="34"/>
  <c r="L501" i="34"/>
  <c r="L502" i="34"/>
  <c r="L503" i="34"/>
  <c r="L504" i="34"/>
  <c r="L505" i="34"/>
  <c r="L506" i="34"/>
  <c r="L507" i="34"/>
  <c r="L508" i="34"/>
  <c r="L509" i="34"/>
  <c r="L510" i="34"/>
  <c r="L511" i="34"/>
  <c r="L512" i="34"/>
  <c r="L513" i="34"/>
  <c r="L514" i="34"/>
  <c r="L515" i="34"/>
  <c r="L516" i="34"/>
  <c r="L517" i="34"/>
  <c r="L518" i="34"/>
  <c r="L519" i="34"/>
  <c r="L520" i="34"/>
  <c r="L521" i="34"/>
  <c r="L522" i="34"/>
  <c r="L523" i="34"/>
  <c r="L524" i="34"/>
  <c r="L525" i="34"/>
  <c r="L526" i="34"/>
  <c r="L527" i="34"/>
  <c r="L528" i="34"/>
  <c r="L529" i="34"/>
  <c r="L530" i="34"/>
  <c r="L531" i="34"/>
  <c r="L532" i="34"/>
  <c r="L533" i="34"/>
  <c r="L534" i="34"/>
  <c r="L535" i="34"/>
  <c r="L536" i="34"/>
  <c r="L537" i="34"/>
  <c r="L538" i="34"/>
  <c r="L539" i="34"/>
  <c r="L540" i="34"/>
  <c r="L541" i="34"/>
  <c r="L542" i="34"/>
  <c r="L543" i="34"/>
  <c r="L544" i="34"/>
  <c r="L545" i="34"/>
  <c r="L546" i="34"/>
  <c r="L547" i="34"/>
  <c r="L548" i="34"/>
  <c r="L549" i="34"/>
  <c r="L550" i="34"/>
  <c r="L551" i="34"/>
  <c r="L552" i="34"/>
  <c r="L553" i="34"/>
  <c r="L554" i="34"/>
  <c r="L555" i="34"/>
  <c r="L556" i="34"/>
  <c r="L557" i="34"/>
  <c r="L558" i="34"/>
  <c r="L559" i="34"/>
  <c r="L560" i="34"/>
  <c r="L561" i="34"/>
  <c r="L562" i="34"/>
  <c r="L563" i="34"/>
  <c r="L564" i="34"/>
  <c r="L565" i="34"/>
  <c r="L566" i="34"/>
  <c r="L567" i="34"/>
  <c r="L568" i="34"/>
  <c r="L569" i="34"/>
  <c r="L570" i="34"/>
  <c r="L571" i="34"/>
  <c r="L572" i="34"/>
  <c r="L573" i="34"/>
  <c r="L574" i="34"/>
  <c r="L575" i="34"/>
  <c r="L576" i="34"/>
  <c r="L577" i="34"/>
  <c r="L578" i="34"/>
  <c r="L579" i="34"/>
  <c r="L580" i="34"/>
  <c r="L581" i="34"/>
  <c r="L582" i="34"/>
  <c r="L583" i="34"/>
  <c r="L584" i="34"/>
  <c r="L585" i="34"/>
  <c r="L586" i="34"/>
  <c r="L587" i="34"/>
  <c r="L588" i="34"/>
  <c r="L589" i="34"/>
  <c r="L590" i="34"/>
  <c r="L591" i="34"/>
  <c r="L592" i="34"/>
  <c r="L593" i="34"/>
  <c r="L594" i="34"/>
  <c r="L595" i="34"/>
  <c r="L596" i="34"/>
  <c r="L597" i="34"/>
  <c r="L598" i="34"/>
  <c r="L599" i="34"/>
  <c r="L600" i="34"/>
  <c r="L601" i="34"/>
  <c r="L602" i="34"/>
  <c r="L603" i="34"/>
  <c r="L604" i="34"/>
  <c r="L605" i="34"/>
  <c r="L606" i="34"/>
  <c r="L607" i="34"/>
  <c r="L608" i="34"/>
  <c r="L609" i="34"/>
  <c r="L610" i="34"/>
  <c r="L611" i="34"/>
  <c r="L612" i="34"/>
  <c r="L613" i="34"/>
  <c r="L614" i="34"/>
  <c r="L615" i="34"/>
  <c r="L616" i="34"/>
  <c r="L617" i="34"/>
  <c r="L618" i="34"/>
  <c r="L619" i="34"/>
  <c r="L620" i="34"/>
  <c r="L621" i="34"/>
  <c r="L622" i="34"/>
  <c r="L623" i="34"/>
  <c r="L624" i="34"/>
  <c r="L625" i="34"/>
  <c r="L626" i="34"/>
  <c r="L627" i="34"/>
  <c r="L628" i="34"/>
  <c r="L629" i="34"/>
  <c r="L630" i="34"/>
  <c r="L631" i="34"/>
  <c r="L632" i="34"/>
  <c r="L633" i="34"/>
  <c r="L634" i="34"/>
  <c r="L635" i="34"/>
  <c r="L636" i="34"/>
  <c r="L637" i="34"/>
  <c r="L638" i="34"/>
  <c r="L639" i="34"/>
  <c r="L640" i="34"/>
  <c r="L641" i="34"/>
  <c r="L642" i="34"/>
  <c r="L643" i="34"/>
  <c r="L644" i="34"/>
  <c r="L645" i="34"/>
  <c r="L646" i="34"/>
  <c r="L647" i="34"/>
  <c r="L648" i="34"/>
  <c r="L649" i="34"/>
  <c r="L650" i="34"/>
  <c r="L651" i="34"/>
  <c r="L652" i="34"/>
  <c r="L653" i="34"/>
  <c r="L654" i="34"/>
  <c r="L655" i="34"/>
  <c r="L656" i="34"/>
  <c r="L657" i="34"/>
  <c r="L658" i="34"/>
  <c r="L659" i="34"/>
  <c r="L660" i="34"/>
  <c r="L661" i="34"/>
  <c r="L662" i="34"/>
  <c r="L663" i="34"/>
  <c r="L664" i="34"/>
  <c r="L665" i="34"/>
  <c r="L666" i="34"/>
  <c r="L667" i="34"/>
  <c r="L668" i="34"/>
  <c r="L669" i="34"/>
  <c r="L670" i="34"/>
  <c r="L671" i="34"/>
  <c r="L672" i="34"/>
  <c r="L673" i="34"/>
  <c r="L674" i="34"/>
  <c r="L675" i="34"/>
  <c r="L676" i="34"/>
  <c r="L677" i="34"/>
  <c r="L678" i="34"/>
  <c r="L679" i="34"/>
  <c r="L680" i="34"/>
  <c r="L681" i="34"/>
  <c r="L682" i="34"/>
  <c r="L683" i="34"/>
  <c r="L684" i="34"/>
  <c r="L685" i="34"/>
  <c r="L686" i="34"/>
  <c r="L687" i="34"/>
  <c r="L688" i="34"/>
  <c r="L689" i="34"/>
  <c r="L690" i="34"/>
  <c r="L691" i="34"/>
  <c r="L692" i="34"/>
  <c r="L693" i="34"/>
  <c r="L694" i="34"/>
  <c r="L695" i="34"/>
  <c r="L696" i="34"/>
  <c r="L697" i="34"/>
  <c r="L698" i="34"/>
  <c r="L699" i="34"/>
  <c r="L700" i="34"/>
  <c r="L701" i="34"/>
  <c r="L702" i="34"/>
  <c r="L703" i="34"/>
  <c r="L704" i="34"/>
  <c r="L705" i="34"/>
  <c r="L706" i="34"/>
  <c r="L707" i="34"/>
  <c r="L708" i="34"/>
  <c r="L709" i="34"/>
  <c r="L710" i="34"/>
  <c r="L711" i="34"/>
  <c r="L712" i="34"/>
  <c r="L713" i="34"/>
  <c r="L714" i="34"/>
  <c r="L715" i="34"/>
  <c r="L716" i="34"/>
  <c r="L717" i="34"/>
  <c r="L718" i="34"/>
  <c r="L719" i="34"/>
  <c r="L720" i="34"/>
  <c r="L721" i="34"/>
  <c r="L722" i="34"/>
  <c r="L723" i="34"/>
  <c r="L724" i="34"/>
  <c r="L725" i="34"/>
  <c r="L726" i="34"/>
  <c r="L727" i="34"/>
  <c r="L728" i="34"/>
  <c r="L729" i="34"/>
  <c r="L730" i="34"/>
  <c r="L731" i="34"/>
  <c r="L732" i="34"/>
  <c r="L733" i="34"/>
  <c r="L734" i="34"/>
  <c r="L735" i="34"/>
  <c r="L736" i="34"/>
  <c r="L737" i="34"/>
  <c r="L738" i="34"/>
  <c r="L739" i="34"/>
  <c r="L740" i="34"/>
  <c r="L741" i="34"/>
  <c r="L742" i="34"/>
  <c r="L743" i="34"/>
  <c r="L744" i="34"/>
  <c r="L745" i="34"/>
  <c r="L746" i="34"/>
  <c r="L747" i="34"/>
  <c r="L748" i="34"/>
  <c r="L749" i="34"/>
  <c r="L750" i="34"/>
  <c r="L751" i="34"/>
  <c r="L752" i="34"/>
  <c r="L753" i="34"/>
  <c r="L754" i="34"/>
  <c r="L755" i="34"/>
  <c r="L756" i="34"/>
  <c r="L757" i="34"/>
  <c r="L758" i="34"/>
  <c r="L759" i="34"/>
  <c r="L760" i="34"/>
  <c r="L761" i="34"/>
  <c r="L762" i="34"/>
  <c r="L763" i="34"/>
  <c r="L764" i="34"/>
  <c r="L765" i="34"/>
  <c r="L766" i="34"/>
  <c r="L767" i="34"/>
  <c r="L768" i="34"/>
  <c r="L769" i="34"/>
  <c r="L770" i="34"/>
  <c r="L771" i="34"/>
  <c r="L772" i="34"/>
  <c r="L773" i="34"/>
  <c r="L774" i="34"/>
  <c r="L775" i="34"/>
  <c r="L776" i="34"/>
  <c r="L777" i="34"/>
  <c r="L778" i="34"/>
  <c r="L779" i="34"/>
  <c r="L780" i="34"/>
  <c r="L781" i="34"/>
  <c r="L782" i="34"/>
  <c r="L783" i="34"/>
  <c r="L784" i="34"/>
  <c r="L785" i="34"/>
  <c r="L786" i="34"/>
  <c r="L787" i="34"/>
  <c r="L788" i="34"/>
  <c r="L789" i="34"/>
  <c r="L790" i="34"/>
  <c r="L791" i="34"/>
  <c r="L792" i="34"/>
  <c r="L793" i="34"/>
  <c r="L794" i="34"/>
  <c r="L795" i="34"/>
  <c r="L796" i="34"/>
  <c r="L797" i="34"/>
  <c r="L798" i="34"/>
  <c r="L799" i="34"/>
  <c r="L800" i="34"/>
  <c r="L801" i="34"/>
  <c r="L802" i="34"/>
  <c r="L803" i="34"/>
  <c r="L804" i="34"/>
  <c r="L805" i="34"/>
  <c r="L806" i="34"/>
  <c r="L807" i="34"/>
  <c r="L808" i="34"/>
  <c r="L809" i="34"/>
  <c r="L810" i="34"/>
  <c r="L811" i="34"/>
  <c r="L812" i="34"/>
  <c r="L813" i="34"/>
  <c r="L814" i="34"/>
  <c r="L815" i="34"/>
  <c r="L816" i="34"/>
  <c r="L817" i="34"/>
  <c r="L818" i="34"/>
  <c r="L819" i="34"/>
  <c r="L820" i="34"/>
  <c r="L821" i="34"/>
  <c r="L822" i="34"/>
  <c r="L823" i="34"/>
  <c r="L824" i="34"/>
  <c r="L825" i="34"/>
  <c r="L826" i="34"/>
  <c r="L827" i="34"/>
  <c r="L828" i="34"/>
  <c r="L829" i="34"/>
  <c r="L830" i="34"/>
  <c r="L831" i="34"/>
  <c r="L832" i="34"/>
  <c r="L833" i="34"/>
  <c r="L834" i="34"/>
  <c r="L835" i="34"/>
  <c r="L836" i="34"/>
  <c r="L837" i="34"/>
  <c r="L838" i="34"/>
  <c r="L839" i="34"/>
  <c r="L840" i="34"/>
  <c r="L841" i="34"/>
  <c r="L842" i="34"/>
  <c r="L843" i="34"/>
  <c r="L844" i="34"/>
  <c r="L845" i="34"/>
  <c r="L846" i="34"/>
  <c r="L847" i="34"/>
  <c r="L848" i="34"/>
  <c r="L849" i="34"/>
  <c r="L850" i="34"/>
  <c r="L851" i="34"/>
  <c r="L852" i="34"/>
  <c r="L853" i="34"/>
  <c r="L854" i="34"/>
  <c r="L855" i="34"/>
  <c r="L856" i="34"/>
  <c r="L857" i="34"/>
  <c r="L858" i="34"/>
  <c r="L859" i="34"/>
  <c r="L860" i="34"/>
  <c r="L861" i="34"/>
  <c r="L862" i="34"/>
  <c r="L863" i="34"/>
  <c r="L864" i="34"/>
  <c r="L865" i="34"/>
  <c r="L866" i="34"/>
  <c r="L867" i="34"/>
  <c r="L868" i="34"/>
  <c r="L869" i="34"/>
  <c r="L870" i="34"/>
  <c r="L871" i="34"/>
  <c r="L872" i="34"/>
  <c r="L873" i="34"/>
  <c r="L874" i="34"/>
  <c r="L875" i="34"/>
  <c r="L876" i="34"/>
  <c r="L877" i="34"/>
  <c r="L878" i="34"/>
  <c r="L879" i="34"/>
  <c r="L880" i="34"/>
  <c r="L881" i="34"/>
  <c r="L882" i="34"/>
  <c r="L883" i="34"/>
  <c r="L884" i="34"/>
  <c r="L885" i="34"/>
  <c r="L886" i="34"/>
  <c r="L887" i="34"/>
  <c r="L888" i="34"/>
  <c r="L889" i="34"/>
  <c r="L890" i="34"/>
  <c r="L891" i="34"/>
  <c r="L892" i="34"/>
  <c r="L893" i="34"/>
  <c r="L894" i="34"/>
  <c r="L895" i="34"/>
  <c r="L896" i="34"/>
  <c r="L897" i="34"/>
  <c r="L898" i="34"/>
  <c r="L899" i="34"/>
  <c r="L900" i="34"/>
  <c r="L901" i="34"/>
  <c r="L902" i="34"/>
  <c r="L903" i="34"/>
  <c r="L904" i="34"/>
  <c r="L905" i="34"/>
  <c r="L906" i="34"/>
  <c r="L907" i="34"/>
  <c r="L908" i="34"/>
  <c r="L909" i="34"/>
  <c r="L910" i="34"/>
  <c r="L911" i="34"/>
  <c r="L912" i="34"/>
  <c r="L913" i="34"/>
  <c r="L914" i="34"/>
  <c r="L915" i="34"/>
  <c r="L916" i="34"/>
  <c r="L917" i="34"/>
  <c r="L918" i="34"/>
  <c r="L919" i="34"/>
  <c r="L920" i="34"/>
  <c r="L921" i="34"/>
  <c r="L922" i="34"/>
  <c r="L923" i="34"/>
  <c r="L924" i="34"/>
  <c r="L925" i="34"/>
  <c r="L926" i="34"/>
  <c r="L927" i="34"/>
  <c r="L928" i="34"/>
  <c r="L929" i="34"/>
  <c r="L930" i="34"/>
  <c r="L931" i="34"/>
  <c r="L932" i="34"/>
  <c r="L933" i="34"/>
  <c r="L934" i="34"/>
  <c r="L935" i="34"/>
  <c r="L936" i="34"/>
  <c r="L937" i="34"/>
  <c r="L938" i="34"/>
  <c r="L939" i="34"/>
  <c r="L940" i="34"/>
  <c r="L941" i="34"/>
  <c r="L942" i="34"/>
  <c r="L943" i="34"/>
  <c r="L944" i="34"/>
  <c r="L945" i="34"/>
  <c r="L946" i="34"/>
  <c r="L947" i="34"/>
  <c r="L948" i="34"/>
  <c r="L949" i="34"/>
  <c r="L950" i="34"/>
  <c r="L951" i="34"/>
  <c r="L952" i="34"/>
  <c r="L953" i="34"/>
  <c r="L954" i="34"/>
  <c r="L955" i="34"/>
  <c r="L956" i="34"/>
  <c r="L957" i="34"/>
  <c r="L958" i="34"/>
  <c r="L959" i="34"/>
  <c r="L960" i="34"/>
  <c r="L961" i="34"/>
  <c r="L962" i="34"/>
  <c r="L963" i="34"/>
  <c r="L964" i="34"/>
  <c r="L965" i="34"/>
  <c r="L966" i="34"/>
  <c r="L967" i="34"/>
  <c r="L968" i="34"/>
  <c r="L969" i="34"/>
  <c r="L970" i="34"/>
  <c r="L971" i="34"/>
  <c r="L972" i="34"/>
  <c r="L973" i="34"/>
  <c r="L974" i="34"/>
  <c r="L975" i="34"/>
  <c r="L976" i="34"/>
  <c r="L977" i="34"/>
  <c r="L978" i="34"/>
  <c r="L979" i="34"/>
  <c r="L980" i="34"/>
  <c r="L981" i="34"/>
  <c r="L982" i="34"/>
  <c r="L983" i="34"/>
  <c r="L984" i="34"/>
  <c r="L985" i="34"/>
  <c r="L986" i="34"/>
  <c r="L987" i="34"/>
  <c r="L988" i="34"/>
  <c r="L989" i="34"/>
  <c r="L990" i="34"/>
  <c r="L991" i="34"/>
  <c r="L992" i="34"/>
  <c r="L993" i="34"/>
  <c r="L994" i="34"/>
  <c r="L995" i="34"/>
  <c r="L996" i="34"/>
  <c r="L997" i="34"/>
  <c r="L998" i="34"/>
  <c r="L999" i="34"/>
  <c r="L1000" i="34"/>
  <c r="L1001" i="34"/>
  <c r="L1002" i="34"/>
  <c r="L1003" i="34"/>
  <c r="L1004" i="34"/>
  <c r="L1005" i="34"/>
  <c r="L1006" i="34"/>
  <c r="L1007" i="34"/>
  <c r="L1008" i="34"/>
  <c r="L1009" i="34"/>
  <c r="L1010" i="34"/>
  <c r="L1011" i="34"/>
  <c r="L1012" i="34"/>
  <c r="L1013" i="34"/>
  <c r="L1014" i="34"/>
  <c r="L1015" i="34"/>
  <c r="L1016" i="34"/>
  <c r="L1017" i="34"/>
  <c r="L1018" i="34"/>
  <c r="L1019" i="34"/>
  <c r="L1020" i="34"/>
  <c r="L1021" i="34"/>
  <c r="L1022" i="34"/>
  <c r="L1023" i="34"/>
  <c r="L1024" i="34"/>
  <c r="L1025" i="34"/>
  <c r="L1026" i="34"/>
  <c r="L1027" i="34"/>
  <c r="L1028" i="34"/>
  <c r="L1029" i="34"/>
  <c r="L1030" i="34"/>
  <c r="L1031" i="34"/>
  <c r="L1032" i="34"/>
  <c r="L1033" i="34"/>
  <c r="L1034" i="34"/>
  <c r="L1035" i="34"/>
  <c r="L1036" i="34"/>
  <c r="L1037" i="34"/>
  <c r="L1038" i="34"/>
  <c r="L1039" i="34"/>
  <c r="L1040" i="34"/>
  <c r="L1041" i="34"/>
  <c r="L1042" i="34"/>
  <c r="L1043" i="34"/>
  <c r="L1044" i="34"/>
  <c r="L1045" i="34"/>
  <c r="L1046" i="34"/>
  <c r="L1047" i="34"/>
  <c r="L1048" i="34"/>
  <c r="L1049" i="34"/>
  <c r="L1050" i="34"/>
  <c r="L1051" i="34"/>
  <c r="L1052" i="34"/>
  <c r="L1053" i="34"/>
  <c r="L1054" i="34"/>
  <c r="L1055" i="34"/>
  <c r="L1056" i="34"/>
  <c r="L1057" i="34"/>
  <c r="L1058" i="34"/>
  <c r="L1059" i="34"/>
  <c r="L1060" i="34"/>
  <c r="L1061" i="34"/>
  <c r="L1062" i="34"/>
  <c r="L1063" i="34"/>
  <c r="L1064" i="34"/>
  <c r="L1065" i="34"/>
  <c r="L1066" i="34"/>
  <c r="L1067" i="34"/>
  <c r="L1068" i="34"/>
  <c r="L1069" i="34"/>
  <c r="L1070" i="34"/>
  <c r="L1071" i="34"/>
  <c r="L1072" i="34"/>
  <c r="L1073" i="34"/>
  <c r="L1074" i="34"/>
  <c r="L1075" i="34"/>
  <c r="L1076" i="34"/>
  <c r="L1077" i="34"/>
  <c r="L1078" i="34"/>
  <c r="L1079" i="34"/>
  <c r="L1080" i="34"/>
  <c r="L1081" i="34"/>
  <c r="L1082" i="34"/>
  <c r="L1083" i="34"/>
  <c r="L1084" i="34"/>
  <c r="L1085" i="34"/>
  <c r="L1086" i="34"/>
  <c r="L1087" i="34"/>
  <c r="L1088" i="34"/>
  <c r="L1089" i="34"/>
  <c r="L1090" i="34"/>
  <c r="L1091" i="34"/>
  <c r="L1092" i="34"/>
  <c r="L1093" i="34"/>
  <c r="L1094" i="34"/>
  <c r="L1095" i="34"/>
  <c r="L1096" i="34"/>
  <c r="L1097" i="34"/>
  <c r="L1098" i="34"/>
  <c r="L1099" i="34"/>
  <c r="L1100" i="34"/>
  <c r="L1101" i="34"/>
  <c r="L1102" i="34"/>
  <c r="L1103" i="34"/>
  <c r="L1104" i="34"/>
  <c r="L1105" i="34"/>
  <c r="L1106" i="34"/>
  <c r="L1107" i="34"/>
  <c r="L1108" i="34"/>
  <c r="L1109" i="34"/>
  <c r="L1110" i="34"/>
  <c r="L1111" i="34"/>
  <c r="L1112" i="34"/>
  <c r="L1113" i="34"/>
  <c r="L1114" i="34"/>
  <c r="L1115" i="34"/>
  <c r="L1116" i="34"/>
  <c r="L1117" i="34"/>
  <c r="L1118" i="34"/>
  <c r="L1119" i="34"/>
  <c r="L1120" i="34"/>
  <c r="L1121" i="34"/>
  <c r="L1122" i="34"/>
  <c r="L1123" i="34"/>
  <c r="L1124" i="34"/>
  <c r="L1125" i="34"/>
  <c r="L1126" i="34"/>
  <c r="L1127" i="34"/>
  <c r="L1128" i="34"/>
  <c r="L1129" i="34"/>
  <c r="L1130" i="34"/>
  <c r="L1131" i="34"/>
  <c r="L1132" i="34"/>
  <c r="L1133" i="34"/>
  <c r="L1134" i="34"/>
  <c r="L1135" i="34"/>
  <c r="L1136" i="34"/>
  <c r="L1137" i="34"/>
  <c r="L1138" i="34"/>
  <c r="L1139" i="34"/>
  <c r="L1140" i="34"/>
  <c r="L1141" i="34"/>
  <c r="L1142" i="34"/>
  <c r="L1143" i="34"/>
  <c r="L1144" i="34"/>
  <c r="L1145" i="34"/>
  <c r="L1146" i="34"/>
  <c r="L1147" i="34"/>
  <c r="L1148" i="34"/>
  <c r="L1149" i="34"/>
  <c r="L1150" i="34"/>
  <c r="L1151" i="34"/>
  <c r="L1152" i="34"/>
  <c r="L1153" i="34"/>
  <c r="L1154" i="34"/>
  <c r="L1155" i="34"/>
  <c r="L1156" i="34"/>
  <c r="L1157" i="34"/>
  <c r="L1158" i="34"/>
  <c r="L1159" i="34"/>
  <c r="L1160" i="34"/>
  <c r="L1161" i="34"/>
  <c r="L1162" i="34"/>
  <c r="L1163" i="34"/>
  <c r="L1164" i="34"/>
  <c r="L1165" i="34"/>
  <c r="L1166" i="34"/>
  <c r="L1167" i="34"/>
  <c r="L1168" i="34"/>
  <c r="L1169" i="34"/>
  <c r="L1170" i="34"/>
  <c r="L1171" i="34"/>
  <c r="L1172" i="34"/>
  <c r="L1173" i="34"/>
  <c r="L1174" i="34"/>
  <c r="L1175" i="34"/>
  <c r="L1176" i="34"/>
  <c r="L1177" i="34"/>
  <c r="L1178" i="34"/>
  <c r="L1179" i="34"/>
  <c r="L1180" i="34"/>
  <c r="L1181" i="34"/>
  <c r="L1182" i="34"/>
  <c r="L1183" i="34"/>
  <c r="L1184" i="34"/>
  <c r="L1185" i="34"/>
  <c r="L1186" i="34"/>
  <c r="L1187" i="34"/>
  <c r="L1188" i="34"/>
  <c r="L1189" i="34"/>
  <c r="L1190" i="34"/>
  <c r="L1191" i="34"/>
  <c r="L1192" i="34"/>
  <c r="L1193" i="34"/>
  <c r="L1194" i="34"/>
  <c r="L1195" i="34"/>
  <c r="L1196" i="34"/>
  <c r="L1197" i="34"/>
  <c r="L1198" i="34"/>
  <c r="L1199" i="34"/>
  <c r="L1200" i="34"/>
  <c r="L1201" i="34"/>
  <c r="L1202" i="34"/>
  <c r="L1203" i="34"/>
  <c r="L1204" i="34"/>
  <c r="L1205" i="34"/>
  <c r="L1206" i="34"/>
  <c r="L1207" i="34"/>
  <c r="L1208" i="34"/>
  <c r="L1209" i="34"/>
  <c r="G191" i="35"/>
  <c r="G192" i="35"/>
  <c r="G193" i="35"/>
  <c r="G194" i="35"/>
  <c r="A1117" i="34"/>
  <c r="B1117" i="34"/>
  <c r="A1118" i="34"/>
  <c r="B1118" i="34"/>
  <c r="A1119" i="34"/>
  <c r="B1119" i="34"/>
  <c r="A1120" i="34"/>
  <c r="B1120" i="34"/>
  <c r="A1121" i="34"/>
  <c r="B1121" i="34"/>
  <c r="A1122" i="34"/>
  <c r="B1122" i="34"/>
  <c r="A1123" i="34"/>
  <c r="B1123" i="34"/>
  <c r="A1124" i="34"/>
  <c r="B1124" i="34"/>
  <c r="A1125" i="34"/>
  <c r="B1125" i="34"/>
  <c r="A1126" i="34"/>
  <c r="B1126" i="34"/>
  <c r="A1127" i="34"/>
  <c r="B1127" i="34"/>
  <c r="A1128" i="34"/>
  <c r="B1128" i="34"/>
  <c r="A1129" i="34"/>
  <c r="B1129" i="34"/>
  <c r="A1130" i="34"/>
  <c r="B1130" i="34"/>
  <c r="A1131" i="34"/>
  <c r="B1131" i="34"/>
  <c r="A1132" i="34"/>
  <c r="B1132" i="34"/>
  <c r="A1133" i="34"/>
  <c r="B1133" i="34"/>
  <c r="A1134" i="34"/>
  <c r="B1134" i="34"/>
  <c r="A1135" i="34"/>
  <c r="B1135" i="34"/>
  <c r="A1136" i="34"/>
  <c r="B1136" i="34"/>
  <c r="A1137" i="34"/>
  <c r="B1137" i="34"/>
  <c r="A1138" i="34"/>
  <c r="B1138" i="34"/>
  <c r="A1139" i="34"/>
  <c r="B1139" i="34"/>
  <c r="A1140" i="34"/>
  <c r="B1140" i="34"/>
  <c r="A1141" i="34"/>
  <c r="B1141" i="34"/>
  <c r="A1142" i="34"/>
  <c r="B1142" i="34"/>
  <c r="A1143" i="34"/>
  <c r="B1143" i="34"/>
  <c r="A1144" i="34"/>
  <c r="B1144" i="34"/>
  <c r="A1145" i="34"/>
  <c r="B1145" i="34"/>
  <c r="A1146" i="34"/>
  <c r="B1146" i="34"/>
  <c r="A1147" i="34"/>
  <c r="B1147" i="34"/>
  <c r="A1148" i="34"/>
  <c r="B1148" i="34"/>
  <c r="A1149" i="34"/>
  <c r="B1149" i="34"/>
  <c r="A1150" i="34"/>
  <c r="B1150" i="34"/>
  <c r="A1151" i="34"/>
  <c r="B1151" i="34"/>
  <c r="A1152" i="34"/>
  <c r="B1152" i="34"/>
  <c r="A1153" i="34"/>
  <c r="B1153" i="34"/>
  <c r="A1154" i="34"/>
  <c r="B1154" i="34"/>
  <c r="A1155" i="34"/>
  <c r="B1155" i="34"/>
  <c r="A1156" i="34"/>
  <c r="B1156" i="34"/>
  <c r="A1157" i="34"/>
  <c r="B1157" i="34"/>
  <c r="A1158" i="34"/>
  <c r="B1158" i="34"/>
  <c r="A1159" i="34"/>
  <c r="B1159" i="34"/>
  <c r="A1160" i="34"/>
  <c r="B1160" i="34"/>
  <c r="A1161" i="34"/>
  <c r="B1161" i="34"/>
  <c r="A1162" i="34"/>
  <c r="B1162" i="34"/>
  <c r="A1163" i="34"/>
  <c r="B1163" i="34"/>
  <c r="A1164" i="34"/>
  <c r="B1164" i="34"/>
  <c r="A1165" i="34"/>
  <c r="B1165" i="34"/>
  <c r="A1166" i="34"/>
  <c r="B1166" i="34"/>
  <c r="A1167" i="34"/>
  <c r="B1167" i="34"/>
  <c r="A1168" i="34"/>
  <c r="B1168" i="34"/>
  <c r="A1169" i="34"/>
  <c r="B1169" i="34"/>
  <c r="A1170" i="34"/>
  <c r="B1170" i="34"/>
  <c r="A1171" i="34"/>
  <c r="B1171" i="34"/>
  <c r="A1172" i="34"/>
  <c r="B1172" i="34"/>
  <c r="A1173" i="34"/>
  <c r="B1173" i="34"/>
  <c r="A1174" i="34"/>
  <c r="B1174" i="34"/>
  <c r="A1175" i="34"/>
  <c r="B1175" i="34"/>
  <c r="A1176" i="34"/>
  <c r="B1176" i="34"/>
  <c r="A1177" i="34"/>
  <c r="B1177" i="34"/>
  <c r="A1178" i="34"/>
  <c r="B1178" i="34"/>
  <c r="A1179" i="34"/>
  <c r="B1179" i="34"/>
  <c r="A1180" i="34"/>
  <c r="B1180" i="34"/>
  <c r="A1181" i="34"/>
  <c r="B1181" i="34"/>
  <c r="A1182" i="34"/>
  <c r="B1182" i="34"/>
  <c r="A1183" i="34"/>
  <c r="B1183" i="34"/>
  <c r="A1184" i="34"/>
  <c r="B1184" i="34"/>
  <c r="A1185" i="34"/>
  <c r="B1185" i="34"/>
  <c r="A1186" i="34"/>
  <c r="B1186" i="34"/>
  <c r="A1187" i="34"/>
  <c r="B1187" i="34"/>
  <c r="A1188" i="34"/>
  <c r="B1188" i="34"/>
  <c r="A1189" i="34"/>
  <c r="B1189" i="34"/>
  <c r="A1190" i="34"/>
  <c r="B1190" i="34"/>
  <c r="A1191" i="34"/>
  <c r="B1191" i="34"/>
  <c r="A1192" i="34"/>
  <c r="B1192" i="34"/>
  <c r="A1193" i="34"/>
  <c r="B1193" i="34"/>
  <c r="A1194" i="34"/>
  <c r="B1194" i="34"/>
  <c r="A1195" i="34"/>
  <c r="B1195" i="34"/>
  <c r="A1196" i="34"/>
  <c r="B1196" i="34"/>
  <c r="A1197" i="34"/>
  <c r="B1197" i="34"/>
  <c r="A1198" i="34"/>
  <c r="B1198" i="34"/>
  <c r="A1199" i="34"/>
  <c r="B1199" i="34"/>
  <c r="A1200" i="34"/>
  <c r="B1200" i="34"/>
  <c r="A1201" i="34"/>
  <c r="B1201" i="34"/>
  <c r="A1202" i="34"/>
  <c r="B1202" i="34"/>
  <c r="A1203" i="34"/>
  <c r="B1203" i="34"/>
  <c r="A1204" i="34"/>
  <c r="B1204" i="34"/>
  <c r="A1205" i="34"/>
  <c r="B1205" i="34"/>
  <c r="A1206" i="34"/>
  <c r="B1206" i="34"/>
  <c r="A1207" i="34"/>
  <c r="B1207" i="34"/>
  <c r="A1208" i="34"/>
  <c r="B1208" i="34"/>
  <c r="A1209" i="34"/>
  <c r="B1209" i="34"/>
  <c r="H207" i="35"/>
  <c r="E19" i="40"/>
  <c r="A37" i="12"/>
  <c r="A38" i="12"/>
  <c r="A39" i="12"/>
  <c r="E29" i="40"/>
  <c r="F171" i="35"/>
  <c r="J23" i="40" l="1"/>
  <c r="G138" i="35"/>
  <c r="G225" i="35" l="1"/>
  <c r="G226" i="35"/>
  <c r="G174" i="35"/>
  <c r="G173" i="35"/>
  <c r="A14" i="40"/>
  <c r="I221" i="42"/>
  <c r="F221" i="42"/>
  <c r="M220" i="42"/>
  <c r="K220" i="42"/>
  <c r="M219" i="42"/>
  <c r="K219" i="42"/>
  <c r="M218" i="42"/>
  <c r="L218" i="42"/>
  <c r="K218" i="42"/>
  <c r="J218" i="42"/>
  <c r="M217" i="42"/>
  <c r="L217" i="42"/>
  <c r="K217" i="42"/>
  <c r="J217" i="42"/>
  <c r="M216" i="42"/>
  <c r="L216" i="42"/>
  <c r="K216" i="42"/>
  <c r="J216" i="42"/>
  <c r="M215" i="42"/>
  <c r="M221" i="42" s="1"/>
  <c r="L215" i="42"/>
  <c r="K215" i="42"/>
  <c r="J215" i="42"/>
  <c r="L213" i="42"/>
  <c r="J213" i="42"/>
  <c r="F213" i="42"/>
  <c r="M213" i="42" s="1"/>
  <c r="L212" i="42"/>
  <c r="J212" i="42"/>
  <c r="I212" i="42"/>
  <c r="M212" i="42" s="1"/>
  <c r="F212" i="42"/>
  <c r="L211" i="42"/>
  <c r="J211" i="42"/>
  <c r="I211" i="42"/>
  <c r="M211" i="42" s="1"/>
  <c r="F211" i="42"/>
  <c r="L210" i="42"/>
  <c r="J210" i="42"/>
  <c r="I210" i="42"/>
  <c r="M210" i="42" s="1"/>
  <c r="F210" i="42"/>
  <c r="L209" i="42"/>
  <c r="J209" i="42"/>
  <c r="I209" i="42"/>
  <c r="M209" i="42" s="1"/>
  <c r="F209" i="42"/>
  <c r="L208" i="42"/>
  <c r="J208" i="42"/>
  <c r="I208" i="42"/>
  <c r="M208" i="42" s="1"/>
  <c r="F208" i="42"/>
  <c r="L207" i="42"/>
  <c r="J207" i="42"/>
  <c r="I207" i="42"/>
  <c r="M207" i="42" s="1"/>
  <c r="F207" i="42"/>
  <c r="L206" i="42"/>
  <c r="J206" i="42"/>
  <c r="I206" i="42"/>
  <c r="M206" i="42" s="1"/>
  <c r="F206" i="42"/>
  <c r="L205" i="42"/>
  <c r="J205" i="42"/>
  <c r="I205" i="42"/>
  <c r="M205" i="42" s="1"/>
  <c r="F205" i="42"/>
  <c r="L204" i="42"/>
  <c r="J204" i="42"/>
  <c r="I204" i="42"/>
  <c r="M204" i="42" s="1"/>
  <c r="F204" i="42"/>
  <c r="L203" i="42"/>
  <c r="J203" i="42"/>
  <c r="I203" i="42"/>
  <c r="M203" i="42" s="1"/>
  <c r="F203" i="42"/>
  <c r="L202" i="42"/>
  <c r="J202" i="42"/>
  <c r="I202" i="42"/>
  <c r="M202" i="42" s="1"/>
  <c r="M214" i="42" s="1"/>
  <c r="F202" i="42"/>
  <c r="F214" i="42" s="1"/>
  <c r="L199" i="42"/>
  <c r="J199" i="42"/>
  <c r="I199" i="42"/>
  <c r="M199" i="42" s="1"/>
  <c r="F199" i="42"/>
  <c r="L198" i="42"/>
  <c r="J198" i="42"/>
  <c r="I198" i="42"/>
  <c r="M198" i="42" s="1"/>
  <c r="F198" i="42"/>
  <c r="L197" i="42"/>
  <c r="J197" i="42"/>
  <c r="I197" i="42"/>
  <c r="M197" i="42" s="1"/>
  <c r="F197" i="42"/>
  <c r="L196" i="42"/>
  <c r="J196" i="42"/>
  <c r="I196" i="42"/>
  <c r="M196" i="42" s="1"/>
  <c r="F196" i="42"/>
  <c r="L195" i="42"/>
  <c r="J195" i="42"/>
  <c r="I195" i="42"/>
  <c r="M195" i="42" s="1"/>
  <c r="F195" i="42"/>
  <c r="L194" i="42"/>
  <c r="J194" i="42"/>
  <c r="I194" i="42"/>
  <c r="M194" i="42" s="1"/>
  <c r="F194" i="42"/>
  <c r="L193" i="42"/>
  <c r="J193" i="42"/>
  <c r="I193" i="42"/>
  <c r="M193" i="42" s="1"/>
  <c r="F193" i="42"/>
  <c r="L192" i="42"/>
  <c r="J192" i="42"/>
  <c r="I192" i="42"/>
  <c r="M192" i="42" s="1"/>
  <c r="F192" i="42"/>
  <c r="L191" i="42"/>
  <c r="J191" i="42"/>
  <c r="I191" i="42"/>
  <c r="M191" i="42" s="1"/>
  <c r="F191" i="42"/>
  <c r="L190" i="42"/>
  <c r="J190" i="42"/>
  <c r="I190" i="42"/>
  <c r="M190" i="42" s="1"/>
  <c r="F190" i="42"/>
  <c r="L189" i="42"/>
  <c r="J189" i="42"/>
  <c r="I189" i="42"/>
  <c r="M189" i="42" s="1"/>
  <c r="F189" i="42"/>
  <c r="L188" i="42"/>
  <c r="J188" i="42"/>
  <c r="I188" i="42"/>
  <c r="M188" i="42" s="1"/>
  <c r="F188" i="42"/>
  <c r="L187" i="42"/>
  <c r="J187" i="42"/>
  <c r="I187" i="42"/>
  <c r="M187" i="42" s="1"/>
  <c r="F187" i="42"/>
  <c r="L186" i="42"/>
  <c r="J186" i="42"/>
  <c r="I186" i="42"/>
  <c r="M186" i="42" s="1"/>
  <c r="F186" i="42"/>
  <c r="L185" i="42"/>
  <c r="J185" i="42"/>
  <c r="I185" i="42"/>
  <c r="M185" i="42" s="1"/>
  <c r="F185" i="42"/>
  <c r="L184" i="42"/>
  <c r="J184" i="42"/>
  <c r="I184" i="42"/>
  <c r="M184" i="42" s="1"/>
  <c r="F184" i="42"/>
  <c r="L183" i="42"/>
  <c r="J183" i="42"/>
  <c r="I183" i="42"/>
  <c r="M183" i="42" s="1"/>
  <c r="F183" i="42"/>
  <c r="L182" i="42"/>
  <c r="J182" i="42"/>
  <c r="I182" i="42"/>
  <c r="I200" i="42" s="1"/>
  <c r="F182" i="42"/>
  <c r="L179" i="42"/>
  <c r="J179" i="42"/>
  <c r="I179" i="42"/>
  <c r="M179" i="42" s="1"/>
  <c r="F179" i="42"/>
  <c r="L178" i="42"/>
  <c r="J178" i="42"/>
  <c r="I178" i="42"/>
  <c r="M178" i="42" s="1"/>
  <c r="F178" i="42"/>
  <c r="L177" i="42"/>
  <c r="J177" i="42"/>
  <c r="I177" i="42"/>
  <c r="M177" i="42" s="1"/>
  <c r="F177" i="42"/>
  <c r="L176" i="42"/>
  <c r="J176" i="42"/>
  <c r="I176" i="42"/>
  <c r="M176" i="42" s="1"/>
  <c r="F176" i="42"/>
  <c r="L175" i="42"/>
  <c r="J175" i="42"/>
  <c r="I175" i="42"/>
  <c r="M175" i="42" s="1"/>
  <c r="F175" i="42"/>
  <c r="L174" i="42"/>
  <c r="J174" i="42"/>
  <c r="I174" i="42"/>
  <c r="M174" i="42" s="1"/>
  <c r="F174" i="42"/>
  <c r="L173" i="42"/>
  <c r="J173" i="42"/>
  <c r="I173" i="42"/>
  <c r="M173" i="42" s="1"/>
  <c r="F173" i="42"/>
  <c r="L172" i="42"/>
  <c r="J172" i="42"/>
  <c r="I172" i="42"/>
  <c r="M172" i="42" s="1"/>
  <c r="F172" i="42"/>
  <c r="L171" i="42"/>
  <c r="J171" i="42"/>
  <c r="I171" i="42"/>
  <c r="M171" i="42" s="1"/>
  <c r="F171" i="42"/>
  <c r="L170" i="42"/>
  <c r="J170" i="42"/>
  <c r="I170" i="42"/>
  <c r="M170" i="42" s="1"/>
  <c r="F170" i="42"/>
  <c r="L169" i="42"/>
  <c r="J169" i="42"/>
  <c r="I169" i="42"/>
  <c r="M169" i="42" s="1"/>
  <c r="F169" i="42"/>
  <c r="L168" i="42"/>
  <c r="J168" i="42"/>
  <c r="I168" i="42"/>
  <c r="M168" i="42" s="1"/>
  <c r="F168" i="42"/>
  <c r="L167" i="42"/>
  <c r="J167" i="42"/>
  <c r="I167" i="42"/>
  <c r="M167" i="42" s="1"/>
  <c r="F167" i="42"/>
  <c r="L166" i="42"/>
  <c r="J166" i="42"/>
  <c r="I166" i="42"/>
  <c r="M166" i="42" s="1"/>
  <c r="F166" i="42"/>
  <c r="L165" i="42"/>
  <c r="J165" i="42"/>
  <c r="I165" i="42"/>
  <c r="M165" i="42" s="1"/>
  <c r="F165" i="42"/>
  <c r="L164" i="42"/>
  <c r="J164" i="42"/>
  <c r="I164" i="42"/>
  <c r="M164" i="42" s="1"/>
  <c r="F164" i="42"/>
  <c r="L163" i="42"/>
  <c r="J163" i="42"/>
  <c r="I163" i="42"/>
  <c r="M163" i="42" s="1"/>
  <c r="F163" i="42"/>
  <c r="L162" i="42"/>
  <c r="J162" i="42"/>
  <c r="I162" i="42"/>
  <c r="M162" i="42" s="1"/>
  <c r="F162" i="42"/>
  <c r="L161" i="42"/>
  <c r="J161" i="42"/>
  <c r="I161" i="42"/>
  <c r="M161" i="42" s="1"/>
  <c r="F161" i="42"/>
  <c r="L160" i="42"/>
  <c r="J160" i="42"/>
  <c r="I160" i="42"/>
  <c r="M160" i="42" s="1"/>
  <c r="F160" i="42"/>
  <c r="L159" i="42"/>
  <c r="J159" i="42"/>
  <c r="I159" i="42"/>
  <c r="M159" i="42" s="1"/>
  <c r="F159" i="42"/>
  <c r="L158" i="42"/>
  <c r="J158" i="42"/>
  <c r="I158" i="42"/>
  <c r="M158" i="42" s="1"/>
  <c r="F158" i="42"/>
  <c r="L157" i="42"/>
  <c r="J157" i="42"/>
  <c r="I157" i="42"/>
  <c r="M157" i="42" s="1"/>
  <c r="F157" i="42"/>
  <c r="L156" i="42"/>
  <c r="J156" i="42"/>
  <c r="I156" i="42"/>
  <c r="M156" i="42" s="1"/>
  <c r="F156" i="42"/>
  <c r="L155" i="42"/>
  <c r="J155" i="42"/>
  <c r="I155" i="42"/>
  <c r="M155" i="42" s="1"/>
  <c r="F155" i="42"/>
  <c r="L154" i="42"/>
  <c r="J154" i="42"/>
  <c r="I154" i="42"/>
  <c r="I180" i="42" s="1"/>
  <c r="F154" i="42"/>
  <c r="L151" i="42"/>
  <c r="J151" i="42"/>
  <c r="I151" i="42"/>
  <c r="M151" i="42" s="1"/>
  <c r="F151" i="42"/>
  <c r="L150" i="42"/>
  <c r="J150" i="42"/>
  <c r="I150" i="42"/>
  <c r="M150" i="42" s="1"/>
  <c r="F150" i="42"/>
  <c r="L149" i="42"/>
  <c r="J149" i="42"/>
  <c r="I149" i="42"/>
  <c r="M149" i="42" s="1"/>
  <c r="F149" i="42"/>
  <c r="L148" i="42"/>
  <c r="J148" i="42"/>
  <c r="I148" i="42"/>
  <c r="M148" i="42" s="1"/>
  <c r="F148" i="42"/>
  <c r="L147" i="42"/>
  <c r="J147" i="42"/>
  <c r="I147" i="42"/>
  <c r="M147" i="42" s="1"/>
  <c r="F147" i="42"/>
  <c r="L146" i="42"/>
  <c r="J146" i="42"/>
  <c r="I146" i="42"/>
  <c r="M146" i="42" s="1"/>
  <c r="F146" i="42"/>
  <c r="L145" i="42"/>
  <c r="J145" i="42"/>
  <c r="I145" i="42"/>
  <c r="M145" i="42" s="1"/>
  <c r="F145" i="42"/>
  <c r="L144" i="42"/>
  <c r="J144" i="42"/>
  <c r="I144" i="42"/>
  <c r="M144" i="42" s="1"/>
  <c r="F144" i="42"/>
  <c r="L143" i="42"/>
  <c r="J143" i="42"/>
  <c r="I143" i="42"/>
  <c r="M143" i="42" s="1"/>
  <c r="F143" i="42"/>
  <c r="L142" i="42"/>
  <c r="J142" i="42"/>
  <c r="I142" i="42"/>
  <c r="M142" i="42" s="1"/>
  <c r="F142" i="42"/>
  <c r="L141" i="42"/>
  <c r="J141" i="42"/>
  <c r="I141" i="42"/>
  <c r="M141" i="42" s="1"/>
  <c r="F141" i="42"/>
  <c r="L140" i="42"/>
  <c r="J140" i="42"/>
  <c r="I140" i="42"/>
  <c r="M140" i="42" s="1"/>
  <c r="F140" i="42"/>
  <c r="L139" i="42"/>
  <c r="J139" i="42"/>
  <c r="I139" i="42"/>
  <c r="M139" i="42" s="1"/>
  <c r="F139" i="42"/>
  <c r="L138" i="42"/>
  <c r="J138" i="42"/>
  <c r="I138" i="42"/>
  <c r="M138" i="42" s="1"/>
  <c r="F138" i="42"/>
  <c r="L137" i="42"/>
  <c r="J137" i="42"/>
  <c r="I137" i="42"/>
  <c r="M137" i="42" s="1"/>
  <c r="F137" i="42"/>
  <c r="L136" i="42"/>
  <c r="J136" i="42"/>
  <c r="I136" i="42"/>
  <c r="M136" i="42" s="1"/>
  <c r="F136" i="42"/>
  <c r="L135" i="42"/>
  <c r="J135" i="42"/>
  <c r="I135" i="42"/>
  <c r="M135" i="42" s="1"/>
  <c r="F135" i="42"/>
  <c r="L134" i="42"/>
  <c r="J134" i="42"/>
  <c r="I134" i="42"/>
  <c r="M134" i="42" s="1"/>
  <c r="F134" i="42"/>
  <c r="L133" i="42"/>
  <c r="J133" i="42"/>
  <c r="I133" i="42"/>
  <c r="M133" i="42" s="1"/>
  <c r="F133" i="42"/>
  <c r="L132" i="42"/>
  <c r="J132" i="42"/>
  <c r="I132" i="42"/>
  <c r="M132" i="42" s="1"/>
  <c r="F132" i="42"/>
  <c r="L131" i="42"/>
  <c r="J131" i="42"/>
  <c r="I131" i="42"/>
  <c r="M131" i="42" s="1"/>
  <c r="F131" i="42"/>
  <c r="L130" i="42"/>
  <c r="J130" i="42"/>
  <c r="I130" i="42"/>
  <c r="M130" i="42" s="1"/>
  <c r="F130" i="42"/>
  <c r="L129" i="42"/>
  <c r="J129" i="42"/>
  <c r="I129" i="42"/>
  <c r="M129" i="42" s="1"/>
  <c r="F129" i="42"/>
  <c r="L128" i="42"/>
  <c r="J128" i="42"/>
  <c r="I128" i="42"/>
  <c r="M128" i="42" s="1"/>
  <c r="F128" i="42"/>
  <c r="L127" i="42"/>
  <c r="J127" i="42"/>
  <c r="I127" i="42"/>
  <c r="M127" i="42" s="1"/>
  <c r="F127" i="42"/>
  <c r="L126" i="42"/>
  <c r="J126" i="42"/>
  <c r="I126" i="42"/>
  <c r="M126" i="42" s="1"/>
  <c r="F126" i="42"/>
  <c r="L125" i="42"/>
  <c r="J125" i="42"/>
  <c r="I125" i="42"/>
  <c r="M125" i="42" s="1"/>
  <c r="F125" i="42"/>
  <c r="L124" i="42"/>
  <c r="J124" i="42"/>
  <c r="I124" i="42"/>
  <c r="M124" i="42" s="1"/>
  <c r="F124" i="42"/>
  <c r="L123" i="42"/>
  <c r="J123" i="42"/>
  <c r="I123" i="42"/>
  <c r="M123" i="42" s="1"/>
  <c r="F123" i="42"/>
  <c r="L122" i="42"/>
  <c r="J122" i="42"/>
  <c r="I122" i="42"/>
  <c r="M122" i="42" s="1"/>
  <c r="F122" i="42"/>
  <c r="L121" i="42"/>
  <c r="J121" i="42"/>
  <c r="I121" i="42"/>
  <c r="M121" i="42" s="1"/>
  <c r="F121" i="42"/>
  <c r="L120" i="42"/>
  <c r="J120" i="42"/>
  <c r="I120" i="42"/>
  <c r="M120" i="42" s="1"/>
  <c r="F120" i="42"/>
  <c r="L119" i="42"/>
  <c r="J119" i="42"/>
  <c r="I119" i="42"/>
  <c r="M119" i="42" s="1"/>
  <c r="F119" i="42"/>
  <c r="L118" i="42"/>
  <c r="J118" i="42"/>
  <c r="I118" i="42"/>
  <c r="F118" i="42"/>
  <c r="L117" i="42"/>
  <c r="J117" i="42"/>
  <c r="I117" i="42"/>
  <c r="F117" i="42"/>
  <c r="L116" i="42"/>
  <c r="J116" i="42"/>
  <c r="I116" i="42"/>
  <c r="F116" i="42"/>
  <c r="L115" i="42"/>
  <c r="J115" i="42"/>
  <c r="I115" i="42"/>
  <c r="F115" i="42"/>
  <c r="K115" i="42" s="1"/>
  <c r="L114" i="42"/>
  <c r="J114" i="42"/>
  <c r="I114" i="42"/>
  <c r="I152" i="42" s="1"/>
  <c r="F114" i="42"/>
  <c r="L111" i="42"/>
  <c r="J111" i="42"/>
  <c r="I111" i="42"/>
  <c r="F111" i="42"/>
  <c r="K111" i="42" s="1"/>
  <c r="L110" i="42"/>
  <c r="J110" i="42"/>
  <c r="I110" i="42"/>
  <c r="F110" i="42"/>
  <c r="K110" i="42" s="1"/>
  <c r="L109" i="42"/>
  <c r="J109" i="42"/>
  <c r="I109" i="42"/>
  <c r="F109" i="42"/>
  <c r="K109" i="42" s="1"/>
  <c r="L108" i="42"/>
  <c r="J108" i="42"/>
  <c r="I108" i="42"/>
  <c r="F108" i="42"/>
  <c r="K108" i="42" s="1"/>
  <c r="L107" i="42"/>
  <c r="J107" i="42"/>
  <c r="I107" i="42"/>
  <c r="F107" i="42"/>
  <c r="K107" i="42" s="1"/>
  <c r="L106" i="42"/>
  <c r="J106" i="42"/>
  <c r="I106" i="42"/>
  <c r="F106" i="42"/>
  <c r="K106" i="42" s="1"/>
  <c r="L105" i="42"/>
  <c r="J105" i="42"/>
  <c r="I105" i="42"/>
  <c r="F105" i="42"/>
  <c r="K105" i="42" s="1"/>
  <c r="L104" i="42"/>
  <c r="J104" i="42"/>
  <c r="I104" i="42"/>
  <c r="F104" i="42"/>
  <c r="K104" i="42" s="1"/>
  <c r="L103" i="42"/>
  <c r="J103" i="42"/>
  <c r="I103" i="42"/>
  <c r="F103" i="42"/>
  <c r="K103" i="42" s="1"/>
  <c r="L102" i="42"/>
  <c r="J102" i="42"/>
  <c r="I102" i="42"/>
  <c r="F102" i="42"/>
  <c r="K102" i="42" s="1"/>
  <c r="L101" i="42"/>
  <c r="J101" i="42"/>
  <c r="I101" i="42"/>
  <c r="F101" i="42"/>
  <c r="K101" i="42" s="1"/>
  <c r="L100" i="42"/>
  <c r="J100" i="42"/>
  <c r="I100" i="42"/>
  <c r="F100" i="42"/>
  <c r="K100" i="42" s="1"/>
  <c r="L99" i="42"/>
  <c r="J99" i="42"/>
  <c r="I99" i="42"/>
  <c r="F99" i="42"/>
  <c r="K99" i="42" s="1"/>
  <c r="L98" i="42"/>
  <c r="J98" i="42"/>
  <c r="I98" i="42"/>
  <c r="F98" i="42"/>
  <c r="K98" i="42" s="1"/>
  <c r="L97" i="42"/>
  <c r="J97" i="42"/>
  <c r="I97" i="42"/>
  <c r="F97" i="42"/>
  <c r="K97" i="42" s="1"/>
  <c r="L96" i="42"/>
  <c r="J96" i="42"/>
  <c r="I96" i="42"/>
  <c r="F96" i="42"/>
  <c r="K96" i="42" s="1"/>
  <c r="L95" i="42"/>
  <c r="J95" i="42"/>
  <c r="I95" i="42"/>
  <c r="F95" i="42"/>
  <c r="K95" i="42" s="1"/>
  <c r="L94" i="42"/>
  <c r="J94" i="42"/>
  <c r="I94" i="42"/>
  <c r="F94" i="42"/>
  <c r="K94" i="42" s="1"/>
  <c r="L93" i="42"/>
  <c r="J93" i="42"/>
  <c r="I93" i="42"/>
  <c r="F93" i="42"/>
  <c r="K93" i="42" s="1"/>
  <c r="L92" i="42"/>
  <c r="J92" i="42"/>
  <c r="I92" i="42"/>
  <c r="F92" i="42"/>
  <c r="K92" i="42" s="1"/>
  <c r="L91" i="42"/>
  <c r="J91" i="42"/>
  <c r="I91" i="42"/>
  <c r="F91" i="42"/>
  <c r="K91" i="42" s="1"/>
  <c r="L90" i="42"/>
  <c r="J90" i="42"/>
  <c r="I90" i="42"/>
  <c r="F90" i="42"/>
  <c r="K90" i="42" s="1"/>
  <c r="L89" i="42"/>
  <c r="J89" i="42"/>
  <c r="I89" i="42"/>
  <c r="F89" i="42"/>
  <c r="K89" i="42" s="1"/>
  <c r="L88" i="42"/>
  <c r="J88" i="42"/>
  <c r="I88" i="42"/>
  <c r="F88" i="42"/>
  <c r="K88" i="42" s="1"/>
  <c r="L87" i="42"/>
  <c r="J87" i="42"/>
  <c r="I87" i="42"/>
  <c r="F87" i="42"/>
  <c r="K87" i="42" s="1"/>
  <c r="L86" i="42"/>
  <c r="J86" i="42"/>
  <c r="I86" i="42"/>
  <c r="F86" i="42"/>
  <c r="K86" i="42" s="1"/>
  <c r="L85" i="42"/>
  <c r="J85" i="42"/>
  <c r="I85" i="42"/>
  <c r="F85" i="42"/>
  <c r="K85" i="42" s="1"/>
  <c r="L84" i="42"/>
  <c r="J84" i="42"/>
  <c r="I84" i="42"/>
  <c r="F84" i="42"/>
  <c r="K84" i="42" s="1"/>
  <c r="L83" i="42"/>
  <c r="J83" i="42"/>
  <c r="I83" i="42"/>
  <c r="F83" i="42"/>
  <c r="L82" i="42"/>
  <c r="J82" i="42"/>
  <c r="I82" i="42"/>
  <c r="F82" i="42"/>
  <c r="L81" i="42"/>
  <c r="J81" i="42"/>
  <c r="I81" i="42"/>
  <c r="F81" i="42"/>
  <c r="L80" i="42"/>
  <c r="J80" i="42"/>
  <c r="I80" i="42"/>
  <c r="F80" i="42"/>
  <c r="L79" i="42"/>
  <c r="J79" i="42"/>
  <c r="I79" i="42"/>
  <c r="F79" i="42"/>
  <c r="L78" i="42"/>
  <c r="J78" i="42"/>
  <c r="I78" i="42"/>
  <c r="F78" i="42"/>
  <c r="L77" i="42"/>
  <c r="J77" i="42"/>
  <c r="I77" i="42"/>
  <c r="F77" i="42"/>
  <c r="L76" i="42"/>
  <c r="J76" i="42"/>
  <c r="I76" i="42"/>
  <c r="F76" i="42"/>
  <c r="L75" i="42"/>
  <c r="J75" i="42"/>
  <c r="I75" i="42"/>
  <c r="F75" i="42"/>
  <c r="L74" i="42"/>
  <c r="J74" i="42"/>
  <c r="I74" i="42"/>
  <c r="I112" i="42" s="1"/>
  <c r="F74" i="42"/>
  <c r="F112" i="42" s="1"/>
  <c r="L71" i="42"/>
  <c r="J71" i="42"/>
  <c r="I71" i="42"/>
  <c r="F71" i="42"/>
  <c r="L70" i="42"/>
  <c r="J70" i="42"/>
  <c r="I70" i="42"/>
  <c r="F70" i="42"/>
  <c r="L69" i="42"/>
  <c r="J69" i="42"/>
  <c r="I69" i="42"/>
  <c r="F69" i="42"/>
  <c r="L68" i="42"/>
  <c r="J68" i="42"/>
  <c r="I68" i="42"/>
  <c r="F68" i="42"/>
  <c r="L67" i="42"/>
  <c r="J67" i="42"/>
  <c r="I67" i="42"/>
  <c r="F67" i="42"/>
  <c r="L66" i="42"/>
  <c r="J66" i="42"/>
  <c r="I66" i="42"/>
  <c r="F66" i="42"/>
  <c r="L65" i="42"/>
  <c r="J65" i="42"/>
  <c r="I65" i="42"/>
  <c r="F65" i="42"/>
  <c r="L64" i="42"/>
  <c r="J64" i="42"/>
  <c r="I64" i="42"/>
  <c r="F64" i="42"/>
  <c r="L63" i="42"/>
  <c r="J63" i="42"/>
  <c r="I63" i="42"/>
  <c r="F63" i="42"/>
  <c r="L62" i="42"/>
  <c r="J62" i="42"/>
  <c r="I62" i="42"/>
  <c r="F62" i="42"/>
  <c r="L61" i="42"/>
  <c r="J61" i="42"/>
  <c r="I61" i="42"/>
  <c r="F61" i="42"/>
  <c r="L60" i="42"/>
  <c r="J60" i="42"/>
  <c r="I60" i="42"/>
  <c r="F60" i="42"/>
  <c r="L59" i="42"/>
  <c r="J59" i="42"/>
  <c r="I59" i="42"/>
  <c r="F59" i="42"/>
  <c r="L58" i="42"/>
  <c r="J58" i="42"/>
  <c r="I58" i="42"/>
  <c r="F58" i="42"/>
  <c r="L57" i="42"/>
  <c r="J57" i="42"/>
  <c r="I57" i="42"/>
  <c r="F57" i="42"/>
  <c r="L56" i="42"/>
  <c r="J56" i="42"/>
  <c r="I56" i="42"/>
  <c r="F56" i="42"/>
  <c r="L55" i="42"/>
  <c r="J55" i="42"/>
  <c r="I55" i="42"/>
  <c r="F55" i="42"/>
  <c r="L54" i="42"/>
  <c r="J54" i="42"/>
  <c r="I54" i="42"/>
  <c r="F54" i="42"/>
  <c r="L53" i="42"/>
  <c r="J53" i="42"/>
  <c r="I53" i="42"/>
  <c r="F53" i="42"/>
  <c r="L52" i="42"/>
  <c r="J52" i="42"/>
  <c r="I52" i="42"/>
  <c r="F52" i="42"/>
  <c r="L51" i="42"/>
  <c r="J51" i="42"/>
  <c r="I51" i="42"/>
  <c r="F51" i="42"/>
  <c r="L50" i="42"/>
  <c r="J50" i="42"/>
  <c r="I50" i="42"/>
  <c r="F50" i="42"/>
  <c r="L49" i="42"/>
  <c r="J49" i="42"/>
  <c r="I49" i="42"/>
  <c r="F49" i="42"/>
  <c r="L48" i="42"/>
  <c r="J48" i="42"/>
  <c r="I48" i="42"/>
  <c r="F48" i="42"/>
  <c r="L47" i="42"/>
  <c r="J47" i="42"/>
  <c r="I47" i="42"/>
  <c r="F47" i="42"/>
  <c r="L46" i="42"/>
  <c r="J46" i="42"/>
  <c r="I46" i="42"/>
  <c r="F46" i="42"/>
  <c r="K46" i="42" s="1"/>
  <c r="L45" i="42"/>
  <c r="J45" i="42"/>
  <c r="I45" i="42"/>
  <c r="F45" i="42"/>
  <c r="K45" i="42" s="1"/>
  <c r="L44" i="42"/>
  <c r="J44" i="42"/>
  <c r="I44" i="42"/>
  <c r="F44" i="42"/>
  <c r="K44" i="42" s="1"/>
  <c r="L43" i="42"/>
  <c r="J43" i="42"/>
  <c r="I43" i="42"/>
  <c r="F43" i="42"/>
  <c r="K43" i="42" s="1"/>
  <c r="L42" i="42"/>
  <c r="J42" i="42"/>
  <c r="I42" i="42"/>
  <c r="F42" i="42"/>
  <c r="K42" i="42" s="1"/>
  <c r="L41" i="42"/>
  <c r="J41" i="42"/>
  <c r="I41" i="42"/>
  <c r="F41" i="42"/>
  <c r="K41" i="42" s="1"/>
  <c r="L40" i="42"/>
  <c r="J40" i="42"/>
  <c r="I40" i="42"/>
  <c r="F40" i="42"/>
  <c r="K40" i="42" s="1"/>
  <c r="L39" i="42"/>
  <c r="J39" i="42"/>
  <c r="I39" i="42"/>
  <c r="F39" i="42"/>
  <c r="K39" i="42" s="1"/>
  <c r="L38" i="42"/>
  <c r="J38" i="42"/>
  <c r="I38" i="42"/>
  <c r="F38" i="42"/>
  <c r="K38" i="42" s="1"/>
  <c r="L37" i="42"/>
  <c r="J37" i="42"/>
  <c r="I37" i="42"/>
  <c r="F37" i="42"/>
  <c r="K37" i="42" s="1"/>
  <c r="L36" i="42"/>
  <c r="J36" i="42"/>
  <c r="I36" i="42"/>
  <c r="F36" i="42"/>
  <c r="K36" i="42" s="1"/>
  <c r="L35" i="42"/>
  <c r="J35" i="42"/>
  <c r="I35" i="42"/>
  <c r="F35" i="42"/>
  <c r="K35" i="42" s="1"/>
  <c r="L34" i="42"/>
  <c r="J34" i="42"/>
  <c r="I34" i="42"/>
  <c r="F34" i="42"/>
  <c r="K34" i="42" s="1"/>
  <c r="L33" i="42"/>
  <c r="J33" i="42"/>
  <c r="I33" i="42"/>
  <c r="I72" i="42" s="1"/>
  <c r="F33" i="42"/>
  <c r="F72" i="42" s="1"/>
  <c r="L30" i="42"/>
  <c r="J30" i="42"/>
  <c r="I30" i="42"/>
  <c r="F30" i="42"/>
  <c r="K30" i="42" s="1"/>
  <c r="L29" i="42"/>
  <c r="J29" i="42"/>
  <c r="I29" i="42"/>
  <c r="F29" i="42"/>
  <c r="K29" i="42" s="1"/>
  <c r="L28" i="42"/>
  <c r="J28" i="42"/>
  <c r="I28" i="42"/>
  <c r="F28" i="42"/>
  <c r="K28" i="42" s="1"/>
  <c r="L27" i="42"/>
  <c r="J27" i="42"/>
  <c r="I27" i="42"/>
  <c r="F27" i="42"/>
  <c r="K27" i="42" s="1"/>
  <c r="L26" i="42"/>
  <c r="J26" i="42"/>
  <c r="I26" i="42"/>
  <c r="F26" i="42"/>
  <c r="K26" i="42" s="1"/>
  <c r="L25" i="42"/>
  <c r="J25" i="42"/>
  <c r="I25" i="42"/>
  <c r="F25" i="42"/>
  <c r="K25" i="42" s="1"/>
  <c r="L24" i="42"/>
  <c r="J24" i="42"/>
  <c r="I24" i="42"/>
  <c r="F24" i="42"/>
  <c r="K24" i="42" s="1"/>
  <c r="L23" i="42"/>
  <c r="J23" i="42"/>
  <c r="I23" i="42"/>
  <c r="F23" i="42"/>
  <c r="K23" i="42" s="1"/>
  <c r="L22" i="42"/>
  <c r="J22" i="42"/>
  <c r="I22" i="42"/>
  <c r="F22" i="42"/>
  <c r="K22" i="42" s="1"/>
  <c r="L21" i="42"/>
  <c r="J21" i="42"/>
  <c r="I21" i="42"/>
  <c r="F21" i="42"/>
  <c r="K21" i="42" s="1"/>
  <c r="L20" i="42"/>
  <c r="J20" i="42"/>
  <c r="I20" i="42"/>
  <c r="F20" i="42"/>
  <c r="K20" i="42" s="1"/>
  <c r="L19" i="42"/>
  <c r="J19" i="42"/>
  <c r="I19" i="42"/>
  <c r="F19" i="42"/>
  <c r="K19" i="42" s="1"/>
  <c r="L18" i="42"/>
  <c r="J18" i="42"/>
  <c r="I18" i="42"/>
  <c r="F18" i="42"/>
  <c r="K18" i="42" s="1"/>
  <c r="L17" i="42"/>
  <c r="J17" i="42"/>
  <c r="I17" i="42"/>
  <c r="F17" i="42"/>
  <c r="K17" i="42" s="1"/>
  <c r="L16" i="42"/>
  <c r="J16" i="42"/>
  <c r="I16" i="42"/>
  <c r="F16" i="42"/>
  <c r="K16" i="42" s="1"/>
  <c r="L15" i="42"/>
  <c r="J15" i="42"/>
  <c r="I15" i="42"/>
  <c r="F15" i="42"/>
  <c r="K15" i="42" s="1"/>
  <c r="L14" i="42"/>
  <c r="J14" i="42"/>
  <c r="I14" i="42"/>
  <c r="F14" i="42"/>
  <c r="K14" i="42" s="1"/>
  <c r="L13" i="42"/>
  <c r="J13" i="42"/>
  <c r="I13" i="42"/>
  <c r="F13" i="42"/>
  <c r="K13" i="42" s="1"/>
  <c r="L12" i="42"/>
  <c r="J12" i="42"/>
  <c r="I12" i="42"/>
  <c r="F12" i="42"/>
  <c r="K12" i="42" s="1"/>
  <c r="L11" i="42"/>
  <c r="J11" i="42"/>
  <c r="I11" i="42"/>
  <c r="F11" i="42"/>
  <c r="K11" i="42" s="1"/>
  <c r="L10" i="42"/>
  <c r="J10" i="42"/>
  <c r="I10" i="42"/>
  <c r="F10" i="42"/>
  <c r="K10" i="42" s="1"/>
  <c r="L9" i="42"/>
  <c r="J9" i="42"/>
  <c r="I9" i="42"/>
  <c r="F9" i="42"/>
  <c r="K9" i="42" s="1"/>
  <c r="L8" i="42"/>
  <c r="J8" i="42"/>
  <c r="I8" i="42"/>
  <c r="F8" i="42"/>
  <c r="K8" i="42" s="1"/>
  <c r="L7" i="42"/>
  <c r="J7" i="42"/>
  <c r="I7" i="42"/>
  <c r="F7" i="42"/>
  <c r="K7" i="42" s="1"/>
  <c r="L6" i="42"/>
  <c r="J6" i="42"/>
  <c r="I6" i="42"/>
  <c r="F6" i="42"/>
  <c r="K6" i="42" s="1"/>
  <c r="L5" i="42"/>
  <c r="J5" i="42"/>
  <c r="I5" i="42"/>
  <c r="I31" i="42" s="1"/>
  <c r="F5" i="42"/>
  <c r="F31" i="42" s="1"/>
  <c r="A1046" i="34"/>
  <c r="B1046" i="34"/>
  <c r="A1047" i="34"/>
  <c r="B1047" i="34"/>
  <c r="A1048" i="34"/>
  <c r="B1048" i="34"/>
  <c r="A1049" i="34"/>
  <c r="B1049" i="34"/>
  <c r="A1050" i="34"/>
  <c r="B1050" i="34"/>
  <c r="A1051" i="34"/>
  <c r="B1051" i="34"/>
  <c r="A1052" i="34"/>
  <c r="B1052" i="34"/>
  <c r="A1053" i="34"/>
  <c r="B1053" i="34"/>
  <c r="A1054" i="34"/>
  <c r="B1054" i="34"/>
  <c r="A1055" i="34"/>
  <c r="B1055" i="34"/>
  <c r="A1056" i="34"/>
  <c r="B1056" i="34"/>
  <c r="A1057" i="34"/>
  <c r="B1057" i="34"/>
  <c r="A1058" i="34"/>
  <c r="B1058" i="34"/>
  <c r="A1059" i="34"/>
  <c r="B1059" i="34"/>
  <c r="A1060" i="34"/>
  <c r="B1060" i="34"/>
  <c r="A1061" i="34"/>
  <c r="B1061" i="34"/>
  <c r="A1062" i="34"/>
  <c r="B1062" i="34"/>
  <c r="A1063" i="34"/>
  <c r="B1063" i="34"/>
  <c r="A1064" i="34"/>
  <c r="B1064" i="34"/>
  <c r="A1065" i="34"/>
  <c r="B1065" i="34"/>
  <c r="A1066" i="34"/>
  <c r="B1066" i="34"/>
  <c r="A1067" i="34"/>
  <c r="B1067" i="34"/>
  <c r="A1068" i="34"/>
  <c r="B1068" i="34"/>
  <c r="A1069" i="34"/>
  <c r="B1069" i="34"/>
  <c r="A1070" i="34"/>
  <c r="B1070" i="34"/>
  <c r="A1071" i="34"/>
  <c r="B1071" i="34"/>
  <c r="A1072" i="34"/>
  <c r="B1072" i="34"/>
  <c r="A1073" i="34"/>
  <c r="B1073" i="34"/>
  <c r="A1074" i="34"/>
  <c r="B1074" i="34"/>
  <c r="A1075" i="34"/>
  <c r="B1075" i="34"/>
  <c r="A1076" i="34"/>
  <c r="B1076" i="34"/>
  <c r="A1077" i="34"/>
  <c r="B1077" i="34"/>
  <c r="A1078" i="34"/>
  <c r="B1078" i="34"/>
  <c r="A1079" i="34"/>
  <c r="B1079" i="34"/>
  <c r="A1080" i="34"/>
  <c r="B1080" i="34"/>
  <c r="A1081" i="34"/>
  <c r="B1081" i="34"/>
  <c r="A1082" i="34"/>
  <c r="B1082" i="34"/>
  <c r="A1083" i="34"/>
  <c r="B1083" i="34"/>
  <c r="A1084" i="34"/>
  <c r="B1084" i="34"/>
  <c r="A1085" i="34"/>
  <c r="B1085" i="34"/>
  <c r="A1086" i="34"/>
  <c r="B1086" i="34"/>
  <c r="A1087" i="34"/>
  <c r="B1087" i="34"/>
  <c r="A1088" i="34"/>
  <c r="B1088" i="34"/>
  <c r="A1089" i="34"/>
  <c r="B1089" i="34"/>
  <c r="A1090" i="34"/>
  <c r="B1090" i="34"/>
  <c r="A1091" i="34"/>
  <c r="B1091" i="34"/>
  <c r="A1092" i="34"/>
  <c r="B1092" i="34"/>
  <c r="A1093" i="34"/>
  <c r="B1093" i="34"/>
  <c r="A1094" i="34"/>
  <c r="B1094" i="34"/>
  <c r="A1095" i="34"/>
  <c r="B1095" i="34"/>
  <c r="A1096" i="34"/>
  <c r="B1096" i="34"/>
  <c r="A1097" i="34"/>
  <c r="B1097" i="34"/>
  <c r="A1098" i="34"/>
  <c r="B1098" i="34"/>
  <c r="A1099" i="34"/>
  <c r="B1099" i="34"/>
  <c r="A1100" i="34"/>
  <c r="B1100" i="34"/>
  <c r="A1101" i="34"/>
  <c r="B1101" i="34"/>
  <c r="A1102" i="34"/>
  <c r="B1102" i="34"/>
  <c r="A1103" i="34"/>
  <c r="B1103" i="34"/>
  <c r="A1104" i="34"/>
  <c r="B1104" i="34"/>
  <c r="A1105" i="34"/>
  <c r="B1105" i="34"/>
  <c r="A1106" i="34"/>
  <c r="B1106" i="34"/>
  <c r="A1107" i="34"/>
  <c r="B1107" i="34"/>
  <c r="A1108" i="34"/>
  <c r="B1108" i="34"/>
  <c r="A1109" i="34"/>
  <c r="B1109" i="34"/>
  <c r="A1110" i="34"/>
  <c r="B1110" i="34"/>
  <c r="A1111" i="34"/>
  <c r="B1111" i="34"/>
  <c r="A1112" i="34"/>
  <c r="B1112" i="34"/>
  <c r="A1113" i="34"/>
  <c r="B1113" i="34"/>
  <c r="A1114" i="34"/>
  <c r="B1114" i="34"/>
  <c r="A1115" i="34"/>
  <c r="B1115" i="34"/>
  <c r="A1116" i="34"/>
  <c r="B1116" i="34"/>
  <c r="F10" i="40"/>
  <c r="N10" i="40" s="1"/>
  <c r="F12" i="40"/>
  <c r="F13" i="40"/>
  <c r="F14" i="40"/>
  <c r="F15" i="40"/>
  <c r="F16" i="40"/>
  <c r="F17" i="40"/>
  <c r="F18" i="40"/>
  <c r="F19" i="40"/>
  <c r="F20" i="40"/>
  <c r="F21" i="40"/>
  <c r="F22" i="40"/>
  <c r="F23" i="40"/>
  <c r="F24" i="40"/>
  <c r="F25" i="40"/>
  <c r="F26" i="40"/>
  <c r="F27" i="40"/>
  <c r="F28" i="40"/>
  <c r="F29" i="40"/>
  <c r="F30" i="40"/>
  <c r="N30" i="40" s="1"/>
  <c r="F31" i="40"/>
  <c r="N31" i="40" s="1"/>
  <c r="F32" i="40"/>
  <c r="N32" i="40" s="1"/>
  <c r="F33" i="40"/>
  <c r="N33" i="40" s="1"/>
  <c r="F34" i="40"/>
  <c r="N34" i="40" s="1"/>
  <c r="F35" i="40"/>
  <c r="N35" i="40" s="1"/>
  <c r="F6" i="40"/>
  <c r="N6" i="40" s="1"/>
  <c r="F7" i="40"/>
  <c r="N7" i="40" s="1"/>
  <c r="F8" i="40"/>
  <c r="N8" i="40" s="1"/>
  <c r="F9" i="40"/>
  <c r="N9" i="40" s="1"/>
  <c r="F11" i="40"/>
  <c r="N11" i="40" s="1"/>
  <c r="F5" i="40"/>
  <c r="N5" i="40" s="1"/>
  <c r="F36" i="40"/>
  <c r="N13" i="40"/>
  <c r="N14" i="40"/>
  <c r="N15" i="40"/>
  <c r="N16" i="40"/>
  <c r="N18" i="40"/>
  <c r="N20" i="40"/>
  <c r="N21" i="40"/>
  <c r="N22" i="40"/>
  <c r="N24" i="40"/>
  <c r="N25" i="40"/>
  <c r="N26" i="40"/>
  <c r="N27" i="40"/>
  <c r="N28" i="40"/>
  <c r="A6" i="40"/>
  <c r="A7" i="40"/>
  <c r="A8" i="40"/>
  <c r="A9" i="40"/>
  <c r="A10" i="40"/>
  <c r="A11" i="40"/>
  <c r="A12" i="40"/>
  <c r="A13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5" i="40"/>
  <c r="G36" i="40"/>
  <c r="N19" i="40"/>
  <c r="A33" i="12"/>
  <c r="A34" i="12"/>
  <c r="A35" i="12"/>
  <c r="A36" i="12"/>
  <c r="D41" i="12"/>
  <c r="C41" i="12"/>
  <c r="K116" i="42" l="1"/>
  <c r="K117" i="42"/>
  <c r="K118" i="42"/>
  <c r="K119" i="42"/>
  <c r="K120" i="42"/>
  <c r="K121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24" i="42"/>
  <c r="M25" i="42"/>
  <c r="M26" i="42"/>
  <c r="M27" i="42"/>
  <c r="M28" i="42"/>
  <c r="M29" i="42"/>
  <c r="M30" i="42"/>
  <c r="M34" i="42"/>
  <c r="M35" i="42"/>
  <c r="M36" i="42"/>
  <c r="M37" i="42"/>
  <c r="M38" i="42"/>
  <c r="M39" i="42"/>
  <c r="M40" i="42"/>
  <c r="M41" i="42"/>
  <c r="M42" i="42"/>
  <c r="M43" i="42"/>
  <c r="M44" i="42"/>
  <c r="M45" i="42"/>
  <c r="M46" i="42"/>
  <c r="M47" i="42"/>
  <c r="M48" i="42"/>
  <c r="M49" i="42"/>
  <c r="M50" i="42"/>
  <c r="M51" i="42"/>
  <c r="M52" i="42"/>
  <c r="M53" i="42"/>
  <c r="M54" i="42"/>
  <c r="M55" i="42"/>
  <c r="M56" i="42"/>
  <c r="M57" i="42"/>
  <c r="M58" i="42"/>
  <c r="M59" i="42"/>
  <c r="M60" i="42"/>
  <c r="M61" i="42"/>
  <c r="M62" i="42"/>
  <c r="M63" i="42"/>
  <c r="M64" i="42"/>
  <c r="M65" i="42"/>
  <c r="M66" i="42"/>
  <c r="M67" i="42"/>
  <c r="M68" i="42"/>
  <c r="M69" i="42"/>
  <c r="M70" i="42"/>
  <c r="M71" i="42"/>
  <c r="M75" i="42"/>
  <c r="M76" i="42"/>
  <c r="M77" i="42"/>
  <c r="M78" i="42"/>
  <c r="M79" i="42"/>
  <c r="M80" i="42"/>
  <c r="M81" i="42"/>
  <c r="M82" i="42"/>
  <c r="M83" i="42"/>
  <c r="K122" i="42"/>
  <c r="K123" i="42"/>
  <c r="K124" i="42"/>
  <c r="K125" i="42"/>
  <c r="K126" i="42"/>
  <c r="K127" i="42"/>
  <c r="K128" i="42"/>
  <c r="K129" i="42"/>
  <c r="K130" i="42"/>
  <c r="K131" i="42"/>
  <c r="K132" i="42"/>
  <c r="K133" i="42"/>
  <c r="K134" i="42"/>
  <c r="K135" i="42"/>
  <c r="K136" i="42"/>
  <c r="K137" i="42"/>
  <c r="K138" i="42"/>
  <c r="K139" i="42"/>
  <c r="K140" i="42"/>
  <c r="K141" i="42"/>
  <c r="K142" i="42"/>
  <c r="K143" i="42"/>
  <c r="K144" i="42"/>
  <c r="K145" i="42"/>
  <c r="K146" i="42"/>
  <c r="K147" i="42"/>
  <c r="K148" i="42"/>
  <c r="K149" i="42"/>
  <c r="K150" i="42"/>
  <c r="K151" i="42"/>
  <c r="K154" i="42"/>
  <c r="K155" i="42"/>
  <c r="K156" i="42"/>
  <c r="K157" i="42"/>
  <c r="K158" i="42"/>
  <c r="K159" i="42"/>
  <c r="K160" i="42"/>
  <c r="K161" i="42"/>
  <c r="K162" i="42"/>
  <c r="K163" i="42"/>
  <c r="K164" i="42"/>
  <c r="K165" i="42"/>
  <c r="K166" i="42"/>
  <c r="K167" i="42"/>
  <c r="K168" i="42"/>
  <c r="K169" i="42"/>
  <c r="K170" i="42"/>
  <c r="K171" i="42"/>
  <c r="K172" i="42"/>
  <c r="K173" i="42"/>
  <c r="K174" i="42"/>
  <c r="K175" i="42"/>
  <c r="K176" i="42"/>
  <c r="K177" i="42"/>
  <c r="K178" i="42"/>
  <c r="K179" i="42"/>
  <c r="K182" i="42"/>
  <c r="K183" i="42"/>
  <c r="K184" i="42"/>
  <c r="K185" i="42"/>
  <c r="K186" i="42"/>
  <c r="K187" i="42"/>
  <c r="K188" i="42"/>
  <c r="K189" i="42"/>
  <c r="K190" i="42"/>
  <c r="K191" i="42"/>
  <c r="K192" i="42"/>
  <c r="K193" i="42"/>
  <c r="K194" i="42"/>
  <c r="K195" i="42"/>
  <c r="K196" i="42"/>
  <c r="K197" i="42"/>
  <c r="K198" i="42"/>
  <c r="K199" i="42"/>
  <c r="K203" i="42"/>
  <c r="K204" i="42"/>
  <c r="K205" i="42"/>
  <c r="K206" i="42"/>
  <c r="K207" i="42"/>
  <c r="K208" i="42"/>
  <c r="K209" i="42"/>
  <c r="K210" i="42"/>
  <c r="K211" i="42"/>
  <c r="K212" i="42"/>
  <c r="K221" i="42"/>
  <c r="K114" i="42"/>
  <c r="K152" i="42" s="1"/>
  <c r="F152" i="42"/>
  <c r="K5" i="42"/>
  <c r="K31" i="42" s="1"/>
  <c r="M5" i="42"/>
  <c r="K33" i="42"/>
  <c r="M33" i="42"/>
  <c r="K47" i="42"/>
  <c r="K48" i="42"/>
  <c r="K49" i="42"/>
  <c r="K50" i="42"/>
  <c r="K51" i="42"/>
  <c r="K52" i="42"/>
  <c r="K53" i="42"/>
  <c r="K54" i="42"/>
  <c r="K55" i="42"/>
  <c r="K56" i="42"/>
  <c r="K57" i="42"/>
  <c r="K58" i="42"/>
  <c r="K59" i="42"/>
  <c r="K60" i="42"/>
  <c r="K61" i="42"/>
  <c r="K62" i="42"/>
  <c r="K63" i="42"/>
  <c r="K64" i="42"/>
  <c r="K65" i="42"/>
  <c r="K66" i="42"/>
  <c r="K67" i="42"/>
  <c r="K68" i="42"/>
  <c r="K69" i="42"/>
  <c r="K70" i="42"/>
  <c r="K71" i="42"/>
  <c r="K74" i="42"/>
  <c r="M74" i="42"/>
  <c r="K75" i="42"/>
  <c r="K76" i="42"/>
  <c r="K77" i="42"/>
  <c r="K78" i="42"/>
  <c r="K79" i="42"/>
  <c r="K80" i="42"/>
  <c r="K81" i="42"/>
  <c r="K82" i="42"/>
  <c r="K83" i="42"/>
  <c r="M84" i="42"/>
  <c r="M85" i="42"/>
  <c r="M86" i="42"/>
  <c r="M87" i="42"/>
  <c r="M88" i="42"/>
  <c r="M89" i="42"/>
  <c r="M90" i="42"/>
  <c r="M91" i="42"/>
  <c r="M92" i="42"/>
  <c r="M93" i="42"/>
  <c r="M94" i="42"/>
  <c r="M95" i="42"/>
  <c r="M96" i="42"/>
  <c r="M97" i="42"/>
  <c r="M98" i="42"/>
  <c r="M99" i="42"/>
  <c r="M100" i="42"/>
  <c r="M101" i="42"/>
  <c r="M102" i="42"/>
  <c r="M103" i="42"/>
  <c r="M104" i="42"/>
  <c r="M105" i="42"/>
  <c r="M106" i="42"/>
  <c r="M107" i="42"/>
  <c r="M108" i="42"/>
  <c r="M109" i="42"/>
  <c r="M110" i="42"/>
  <c r="M111" i="42"/>
  <c r="M115" i="42"/>
  <c r="M116" i="42"/>
  <c r="M117" i="42"/>
  <c r="M118" i="42"/>
  <c r="F180" i="42"/>
  <c r="F200" i="42"/>
  <c r="K213" i="42"/>
  <c r="I214" i="42"/>
  <c r="I222" i="42" s="1"/>
  <c r="M114" i="42"/>
  <c r="M154" i="42"/>
  <c r="M180" i="42" s="1"/>
  <c r="M182" i="42"/>
  <c r="M200" i="42" s="1"/>
  <c r="K202" i="42"/>
  <c r="N36" i="40"/>
  <c r="H36" i="40"/>
  <c r="J36" i="40"/>
  <c r="K36" i="40"/>
  <c r="I17" i="41"/>
  <c r="G16" i="41"/>
  <c r="G15" i="41"/>
  <c r="G14" i="41"/>
  <c r="G13" i="41"/>
  <c r="G12" i="41"/>
  <c r="G11" i="41"/>
  <c r="H10" i="41"/>
  <c r="H17" i="41" s="1"/>
  <c r="J18" i="41" s="1"/>
  <c r="G10" i="41"/>
  <c r="F10" i="41"/>
  <c r="E10" i="41"/>
  <c r="E17" i="41" s="1"/>
  <c r="G9" i="41"/>
  <c r="G8" i="41"/>
  <c r="G7" i="41"/>
  <c r="G6" i="41"/>
  <c r="G5" i="41"/>
  <c r="F5" i="41"/>
  <c r="A1" i="41"/>
  <c r="E132" i="35"/>
  <c r="D41" i="15"/>
  <c r="C41" i="15"/>
  <c r="F17" i="41" l="1"/>
  <c r="J17" i="41" s="1"/>
  <c r="M31" i="42"/>
  <c r="K200" i="42"/>
  <c r="M152" i="42"/>
  <c r="K214" i="42"/>
  <c r="M72" i="42"/>
  <c r="F222" i="42"/>
  <c r="K180" i="42"/>
  <c r="M112" i="42"/>
  <c r="K72" i="42"/>
  <c r="K112" i="42"/>
  <c r="M222" i="42"/>
  <c r="E19" i="41"/>
  <c r="G17" i="41"/>
  <c r="G18" i="41" s="1"/>
  <c r="I18" i="41"/>
  <c r="G223" i="35"/>
  <c r="G227" i="35"/>
  <c r="A842" i="34"/>
  <c r="B842" i="34"/>
  <c r="A843" i="34"/>
  <c r="B843" i="34"/>
  <c r="A844" i="34"/>
  <c r="B844" i="34"/>
  <c r="A845" i="34"/>
  <c r="B845" i="34"/>
  <c r="A846" i="34"/>
  <c r="B846" i="34"/>
  <c r="A847" i="34"/>
  <c r="B847" i="34"/>
  <c r="A848" i="34"/>
  <c r="B848" i="34"/>
  <c r="A849" i="34"/>
  <c r="B849" i="34"/>
  <c r="A850" i="34"/>
  <c r="B850" i="34"/>
  <c r="A851" i="34"/>
  <c r="B851" i="34"/>
  <c r="A852" i="34"/>
  <c r="B852" i="34"/>
  <c r="A853" i="34"/>
  <c r="B853" i="34"/>
  <c r="A854" i="34"/>
  <c r="B854" i="34"/>
  <c r="A855" i="34"/>
  <c r="B855" i="34"/>
  <c r="A856" i="34"/>
  <c r="B856" i="34"/>
  <c r="A857" i="34"/>
  <c r="B857" i="34"/>
  <c r="A858" i="34"/>
  <c r="B858" i="34"/>
  <c r="A859" i="34"/>
  <c r="B859" i="34"/>
  <c r="A860" i="34"/>
  <c r="B860" i="34"/>
  <c r="A861" i="34"/>
  <c r="B861" i="34"/>
  <c r="A862" i="34"/>
  <c r="B862" i="34"/>
  <c r="A863" i="34"/>
  <c r="B863" i="34"/>
  <c r="A864" i="34"/>
  <c r="B864" i="34"/>
  <c r="A865" i="34"/>
  <c r="B865" i="34"/>
  <c r="A866" i="34"/>
  <c r="B866" i="34"/>
  <c r="A867" i="34"/>
  <c r="B867" i="34"/>
  <c r="A868" i="34"/>
  <c r="B868" i="34"/>
  <c r="A869" i="34"/>
  <c r="B869" i="34"/>
  <c r="A870" i="34"/>
  <c r="B870" i="34"/>
  <c r="A871" i="34"/>
  <c r="B871" i="34"/>
  <c r="A872" i="34"/>
  <c r="B872" i="34"/>
  <c r="A873" i="34"/>
  <c r="B873" i="34"/>
  <c r="A874" i="34"/>
  <c r="B874" i="34"/>
  <c r="A875" i="34"/>
  <c r="B875" i="34"/>
  <c r="A876" i="34"/>
  <c r="B876" i="34"/>
  <c r="A877" i="34"/>
  <c r="B877" i="34"/>
  <c r="A878" i="34"/>
  <c r="B878" i="34"/>
  <c r="A879" i="34"/>
  <c r="B879" i="34"/>
  <c r="A880" i="34"/>
  <c r="B880" i="34"/>
  <c r="A881" i="34"/>
  <c r="B881" i="34"/>
  <c r="A882" i="34"/>
  <c r="B882" i="34"/>
  <c r="A883" i="34"/>
  <c r="B883" i="34"/>
  <c r="A884" i="34"/>
  <c r="B884" i="34"/>
  <c r="A885" i="34"/>
  <c r="B885" i="34"/>
  <c r="A886" i="34"/>
  <c r="B886" i="34"/>
  <c r="A887" i="34"/>
  <c r="B887" i="34"/>
  <c r="A888" i="34"/>
  <c r="B888" i="34"/>
  <c r="A889" i="34"/>
  <c r="B889" i="34"/>
  <c r="A890" i="34"/>
  <c r="B890" i="34"/>
  <c r="A891" i="34"/>
  <c r="B891" i="34"/>
  <c r="A892" i="34"/>
  <c r="B892" i="34"/>
  <c r="A893" i="34"/>
  <c r="B893" i="34"/>
  <c r="A894" i="34"/>
  <c r="B894" i="34"/>
  <c r="A895" i="34"/>
  <c r="B895" i="34"/>
  <c r="A896" i="34"/>
  <c r="B896" i="34"/>
  <c r="A897" i="34"/>
  <c r="B897" i="34"/>
  <c r="A898" i="34"/>
  <c r="B898" i="34"/>
  <c r="A899" i="34"/>
  <c r="B899" i="34"/>
  <c r="A900" i="34"/>
  <c r="B900" i="34"/>
  <c r="A901" i="34"/>
  <c r="B901" i="34"/>
  <c r="A902" i="34"/>
  <c r="B902" i="34"/>
  <c r="A903" i="34"/>
  <c r="B903" i="34"/>
  <c r="A904" i="34"/>
  <c r="B904" i="34"/>
  <c r="A905" i="34"/>
  <c r="B905" i="34"/>
  <c r="A906" i="34"/>
  <c r="B906" i="34"/>
  <c r="A907" i="34"/>
  <c r="B907" i="34"/>
  <c r="A908" i="34"/>
  <c r="B908" i="34"/>
  <c r="A909" i="34"/>
  <c r="B909" i="34"/>
  <c r="A910" i="34"/>
  <c r="B910" i="34"/>
  <c r="A911" i="34"/>
  <c r="B911" i="34"/>
  <c r="A912" i="34"/>
  <c r="B912" i="34"/>
  <c r="A913" i="34"/>
  <c r="B913" i="34"/>
  <c r="A914" i="34"/>
  <c r="B914" i="34"/>
  <c r="A915" i="34"/>
  <c r="B915" i="34"/>
  <c r="A916" i="34"/>
  <c r="B916" i="34"/>
  <c r="A917" i="34"/>
  <c r="B917" i="34"/>
  <c r="A918" i="34"/>
  <c r="B918" i="34"/>
  <c r="A919" i="34"/>
  <c r="B919" i="34"/>
  <c r="A920" i="34"/>
  <c r="B920" i="34"/>
  <c r="A921" i="34"/>
  <c r="B921" i="34"/>
  <c r="A922" i="34"/>
  <c r="B922" i="34"/>
  <c r="A923" i="34"/>
  <c r="B923" i="34"/>
  <c r="A924" i="34"/>
  <c r="B924" i="34"/>
  <c r="A925" i="34"/>
  <c r="B925" i="34"/>
  <c r="A926" i="34"/>
  <c r="B926" i="34"/>
  <c r="A927" i="34"/>
  <c r="B927" i="34"/>
  <c r="A928" i="34"/>
  <c r="B928" i="34"/>
  <c r="A929" i="34"/>
  <c r="B929" i="34"/>
  <c r="A930" i="34"/>
  <c r="B930" i="34"/>
  <c r="A931" i="34"/>
  <c r="B931" i="34"/>
  <c r="A932" i="34"/>
  <c r="B932" i="34"/>
  <c r="A933" i="34"/>
  <c r="B933" i="34"/>
  <c r="A934" i="34"/>
  <c r="B934" i="34"/>
  <c r="A935" i="34"/>
  <c r="B935" i="34"/>
  <c r="A936" i="34"/>
  <c r="B936" i="34"/>
  <c r="A937" i="34"/>
  <c r="B937" i="34"/>
  <c r="A938" i="34"/>
  <c r="B938" i="34"/>
  <c r="A939" i="34"/>
  <c r="B939" i="34"/>
  <c r="A940" i="34"/>
  <c r="B940" i="34"/>
  <c r="A941" i="34"/>
  <c r="B941" i="34"/>
  <c r="A942" i="34"/>
  <c r="B942" i="34"/>
  <c r="A943" i="34"/>
  <c r="B943" i="34"/>
  <c r="A944" i="34"/>
  <c r="B944" i="34"/>
  <c r="A945" i="34"/>
  <c r="B945" i="34"/>
  <c r="A946" i="34"/>
  <c r="B946" i="34"/>
  <c r="A947" i="34"/>
  <c r="B947" i="34"/>
  <c r="A948" i="34"/>
  <c r="B948" i="34"/>
  <c r="A949" i="34"/>
  <c r="B949" i="34"/>
  <c r="A950" i="34"/>
  <c r="B950" i="34"/>
  <c r="A951" i="34"/>
  <c r="B951" i="34"/>
  <c r="A952" i="34"/>
  <c r="B952" i="34"/>
  <c r="A953" i="34"/>
  <c r="B953" i="34"/>
  <c r="A954" i="34"/>
  <c r="B954" i="34"/>
  <c r="A955" i="34"/>
  <c r="B955" i="34"/>
  <c r="A956" i="34"/>
  <c r="B956" i="34"/>
  <c r="A957" i="34"/>
  <c r="B957" i="34"/>
  <c r="A958" i="34"/>
  <c r="B958" i="34"/>
  <c r="A959" i="34"/>
  <c r="B959" i="34"/>
  <c r="A960" i="34"/>
  <c r="B960" i="34"/>
  <c r="A961" i="34"/>
  <c r="B961" i="34"/>
  <c r="A962" i="34"/>
  <c r="B962" i="34"/>
  <c r="A963" i="34"/>
  <c r="B963" i="34"/>
  <c r="A964" i="34"/>
  <c r="B964" i="34"/>
  <c r="A965" i="34"/>
  <c r="B965" i="34"/>
  <c r="A966" i="34"/>
  <c r="B966" i="34"/>
  <c r="A967" i="34"/>
  <c r="B967" i="34"/>
  <c r="A968" i="34"/>
  <c r="B968" i="34"/>
  <c r="A969" i="34"/>
  <c r="B969" i="34"/>
  <c r="A970" i="34"/>
  <c r="B970" i="34"/>
  <c r="A971" i="34"/>
  <c r="B971" i="34"/>
  <c r="A972" i="34"/>
  <c r="B972" i="34"/>
  <c r="A973" i="34"/>
  <c r="B973" i="34"/>
  <c r="A974" i="34"/>
  <c r="B974" i="34"/>
  <c r="A975" i="34"/>
  <c r="B975" i="34"/>
  <c r="A976" i="34"/>
  <c r="B976" i="34"/>
  <c r="A977" i="34"/>
  <c r="B977" i="34"/>
  <c r="A978" i="34"/>
  <c r="B978" i="34"/>
  <c r="A979" i="34"/>
  <c r="B979" i="34"/>
  <c r="A980" i="34"/>
  <c r="B980" i="34"/>
  <c r="A981" i="34"/>
  <c r="B981" i="34"/>
  <c r="A982" i="34"/>
  <c r="B982" i="34"/>
  <c r="A983" i="34"/>
  <c r="B983" i="34"/>
  <c r="A984" i="34"/>
  <c r="B984" i="34"/>
  <c r="A985" i="34"/>
  <c r="B985" i="34"/>
  <c r="A986" i="34"/>
  <c r="B986" i="34"/>
  <c r="A987" i="34"/>
  <c r="B987" i="34"/>
  <c r="A988" i="34"/>
  <c r="B988" i="34"/>
  <c r="A989" i="34"/>
  <c r="B989" i="34"/>
  <c r="A990" i="34"/>
  <c r="B990" i="34"/>
  <c r="A991" i="34"/>
  <c r="B991" i="34"/>
  <c r="A992" i="34"/>
  <c r="B992" i="34"/>
  <c r="A993" i="34"/>
  <c r="B993" i="34"/>
  <c r="A994" i="34"/>
  <c r="B994" i="34"/>
  <c r="A995" i="34"/>
  <c r="B995" i="34"/>
  <c r="A996" i="34"/>
  <c r="B996" i="34"/>
  <c r="A997" i="34"/>
  <c r="B997" i="34"/>
  <c r="A998" i="34"/>
  <c r="B998" i="34"/>
  <c r="A999" i="34"/>
  <c r="B999" i="34"/>
  <c r="A1000" i="34"/>
  <c r="B1000" i="34"/>
  <c r="A1001" i="34"/>
  <c r="B1001" i="34"/>
  <c r="A1002" i="34"/>
  <c r="B1002" i="34"/>
  <c r="A1003" i="34"/>
  <c r="B1003" i="34"/>
  <c r="A1004" i="34"/>
  <c r="B1004" i="34"/>
  <c r="A1005" i="34"/>
  <c r="B1005" i="34"/>
  <c r="A1006" i="34"/>
  <c r="B1006" i="34"/>
  <c r="A1007" i="34"/>
  <c r="B1007" i="34"/>
  <c r="A1008" i="34"/>
  <c r="B1008" i="34"/>
  <c r="A1009" i="34"/>
  <c r="B1009" i="34"/>
  <c r="A1010" i="34"/>
  <c r="B1010" i="34"/>
  <c r="A1011" i="34"/>
  <c r="B1011" i="34"/>
  <c r="A1012" i="34"/>
  <c r="B1012" i="34"/>
  <c r="A1013" i="34"/>
  <c r="B1013" i="34"/>
  <c r="A1014" i="34"/>
  <c r="B1014" i="34"/>
  <c r="A1015" i="34"/>
  <c r="B1015" i="34"/>
  <c r="A1016" i="34"/>
  <c r="B1016" i="34"/>
  <c r="A1017" i="34"/>
  <c r="B1017" i="34"/>
  <c r="A1018" i="34"/>
  <c r="B1018" i="34"/>
  <c r="A1019" i="34"/>
  <c r="B1019" i="34"/>
  <c r="A1020" i="34"/>
  <c r="B1020" i="34"/>
  <c r="A1021" i="34"/>
  <c r="B1021" i="34"/>
  <c r="A1022" i="34"/>
  <c r="B1022" i="34"/>
  <c r="A1023" i="34"/>
  <c r="B1023" i="34"/>
  <c r="A1024" i="34"/>
  <c r="B1024" i="34"/>
  <c r="A1025" i="34"/>
  <c r="B1025" i="34"/>
  <c r="A1026" i="34"/>
  <c r="B1026" i="34"/>
  <c r="A1027" i="34"/>
  <c r="B1027" i="34"/>
  <c r="A1028" i="34"/>
  <c r="B1028" i="34"/>
  <c r="A1029" i="34"/>
  <c r="B1029" i="34"/>
  <c r="A1030" i="34"/>
  <c r="B1030" i="34"/>
  <c r="A1031" i="34"/>
  <c r="B1031" i="34"/>
  <c r="A1032" i="34"/>
  <c r="B1032" i="34"/>
  <c r="A1033" i="34"/>
  <c r="B1033" i="34"/>
  <c r="A1034" i="34"/>
  <c r="B1034" i="34"/>
  <c r="I20" i="41" l="1"/>
  <c r="K222" i="42"/>
  <c r="E20" i="41"/>
  <c r="I19" i="41"/>
  <c r="E17" i="40"/>
  <c r="N17" i="40" s="1"/>
  <c r="N29" i="40"/>
  <c r="E23" i="40"/>
  <c r="N23" i="40" s="1"/>
  <c r="E12" i="40"/>
  <c r="E36" i="35"/>
  <c r="E39" i="40" l="1"/>
  <c r="N12" i="40"/>
  <c r="G100" i="35"/>
  <c r="G101" i="35"/>
  <c r="G102" i="35"/>
  <c r="G104" i="35"/>
  <c r="G105" i="35"/>
  <c r="G106" i="35"/>
  <c r="G108" i="35"/>
  <c r="G109" i="35"/>
  <c r="G110" i="35"/>
  <c r="G112" i="35"/>
  <c r="G114" i="35"/>
  <c r="G115" i="35"/>
  <c r="G116" i="35"/>
  <c r="G117" i="35"/>
  <c r="G118" i="35"/>
  <c r="G119" i="35"/>
  <c r="G120" i="35"/>
  <c r="G121" i="35"/>
  <c r="G122" i="35"/>
  <c r="G123" i="35"/>
  <c r="G124" i="35"/>
  <c r="G113" i="35"/>
  <c r="G75" i="35"/>
  <c r="G76" i="35"/>
  <c r="G77" i="35"/>
  <c r="G74" i="35"/>
  <c r="G128" i="35"/>
  <c r="G129" i="35"/>
  <c r="G130" i="35"/>
  <c r="G131" i="35"/>
  <c r="G132" i="35"/>
  <c r="G133" i="35"/>
  <c r="G134" i="35"/>
  <c r="G135" i="35"/>
  <c r="G136" i="35"/>
  <c r="G137" i="35"/>
  <c r="G139" i="35"/>
  <c r="G127" i="35"/>
  <c r="G143" i="35"/>
  <c r="G144" i="35"/>
  <c r="G145" i="35"/>
  <c r="G146" i="35"/>
  <c r="G147" i="35"/>
  <c r="G148" i="35"/>
  <c r="G149" i="35"/>
  <c r="G150" i="35"/>
  <c r="G142" i="35"/>
  <c r="G185" i="35"/>
  <c r="G186" i="35"/>
  <c r="G187" i="35"/>
  <c r="G188" i="35"/>
  <c r="G189" i="35"/>
  <c r="G190" i="35"/>
  <c r="G184" i="35"/>
  <c r="G198" i="35"/>
  <c r="G199" i="35"/>
  <c r="G200" i="35"/>
  <c r="G201" i="35"/>
  <c r="G202" i="35"/>
  <c r="G206" i="35"/>
  <c r="G197" i="35"/>
  <c r="G210" i="35"/>
  <c r="G211" i="35"/>
  <c r="G212" i="35"/>
  <c r="G213" i="35"/>
  <c r="G214" i="35"/>
  <c r="G215" i="35"/>
  <c r="G216" i="35"/>
  <c r="G209" i="35"/>
  <c r="G220" i="35"/>
  <c r="G221" i="35"/>
  <c r="G222" i="35"/>
  <c r="G219" i="35"/>
  <c r="G158" i="35"/>
  <c r="G159" i="35"/>
  <c r="G160" i="35"/>
  <c r="G161" i="35"/>
  <c r="G162" i="35"/>
  <c r="G163" i="35"/>
  <c r="G164" i="35"/>
  <c r="G165" i="35"/>
  <c r="G166" i="35"/>
  <c r="G167" i="35"/>
  <c r="G168" i="35"/>
  <c r="G157" i="35"/>
  <c r="L11" i="34"/>
  <c r="L12" i="34"/>
  <c r="L13" i="34"/>
  <c r="L14" i="34"/>
  <c r="L15" i="34"/>
  <c r="L16" i="34"/>
  <c r="L10" i="34"/>
  <c r="B631" i="34"/>
  <c r="A631" i="34"/>
  <c r="A32" i="12"/>
  <c r="A793" i="34"/>
  <c r="B793" i="34"/>
  <c r="A816" i="34" l="1"/>
  <c r="B816" i="34"/>
  <c r="A817" i="34"/>
  <c r="B817" i="34"/>
  <c r="F96" i="35"/>
  <c r="F59" i="35"/>
  <c r="F24" i="35"/>
  <c r="F21" i="35"/>
  <c r="F6" i="35"/>
  <c r="G87" i="35"/>
  <c r="H85" i="35" l="1"/>
  <c r="E85" i="35"/>
  <c r="A781" i="34"/>
  <c r="B781" i="34"/>
  <c r="A782" i="34"/>
  <c r="B782" i="34"/>
  <c r="A807" i="34" l="1"/>
  <c r="B807" i="34"/>
  <c r="A795" i="34" l="1"/>
  <c r="B795" i="34"/>
  <c r="E91" i="35"/>
  <c r="A792" i="34"/>
  <c r="B792" i="34"/>
  <c r="E142" i="35"/>
  <c r="A771" i="34"/>
  <c r="B771" i="34"/>
  <c r="A772" i="34"/>
  <c r="B772" i="34"/>
  <c r="A784" i="34"/>
  <c r="B784" i="34"/>
  <c r="F125" i="35"/>
  <c r="F30" i="35"/>
  <c r="I30" i="35" s="1"/>
  <c r="H30" i="35" l="1"/>
  <c r="H31" i="35" s="1"/>
  <c r="G30" i="35"/>
  <c r="G31" i="35" s="1"/>
  <c r="I31" i="35"/>
  <c r="F31" i="35"/>
  <c r="E31" i="35"/>
  <c r="L243" i="35"/>
  <c r="A769" i="34"/>
  <c r="B769" i="34"/>
  <c r="A770" i="34"/>
  <c r="B770" i="34"/>
  <c r="A750" i="34"/>
  <c r="B750" i="34"/>
  <c r="A773" i="34"/>
  <c r="B773" i="34"/>
  <c r="A774" i="34"/>
  <c r="B774" i="34"/>
  <c r="G232" i="35"/>
  <c r="H232" i="35" s="1"/>
  <c r="I232" i="35" s="1"/>
  <c r="G233" i="35"/>
  <c r="H233" i="35" s="1"/>
  <c r="I233" i="35" s="1"/>
  <c r="G234" i="35"/>
  <c r="H234" i="35" s="1"/>
  <c r="I234" i="35" s="1"/>
  <c r="I98" i="35"/>
  <c r="H98" i="35"/>
  <c r="G98" i="35"/>
  <c r="F98" i="35"/>
  <c r="E98" i="35"/>
  <c r="I72" i="35"/>
  <c r="H72" i="35"/>
  <c r="G72" i="35"/>
  <c r="F72" i="35"/>
  <c r="E72" i="35"/>
  <c r="A15" i="12"/>
  <c r="A20" i="12"/>
  <c r="A739" i="34"/>
  <c r="B739" i="34"/>
  <c r="A740" i="34"/>
  <c r="B740" i="34"/>
  <c r="A744" i="34"/>
  <c r="B744" i="34"/>
  <c r="A745" i="34"/>
  <c r="B745" i="34"/>
  <c r="A726" i="34"/>
  <c r="B726" i="34"/>
  <c r="A729" i="34"/>
  <c r="B729" i="34"/>
  <c r="G32" i="35" l="1"/>
  <c r="I32" i="35"/>
  <c r="I99" i="35"/>
  <c r="G99" i="35"/>
  <c r="G73" i="35"/>
  <c r="I73" i="35"/>
  <c r="H64" i="35"/>
  <c r="F228" i="35"/>
  <c r="F169" i="35"/>
  <c r="F94" i="35"/>
  <c r="F217" i="35"/>
  <c r="F207" i="35"/>
  <c r="F85" i="35"/>
  <c r="F89" i="35" s="1"/>
  <c r="F83" i="35"/>
  <c r="F195" i="35"/>
  <c r="F182" i="35"/>
  <c r="F176" i="35"/>
  <c r="F155" i="35"/>
  <c r="F151" i="35"/>
  <c r="F132" i="35"/>
  <c r="F127" i="35"/>
  <c r="F78" i="35"/>
  <c r="F64" i="35"/>
  <c r="F60" i="35"/>
  <c r="F57" i="35"/>
  <c r="F52" i="35"/>
  <c r="F36" i="35"/>
  <c r="F43" i="35" s="1"/>
  <c r="F34" i="35"/>
  <c r="F28" i="35"/>
  <c r="F25" i="35"/>
  <c r="F22" i="35"/>
  <c r="F19" i="35"/>
  <c r="F68" i="35"/>
  <c r="F16" i="35"/>
  <c r="G169" i="35"/>
  <c r="H169" i="35"/>
  <c r="I169" i="35"/>
  <c r="K26" i="40" s="1"/>
  <c r="L26" i="40" s="1"/>
  <c r="G64" i="35"/>
  <c r="I64" i="35"/>
  <c r="E64" i="35"/>
  <c r="G65" i="35" l="1"/>
  <c r="F140" i="35"/>
  <c r="I65" i="35"/>
  <c r="C230" i="35"/>
  <c r="A1" i="35"/>
  <c r="C231" i="35"/>
  <c r="J231" i="35"/>
  <c r="J230" i="35"/>
  <c r="J232" i="35"/>
  <c r="J233" i="35"/>
  <c r="J234" i="35"/>
  <c r="I60" i="35" l="1"/>
  <c r="H60" i="35"/>
  <c r="G60" i="35"/>
  <c r="E60" i="35"/>
  <c r="B633" i="34"/>
  <c r="A14" i="12"/>
  <c r="A31" i="12"/>
  <c r="I228" i="35"/>
  <c r="K32" i="40" s="1"/>
  <c r="H228" i="35"/>
  <c r="G228" i="35"/>
  <c r="E228" i="35"/>
  <c r="I170" i="35"/>
  <c r="E169" i="35"/>
  <c r="G170" i="35" s="1"/>
  <c r="I57" i="35"/>
  <c r="H57" i="35"/>
  <c r="G57" i="35"/>
  <c r="E57" i="35"/>
  <c r="I94" i="35"/>
  <c r="H94" i="35"/>
  <c r="G94" i="35"/>
  <c r="E94" i="35"/>
  <c r="I217" i="35"/>
  <c r="K31" i="40" s="1"/>
  <c r="L31" i="40" s="1"/>
  <c r="H217" i="35"/>
  <c r="G217" i="35"/>
  <c r="E217" i="35"/>
  <c r="I207" i="35"/>
  <c r="G207" i="35"/>
  <c r="E207" i="35"/>
  <c r="I89" i="35"/>
  <c r="G89" i="35"/>
  <c r="H89" i="35"/>
  <c r="I90" i="35" s="1"/>
  <c r="E89" i="35"/>
  <c r="I83" i="35"/>
  <c r="H83" i="35"/>
  <c r="G83" i="35"/>
  <c r="E83" i="35"/>
  <c r="I195" i="35"/>
  <c r="K29" i="40" s="1"/>
  <c r="L29" i="40" s="1"/>
  <c r="G195" i="35"/>
  <c r="E195" i="35"/>
  <c r="H184" i="35"/>
  <c r="H195" i="35" s="1"/>
  <c r="I182" i="35"/>
  <c r="K28" i="40" s="1"/>
  <c r="L28" i="40" s="1"/>
  <c r="H182" i="35"/>
  <c r="G182" i="35"/>
  <c r="E182" i="35"/>
  <c r="I176" i="35"/>
  <c r="H176" i="35"/>
  <c r="G176" i="35"/>
  <c r="E176" i="35"/>
  <c r="I155" i="35"/>
  <c r="K25" i="40" s="1"/>
  <c r="L25" i="40" s="1"/>
  <c r="H155" i="35"/>
  <c r="G155" i="35"/>
  <c r="E155" i="35"/>
  <c r="I151" i="35"/>
  <c r="K24" i="40" s="1"/>
  <c r="L24" i="40" s="1"/>
  <c r="H151" i="35"/>
  <c r="G151" i="35"/>
  <c r="E151" i="35"/>
  <c r="I140" i="35"/>
  <c r="G140" i="35"/>
  <c r="H132" i="35"/>
  <c r="H140" i="35" s="1"/>
  <c r="I78" i="35"/>
  <c r="H78" i="35"/>
  <c r="G78" i="35"/>
  <c r="E78" i="35"/>
  <c r="I125" i="35"/>
  <c r="K22" i="40" s="1"/>
  <c r="L22" i="40" s="1"/>
  <c r="H125" i="35"/>
  <c r="G125" i="35"/>
  <c r="E125" i="35"/>
  <c r="I52" i="35"/>
  <c r="H52" i="35"/>
  <c r="G52" i="35"/>
  <c r="E52" i="35"/>
  <c r="I43" i="35"/>
  <c r="G43" i="35"/>
  <c r="H36" i="35"/>
  <c r="H43" i="35" s="1"/>
  <c r="I44" i="35" s="1"/>
  <c r="E43" i="35"/>
  <c r="G44" i="35" s="1"/>
  <c r="I34" i="35"/>
  <c r="H34" i="35"/>
  <c r="G34" i="35"/>
  <c r="E34" i="35"/>
  <c r="I28" i="35"/>
  <c r="H28" i="35"/>
  <c r="G28" i="35"/>
  <c r="E28" i="35"/>
  <c r="I25" i="35"/>
  <c r="H25" i="35"/>
  <c r="G25" i="35"/>
  <c r="E25" i="35"/>
  <c r="I22" i="35"/>
  <c r="H22" i="35"/>
  <c r="G22" i="35"/>
  <c r="E22" i="35"/>
  <c r="I19" i="35"/>
  <c r="H19" i="35"/>
  <c r="G19" i="35"/>
  <c r="E19" i="35"/>
  <c r="I68" i="35"/>
  <c r="H68" i="35"/>
  <c r="G68" i="35"/>
  <c r="E68" i="35"/>
  <c r="I16" i="35"/>
  <c r="H16" i="35"/>
  <c r="G16" i="35"/>
  <c r="E16" i="35"/>
  <c r="G90" i="35" l="1"/>
  <c r="K141" i="35"/>
  <c r="H141" i="35" s="1"/>
  <c r="I141" i="35" s="1"/>
  <c r="K23" i="40"/>
  <c r="L23" i="40" s="1"/>
  <c r="K30" i="40"/>
  <c r="I208" i="35"/>
  <c r="G208" i="35"/>
  <c r="I218" i="35"/>
  <c r="I95" i="35"/>
  <c r="G58" i="35"/>
  <c r="I58" i="35"/>
  <c r="I229" i="35"/>
  <c r="A633" i="34"/>
  <c r="G95" i="35"/>
  <c r="G196" i="35"/>
  <c r="I84" i="35"/>
  <c r="G218" i="35"/>
  <c r="G229" i="35"/>
  <c r="G61" i="35"/>
  <c r="I61" i="35"/>
  <c r="I17" i="35"/>
  <c r="I69" i="35"/>
  <c r="I20" i="35"/>
  <c r="I23" i="35"/>
  <c r="I26" i="35"/>
  <c r="I29" i="35"/>
  <c r="I35" i="35"/>
  <c r="I53" i="35"/>
  <c r="I126" i="35"/>
  <c r="I79" i="35"/>
  <c r="E140" i="35"/>
  <c r="G141" i="35" s="1"/>
  <c r="G69" i="35"/>
  <c r="G20" i="35"/>
  <c r="G23" i="35"/>
  <c r="G26" i="35"/>
  <c r="G29" i="35"/>
  <c r="G35" i="35"/>
  <c r="G53" i="35"/>
  <c r="G126" i="35"/>
  <c r="G79" i="35"/>
  <c r="G152" i="35"/>
  <c r="I152" i="35"/>
  <c r="G156" i="35"/>
  <c r="I156" i="35"/>
  <c r="G177" i="35"/>
  <c r="I177" i="35"/>
  <c r="G183" i="35"/>
  <c r="I183" i="35"/>
  <c r="I196" i="35"/>
  <c r="G84" i="35"/>
  <c r="G17" i="35"/>
  <c r="L30" i="40" l="1"/>
  <c r="K242" i="35"/>
  <c r="K243" i="35"/>
  <c r="A674" i="34"/>
  <c r="B674" i="34"/>
  <c r="A673" i="34"/>
  <c r="B673" i="34"/>
  <c r="B623" i="34"/>
  <c r="B624" i="34"/>
  <c r="B607" i="34"/>
  <c r="B606" i="34"/>
  <c r="A599" i="34"/>
  <c r="B599" i="34"/>
  <c r="A600" i="34"/>
  <c r="B600" i="34"/>
  <c r="A598" i="34"/>
  <c r="B598" i="34"/>
  <c r="A629" i="34"/>
  <c r="B629" i="34"/>
  <c r="A630" i="34"/>
  <c r="B630" i="34"/>
  <c r="I11" i="34"/>
  <c r="I15" i="34"/>
  <c r="I14" i="34"/>
  <c r="I13" i="34"/>
  <c r="I12" i="34"/>
  <c r="F37" i="12" l="1" a="1"/>
  <c r="F37" i="12" s="1"/>
  <c r="F38" i="12" a="1"/>
  <c r="F38" i="12" s="1"/>
  <c r="F39" i="12" a="1"/>
  <c r="F39" i="12" s="1"/>
  <c r="E37" i="12" a="1"/>
  <c r="E37" i="12" s="1"/>
  <c r="E38" i="12" a="1"/>
  <c r="E38" i="12" s="1"/>
  <c r="E39" i="12" a="1"/>
  <c r="E39" i="12" s="1"/>
  <c r="G10" i="40" a="1"/>
  <c r="G10" i="40" s="1"/>
  <c r="H10" i="40" a="1"/>
  <c r="H10" i="40" s="1"/>
  <c r="F37" i="40" a="1"/>
  <c r="F37" i="40" s="1"/>
  <c r="F39" i="40" s="1"/>
  <c r="E35" i="15" a="1"/>
  <c r="E35" i="15" s="1"/>
  <c r="G37" i="40" a="1"/>
  <c r="G37" i="40" s="1"/>
  <c r="H17" i="40" a="1"/>
  <c r="H17" i="40" s="1"/>
  <c r="H11" i="40" a="1"/>
  <c r="H11" i="40" s="1"/>
  <c r="H13" i="40" a="1"/>
  <c r="H13" i="40" s="1"/>
  <c r="H22" i="40" a="1"/>
  <c r="H22" i="40" s="1"/>
  <c r="H24" i="40" a="1"/>
  <c r="H24" i="40" s="1"/>
  <c r="H26" i="40" a="1"/>
  <c r="H26" i="40" s="1"/>
  <c r="H28" i="40" a="1"/>
  <c r="H28" i="40" s="1"/>
  <c r="H19" i="40" a="1"/>
  <c r="H19" i="40" s="1"/>
  <c r="H31" i="40" a="1"/>
  <c r="H31" i="40" s="1"/>
  <c r="H8" i="40" a="1"/>
  <c r="H8" i="40" s="1"/>
  <c r="H32" i="40" a="1"/>
  <c r="H32" i="40" s="1"/>
  <c r="H21" i="40" a="1"/>
  <c r="H21" i="40" s="1"/>
  <c r="H9" i="40" a="1"/>
  <c r="H9" i="40" s="1"/>
  <c r="H16" i="40" a="1"/>
  <c r="H16" i="40" s="1"/>
  <c r="H34" i="40" a="1"/>
  <c r="H34" i="40" s="1"/>
  <c r="H6" i="40" a="1"/>
  <c r="H6" i="40" s="1"/>
  <c r="G17" i="40" a="1"/>
  <c r="G17" i="40" s="1"/>
  <c r="G11" i="40" a="1"/>
  <c r="G11" i="40" s="1"/>
  <c r="G13" i="40" a="1"/>
  <c r="G13" i="40" s="1"/>
  <c r="G22" i="40" a="1"/>
  <c r="G22" i="40" s="1"/>
  <c r="I22" i="40" s="1"/>
  <c r="G24" i="40" a="1"/>
  <c r="G24" i="40" s="1"/>
  <c r="I24" i="40" s="1"/>
  <c r="G26" i="40" a="1"/>
  <c r="G26" i="40" s="1"/>
  <c r="I26" i="40" s="1"/>
  <c r="G28" i="40" a="1"/>
  <c r="G28" i="40" s="1"/>
  <c r="I28" i="40" s="1"/>
  <c r="G19" i="40" a="1"/>
  <c r="G19" i="40" s="1"/>
  <c r="J19" i="40" s="1"/>
  <c r="G31" i="40" a="1"/>
  <c r="G31" i="40" s="1"/>
  <c r="I31" i="40" s="1"/>
  <c r="G8" i="40" a="1"/>
  <c r="G8" i="40" s="1"/>
  <c r="G32" i="40" a="1"/>
  <c r="G32" i="40" s="1"/>
  <c r="G21" i="40" a="1"/>
  <c r="G21" i="40" s="1"/>
  <c r="G9" i="40" a="1"/>
  <c r="G9" i="40" s="1"/>
  <c r="G16" i="40" a="1"/>
  <c r="G16" i="40" s="1"/>
  <c r="G34" i="40" a="1"/>
  <c r="G34" i="40" s="1"/>
  <c r="G6" i="40" a="1"/>
  <c r="G6" i="40" s="1"/>
  <c r="F35" i="12" a="1"/>
  <c r="F35" i="12" s="1"/>
  <c r="F36" i="12" a="1"/>
  <c r="F36" i="12" s="1"/>
  <c r="H7" i="40" a="1"/>
  <c r="H7" i="40" s="1"/>
  <c r="H12" i="40" a="1"/>
  <c r="H12" i="40" s="1"/>
  <c r="H18" i="40" a="1"/>
  <c r="H18" i="40" s="1"/>
  <c r="H23" i="40" a="1"/>
  <c r="H23" i="40" s="1"/>
  <c r="H25" i="40" a="1"/>
  <c r="H25" i="40" s="1"/>
  <c r="H27" i="40" a="1"/>
  <c r="H27" i="40" s="1"/>
  <c r="H29" i="40" a="1"/>
  <c r="H29" i="40" s="1"/>
  <c r="H30" i="40" a="1"/>
  <c r="H30" i="40" s="1"/>
  <c r="H20" i="40" a="1"/>
  <c r="H20" i="40" s="1"/>
  <c r="H15" i="40" a="1"/>
  <c r="H15" i="40" s="1"/>
  <c r="H14" i="40" a="1"/>
  <c r="H14" i="40" s="1"/>
  <c r="H5" i="40" a="1"/>
  <c r="H5" i="40" s="1"/>
  <c r="H33" i="40" a="1"/>
  <c r="H33" i="40" s="1"/>
  <c r="H35" i="40" a="1"/>
  <c r="H35" i="40" s="1"/>
  <c r="E4" i="12" a="1"/>
  <c r="E4" i="12" s="1"/>
  <c r="G7" i="40" a="1"/>
  <c r="G7" i="40" s="1"/>
  <c r="G12" i="40" a="1"/>
  <c r="G12" i="40" s="1"/>
  <c r="G18" i="40" a="1"/>
  <c r="G18" i="40" s="1"/>
  <c r="J18" i="40" s="1"/>
  <c r="G23" i="40" a="1"/>
  <c r="G23" i="40" s="1"/>
  <c r="I23" i="40" s="1"/>
  <c r="G25" i="40" a="1"/>
  <c r="G25" i="40" s="1"/>
  <c r="G27" i="40" a="1"/>
  <c r="G27" i="40" s="1"/>
  <c r="I27" i="40" s="1"/>
  <c r="G29" i="40" a="1"/>
  <c r="G29" i="40" s="1"/>
  <c r="G30" i="40" a="1"/>
  <c r="G30" i="40" s="1"/>
  <c r="I30" i="40" s="1"/>
  <c r="G20" i="40" a="1"/>
  <c r="G20" i="40" s="1"/>
  <c r="G15" i="40" a="1"/>
  <c r="G15" i="40" s="1"/>
  <c r="G14" i="40" a="1"/>
  <c r="G14" i="40" s="1"/>
  <c r="G5" i="40" a="1"/>
  <c r="G5" i="40" s="1"/>
  <c r="G33" i="40" a="1"/>
  <c r="G33" i="40" s="1"/>
  <c r="G35" i="40" a="1"/>
  <c r="G35" i="40" s="1"/>
  <c r="F4" i="12" a="1"/>
  <c r="F4" i="12" s="1"/>
  <c r="E35" i="12" a="1"/>
  <c r="E35" i="12" s="1"/>
  <c r="G35" i="12" s="1"/>
  <c r="E36" i="12" a="1"/>
  <c r="E36" i="12" s="1"/>
  <c r="G36" i="12" s="1"/>
  <c r="E18" i="15" a="1"/>
  <c r="E18" i="15" s="1"/>
  <c r="F40" i="40" s="1"/>
  <c r="F18" i="15" a="1"/>
  <c r="F18" i="15" s="1"/>
  <c r="F34" i="12" a="1"/>
  <c r="F34" i="12" s="1"/>
  <c r="E34" i="12" a="1"/>
  <c r="E34" i="12" s="1"/>
  <c r="E33" i="12" a="1"/>
  <c r="E33" i="12" s="1"/>
  <c r="F33" i="12" a="1"/>
  <c r="F33" i="12" s="1"/>
  <c r="E32" i="12" a="1"/>
  <c r="E32" i="12" s="1"/>
  <c r="F32" i="12" a="1"/>
  <c r="F32" i="12" s="1"/>
  <c r="E231" i="35" a="1"/>
  <c r="E231" i="35" s="1"/>
  <c r="E15" i="12" a="1"/>
  <c r="E15" i="12" s="1"/>
  <c r="E20" i="12" a="1"/>
  <c r="E20" i="12" s="1"/>
  <c r="F15" i="12" a="1"/>
  <c r="F15" i="12" s="1"/>
  <c r="F20" i="12" a="1"/>
  <c r="F20" i="12" s="1"/>
  <c r="E230" i="35" a="1"/>
  <c r="E230" i="35" s="1"/>
  <c r="F230" i="35" a="1"/>
  <c r="F230" i="35" s="1"/>
  <c r="G230" i="35" s="1"/>
  <c r="H230" i="35" s="1"/>
  <c r="I230" i="35" s="1"/>
  <c r="F231" i="35" a="1"/>
  <c r="F231" i="35" s="1"/>
  <c r="G231" i="35" s="1"/>
  <c r="H231" i="35" s="1"/>
  <c r="I231" i="35" s="1"/>
  <c r="F31" i="12" a="1"/>
  <c r="F31" i="12" s="1"/>
  <c r="E31" i="12" a="1"/>
  <c r="E31" i="12" s="1"/>
  <c r="F14" i="12" a="1"/>
  <c r="F14" i="12" s="1"/>
  <c r="E14" i="12" a="1"/>
  <c r="E14" i="12" s="1"/>
  <c r="B15" i="34"/>
  <c r="A15" i="34"/>
  <c r="E16" i="34"/>
  <c r="E20" i="34"/>
  <c r="B20" i="34"/>
  <c r="A20" i="34"/>
  <c r="E19" i="34"/>
  <c r="B19" i="34"/>
  <c r="A19" i="34"/>
  <c r="E18" i="34"/>
  <c r="B18" i="34"/>
  <c r="A18" i="34"/>
  <c r="E17" i="34"/>
  <c r="B17" i="34"/>
  <c r="A17" i="34"/>
  <c r="B16" i="34"/>
  <c r="A16" i="34"/>
  <c r="A601" i="34"/>
  <c r="B601" i="34"/>
  <c r="A602" i="34"/>
  <c r="B602" i="34"/>
  <c r="A597" i="34"/>
  <c r="B597" i="34"/>
  <c r="A606" i="34"/>
  <c r="A607" i="34"/>
  <c r="A604" i="34"/>
  <c r="B604" i="34"/>
  <c r="A605" i="34"/>
  <c r="B605" i="34"/>
  <c r="A622" i="34"/>
  <c r="B622" i="34"/>
  <c r="A623" i="34"/>
  <c r="A624" i="34"/>
  <c r="A625" i="34"/>
  <c r="B625" i="34"/>
  <c r="A626" i="34"/>
  <c r="B626" i="34"/>
  <c r="A627" i="34"/>
  <c r="B627" i="34"/>
  <c r="A628" i="34"/>
  <c r="B628" i="34"/>
  <c r="A653" i="34"/>
  <c r="B653" i="34"/>
  <c r="A656" i="34"/>
  <c r="B656" i="34"/>
  <c r="A657" i="34"/>
  <c r="B657" i="34"/>
  <c r="A654" i="34"/>
  <c r="B654" i="34"/>
  <c r="A655" i="34"/>
  <c r="B655" i="34"/>
  <c r="A669" i="34"/>
  <c r="B669" i="34"/>
  <c r="A670" i="34"/>
  <c r="B670" i="34"/>
  <c r="A671" i="34"/>
  <c r="B671" i="34"/>
  <c r="A672" i="34"/>
  <c r="B672" i="34"/>
  <c r="A675" i="34"/>
  <c r="B675" i="34"/>
  <c r="A676" i="34"/>
  <c r="B676" i="34"/>
  <c r="A677" i="34"/>
  <c r="B677" i="34"/>
  <c r="A681" i="34"/>
  <c r="B681" i="34"/>
  <c r="A678" i="34"/>
  <c r="B678" i="34"/>
  <c r="A680" i="34"/>
  <c r="B680" i="34"/>
  <c r="A679" i="34"/>
  <c r="B679" i="34"/>
  <c r="A682" i="34"/>
  <c r="B682" i="34"/>
  <c r="A687" i="34"/>
  <c r="B687" i="34"/>
  <c r="A688" i="34"/>
  <c r="B688" i="34"/>
  <c r="A689" i="34"/>
  <c r="B689" i="34"/>
  <c r="A690" i="34"/>
  <c r="B690" i="34"/>
  <c r="A691" i="34"/>
  <c r="B691" i="34"/>
  <c r="A694" i="34"/>
  <c r="B694" i="34"/>
  <c r="A695" i="34"/>
  <c r="B695" i="34"/>
  <c r="A692" i="34"/>
  <c r="B692" i="34"/>
  <c r="A693" i="34"/>
  <c r="B693" i="34"/>
  <c r="A697" i="34"/>
  <c r="B697" i="34"/>
  <c r="A698" i="34"/>
  <c r="B698" i="34"/>
  <c r="A696" i="34"/>
  <c r="B696" i="34"/>
  <c r="A699" i="34"/>
  <c r="B699" i="34"/>
  <c r="A700" i="34"/>
  <c r="B700" i="34"/>
  <c r="A702" i="34"/>
  <c r="B702" i="34"/>
  <c r="A701" i="34"/>
  <c r="B701" i="34"/>
  <c r="A704" i="34"/>
  <c r="B704" i="34"/>
  <c r="A703" i="34"/>
  <c r="B703" i="34"/>
  <c r="A705" i="34"/>
  <c r="B705" i="34"/>
  <c r="A706" i="34"/>
  <c r="B706" i="34"/>
  <c r="A632" i="34"/>
  <c r="B632" i="34"/>
  <c r="A634" i="34"/>
  <c r="B634" i="34"/>
  <c r="A635" i="34"/>
  <c r="B635" i="34"/>
  <c r="A636" i="34"/>
  <c r="B636" i="34"/>
  <c r="A640" i="34"/>
  <c r="B640" i="34"/>
  <c r="A637" i="34"/>
  <c r="B637" i="34"/>
  <c r="A638" i="34"/>
  <c r="B638" i="34"/>
  <c r="A639" i="34"/>
  <c r="B639" i="34"/>
  <c r="A641" i="34"/>
  <c r="B641" i="34"/>
  <c r="A642" i="34"/>
  <c r="B642" i="34"/>
  <c r="A643" i="34"/>
  <c r="B643" i="34"/>
  <c r="A644" i="34"/>
  <c r="B644" i="34"/>
  <c r="A645" i="34"/>
  <c r="B645" i="34"/>
  <c r="A646" i="34"/>
  <c r="B646" i="34"/>
  <c r="A647" i="34"/>
  <c r="B647" i="34"/>
  <c r="A648" i="34"/>
  <c r="B648" i="34"/>
  <c r="A649" i="34"/>
  <c r="B649" i="34"/>
  <c r="A650" i="34"/>
  <c r="B650" i="34"/>
  <c r="A651" i="34"/>
  <c r="B651" i="34"/>
  <c r="A652" i="34"/>
  <c r="B652" i="34"/>
  <c r="A668" i="34"/>
  <c r="B668" i="34"/>
  <c r="A658" i="34"/>
  <c r="B658" i="34"/>
  <c r="A659" i="34"/>
  <c r="B659" i="34"/>
  <c r="A660" i="34"/>
  <c r="B660" i="34"/>
  <c r="A663" i="34"/>
  <c r="B663" i="34"/>
  <c r="A664" i="34"/>
  <c r="B664" i="34"/>
  <c r="A665" i="34"/>
  <c r="B665" i="34"/>
  <c r="A666" i="34"/>
  <c r="B666" i="34"/>
  <c r="A667" i="34"/>
  <c r="B667" i="34"/>
  <c r="A661" i="34"/>
  <c r="B661" i="34"/>
  <c r="A662" i="34"/>
  <c r="B662" i="34"/>
  <c r="A684" i="34"/>
  <c r="B684" i="34"/>
  <c r="A685" i="34"/>
  <c r="B685" i="34"/>
  <c r="A686" i="34"/>
  <c r="B686" i="34"/>
  <c r="A683" i="34"/>
  <c r="B683" i="34"/>
  <c r="A707" i="34"/>
  <c r="B707" i="34"/>
  <c r="A708" i="34"/>
  <c r="B708" i="34"/>
  <c r="A709" i="34"/>
  <c r="B709" i="34"/>
  <c r="A710" i="34"/>
  <c r="B710" i="34"/>
  <c r="A711" i="34"/>
  <c r="B711" i="34"/>
  <c r="A712" i="34"/>
  <c r="B712" i="34"/>
  <c r="A713" i="34"/>
  <c r="B713" i="34"/>
  <c r="A714" i="34"/>
  <c r="B714" i="34"/>
  <c r="A715" i="34"/>
  <c r="B715" i="34"/>
  <c r="A716" i="34"/>
  <c r="B716" i="34"/>
  <c r="A717" i="34"/>
  <c r="B717" i="34"/>
  <c r="A723" i="34"/>
  <c r="B723" i="34"/>
  <c r="A721" i="34"/>
  <c r="B721" i="34"/>
  <c r="A722" i="34"/>
  <c r="B722" i="34"/>
  <c r="A720" i="34"/>
  <c r="B720" i="34"/>
  <c r="A724" i="34"/>
  <c r="B724" i="34"/>
  <c r="A725" i="34"/>
  <c r="B725" i="34"/>
  <c r="A719" i="34"/>
  <c r="B719" i="34"/>
  <c r="A718" i="34"/>
  <c r="B718" i="34"/>
  <c r="A728" i="34"/>
  <c r="B728" i="34"/>
  <c r="A727" i="34"/>
  <c r="B727" i="34"/>
  <c r="A730" i="34"/>
  <c r="B730" i="34"/>
  <c r="A731" i="34"/>
  <c r="B731" i="34"/>
  <c r="A732" i="34"/>
  <c r="B732" i="34"/>
  <c r="A733" i="34"/>
  <c r="B733" i="34"/>
  <c r="A734" i="34"/>
  <c r="B734" i="34"/>
  <c r="A735" i="34"/>
  <c r="B735" i="34"/>
  <c r="A742" i="34"/>
  <c r="B742" i="34"/>
  <c r="A743" i="34"/>
  <c r="B743" i="34"/>
  <c r="A751" i="34"/>
  <c r="B751" i="34"/>
  <c r="A752" i="34"/>
  <c r="B752" i="34"/>
  <c r="A753" i="34"/>
  <c r="B753" i="34"/>
  <c r="A736" i="34"/>
  <c r="B736" i="34"/>
  <c r="A737" i="34"/>
  <c r="B737" i="34"/>
  <c r="A738" i="34"/>
  <c r="B738" i="34"/>
  <c r="A746" i="34"/>
  <c r="B746" i="34"/>
  <c r="A747" i="34"/>
  <c r="B747" i="34"/>
  <c r="A748" i="34"/>
  <c r="B748" i="34"/>
  <c r="A749" i="34"/>
  <c r="B749" i="34"/>
  <c r="A754" i="34"/>
  <c r="B754" i="34"/>
  <c r="A755" i="34"/>
  <c r="B755" i="34"/>
  <c r="A756" i="34"/>
  <c r="B756" i="34"/>
  <c r="A760" i="34"/>
  <c r="B760" i="34"/>
  <c r="A761" i="34"/>
  <c r="B761" i="34"/>
  <c r="A762" i="34"/>
  <c r="B762" i="34"/>
  <c r="A763" i="34"/>
  <c r="B763" i="34"/>
  <c r="A757" i="34"/>
  <c r="B757" i="34"/>
  <c r="A758" i="34"/>
  <c r="B758" i="34"/>
  <c r="A759" i="34"/>
  <c r="B759" i="34"/>
  <c r="A764" i="34"/>
  <c r="B764" i="34"/>
  <c r="A765" i="34"/>
  <c r="B765" i="34"/>
  <c r="A766" i="34"/>
  <c r="B766" i="34"/>
  <c r="A767" i="34"/>
  <c r="B767" i="34"/>
  <c r="A768" i="34"/>
  <c r="B768" i="34"/>
  <c r="A778" i="34"/>
  <c r="B778" i="34"/>
  <c r="A776" i="34"/>
  <c r="B776" i="34"/>
  <c r="A777" i="34"/>
  <c r="B777" i="34"/>
  <c r="A775" i="34"/>
  <c r="B775" i="34"/>
  <c r="A779" i="34"/>
  <c r="B779" i="34"/>
  <c r="A780" i="34"/>
  <c r="B780" i="34"/>
  <c r="A783" i="34"/>
  <c r="B783" i="34"/>
  <c r="A785" i="34"/>
  <c r="B785" i="34"/>
  <c r="A786" i="34"/>
  <c r="B786" i="34"/>
  <c r="A787" i="34"/>
  <c r="B787" i="34"/>
  <c r="A788" i="34"/>
  <c r="B788" i="34"/>
  <c r="A789" i="34"/>
  <c r="B789" i="34"/>
  <c r="A790" i="34"/>
  <c r="B790" i="34"/>
  <c r="A791" i="34"/>
  <c r="B791" i="34"/>
  <c r="A794" i="34"/>
  <c r="B794" i="34"/>
  <c r="A806" i="34"/>
  <c r="B806" i="34"/>
  <c r="A810" i="34"/>
  <c r="B810" i="34"/>
  <c r="A811" i="34"/>
  <c r="B811" i="34"/>
  <c r="A812" i="34"/>
  <c r="B812" i="34"/>
  <c r="A813" i="34"/>
  <c r="B813" i="34"/>
  <c r="A814" i="34"/>
  <c r="B814" i="34"/>
  <c r="A815" i="34"/>
  <c r="B815" i="34"/>
  <c r="A808" i="34"/>
  <c r="B808" i="34"/>
  <c r="A809" i="34"/>
  <c r="B809" i="34"/>
  <c r="A796" i="34"/>
  <c r="B796" i="34"/>
  <c r="A797" i="34"/>
  <c r="B797" i="34"/>
  <c r="A798" i="34"/>
  <c r="B798" i="34"/>
  <c r="A799" i="34"/>
  <c r="B799" i="34"/>
  <c r="A800" i="34"/>
  <c r="B800" i="34"/>
  <c r="A801" i="34"/>
  <c r="B801" i="34"/>
  <c r="A802" i="34"/>
  <c r="B802" i="34"/>
  <c r="A803" i="34"/>
  <c r="B803" i="34"/>
  <c r="A804" i="34"/>
  <c r="B804" i="34"/>
  <c r="A805" i="34"/>
  <c r="B805" i="34"/>
  <c r="A818" i="34"/>
  <c r="B818" i="34"/>
  <c r="A819" i="34"/>
  <c r="B819" i="34"/>
  <c r="A820" i="34"/>
  <c r="B820" i="34"/>
  <c r="A821" i="34"/>
  <c r="B821" i="34"/>
  <c r="A822" i="34"/>
  <c r="B822" i="34"/>
  <c r="A823" i="34"/>
  <c r="B823" i="34"/>
  <c r="A824" i="34"/>
  <c r="B824" i="34"/>
  <c r="A825" i="34"/>
  <c r="B825" i="34"/>
  <c r="A826" i="34"/>
  <c r="B826" i="34"/>
  <c r="A827" i="34"/>
  <c r="B827" i="34"/>
  <c r="A828" i="34"/>
  <c r="B828" i="34"/>
  <c r="A829" i="34"/>
  <c r="B829" i="34"/>
  <c r="A830" i="34"/>
  <c r="B830" i="34"/>
  <c r="A831" i="34"/>
  <c r="B831" i="34"/>
  <c r="A832" i="34"/>
  <c r="B832" i="34"/>
  <c r="A833" i="34"/>
  <c r="B833" i="34"/>
  <c r="A834" i="34"/>
  <c r="B834" i="34"/>
  <c r="A835" i="34"/>
  <c r="B835" i="34"/>
  <c r="A836" i="34"/>
  <c r="B836" i="34"/>
  <c r="A837" i="34"/>
  <c r="B837" i="34"/>
  <c r="A838" i="34"/>
  <c r="B838" i="34"/>
  <c r="A839" i="34"/>
  <c r="B839" i="34"/>
  <c r="A840" i="34"/>
  <c r="B840" i="34"/>
  <c r="A841" i="34"/>
  <c r="B841" i="34"/>
  <c r="A1035" i="34"/>
  <c r="B1035" i="34"/>
  <c r="A1036" i="34"/>
  <c r="B1036" i="34"/>
  <c r="A1037" i="34"/>
  <c r="B1037" i="34"/>
  <c r="A1038" i="34"/>
  <c r="B1038" i="34"/>
  <c r="A1039" i="34"/>
  <c r="B1039" i="34"/>
  <c r="A1040" i="34"/>
  <c r="B1040" i="34"/>
  <c r="A1041" i="34"/>
  <c r="B1041" i="34"/>
  <c r="A1042" i="34"/>
  <c r="B1042" i="34"/>
  <c r="A1043" i="34"/>
  <c r="B1043" i="34"/>
  <c r="A1044" i="34"/>
  <c r="B1044" i="34"/>
  <c r="A1045" i="34"/>
  <c r="B1045" i="34"/>
  <c r="A587" i="34"/>
  <c r="A588" i="34"/>
  <c r="A591" i="34"/>
  <c r="A592" i="34"/>
  <c r="A593" i="34"/>
  <c r="A594" i="34"/>
  <c r="A595" i="34"/>
  <c r="A596" i="34"/>
  <c r="A603" i="34"/>
  <c r="A616" i="34"/>
  <c r="A608" i="34"/>
  <c r="A609" i="34"/>
  <c r="A610" i="34"/>
  <c r="A611" i="34"/>
  <c r="A612" i="34"/>
  <c r="A613" i="34"/>
  <c r="A620" i="34"/>
  <c r="A617" i="34"/>
  <c r="A618" i="34"/>
  <c r="A619" i="34"/>
  <c r="A621" i="34"/>
  <c r="A13" i="12"/>
  <c r="A12" i="12"/>
  <c r="A30" i="12"/>
  <c r="B588" i="34"/>
  <c r="B591" i="34"/>
  <c r="B592" i="34"/>
  <c r="B593" i="34"/>
  <c r="B594" i="34"/>
  <c r="B595" i="34"/>
  <c r="B596" i="34"/>
  <c r="B603" i="34"/>
  <c r="B616" i="34"/>
  <c r="B608" i="34"/>
  <c r="B609" i="34"/>
  <c r="B610" i="34"/>
  <c r="B611" i="34"/>
  <c r="B612" i="34"/>
  <c r="B613" i="34"/>
  <c r="B620" i="34"/>
  <c r="B617" i="34"/>
  <c r="B618" i="34"/>
  <c r="B619" i="34"/>
  <c r="B621" i="34"/>
  <c r="A29" i="12"/>
  <c r="A11" i="12"/>
  <c r="A579" i="34"/>
  <c r="B579" i="34"/>
  <c r="A614" i="34"/>
  <c r="B614" i="34"/>
  <c r="A615" i="34"/>
  <c r="B615" i="34"/>
  <c r="A589" i="34"/>
  <c r="B589" i="34"/>
  <c r="A590" i="34"/>
  <c r="B590" i="34"/>
  <c r="A530" i="34"/>
  <c r="B530" i="34"/>
  <c r="A539" i="34"/>
  <c r="B539" i="34"/>
  <c r="A543" i="34"/>
  <c r="B543" i="34"/>
  <c r="A497" i="34"/>
  <c r="B497" i="34"/>
  <c r="A542" i="34"/>
  <c r="B542" i="34"/>
  <c r="A540" i="34"/>
  <c r="B540" i="34"/>
  <c r="A541" i="34"/>
  <c r="B541" i="34"/>
  <c r="A483" i="34"/>
  <c r="B483" i="34"/>
  <c r="A482" i="34"/>
  <c r="B482" i="34"/>
  <c r="B525" i="34"/>
  <c r="A525" i="34"/>
  <c r="B524" i="34"/>
  <c r="A524" i="34"/>
  <c r="B523" i="34"/>
  <c r="A523" i="34"/>
  <c r="A11" i="34"/>
  <c r="A28" i="12"/>
  <c r="G38" i="12" l="1"/>
  <c r="I25" i="40"/>
  <c r="I29" i="40"/>
  <c r="G39" i="12"/>
  <c r="G37" i="12"/>
  <c r="H39" i="12"/>
  <c r="H37" i="12"/>
  <c r="H38" i="12"/>
  <c r="I5" i="40"/>
  <c r="J35" i="40"/>
  <c r="I35" i="40"/>
  <c r="J15" i="40"/>
  <c r="I15" i="40"/>
  <c r="J33" i="40"/>
  <c r="I33" i="40"/>
  <c r="J14" i="40"/>
  <c r="I14" i="40"/>
  <c r="J20" i="40"/>
  <c r="I20" i="40"/>
  <c r="I18" i="40"/>
  <c r="J7" i="40"/>
  <c r="I7" i="40"/>
  <c r="J6" i="40"/>
  <c r="I6" i="40"/>
  <c r="J16" i="40"/>
  <c r="I16" i="40"/>
  <c r="J21" i="40"/>
  <c r="I21" i="40"/>
  <c r="J8" i="40"/>
  <c r="I8" i="40"/>
  <c r="I19" i="40"/>
  <c r="J11" i="40"/>
  <c r="I11" i="40"/>
  <c r="J10" i="40"/>
  <c r="I10" i="40"/>
  <c r="J12" i="40"/>
  <c r="I12" i="40"/>
  <c r="J34" i="40"/>
  <c r="I34" i="40"/>
  <c r="J9" i="40"/>
  <c r="I9" i="40"/>
  <c r="L32" i="40"/>
  <c r="I32" i="40"/>
  <c r="J13" i="40"/>
  <c r="I13" i="40"/>
  <c r="J17" i="40"/>
  <c r="I17" i="40"/>
  <c r="K35" i="40"/>
  <c r="K5" i="40"/>
  <c r="K15" i="40"/>
  <c r="K12" i="40"/>
  <c r="K6" i="40"/>
  <c r="K16" i="40"/>
  <c r="K21" i="40"/>
  <c r="K8" i="40"/>
  <c r="K19" i="40"/>
  <c r="K11" i="40"/>
  <c r="J5" i="40"/>
  <c r="G39" i="40"/>
  <c r="K33" i="40"/>
  <c r="K14" i="40"/>
  <c r="K20" i="40"/>
  <c r="K18" i="40"/>
  <c r="K7" i="40"/>
  <c r="K34" i="40"/>
  <c r="K9" i="40"/>
  <c r="K13" i="40"/>
  <c r="K17" i="40"/>
  <c r="K10" i="40"/>
  <c r="N37" i="40"/>
  <c r="N39" i="40" s="1"/>
  <c r="F41" i="40"/>
  <c r="J37" i="40"/>
  <c r="H37" i="40"/>
  <c r="K37" i="40"/>
  <c r="H35" i="12"/>
  <c r="H36" i="12"/>
  <c r="G18" i="15"/>
  <c r="E19" i="15"/>
  <c r="H18" i="15"/>
  <c r="F19" i="15"/>
  <c r="G34" i="12"/>
  <c r="H34" i="12"/>
  <c r="G33" i="12"/>
  <c r="H33" i="12"/>
  <c r="G32" i="12"/>
  <c r="H32" i="12"/>
  <c r="B14" i="14"/>
  <c r="C14" i="14"/>
  <c r="A14" i="14" s="1"/>
  <c r="E14" i="14"/>
  <c r="H14" i="14"/>
  <c r="C15" i="14"/>
  <c r="A15" i="14" s="1"/>
  <c r="E15" i="14"/>
  <c r="H15" i="14"/>
  <c r="C16" i="14"/>
  <c r="A16" i="14" s="1"/>
  <c r="E16" i="14"/>
  <c r="H16" i="14"/>
  <c r="C17" i="14"/>
  <c r="A17" i="14" s="1"/>
  <c r="E17" i="14"/>
  <c r="H17" i="14"/>
  <c r="C18" i="14"/>
  <c r="A18" i="14" s="1"/>
  <c r="E18" i="14"/>
  <c r="H18" i="14"/>
  <c r="C19" i="14"/>
  <c r="A19" i="14" s="1"/>
  <c r="E19" i="14"/>
  <c r="H19" i="14"/>
  <c r="C20" i="14"/>
  <c r="A20" i="14" s="1"/>
  <c r="E20" i="14"/>
  <c r="H20" i="14"/>
  <c r="D14" i="14"/>
  <c r="G14" i="14"/>
  <c r="B15" i="14"/>
  <c r="D15" i="14"/>
  <c r="G15" i="14"/>
  <c r="B16" i="14"/>
  <c r="D16" i="14"/>
  <c r="G16" i="14"/>
  <c r="B17" i="14"/>
  <c r="D17" i="14"/>
  <c r="G17" i="14"/>
  <c r="B18" i="14"/>
  <c r="D18" i="14"/>
  <c r="G18" i="14"/>
  <c r="B19" i="14"/>
  <c r="D19" i="14"/>
  <c r="G19" i="14"/>
  <c r="B20" i="14"/>
  <c r="D20" i="14"/>
  <c r="G20" i="14"/>
  <c r="H20" i="12"/>
  <c r="H15" i="12"/>
  <c r="C44" i="14"/>
  <c r="A44" i="14" s="1"/>
  <c r="E44" i="14"/>
  <c r="H44" i="14"/>
  <c r="C45" i="14"/>
  <c r="A45" i="14" s="1"/>
  <c r="E45" i="14"/>
  <c r="H45" i="14"/>
  <c r="C46" i="14"/>
  <c r="A46" i="14" s="1"/>
  <c r="E46" i="14"/>
  <c r="H46" i="14"/>
  <c r="C47" i="14"/>
  <c r="A47" i="14" s="1"/>
  <c r="E47" i="14"/>
  <c r="H47" i="14"/>
  <c r="B48" i="14"/>
  <c r="D48" i="14"/>
  <c r="G48" i="14"/>
  <c r="B49" i="14"/>
  <c r="D49" i="14"/>
  <c r="G49" i="14"/>
  <c r="C50" i="14"/>
  <c r="A50" i="14" s="1"/>
  <c r="E50" i="14"/>
  <c r="H50" i="14"/>
  <c r="B44" i="14"/>
  <c r="D44" i="14"/>
  <c r="G44" i="14"/>
  <c r="B45" i="14"/>
  <c r="D45" i="14"/>
  <c r="G45" i="14"/>
  <c r="B46" i="14"/>
  <c r="D46" i="14"/>
  <c r="G46" i="14"/>
  <c r="B47" i="14"/>
  <c r="D47" i="14"/>
  <c r="G47" i="14"/>
  <c r="C48" i="14"/>
  <c r="A48" i="14" s="1"/>
  <c r="E48" i="14"/>
  <c r="H48" i="14"/>
  <c r="C49" i="14"/>
  <c r="A49" i="14" s="1"/>
  <c r="E49" i="14"/>
  <c r="H49" i="14"/>
  <c r="B50" i="14"/>
  <c r="D50" i="14"/>
  <c r="G50" i="14"/>
  <c r="C40" i="14"/>
  <c r="A40" i="14" s="1"/>
  <c r="E40" i="14"/>
  <c r="H40" i="14"/>
  <c r="C41" i="14"/>
  <c r="A41" i="14" s="1"/>
  <c r="E41" i="14"/>
  <c r="H41" i="14"/>
  <c r="C42" i="14"/>
  <c r="A42" i="14" s="1"/>
  <c r="E42" i="14"/>
  <c r="H42" i="14"/>
  <c r="C43" i="14"/>
  <c r="A43" i="14" s="1"/>
  <c r="E43" i="14"/>
  <c r="H43" i="14"/>
  <c r="B40" i="14"/>
  <c r="D40" i="14"/>
  <c r="G40" i="14"/>
  <c r="B41" i="14"/>
  <c r="D41" i="14"/>
  <c r="G41" i="14"/>
  <c r="B42" i="14"/>
  <c r="D42" i="14"/>
  <c r="G42" i="14"/>
  <c r="B43" i="14"/>
  <c r="D43" i="14"/>
  <c r="G43" i="14"/>
  <c r="G15" i="12"/>
  <c r="G20" i="12"/>
  <c r="F235" i="35"/>
  <c r="F237" i="35" s="1"/>
  <c r="H235" i="35"/>
  <c r="G235" i="35"/>
  <c r="G237" i="35" s="1"/>
  <c r="E235" i="35"/>
  <c r="G31" i="12"/>
  <c r="H31" i="12"/>
  <c r="G14" i="12"/>
  <c r="H14" i="12"/>
  <c r="B33" i="14"/>
  <c r="H39" i="14"/>
  <c r="E39" i="14"/>
  <c r="C39" i="14"/>
  <c r="A39" i="14" s="1"/>
  <c r="H38" i="14"/>
  <c r="E38" i="14"/>
  <c r="C38" i="14"/>
  <c r="A38" i="14" s="1"/>
  <c r="G37" i="14"/>
  <c r="D37" i="14"/>
  <c r="B37" i="14"/>
  <c r="H36" i="14"/>
  <c r="E36" i="14"/>
  <c r="C36" i="14"/>
  <c r="A36" i="14" s="1"/>
  <c r="H35" i="14"/>
  <c r="E35" i="14"/>
  <c r="C35" i="14"/>
  <c r="A35" i="14" s="1"/>
  <c r="H34" i="14"/>
  <c r="E34" i="14"/>
  <c r="C34" i="14"/>
  <c r="A34" i="14" s="1"/>
  <c r="H33" i="14"/>
  <c r="E33" i="14"/>
  <c r="C33" i="14"/>
  <c r="A33" i="14" s="1"/>
  <c r="G39" i="14"/>
  <c r="D39" i="14"/>
  <c r="B39" i="14"/>
  <c r="G38" i="14"/>
  <c r="D38" i="14"/>
  <c r="B38" i="14"/>
  <c r="H37" i="14"/>
  <c r="E37" i="14"/>
  <c r="C37" i="14"/>
  <c r="A37" i="14" s="1"/>
  <c r="G36" i="14"/>
  <c r="D36" i="14"/>
  <c r="B36" i="14"/>
  <c r="G35" i="14"/>
  <c r="D35" i="14"/>
  <c r="B35" i="14"/>
  <c r="G34" i="14"/>
  <c r="D34" i="14"/>
  <c r="B34" i="14"/>
  <c r="G33" i="14"/>
  <c r="D33" i="14"/>
  <c r="H19" i="15" l="1"/>
  <c r="I39" i="40"/>
  <c r="K39" i="40"/>
  <c r="J39" i="40"/>
  <c r="L5" i="40"/>
  <c r="L17" i="40"/>
  <c r="L13" i="40"/>
  <c r="L9" i="40"/>
  <c r="L34" i="40"/>
  <c r="L12" i="40"/>
  <c r="L10" i="40"/>
  <c r="L11" i="40"/>
  <c r="L19" i="40"/>
  <c r="L8" i="40"/>
  <c r="L21" i="40"/>
  <c r="L16" i="40"/>
  <c r="L6" i="40"/>
  <c r="L7" i="40"/>
  <c r="L18" i="40"/>
  <c r="L20" i="40"/>
  <c r="L14" i="40"/>
  <c r="L33" i="40"/>
  <c r="L15" i="40"/>
  <c r="L35" i="40"/>
  <c r="H39" i="40"/>
  <c r="G19" i="15"/>
  <c r="J14" i="14"/>
  <c r="I14" i="14"/>
  <c r="H237" i="35"/>
  <c r="I235" i="35"/>
  <c r="I237" i="35" s="1"/>
  <c r="K241" i="35"/>
  <c r="E237" i="35"/>
  <c r="L39" i="40" l="1"/>
  <c r="I15" i="14"/>
  <c r="J15" i="14"/>
  <c r="I236" i="35"/>
  <c r="B12" i="34"/>
  <c r="B10" i="34"/>
  <c r="B13" i="34"/>
  <c r="B14" i="34"/>
  <c r="B21" i="34"/>
  <c r="B22" i="34"/>
  <c r="B24" i="34"/>
  <c r="B23" i="34"/>
  <c r="B25" i="34"/>
  <c r="B26" i="34"/>
  <c r="B27" i="34"/>
  <c r="B28" i="34"/>
  <c r="B29" i="34"/>
  <c r="B30" i="34"/>
  <c r="B33" i="34"/>
  <c r="B35" i="34"/>
  <c r="B32" i="34"/>
  <c r="B34" i="34"/>
  <c r="B37" i="34"/>
  <c r="B36" i="34"/>
  <c r="B38" i="34"/>
  <c r="B40" i="34"/>
  <c r="B39" i="34"/>
  <c r="B43" i="34"/>
  <c r="B45" i="34"/>
  <c r="B41" i="34"/>
  <c r="B42" i="34"/>
  <c r="B44" i="34"/>
  <c r="B46" i="34"/>
  <c r="B47" i="34"/>
  <c r="B50" i="34"/>
  <c r="B49" i="34"/>
  <c r="B51" i="34"/>
  <c r="B52" i="34"/>
  <c r="B53" i="34"/>
  <c r="B54" i="34"/>
  <c r="B57" i="34"/>
  <c r="B56" i="34"/>
  <c r="B58" i="34"/>
  <c r="B59" i="34"/>
  <c r="B60" i="34"/>
  <c r="B61" i="34"/>
  <c r="B64" i="34"/>
  <c r="B68" i="34"/>
  <c r="B63" i="34"/>
  <c r="B67" i="34"/>
  <c r="B69" i="34"/>
  <c r="B70" i="34"/>
  <c r="B73" i="34"/>
  <c r="B72" i="34"/>
  <c r="B74" i="34"/>
  <c r="B75" i="34"/>
  <c r="B76" i="34"/>
  <c r="B77" i="34"/>
  <c r="B78" i="34"/>
  <c r="B79" i="34"/>
  <c r="B82" i="34"/>
  <c r="B81" i="34"/>
  <c r="B83" i="34"/>
  <c r="B86" i="34"/>
  <c r="B88" i="34"/>
  <c r="B85" i="34"/>
  <c r="B87" i="34"/>
  <c r="B89" i="34"/>
  <c r="B90" i="34"/>
  <c r="B91" i="34"/>
  <c r="B94" i="34"/>
  <c r="B96" i="34"/>
  <c r="B93" i="34"/>
  <c r="B95" i="34"/>
  <c r="B97" i="34"/>
  <c r="B98" i="34"/>
  <c r="B99" i="34"/>
  <c r="B100" i="34"/>
  <c r="B102" i="34"/>
  <c r="B104" i="34"/>
  <c r="B106" i="34"/>
  <c r="B105" i="34"/>
  <c r="B103" i="34"/>
  <c r="B101" i="34"/>
  <c r="B108" i="34"/>
  <c r="B110" i="34"/>
  <c r="B107" i="34"/>
  <c r="B109" i="34"/>
  <c r="B111" i="34"/>
  <c r="B112" i="34"/>
  <c r="B113" i="34"/>
  <c r="B114" i="34"/>
  <c r="B117" i="34"/>
  <c r="B116" i="34"/>
  <c r="B120" i="34"/>
  <c r="B122" i="34"/>
  <c r="B124" i="34"/>
  <c r="B119" i="34"/>
  <c r="B121" i="34"/>
  <c r="B123" i="34"/>
  <c r="B125" i="34"/>
  <c r="B126" i="34"/>
  <c r="B127" i="34"/>
  <c r="B128" i="34"/>
  <c r="B129" i="34"/>
  <c r="B132" i="34"/>
  <c r="B130" i="34"/>
  <c r="B131" i="34"/>
  <c r="B133" i="34"/>
  <c r="B134" i="34"/>
  <c r="B137" i="34"/>
  <c r="B135" i="34"/>
  <c r="B136" i="34"/>
  <c r="B139" i="34"/>
  <c r="B141" i="34"/>
  <c r="B143" i="34"/>
  <c r="B142" i="34"/>
  <c r="B140" i="34"/>
  <c r="B138" i="34"/>
  <c r="B144" i="34"/>
  <c r="B146" i="34"/>
  <c r="B148" i="34"/>
  <c r="B150" i="34"/>
  <c r="B149" i="34"/>
  <c r="B147" i="34"/>
  <c r="B145" i="34"/>
  <c r="B151" i="34"/>
  <c r="B154" i="34"/>
  <c r="B153" i="34"/>
  <c r="B156" i="34"/>
  <c r="B158" i="34"/>
  <c r="B160" i="34"/>
  <c r="B159" i="34"/>
  <c r="B157" i="34"/>
  <c r="B155" i="34"/>
  <c r="B161" i="34"/>
  <c r="B162" i="34"/>
  <c r="B165" i="34"/>
  <c r="B164" i="34"/>
  <c r="B167" i="34"/>
  <c r="B169" i="34"/>
  <c r="B171" i="34"/>
  <c r="B170" i="34"/>
  <c r="B168" i="34"/>
  <c r="B166" i="34"/>
  <c r="B172" i="34"/>
  <c r="B173" i="34"/>
  <c r="B176" i="34"/>
  <c r="B174" i="34"/>
  <c r="B175" i="34"/>
  <c r="B177" i="34"/>
  <c r="B180" i="34"/>
  <c r="B178" i="34"/>
  <c r="B179" i="34"/>
  <c r="B182" i="34"/>
  <c r="B184" i="34"/>
  <c r="B186" i="34"/>
  <c r="B185" i="34"/>
  <c r="B183" i="34"/>
  <c r="B181" i="34"/>
  <c r="B188" i="34"/>
  <c r="B190" i="34"/>
  <c r="B192" i="34"/>
  <c r="B191" i="34"/>
  <c r="B189" i="34"/>
  <c r="B187" i="34"/>
  <c r="B194" i="34"/>
  <c r="B193" i="34"/>
  <c r="B196" i="34"/>
  <c r="B198" i="34"/>
  <c r="B200" i="34"/>
  <c r="B199" i="34"/>
  <c r="B197" i="34"/>
  <c r="B195" i="34"/>
  <c r="B202" i="34"/>
  <c r="B204" i="34"/>
  <c r="B206" i="34"/>
  <c r="B205" i="34"/>
  <c r="B203" i="34"/>
  <c r="B201" i="34"/>
  <c r="B207" i="34"/>
  <c r="B208" i="34"/>
  <c r="B211" i="34"/>
  <c r="B214" i="34"/>
  <c r="B210" i="34"/>
  <c r="B213" i="34"/>
  <c r="B215" i="34"/>
  <c r="B216" i="34"/>
  <c r="B218" i="34"/>
  <c r="B217" i="34"/>
  <c r="B221" i="34"/>
  <c r="B223" i="34"/>
  <c r="B222" i="34"/>
  <c r="B226" i="34"/>
  <c r="B224" i="34"/>
  <c r="B225" i="34"/>
  <c r="B227" i="34"/>
  <c r="B230" i="34"/>
  <c r="B233" i="34"/>
  <c r="B229" i="34"/>
  <c r="B232" i="34"/>
  <c r="B234" i="34"/>
  <c r="B237" i="34"/>
  <c r="B236" i="34"/>
  <c r="B239" i="34"/>
  <c r="B241" i="34"/>
  <c r="B243" i="34"/>
  <c r="B242" i="34"/>
  <c r="B240" i="34"/>
  <c r="B238" i="34"/>
  <c r="B244" i="34"/>
  <c r="B247" i="34"/>
  <c r="B246" i="34"/>
  <c r="B248" i="34"/>
  <c r="B251" i="34"/>
  <c r="B250" i="34"/>
  <c r="B254" i="34"/>
  <c r="B255" i="34"/>
  <c r="B258" i="34"/>
  <c r="B257" i="34"/>
  <c r="B259" i="34"/>
  <c r="B260" i="34"/>
  <c r="B263" i="34"/>
  <c r="B262" i="34"/>
  <c r="B266" i="34"/>
  <c r="B265" i="34"/>
  <c r="B269" i="34"/>
  <c r="B271" i="34"/>
  <c r="B273" i="34"/>
  <c r="B275" i="34"/>
  <c r="B274" i="34"/>
  <c r="B272" i="34"/>
  <c r="B270" i="34"/>
  <c r="B278" i="34"/>
  <c r="B277" i="34"/>
  <c r="B280" i="34"/>
  <c r="B279" i="34"/>
  <c r="B282" i="34"/>
  <c r="B285" i="34"/>
  <c r="B284" i="34"/>
  <c r="B286" i="34"/>
  <c r="B287" i="34"/>
  <c r="B290" i="34"/>
  <c r="B289" i="34"/>
  <c r="B291" i="34"/>
  <c r="B292" i="34"/>
  <c r="B295" i="34"/>
  <c r="B294" i="34"/>
  <c r="B296" i="34"/>
  <c r="B299" i="34"/>
  <c r="B298" i="34"/>
  <c r="B300" i="34"/>
  <c r="B303" i="34"/>
  <c r="B306" i="34"/>
  <c r="B309" i="34"/>
  <c r="B312" i="34"/>
  <c r="B314" i="34"/>
  <c r="B302" i="34"/>
  <c r="B305" i="34"/>
  <c r="B308" i="34"/>
  <c r="B311" i="34"/>
  <c r="B313" i="34"/>
  <c r="B317" i="34"/>
  <c r="B322" i="34"/>
  <c r="B321" i="34"/>
  <c r="B323" i="34"/>
  <c r="B332" i="34"/>
  <c r="B324" i="34"/>
  <c r="B328" i="34"/>
  <c r="B331" i="34"/>
  <c r="B325" i="34"/>
  <c r="B327" i="34"/>
  <c r="B330" i="34"/>
  <c r="B334" i="34"/>
  <c r="B333" i="34"/>
  <c r="B335" i="34"/>
  <c r="B339" i="34"/>
  <c r="B341" i="34"/>
  <c r="B343" i="34"/>
  <c r="B337" i="34"/>
  <c r="B342" i="34"/>
  <c r="B340" i="34"/>
  <c r="B338" i="34"/>
  <c r="B336" i="34"/>
  <c r="B346" i="34"/>
  <c r="B345" i="34"/>
  <c r="B349" i="34"/>
  <c r="B348" i="34"/>
  <c r="B354" i="34"/>
  <c r="B353" i="34"/>
  <c r="B355" i="34"/>
  <c r="B356" i="34"/>
  <c r="B357" i="34"/>
  <c r="B362" i="34"/>
  <c r="B365" i="34"/>
  <c r="B364" i="34"/>
  <c r="B366" i="34"/>
  <c r="B369" i="34"/>
  <c r="B372" i="34"/>
  <c r="B375" i="34"/>
  <c r="B368" i="34"/>
  <c r="B371" i="34"/>
  <c r="B374" i="34"/>
  <c r="B379" i="34"/>
  <c r="B378" i="34"/>
  <c r="B380" i="34"/>
  <c r="B387" i="34"/>
  <c r="B381" i="34"/>
  <c r="B386" i="34"/>
  <c r="B382" i="34"/>
  <c r="B383" i="34"/>
  <c r="B385" i="34"/>
  <c r="B388" i="34"/>
  <c r="B390" i="34"/>
  <c r="B394" i="34"/>
  <c r="B391" i="34"/>
  <c r="B392" i="34"/>
  <c r="B393" i="34"/>
  <c r="B396" i="34"/>
  <c r="B400" i="34"/>
  <c r="B398" i="34"/>
  <c r="B395" i="34"/>
  <c r="B397" i="34"/>
  <c r="B399" i="34"/>
  <c r="B401" i="34"/>
  <c r="B402" i="34"/>
  <c r="B404" i="34"/>
  <c r="B403" i="34"/>
  <c r="B407" i="34"/>
  <c r="B406" i="34"/>
  <c r="B408" i="34"/>
  <c r="B410" i="34"/>
  <c r="B409" i="34"/>
  <c r="B413" i="34"/>
  <c r="B411" i="34"/>
  <c r="B412" i="34"/>
  <c r="B419" i="34"/>
  <c r="B414" i="34"/>
  <c r="B415" i="34"/>
  <c r="B416" i="34"/>
  <c r="B417" i="34"/>
  <c r="B418" i="34"/>
  <c r="B420" i="34"/>
  <c r="B421" i="34"/>
  <c r="B424" i="34"/>
  <c r="B427" i="34"/>
  <c r="B430" i="34"/>
  <c r="B423" i="34"/>
  <c r="B426" i="34"/>
  <c r="B429" i="34"/>
  <c r="B431" i="34"/>
  <c r="B432" i="34"/>
  <c r="B433" i="34"/>
  <c r="B434" i="34"/>
  <c r="B435" i="34"/>
  <c r="B436" i="34"/>
  <c r="B437" i="34"/>
  <c r="B438" i="34"/>
  <c r="B439" i="34"/>
  <c r="B440" i="34"/>
  <c r="B448" i="34"/>
  <c r="B450" i="34"/>
  <c r="B441" i="34"/>
  <c r="B442" i="34"/>
  <c r="B443" i="34"/>
  <c r="B444" i="34"/>
  <c r="B445" i="34"/>
  <c r="B446" i="34"/>
  <c r="B447" i="34"/>
  <c r="B449" i="34"/>
  <c r="B451" i="34"/>
  <c r="B455" i="34"/>
  <c r="B454" i="34"/>
  <c r="B453" i="34"/>
  <c r="B459" i="34"/>
  <c r="B458" i="34"/>
  <c r="B461" i="34"/>
  <c r="B460" i="34"/>
  <c r="B466" i="34"/>
  <c r="B465" i="34"/>
  <c r="B464" i="34"/>
  <c r="B463" i="34"/>
  <c r="B468" i="34"/>
  <c r="B467" i="34"/>
  <c r="B471" i="34"/>
  <c r="B470" i="34"/>
  <c r="B473" i="34"/>
  <c r="B472" i="34"/>
  <c r="B480" i="34"/>
  <c r="B481" i="34"/>
  <c r="B474" i="34"/>
  <c r="B475" i="34"/>
  <c r="B476" i="34"/>
  <c r="B477" i="34"/>
  <c r="B478" i="34"/>
  <c r="B479" i="34"/>
  <c r="B487" i="34"/>
  <c r="B489" i="34"/>
  <c r="B485" i="34"/>
  <c r="B488" i="34"/>
  <c r="B490" i="34"/>
  <c r="B493" i="34"/>
  <c r="B496" i="34"/>
  <c r="B492" i="34"/>
  <c r="B495" i="34"/>
  <c r="B500" i="34"/>
  <c r="B499" i="34"/>
  <c r="B501" i="34"/>
  <c r="B504" i="34"/>
  <c r="B503" i="34"/>
  <c r="B508" i="34"/>
  <c r="B507" i="34"/>
  <c r="B506" i="34"/>
  <c r="B511" i="34"/>
  <c r="B510" i="34"/>
  <c r="B512" i="34"/>
  <c r="B532" i="34"/>
  <c r="B520" i="34"/>
  <c r="B521" i="34"/>
  <c r="B522" i="34"/>
  <c r="B513" i="34"/>
  <c r="B514" i="34"/>
  <c r="B515" i="34"/>
  <c r="B516" i="34"/>
  <c r="B517" i="34"/>
  <c r="B518" i="34"/>
  <c r="B519" i="34"/>
  <c r="B531" i="34"/>
  <c r="B533" i="34"/>
  <c r="B534" i="34"/>
  <c r="B535" i="34"/>
  <c r="B536" i="34"/>
  <c r="B537" i="34"/>
  <c r="B538" i="34"/>
  <c r="B526" i="34"/>
  <c r="B527" i="34"/>
  <c r="B528" i="34"/>
  <c r="B529" i="34"/>
  <c r="B578" i="34"/>
  <c r="B576" i="34"/>
  <c r="B577" i="34"/>
  <c r="B574" i="34"/>
  <c r="B575" i="34"/>
  <c r="B544" i="34"/>
  <c r="B545" i="34"/>
  <c r="B546" i="34"/>
  <c r="B547" i="34"/>
  <c r="B548" i="34"/>
  <c r="B549" i="34"/>
  <c r="B553" i="34"/>
  <c r="B550" i="34"/>
  <c r="B551" i="34"/>
  <c r="B552" i="34"/>
  <c r="B554" i="34"/>
  <c r="B555" i="34"/>
  <c r="B556" i="34"/>
  <c r="B557" i="34"/>
  <c r="B558" i="34"/>
  <c r="B559" i="34"/>
  <c r="B560" i="34"/>
  <c r="B561" i="34"/>
  <c r="B562" i="34"/>
  <c r="B563" i="34"/>
  <c r="B564" i="34"/>
  <c r="B565" i="34"/>
  <c r="B566" i="34"/>
  <c r="B567" i="34"/>
  <c r="B568" i="34"/>
  <c r="B569" i="34"/>
  <c r="B570" i="34"/>
  <c r="B571" i="34"/>
  <c r="B572" i="34"/>
  <c r="B573" i="34"/>
  <c r="B580" i="34"/>
  <c r="B581" i="34"/>
  <c r="B582" i="34"/>
  <c r="B583" i="34"/>
  <c r="B584" i="34"/>
  <c r="B585" i="34"/>
  <c r="B586" i="34"/>
  <c r="B587" i="34"/>
  <c r="B11" i="34"/>
  <c r="A12" i="34"/>
  <c r="A10" i="34"/>
  <c r="A13" i="34"/>
  <c r="A14" i="34"/>
  <c r="A21" i="34"/>
  <c r="A22" i="34"/>
  <c r="A24" i="34"/>
  <c r="A23" i="34"/>
  <c r="A25" i="34"/>
  <c r="A26" i="34"/>
  <c r="A27" i="34"/>
  <c r="A28" i="34"/>
  <c r="A29" i="34"/>
  <c r="A30" i="34"/>
  <c r="A33" i="34"/>
  <c r="A35" i="34"/>
  <c r="A32" i="34"/>
  <c r="A34" i="34"/>
  <c r="A37" i="34"/>
  <c r="A36" i="34"/>
  <c r="A38" i="34"/>
  <c r="A40" i="34"/>
  <c r="A39" i="34"/>
  <c r="A43" i="34"/>
  <c r="A45" i="34"/>
  <c r="A41" i="34"/>
  <c r="A42" i="34"/>
  <c r="A44" i="34"/>
  <c r="A46" i="34"/>
  <c r="A47" i="34"/>
  <c r="A50" i="34"/>
  <c r="A49" i="34"/>
  <c r="A51" i="34"/>
  <c r="A52" i="34"/>
  <c r="A53" i="34"/>
  <c r="A54" i="34"/>
  <c r="A57" i="34"/>
  <c r="A56" i="34"/>
  <c r="A58" i="34"/>
  <c r="A59" i="34"/>
  <c r="A60" i="34"/>
  <c r="A61" i="34"/>
  <c r="A64" i="34"/>
  <c r="A68" i="34"/>
  <c r="A63" i="34"/>
  <c r="A67" i="34"/>
  <c r="A69" i="34"/>
  <c r="A70" i="34"/>
  <c r="A73" i="34"/>
  <c r="A72" i="34"/>
  <c r="A74" i="34"/>
  <c r="A75" i="34"/>
  <c r="A76" i="34"/>
  <c r="A77" i="34"/>
  <c r="A78" i="34"/>
  <c r="A79" i="34"/>
  <c r="A82" i="34"/>
  <c r="A81" i="34"/>
  <c r="A83" i="34"/>
  <c r="A86" i="34"/>
  <c r="A88" i="34"/>
  <c r="A85" i="34"/>
  <c r="A87" i="34"/>
  <c r="A89" i="34"/>
  <c r="A90" i="34"/>
  <c r="A91" i="34"/>
  <c r="A94" i="34"/>
  <c r="A96" i="34"/>
  <c r="A93" i="34"/>
  <c r="A95" i="34"/>
  <c r="A97" i="34"/>
  <c r="A98" i="34"/>
  <c r="A99" i="34"/>
  <c r="A100" i="34"/>
  <c r="A102" i="34"/>
  <c r="A104" i="34"/>
  <c r="A106" i="34"/>
  <c r="A105" i="34"/>
  <c r="A103" i="34"/>
  <c r="A101" i="34"/>
  <c r="A108" i="34"/>
  <c r="A110" i="34"/>
  <c r="A107" i="34"/>
  <c r="A109" i="34"/>
  <c r="A111" i="34"/>
  <c r="A112" i="34"/>
  <c r="A113" i="34"/>
  <c r="A114" i="34"/>
  <c r="A117" i="34"/>
  <c r="A116" i="34"/>
  <c r="A120" i="34"/>
  <c r="A122" i="34"/>
  <c r="A124" i="34"/>
  <c r="A119" i="34"/>
  <c r="A121" i="34"/>
  <c r="A123" i="34"/>
  <c r="A125" i="34"/>
  <c r="A126" i="34"/>
  <c r="A127" i="34"/>
  <c r="A128" i="34"/>
  <c r="A129" i="34"/>
  <c r="A132" i="34"/>
  <c r="A130" i="34"/>
  <c r="A131" i="34"/>
  <c r="A133" i="34"/>
  <c r="A134" i="34"/>
  <c r="A137" i="34"/>
  <c r="A135" i="34"/>
  <c r="A136" i="34"/>
  <c r="A139" i="34"/>
  <c r="A141" i="34"/>
  <c r="A143" i="34"/>
  <c r="A142" i="34"/>
  <c r="A140" i="34"/>
  <c r="A138" i="34"/>
  <c r="A144" i="34"/>
  <c r="A146" i="34"/>
  <c r="A148" i="34"/>
  <c r="A150" i="34"/>
  <c r="A149" i="34"/>
  <c r="A147" i="34"/>
  <c r="A145" i="34"/>
  <c r="A151" i="34"/>
  <c r="A154" i="34"/>
  <c r="A153" i="34"/>
  <c r="A156" i="34"/>
  <c r="A158" i="34"/>
  <c r="A160" i="34"/>
  <c r="A159" i="34"/>
  <c r="A157" i="34"/>
  <c r="A155" i="34"/>
  <c r="A161" i="34"/>
  <c r="A162" i="34"/>
  <c r="A165" i="34"/>
  <c r="A164" i="34"/>
  <c r="A167" i="34"/>
  <c r="A169" i="34"/>
  <c r="A171" i="34"/>
  <c r="A170" i="34"/>
  <c r="A168" i="34"/>
  <c r="A166" i="34"/>
  <c r="A172" i="34"/>
  <c r="A173" i="34"/>
  <c r="A176" i="34"/>
  <c r="A174" i="34"/>
  <c r="A175" i="34"/>
  <c r="A177" i="34"/>
  <c r="A180" i="34"/>
  <c r="A178" i="34"/>
  <c r="A179" i="34"/>
  <c r="A182" i="34"/>
  <c r="A184" i="34"/>
  <c r="A186" i="34"/>
  <c r="A185" i="34"/>
  <c r="A183" i="34"/>
  <c r="A181" i="34"/>
  <c r="A188" i="34"/>
  <c r="A190" i="34"/>
  <c r="A192" i="34"/>
  <c r="A191" i="34"/>
  <c r="A189" i="34"/>
  <c r="A187" i="34"/>
  <c r="A194" i="34"/>
  <c r="A193" i="34"/>
  <c r="A196" i="34"/>
  <c r="A198" i="34"/>
  <c r="A200" i="34"/>
  <c r="A199" i="34"/>
  <c r="A197" i="34"/>
  <c r="A195" i="34"/>
  <c r="A202" i="34"/>
  <c r="A204" i="34"/>
  <c r="A206" i="34"/>
  <c r="A205" i="34"/>
  <c r="A203" i="34"/>
  <c r="A201" i="34"/>
  <c r="A207" i="34"/>
  <c r="A208" i="34"/>
  <c r="A211" i="34"/>
  <c r="A214" i="34"/>
  <c r="A210" i="34"/>
  <c r="A213" i="34"/>
  <c r="A215" i="34"/>
  <c r="A216" i="34"/>
  <c r="A218" i="34"/>
  <c r="A217" i="34"/>
  <c r="A221" i="34"/>
  <c r="A223" i="34"/>
  <c r="A222" i="34"/>
  <c r="A226" i="34"/>
  <c r="A224" i="34"/>
  <c r="A225" i="34"/>
  <c r="A227" i="34"/>
  <c r="A230" i="34"/>
  <c r="A233" i="34"/>
  <c r="A229" i="34"/>
  <c r="A232" i="34"/>
  <c r="A234" i="34"/>
  <c r="A237" i="34"/>
  <c r="A236" i="34"/>
  <c r="A239" i="34"/>
  <c r="A241" i="34"/>
  <c r="A243" i="34"/>
  <c r="A242" i="34"/>
  <c r="A240" i="34"/>
  <c r="A238" i="34"/>
  <c r="A244" i="34"/>
  <c r="A247" i="34"/>
  <c r="A246" i="34"/>
  <c r="A248" i="34"/>
  <c r="A251" i="34"/>
  <c r="A250" i="34"/>
  <c r="A254" i="34"/>
  <c r="A255" i="34"/>
  <c r="A258" i="34"/>
  <c r="A257" i="34"/>
  <c r="A259" i="34"/>
  <c r="A260" i="34"/>
  <c r="A263" i="34"/>
  <c r="A262" i="34"/>
  <c r="A266" i="34"/>
  <c r="A265" i="34"/>
  <c r="A269" i="34"/>
  <c r="A271" i="34"/>
  <c r="A273" i="34"/>
  <c r="A275" i="34"/>
  <c r="A274" i="34"/>
  <c r="A272" i="34"/>
  <c r="A270" i="34"/>
  <c r="A278" i="34"/>
  <c r="A277" i="34"/>
  <c r="A280" i="34"/>
  <c r="A279" i="34"/>
  <c r="A282" i="34"/>
  <c r="A285" i="34"/>
  <c r="A284" i="34"/>
  <c r="A286" i="34"/>
  <c r="A287" i="34"/>
  <c r="A290" i="34"/>
  <c r="A289" i="34"/>
  <c r="A291" i="34"/>
  <c r="A292" i="34"/>
  <c r="A295" i="34"/>
  <c r="A294" i="34"/>
  <c r="A296" i="34"/>
  <c r="A299" i="34"/>
  <c r="A298" i="34"/>
  <c r="A300" i="34"/>
  <c r="A303" i="34"/>
  <c r="A306" i="34"/>
  <c r="A309" i="34"/>
  <c r="A312" i="34"/>
  <c r="A314" i="34"/>
  <c r="A302" i="34"/>
  <c r="A305" i="34"/>
  <c r="A308" i="34"/>
  <c r="A311" i="34"/>
  <c r="A313" i="34"/>
  <c r="A317" i="34"/>
  <c r="A322" i="34"/>
  <c r="A321" i="34"/>
  <c r="A323" i="34"/>
  <c r="A332" i="34"/>
  <c r="A324" i="34"/>
  <c r="A328" i="34"/>
  <c r="A331" i="34"/>
  <c r="A325" i="34"/>
  <c r="A327" i="34"/>
  <c r="A330" i="34"/>
  <c r="A334" i="34"/>
  <c r="A333" i="34"/>
  <c r="A335" i="34"/>
  <c r="A339" i="34"/>
  <c r="A341" i="34"/>
  <c r="A343" i="34"/>
  <c r="A337" i="34"/>
  <c r="A342" i="34"/>
  <c r="A340" i="34"/>
  <c r="A338" i="34"/>
  <c r="A336" i="34"/>
  <c r="A346" i="34"/>
  <c r="A345" i="34"/>
  <c r="A349" i="34"/>
  <c r="A348" i="34"/>
  <c r="A354" i="34"/>
  <c r="A353" i="34"/>
  <c r="A355" i="34"/>
  <c r="A356" i="34"/>
  <c r="A357" i="34"/>
  <c r="A362" i="34"/>
  <c r="A365" i="34"/>
  <c r="A364" i="34"/>
  <c r="A366" i="34"/>
  <c r="A369" i="34"/>
  <c r="A372" i="34"/>
  <c r="A375" i="34"/>
  <c r="A368" i="34"/>
  <c r="A371" i="34"/>
  <c r="A374" i="34"/>
  <c r="A379" i="34"/>
  <c r="A378" i="34"/>
  <c r="A380" i="34"/>
  <c r="A387" i="34"/>
  <c r="A381" i="34"/>
  <c r="A386" i="34"/>
  <c r="A382" i="34"/>
  <c r="A383" i="34"/>
  <c r="A385" i="34"/>
  <c r="A388" i="34"/>
  <c r="A390" i="34"/>
  <c r="A394" i="34"/>
  <c r="A391" i="34"/>
  <c r="A392" i="34"/>
  <c r="A393" i="34"/>
  <c r="A396" i="34"/>
  <c r="A400" i="34"/>
  <c r="A398" i="34"/>
  <c r="A395" i="34"/>
  <c r="A397" i="34"/>
  <c r="A399" i="34"/>
  <c r="A401" i="34"/>
  <c r="A402" i="34"/>
  <c r="A404" i="34"/>
  <c r="A403" i="34"/>
  <c r="A407" i="34"/>
  <c r="A406" i="34"/>
  <c r="A408" i="34"/>
  <c r="A410" i="34"/>
  <c r="A409" i="34"/>
  <c r="A413" i="34"/>
  <c r="A411" i="34"/>
  <c r="A412" i="34"/>
  <c r="A419" i="34"/>
  <c r="A414" i="34"/>
  <c r="A415" i="34"/>
  <c r="A416" i="34"/>
  <c r="A417" i="34"/>
  <c r="A418" i="34"/>
  <c r="A420" i="34"/>
  <c r="A421" i="34"/>
  <c r="A424" i="34"/>
  <c r="A427" i="34"/>
  <c r="A430" i="34"/>
  <c r="A423" i="34"/>
  <c r="A426" i="34"/>
  <c r="A429" i="34"/>
  <c r="A431" i="34"/>
  <c r="A432" i="34"/>
  <c r="A433" i="34"/>
  <c r="A434" i="34"/>
  <c r="A435" i="34"/>
  <c r="A436" i="34"/>
  <c r="A437" i="34"/>
  <c r="A438" i="34"/>
  <c r="A439" i="34"/>
  <c r="A440" i="34"/>
  <c r="A448" i="34"/>
  <c r="A450" i="34"/>
  <c r="A441" i="34"/>
  <c r="A442" i="34"/>
  <c r="A443" i="34"/>
  <c r="A444" i="34"/>
  <c r="A445" i="34"/>
  <c r="A446" i="34"/>
  <c r="A447" i="34"/>
  <c r="A449" i="34"/>
  <c r="A451" i="34"/>
  <c r="A455" i="34"/>
  <c r="A454" i="34"/>
  <c r="A453" i="34"/>
  <c r="A459" i="34"/>
  <c r="A458" i="34"/>
  <c r="A461" i="34"/>
  <c r="A460" i="34"/>
  <c r="A466" i="34"/>
  <c r="A465" i="34"/>
  <c r="A464" i="34"/>
  <c r="A463" i="34"/>
  <c r="A468" i="34"/>
  <c r="A467" i="34"/>
  <c r="A471" i="34"/>
  <c r="A470" i="34"/>
  <c r="A473" i="34"/>
  <c r="A472" i="34"/>
  <c r="A480" i="34"/>
  <c r="A481" i="34"/>
  <c r="A474" i="34"/>
  <c r="A475" i="34"/>
  <c r="A476" i="34"/>
  <c r="A477" i="34"/>
  <c r="A478" i="34"/>
  <c r="A479" i="34"/>
  <c r="A487" i="34"/>
  <c r="A489" i="34"/>
  <c r="A485" i="34"/>
  <c r="A488" i="34"/>
  <c r="A490" i="34"/>
  <c r="A493" i="34"/>
  <c r="A496" i="34"/>
  <c r="A492" i="34"/>
  <c r="A495" i="34"/>
  <c r="A500" i="34"/>
  <c r="A499" i="34"/>
  <c r="A501" i="34"/>
  <c r="A504" i="34"/>
  <c r="A503" i="34"/>
  <c r="A508" i="34"/>
  <c r="A507" i="34"/>
  <c r="A506" i="34"/>
  <c r="A511" i="34"/>
  <c r="A510" i="34"/>
  <c r="A512" i="34"/>
  <c r="A532" i="34"/>
  <c r="A520" i="34"/>
  <c r="A521" i="34"/>
  <c r="A522" i="34"/>
  <c r="A513" i="34"/>
  <c r="A514" i="34"/>
  <c r="A515" i="34"/>
  <c r="A516" i="34"/>
  <c r="A517" i="34"/>
  <c r="A518" i="34"/>
  <c r="A519" i="34"/>
  <c r="A531" i="34"/>
  <c r="A533" i="34"/>
  <c r="A534" i="34"/>
  <c r="A535" i="34"/>
  <c r="A536" i="34"/>
  <c r="A537" i="34"/>
  <c r="A538" i="34"/>
  <c r="A526" i="34"/>
  <c r="A527" i="34"/>
  <c r="A528" i="34"/>
  <c r="A529" i="34"/>
  <c r="A578" i="34"/>
  <c r="A576" i="34"/>
  <c r="A577" i="34"/>
  <c r="A574" i="34"/>
  <c r="A575" i="34"/>
  <c r="A544" i="34"/>
  <c r="A545" i="34"/>
  <c r="A546" i="34"/>
  <c r="A547" i="34"/>
  <c r="A548" i="34"/>
  <c r="A549" i="34"/>
  <c r="A553" i="34"/>
  <c r="A550" i="34"/>
  <c r="A551" i="34"/>
  <c r="A552" i="34"/>
  <c r="A554" i="34"/>
  <c r="A555" i="34"/>
  <c r="A556" i="34"/>
  <c r="A557" i="34"/>
  <c r="A558" i="34"/>
  <c r="A559" i="34"/>
  <c r="A560" i="34"/>
  <c r="A561" i="34"/>
  <c r="A562" i="34"/>
  <c r="A563" i="34"/>
  <c r="A564" i="34"/>
  <c r="A565" i="34"/>
  <c r="A566" i="34"/>
  <c r="A567" i="34"/>
  <c r="A568" i="34"/>
  <c r="A569" i="34"/>
  <c r="A570" i="34"/>
  <c r="A571" i="34"/>
  <c r="A572" i="34"/>
  <c r="A573" i="34"/>
  <c r="A580" i="34"/>
  <c r="A581" i="34"/>
  <c r="A582" i="34"/>
  <c r="A583" i="34"/>
  <c r="A584" i="34"/>
  <c r="A585" i="34"/>
  <c r="A586" i="34"/>
  <c r="A5" i="12"/>
  <c r="A6" i="12"/>
  <c r="A7" i="12"/>
  <c r="A8" i="12"/>
  <c r="A9" i="12"/>
  <c r="A10" i="12"/>
  <c r="A16" i="12"/>
  <c r="A22" i="12"/>
  <c r="A23" i="12"/>
  <c r="A17" i="12"/>
  <c r="A24" i="12"/>
  <c r="A25" i="12"/>
  <c r="A26" i="12"/>
  <c r="A27" i="12"/>
  <c r="A21" i="12"/>
  <c r="A18" i="12"/>
  <c r="A19" i="12"/>
  <c r="A4" i="12"/>
  <c r="I16" i="14" l="1"/>
  <c r="J16" i="14"/>
  <c r="E177" i="34"/>
  <c r="E172" i="34"/>
  <c r="C163" i="34"/>
  <c r="E161" i="34"/>
  <c r="C152" i="34"/>
  <c r="E151" i="34"/>
  <c r="E144" i="34"/>
  <c r="E133" i="34"/>
  <c r="E127" i="34"/>
  <c r="E126" i="34"/>
  <c r="E125" i="34"/>
  <c r="C118" i="34"/>
  <c r="C115" i="34"/>
  <c r="E113" i="34"/>
  <c r="C92" i="34"/>
  <c r="E91" i="34"/>
  <c r="C84" i="34"/>
  <c r="E83" i="34"/>
  <c r="C80" i="34"/>
  <c r="E78" i="34"/>
  <c r="C71" i="34"/>
  <c r="E69" i="34"/>
  <c r="C62" i="34"/>
  <c r="C66" i="34"/>
  <c r="C65" i="34"/>
  <c r="E60" i="34"/>
  <c r="C55" i="34"/>
  <c r="E53" i="34"/>
  <c r="C48" i="34"/>
  <c r="E46" i="34"/>
  <c r="E38" i="34"/>
  <c r="C31" i="34"/>
  <c r="E30" i="34"/>
  <c r="E29" i="34"/>
  <c r="E28" i="34"/>
  <c r="E27" i="34"/>
  <c r="E26" i="34"/>
  <c r="E25" i="34"/>
  <c r="E23" i="34"/>
  <c r="E24" i="34"/>
  <c r="E22" i="34"/>
  <c r="E21" i="34"/>
  <c r="I17" i="14" l="1"/>
  <c r="J17" i="14"/>
  <c r="B48" i="34"/>
  <c r="A48" i="34"/>
  <c r="B55" i="34"/>
  <c r="A55" i="34"/>
  <c r="B65" i="34"/>
  <c r="A65" i="34"/>
  <c r="B62" i="34"/>
  <c r="A62" i="34"/>
  <c r="B71" i="34"/>
  <c r="A71" i="34"/>
  <c r="B80" i="34"/>
  <c r="A80" i="34"/>
  <c r="B84" i="34"/>
  <c r="A84" i="34"/>
  <c r="B92" i="34"/>
  <c r="A92" i="34"/>
  <c r="B115" i="34"/>
  <c r="A115" i="34"/>
  <c r="B152" i="34"/>
  <c r="A152" i="34"/>
  <c r="B163" i="34"/>
  <c r="A163" i="34"/>
  <c r="B209" i="34"/>
  <c r="A209" i="34"/>
  <c r="B219" i="34"/>
  <c r="A219" i="34"/>
  <c r="B228" i="34"/>
  <c r="A228" i="34"/>
  <c r="B235" i="34"/>
  <c r="A235" i="34"/>
  <c r="B245" i="34"/>
  <c r="A245" i="34"/>
  <c r="B249" i="34"/>
  <c r="A249" i="34"/>
  <c r="B252" i="34"/>
  <c r="A252" i="34"/>
  <c r="B256" i="34"/>
  <c r="A256" i="34"/>
  <c r="B261" i="34"/>
  <c r="A261" i="34"/>
  <c r="B268" i="34"/>
  <c r="A268" i="34"/>
  <c r="B281" i="34"/>
  <c r="A281" i="34"/>
  <c r="B283" i="34"/>
  <c r="A283" i="34"/>
  <c r="B288" i="34"/>
  <c r="A288" i="34"/>
  <c r="B293" i="34"/>
  <c r="A293" i="34"/>
  <c r="B297" i="34"/>
  <c r="A297" i="34"/>
  <c r="B301" i="34"/>
  <c r="A301" i="34"/>
  <c r="B310" i="34"/>
  <c r="A310" i="34"/>
  <c r="B315" i="34"/>
  <c r="A315" i="34"/>
  <c r="B318" i="34"/>
  <c r="A318" i="34"/>
  <c r="B329" i="34"/>
  <c r="A329" i="34"/>
  <c r="B347" i="34"/>
  <c r="A347" i="34"/>
  <c r="B350" i="34"/>
  <c r="A350" i="34"/>
  <c r="B358" i="34"/>
  <c r="A358" i="34"/>
  <c r="B360" i="34"/>
  <c r="A360" i="34"/>
  <c r="B367" i="34"/>
  <c r="A367" i="34"/>
  <c r="B373" i="34"/>
  <c r="A373" i="34"/>
  <c r="B376" i="34"/>
  <c r="A376" i="34"/>
  <c r="B384" i="34"/>
  <c r="A384" i="34"/>
  <c r="B405" i="34"/>
  <c r="A405" i="34"/>
  <c r="B422" i="34"/>
  <c r="A422" i="34"/>
  <c r="B452" i="34"/>
  <c r="A452" i="34"/>
  <c r="B456" i="34"/>
  <c r="A456" i="34"/>
  <c r="B469" i="34"/>
  <c r="A469" i="34"/>
  <c r="B486" i="34"/>
  <c r="A486" i="34"/>
  <c r="B494" i="34"/>
  <c r="A494" i="34"/>
  <c r="B498" i="34"/>
  <c r="A498" i="34"/>
  <c r="B505" i="34"/>
  <c r="A505" i="34"/>
  <c r="B31" i="34"/>
  <c r="A31" i="34"/>
  <c r="B66" i="34"/>
  <c r="A66" i="34"/>
  <c r="B118" i="34"/>
  <c r="A118" i="34"/>
  <c r="B212" i="34"/>
  <c r="A212" i="34"/>
  <c r="B220" i="34"/>
  <c r="A220" i="34"/>
  <c r="B231" i="34"/>
  <c r="A231" i="34"/>
  <c r="B253" i="34"/>
  <c r="A253" i="34"/>
  <c r="B264" i="34"/>
  <c r="A264" i="34"/>
  <c r="B267" i="34"/>
  <c r="A267" i="34"/>
  <c r="B276" i="34"/>
  <c r="A276" i="34"/>
  <c r="B307" i="34"/>
  <c r="A307" i="34"/>
  <c r="B304" i="34"/>
  <c r="A304" i="34"/>
  <c r="B316" i="34"/>
  <c r="A316" i="34"/>
  <c r="B319" i="34"/>
  <c r="A319" i="34"/>
  <c r="B320" i="34"/>
  <c r="A320" i="34"/>
  <c r="B326" i="34"/>
  <c r="A326" i="34"/>
  <c r="B344" i="34"/>
  <c r="A344" i="34"/>
  <c r="B351" i="34"/>
  <c r="A351" i="34"/>
  <c r="B352" i="34"/>
  <c r="A352" i="34"/>
  <c r="B359" i="34"/>
  <c r="A359" i="34"/>
  <c r="B361" i="34"/>
  <c r="A361" i="34"/>
  <c r="B363" i="34"/>
  <c r="A363" i="34"/>
  <c r="B370" i="34"/>
  <c r="A370" i="34"/>
  <c r="B377" i="34"/>
  <c r="A377" i="34"/>
  <c r="B389" i="34"/>
  <c r="A389" i="34"/>
  <c r="B425" i="34"/>
  <c r="A425" i="34"/>
  <c r="B428" i="34"/>
  <c r="A428" i="34"/>
  <c r="B457" i="34"/>
  <c r="A457" i="34"/>
  <c r="B462" i="34"/>
  <c r="A462" i="34"/>
  <c r="B484" i="34"/>
  <c r="A484" i="34"/>
  <c r="B491" i="34"/>
  <c r="A491" i="34"/>
  <c r="B502" i="34"/>
  <c r="A502" i="34"/>
  <c r="B509" i="34"/>
  <c r="A509" i="34"/>
  <c r="I18" i="14" l="1"/>
  <c r="J18" i="14"/>
  <c r="G21" i="14"/>
  <c r="E32" i="14"/>
  <c r="H23" i="14"/>
  <c r="E27" i="14"/>
  <c r="B30" i="14"/>
  <c r="C27" i="14"/>
  <c r="A27" i="14" s="1"/>
  <c r="C29" i="14"/>
  <c r="A29" i="14" s="1"/>
  <c r="C22" i="14"/>
  <c r="A22" i="14" s="1"/>
  <c r="H32" i="14"/>
  <c r="G24" i="14"/>
  <c r="C21" i="14"/>
  <c r="A21" i="14" s="1"/>
  <c r="E26" i="14"/>
  <c r="H31" i="14"/>
  <c r="H24" i="14"/>
  <c r="C30" i="14"/>
  <c r="A30" i="14" s="1"/>
  <c r="B22" i="14"/>
  <c r="D27" i="14"/>
  <c r="G32" i="14"/>
  <c r="E24" i="14"/>
  <c r="G29" i="14"/>
  <c r="D22" i="14"/>
  <c r="B25" i="14"/>
  <c r="G27" i="14"/>
  <c r="D30" i="14"/>
  <c r="D23" i="14"/>
  <c r="B26" i="14"/>
  <c r="G28" i="14"/>
  <c r="D31" i="14"/>
  <c r="E23" i="14"/>
  <c r="C26" i="14"/>
  <c r="A26" i="14" s="1"/>
  <c r="H28" i="14"/>
  <c r="E31" i="14"/>
  <c r="B23" i="14"/>
  <c r="H25" i="14"/>
  <c r="D28" i="14"/>
  <c r="B31" i="14"/>
  <c r="H21" i="14"/>
  <c r="C23" i="14"/>
  <c r="A23" i="14" s="1"/>
  <c r="D24" i="14"/>
  <c r="G25" i="14"/>
  <c r="B27" i="14"/>
  <c r="E28" i="14"/>
  <c r="H29" i="14"/>
  <c r="C31" i="14"/>
  <c r="A31" i="14" s="1"/>
  <c r="D32" i="14"/>
  <c r="D21" i="14"/>
  <c r="H22" i="14"/>
  <c r="C24" i="14"/>
  <c r="A24" i="14" s="1"/>
  <c r="E25" i="14"/>
  <c r="G26" i="14"/>
  <c r="B28" i="14"/>
  <c r="D29" i="14"/>
  <c r="H30" i="14"/>
  <c r="C32" i="14"/>
  <c r="A32" i="14" s="1"/>
  <c r="E21" i="14"/>
  <c r="G22" i="14"/>
  <c r="B24" i="14"/>
  <c r="D25" i="14"/>
  <c r="H26" i="14"/>
  <c r="C28" i="14"/>
  <c r="A28" i="14" s="1"/>
  <c r="E29" i="14"/>
  <c r="G30" i="14"/>
  <c r="B32" i="14"/>
  <c r="B21" i="14"/>
  <c r="E22" i="14"/>
  <c r="G23" i="14"/>
  <c r="C25" i="14"/>
  <c r="A25" i="14" s="1"/>
  <c r="D26" i="14"/>
  <c r="H27" i="14"/>
  <c r="B29" i="14"/>
  <c r="E30" i="14"/>
  <c r="G31" i="14"/>
  <c r="J19" i="14" l="1"/>
  <c r="I19" i="14"/>
  <c r="H51" i="14"/>
  <c r="G51" i="14"/>
  <c r="I20" i="14" l="1"/>
  <c r="J20" i="14"/>
  <c r="I52" i="14"/>
  <c r="J52" i="14"/>
  <c r="J21" i="14" l="1"/>
  <c r="I21" i="14"/>
  <c r="I22" i="14" l="1"/>
  <c r="J22" i="14"/>
  <c r="J23" i="14" l="1"/>
  <c r="I23" i="14"/>
  <c r="I24" i="14" l="1"/>
  <c r="J24" i="14"/>
  <c r="I25" i="14" l="1"/>
  <c r="J25" i="14"/>
  <c r="I26" i="14" l="1"/>
  <c r="J26" i="14"/>
  <c r="J27" i="14" l="1"/>
  <c r="I27" i="14"/>
  <c r="J28" i="14" l="1"/>
  <c r="I28" i="14"/>
  <c r="I29" i="14" l="1"/>
  <c r="J29" i="14"/>
  <c r="J30" i="14" l="1"/>
  <c r="I30" i="14"/>
  <c r="I31" i="14" l="1"/>
  <c r="J31" i="14"/>
  <c r="J32" i="14" l="1"/>
  <c r="I32" i="14"/>
  <c r="J33" i="14" l="1"/>
  <c r="I33" i="14"/>
  <c r="I34" i="14" l="1"/>
  <c r="J34" i="14"/>
  <c r="J35" i="14" l="1"/>
  <c r="I35" i="14"/>
  <c r="F38" i="15" a="1"/>
  <c r="F38" i="15" s="1"/>
  <c r="E36" i="15" a="1"/>
  <c r="E36" i="15" s="1"/>
  <c r="F37" i="15" a="1"/>
  <c r="F37" i="15" s="1"/>
  <c r="F34" i="15" a="1"/>
  <c r="F34" i="15" s="1"/>
  <c r="F35" i="15" a="1"/>
  <c r="F35" i="15" s="1"/>
  <c r="F39" i="15" a="1"/>
  <c r="F39" i="15" s="1"/>
  <c r="F36" i="15" a="1"/>
  <c r="F36" i="15" s="1"/>
  <c r="E19" i="12" a="1"/>
  <c r="E19" i="12" s="1"/>
  <c r="E38" i="15" a="1"/>
  <c r="E38" i="15" s="1"/>
  <c r="I38" i="15" s="1"/>
  <c r="E24" i="12" a="1"/>
  <c r="E24" i="12" s="1"/>
  <c r="F23" i="12" a="1"/>
  <c r="F23" i="12" s="1"/>
  <c r="E30" i="12" a="1"/>
  <c r="E30" i="12" s="1"/>
  <c r="E28" i="12" a="1"/>
  <c r="E28" i="12" s="1"/>
  <c r="F21" i="12" a="1"/>
  <c r="F21" i="12" s="1"/>
  <c r="E18" i="12" a="1"/>
  <c r="E18" i="12" s="1"/>
  <c r="E37" i="15" a="1"/>
  <c r="E37" i="15" s="1"/>
  <c r="E16" i="15" a="1"/>
  <c r="E16" i="15" s="1"/>
  <c r="E27" i="15" a="1"/>
  <c r="E27" i="15" s="1"/>
  <c r="E31" i="15" a="1"/>
  <c r="E31" i="15" s="1"/>
  <c r="F16" i="12" a="1"/>
  <c r="F16" i="12" s="1"/>
  <c r="F13" i="12" a="1"/>
  <c r="F13" i="12" s="1"/>
  <c r="F19" i="12" a="1"/>
  <c r="F19" i="12" s="1"/>
  <c r="E29" i="12" a="1"/>
  <c r="E29" i="12" s="1"/>
  <c r="E7" i="12" a="1"/>
  <c r="E7" i="12" s="1"/>
  <c r="E13" i="12" a="1"/>
  <c r="E13" i="12" s="1"/>
  <c r="G13" i="12" s="1"/>
  <c r="E39" i="15" a="1"/>
  <c r="E39" i="15" s="1"/>
  <c r="E27" i="12" a="1"/>
  <c r="E27" i="12" s="1"/>
  <c r="E23" i="12" a="1"/>
  <c r="E23" i="12" s="1"/>
  <c r="E12" i="12" a="1"/>
  <c r="E12" i="12" s="1"/>
  <c r="F29" i="15" a="1"/>
  <c r="F29" i="15" s="1"/>
  <c r="F25" i="12" a="1"/>
  <c r="F25" i="12" s="1"/>
  <c r="F12" i="12" a="1"/>
  <c r="F12" i="12" s="1"/>
  <c r="F30" i="12" a="1"/>
  <c r="F30" i="12" s="1"/>
  <c r="E17" i="12" a="1"/>
  <c r="E17" i="12" s="1"/>
  <c r="F18" i="12" a="1"/>
  <c r="F18" i="12" s="1"/>
  <c r="F24" i="12" a="1"/>
  <c r="F24" i="12" s="1"/>
  <c r="E22" i="12" a="1"/>
  <c r="E22" i="12" s="1"/>
  <c r="F6" i="12" a="1"/>
  <c r="F6" i="12" s="1"/>
  <c r="E5" i="12" a="1"/>
  <c r="E5" i="12" s="1"/>
  <c r="F11" i="12" a="1"/>
  <c r="F11" i="12" s="1"/>
  <c r="E10" i="12" a="1"/>
  <c r="E10" i="12" s="1"/>
  <c r="F27" i="12" a="1"/>
  <c r="F27" i="12" s="1"/>
  <c r="F17" i="12" a="1"/>
  <c r="F17" i="12" s="1"/>
  <c r="F28" i="12" a="1"/>
  <c r="F28" i="12" s="1"/>
  <c r="F20" i="15" a="1"/>
  <c r="F20" i="15" s="1"/>
  <c r="F43" i="12" s="1"/>
  <c r="F14" i="15" a="1"/>
  <c r="F14" i="15" s="1"/>
  <c r="E6" i="12" a="1"/>
  <c r="E6" i="12" s="1"/>
  <c r="F22" i="15" a="1"/>
  <c r="F22" i="15" s="1"/>
  <c r="F29" i="12" a="1"/>
  <c r="F29" i="12" s="1"/>
  <c r="H29" i="12" s="1"/>
  <c r="F10" i="12" a="1"/>
  <c r="F10" i="12" s="1"/>
  <c r="F9" i="12" a="1"/>
  <c r="F9" i="12" s="1"/>
  <c r="E8" i="12" a="1"/>
  <c r="E8" i="12" s="1"/>
  <c r="E25" i="15" a="1"/>
  <c r="E25" i="15" s="1"/>
  <c r="F5" i="12" a="1"/>
  <c r="F5" i="12" s="1"/>
  <c r="E40" i="15" a="1"/>
  <c r="E40" i="15" s="1"/>
  <c r="F22" i="12" a="1"/>
  <c r="F22" i="12" s="1"/>
  <c r="F12" i="15" a="1"/>
  <c r="F12" i="15" s="1"/>
  <c r="E20" i="15" a="1"/>
  <c r="E20" i="15" s="1"/>
  <c r="F21" i="15" a="1"/>
  <c r="F21" i="15" s="1"/>
  <c r="F10" i="15" a="1"/>
  <c r="F10" i="15" s="1"/>
  <c r="E26" i="12" a="1"/>
  <c r="E26" i="12" s="1"/>
  <c r="F7" i="12" a="1"/>
  <c r="F7" i="12" s="1"/>
  <c r="E29" i="15" a="1"/>
  <c r="E29" i="15" s="1"/>
  <c r="F16" i="15" a="1"/>
  <c r="F16" i="15" s="1"/>
  <c r="E9" i="12" a="1"/>
  <c r="E9" i="12" s="1"/>
  <c r="E22" i="15" a="1"/>
  <c r="E22" i="15" s="1"/>
  <c r="E21" i="15" a="1"/>
  <c r="E21" i="15" s="1"/>
  <c r="E16" i="12" a="1"/>
  <c r="E16" i="12" s="1"/>
  <c r="E14" i="15" a="1"/>
  <c r="E14" i="15" s="1"/>
  <c r="F31" i="15" a="1"/>
  <c r="F31" i="15" s="1"/>
  <c r="H31" i="15" s="1"/>
  <c r="F27" i="15" a="1"/>
  <c r="F27" i="15" s="1"/>
  <c r="E12" i="15" a="1"/>
  <c r="E12" i="15" s="1"/>
  <c r="E10" i="15" a="1"/>
  <c r="E10" i="15" s="1"/>
  <c r="E25" i="12" a="1"/>
  <c r="E25" i="12" s="1"/>
  <c r="E34" i="15" a="1"/>
  <c r="E34" i="15" s="1"/>
  <c r="E11" i="12" a="1"/>
  <c r="E11" i="12" s="1"/>
  <c r="G11" i="12" s="1"/>
  <c r="E21" i="12" a="1"/>
  <c r="E21" i="12" s="1"/>
  <c r="F26" i="12" a="1"/>
  <c r="F26" i="12" s="1"/>
  <c r="H26" i="12" s="1"/>
  <c r="F25" i="15" a="1"/>
  <c r="F25" i="15" s="1"/>
  <c r="I10" i="34"/>
  <c r="F8" i="12" a="1"/>
  <c r="F8" i="12" s="1"/>
  <c r="E41" i="12" l="1"/>
  <c r="F41" i="12"/>
  <c r="F45" i="12" s="1"/>
  <c r="G23" i="12"/>
  <c r="H18" i="12"/>
  <c r="H8" i="12"/>
  <c r="H5" i="12"/>
  <c r="H10" i="12"/>
  <c r="G21" i="12"/>
  <c r="G16" i="12"/>
  <c r="J36" i="14"/>
  <c r="I36" i="14"/>
  <c r="I39" i="15"/>
  <c r="H7" i="12"/>
  <c r="H17" i="12"/>
  <c r="H30" i="12"/>
  <c r="G20" i="15"/>
  <c r="E43" i="12"/>
  <c r="G25" i="12"/>
  <c r="H28" i="12"/>
  <c r="H27" i="12"/>
  <c r="H24" i="12"/>
  <c r="H19" i="12"/>
  <c r="E32" i="15" a="1"/>
  <c r="E32" i="15" s="1"/>
  <c r="E33" i="15" s="1"/>
  <c r="F32" i="15" a="1"/>
  <c r="F32" i="15" s="1"/>
  <c r="F33" i="15" s="1"/>
  <c r="F40" i="15" a="1"/>
  <c r="F40" i="15" s="1"/>
  <c r="I40" i="15" s="1"/>
  <c r="I35" i="15"/>
  <c r="I37" i="15"/>
  <c r="I34" i="15"/>
  <c r="H9" i="12"/>
  <c r="H6" i="12"/>
  <c r="G17" i="12"/>
  <c r="H12" i="12"/>
  <c r="G12" i="15"/>
  <c r="E13" i="15"/>
  <c r="H27" i="15"/>
  <c r="H28" i="15" s="1"/>
  <c r="F28" i="15"/>
  <c r="G14" i="15"/>
  <c r="E15" i="15"/>
  <c r="I21" i="15"/>
  <c r="G21" i="15"/>
  <c r="G22" i="15"/>
  <c r="G23" i="15" s="1"/>
  <c r="I22" i="15"/>
  <c r="E23" i="15"/>
  <c r="E24" i="15" s="1"/>
  <c r="H16" i="15"/>
  <c r="F17" i="15"/>
  <c r="F11" i="15"/>
  <c r="H10" i="15"/>
  <c r="H11" i="15" s="1"/>
  <c r="F23" i="15"/>
  <c r="F24" i="15" s="1"/>
  <c r="H22" i="15"/>
  <c r="H23" i="15" s="1"/>
  <c r="F15" i="15"/>
  <c r="H14" i="15"/>
  <c r="H15" i="15" s="1"/>
  <c r="H29" i="15"/>
  <c r="F30" i="15"/>
  <c r="E28" i="15"/>
  <c r="G27" i="15"/>
  <c r="G28" i="15" s="1"/>
  <c r="G16" i="15"/>
  <c r="E17" i="15"/>
  <c r="G17" i="15" s="1"/>
  <c r="H4" i="12"/>
  <c r="H11" i="12"/>
  <c r="G7" i="12"/>
  <c r="H16" i="12"/>
  <c r="G18" i="12"/>
  <c r="G28" i="12"/>
  <c r="G24" i="12"/>
  <c r="G19" i="12"/>
  <c r="F26" i="15"/>
  <c r="H25" i="15"/>
  <c r="H26" i="15" s="1"/>
  <c r="E11" i="15"/>
  <c r="G10" i="15"/>
  <c r="G4" i="12"/>
  <c r="E30" i="15"/>
  <c r="G29" i="15"/>
  <c r="H21" i="15"/>
  <c r="H12" i="15"/>
  <c r="F13" i="15"/>
  <c r="I25" i="15"/>
  <c r="G25" i="15"/>
  <c r="G26" i="15" s="1"/>
  <c r="E26" i="15"/>
  <c r="G22" i="12"/>
  <c r="H22" i="12"/>
  <c r="G31" i="15"/>
  <c r="G9" i="12"/>
  <c r="G26" i="12"/>
  <c r="G8" i="12"/>
  <c r="G6" i="12"/>
  <c r="H20" i="15"/>
  <c r="G10" i="12"/>
  <c r="G5" i="12"/>
  <c r="H25" i="12"/>
  <c r="G12" i="12"/>
  <c r="G27" i="12"/>
  <c r="G29" i="12"/>
  <c r="H13" i="12"/>
  <c r="H21" i="12"/>
  <c r="G30" i="12"/>
  <c r="H23" i="12"/>
  <c r="I36" i="15"/>
  <c r="G41" i="12" l="1"/>
  <c r="H41" i="12"/>
  <c r="G11" i="15"/>
  <c r="G15" i="15"/>
  <c r="E41" i="15"/>
  <c r="F41" i="15"/>
  <c r="I37" i="14"/>
  <c r="L242" i="35"/>
  <c r="M242" i="35" s="1"/>
  <c r="J37" i="14"/>
  <c r="I26" i="15"/>
  <c r="H32" i="15"/>
  <c r="H33" i="15" s="1"/>
  <c r="G32" i="15"/>
  <c r="G33" i="15" s="1"/>
  <c r="G30" i="15"/>
  <c r="E45" i="12"/>
  <c r="H13" i="15"/>
  <c r="H24" i="15"/>
  <c r="I24" i="15"/>
  <c r="H30" i="15"/>
  <c r="H17" i="15"/>
  <c r="I23" i="15"/>
  <c r="G24" i="15"/>
  <c r="G13" i="15"/>
  <c r="H41" i="15" l="1"/>
  <c r="G41" i="15"/>
  <c r="J38" i="14"/>
  <c r="I38" i="14"/>
  <c r="E43" i="15"/>
  <c r="I39" i="14" l="1"/>
  <c r="J39" i="14"/>
  <c r="H43" i="15"/>
  <c r="A741" i="34"/>
  <c r="J40" i="14" l="1"/>
  <c r="I40" i="14"/>
  <c r="B741" i="34"/>
  <c r="I41" i="14" l="1"/>
  <c r="J41" i="14"/>
  <c r="J42" i="14" s="1"/>
  <c r="I42" i="14" l="1"/>
  <c r="I43" i="14" l="1"/>
  <c r="J43" i="14"/>
  <c r="J44" i="14" l="1"/>
  <c r="I44" i="14"/>
  <c r="I45" i="14" l="1"/>
  <c r="J45" i="14"/>
  <c r="J46" i="14" l="1"/>
  <c r="I46" i="14"/>
  <c r="I47" i="14" l="1"/>
  <c r="J47" i="14"/>
  <c r="J48" i="14" l="1"/>
  <c r="I48" i="14"/>
  <c r="I49" i="14" l="1"/>
  <c r="J49" i="14"/>
  <c r="J50" i="14" l="1"/>
  <c r="I50" i="14"/>
</calcChain>
</file>

<file path=xl/comments1.xml><?xml version="1.0" encoding="utf-8"?>
<comments xmlns="http://schemas.openxmlformats.org/spreadsheetml/2006/main">
  <authors>
    <author>User 1</author>
  </authors>
  <commentList>
    <comment ref="L243" authorId="0">
      <text>
        <r>
          <rPr>
            <b/>
            <sz val="9"/>
            <color indexed="81"/>
            <rFont val="Tahoma"/>
            <family val="2"/>
          </rPr>
          <t>20/5 : 33tr (CMD)
12/5 : 150tr (Phúc Vinh)
27/7: 327.600 ( Thiên Phú)</t>
        </r>
      </text>
    </comment>
  </commentList>
</comments>
</file>

<file path=xl/sharedStrings.xml><?xml version="1.0" encoding="utf-8"?>
<sst xmlns="http://schemas.openxmlformats.org/spreadsheetml/2006/main" count="6808" uniqueCount="1169">
  <si>
    <t>Diễn giải</t>
  </si>
  <si>
    <t>Ủng hộ vận động Nghĩa Tình Trà Vinh</t>
  </si>
  <si>
    <t>Thuế môn bài 2012</t>
  </si>
  <si>
    <t>Thuế môn bài 2013</t>
  </si>
  <si>
    <t>Thuế môn bài 2011</t>
  </si>
  <si>
    <t>Ứng tiền cọc betong Tân Tài</t>
  </si>
  <si>
    <t>Ứng tiền cọc betong IBS</t>
  </si>
  <si>
    <t>Thuế môn bài 2014</t>
  </si>
  <si>
    <t>Tạm ứng tiền XD CSHT - Công  Nghệ Môi Trường CMD</t>
  </si>
  <si>
    <t>Ứng tiển thiết kế - Kiến Trúc XD Bách Việt</t>
  </si>
  <si>
    <t>Chứng từ</t>
  </si>
  <si>
    <t>A</t>
  </si>
  <si>
    <t>B</t>
  </si>
  <si>
    <t>C</t>
  </si>
  <si>
    <t>D</t>
  </si>
  <si>
    <t>E</t>
  </si>
  <si>
    <t>- Số dư đầu kỳ</t>
  </si>
  <si>
    <t>GBN</t>
  </si>
  <si>
    <t>331</t>
  </si>
  <si>
    <t>1331</t>
  </si>
  <si>
    <t>T01</t>
  </si>
  <si>
    <t>GBC</t>
  </si>
  <si>
    <t>T02</t>
  </si>
  <si>
    <t>Phí kiểm đếm</t>
  </si>
  <si>
    <t>VAT Phí kiểm đếm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</si>
  <si>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</si>
  <si>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</si>
  <si>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</si>
  <si>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</si>
  <si>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</si>
  <si>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</si>
  <si>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</si>
  <si>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</si>
  <si>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</si>
  <si>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 xml:space="preserve">Phí chuyển tiền </t>
  </si>
  <si>
    <t xml:space="preserve">VAT Phí chuyển tiền </t>
  </si>
  <si>
    <t>Phí điều chỉnh lệnh chi tiền</t>
  </si>
  <si>
    <t>VAT Phí điều chỉnh lệnh chi tiền</t>
  </si>
  <si>
    <t>An Lạc - Ứng vốn</t>
  </si>
  <si>
    <t>3388</t>
  </si>
  <si>
    <t>3338</t>
  </si>
  <si>
    <t>Phí NH</t>
  </si>
  <si>
    <t>x</t>
  </si>
  <si>
    <t>Phí duy trì DV SMS</t>
  </si>
  <si>
    <t>VAT Phí duy trì DV SMS</t>
  </si>
  <si>
    <t>An Lạc LA- Ứng vốn</t>
  </si>
  <si>
    <t>VAT Phí NH</t>
  </si>
  <si>
    <t>Phí duy trì DV SMS - 0982911262</t>
  </si>
  <si>
    <t>Phí duy trì DV SMS - 0913906967</t>
  </si>
  <si>
    <t>Phí duy trì DV SMS - 0903921945</t>
  </si>
  <si>
    <t>Ngày tháng ghi sổ</t>
  </si>
  <si>
    <t>Số phát sinh</t>
  </si>
  <si>
    <t>Nợ</t>
  </si>
  <si>
    <t>Có</t>
  </si>
  <si>
    <t>1121</t>
  </si>
  <si>
    <t>4111</t>
  </si>
  <si>
    <t>Lệ phí cục thuế Trà Vinh</t>
  </si>
  <si>
    <t>Đóng góp tiền xây dựng quỹ an sinh xã hội</t>
  </si>
  <si>
    <t>Phí chuyển tiền</t>
  </si>
  <si>
    <t>Nộp thuế môn bài 2008</t>
  </si>
  <si>
    <t>Nộp thuế môn bài 2009</t>
  </si>
  <si>
    <t>Phí khắc dấu</t>
  </si>
  <si>
    <t>Phí thanh lý hợp đồng số 136/HĐ-VPPKQDA</t>
  </si>
  <si>
    <t>Lệ phí cấp giấy cục thuế Trà Vinh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</si>
  <si>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</si>
  <si>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</si>
  <si>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</si>
  <si>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</si>
  <si>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</si>
  <si>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</si>
  <si>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</si>
  <si>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C05</t>
  </si>
  <si>
    <t>C04</t>
  </si>
  <si>
    <t>C01</t>
  </si>
  <si>
    <t>- Cộng số phát sinh</t>
  </si>
  <si>
    <t>- Sổ này có  02 trang, đánh số từ trang 01 đến trang 02</t>
  </si>
  <si>
    <t>- Ngày mở sổ: 02/01/2009</t>
  </si>
  <si>
    <t>Ngày 31 tháng  12  năm  2009</t>
  </si>
  <si>
    <t>CTGS</t>
  </si>
  <si>
    <t>STT</t>
  </si>
  <si>
    <t>ĐƠN VỊ</t>
  </si>
  <si>
    <t>ĐẦU KỲ</t>
  </si>
  <si>
    <t>PHÁT SINH</t>
  </si>
  <si>
    <t>BQL Khu Kinh Tế Trà Vinh</t>
  </si>
  <si>
    <t>VAT CSHT - KCN Long Đức</t>
  </si>
  <si>
    <t>Cty TNHH MTV XD TM DV Khánh Trân</t>
  </si>
  <si>
    <t>Cty TNHH MTV Công Nghệ Môi Trường CDM</t>
  </si>
  <si>
    <t>Lập báo cáo dự án - Trà Vinh</t>
  </si>
  <si>
    <t>VAT Lập báo cáo dự án - Trà Vinh</t>
  </si>
  <si>
    <t>Cty Cổ Phần Bê Tông IBS</t>
  </si>
  <si>
    <t>Cty Kiến Trúc XD Bách Việt</t>
  </si>
  <si>
    <t>Cty Bê Tông Tân Tài</t>
  </si>
  <si>
    <t>C02</t>
  </si>
  <si>
    <t>C03</t>
  </si>
  <si>
    <t>TỔNG CỘNG</t>
  </si>
  <si>
    <t>Phí DV internet banking</t>
  </si>
  <si>
    <t>VAT Phí DV internet banking</t>
  </si>
  <si>
    <t>341</t>
  </si>
  <si>
    <t>Lãi tiền gửi</t>
  </si>
  <si>
    <t>515</t>
  </si>
  <si>
    <t>Cọc bê tông</t>
  </si>
  <si>
    <t>VAT Cọc bê tông</t>
  </si>
  <si>
    <t>SỐ DƯ CUỐI KỲ</t>
  </si>
  <si>
    <t>NỢ</t>
  </si>
  <si>
    <t>CÓ</t>
  </si>
  <si>
    <t>Hợp đồng giao khoán số 13/HDGK/2014</t>
  </si>
  <si>
    <t>VAT Hợp đồng giao khoán số 13/HDGK/2014</t>
  </si>
  <si>
    <t>Thanh toán hợp đồng giao khoán số 13/HDGK/2014</t>
  </si>
  <si>
    <t>Cty Cổ Phần Xây Dựng Hiền Phúc</t>
  </si>
  <si>
    <t>BQL Dự Án Xây Dựng Dân Dụng &amp; Công Nghiệp Trà Vinh</t>
  </si>
  <si>
    <t>Tạm ứng tiền dự án</t>
  </si>
  <si>
    <t>Cty CP Cơ Khí Kim Loại Xây Dựng Hoàng Kim</t>
  </si>
  <si>
    <t>Thanh toán tiền xây dựng - Khánh Trân</t>
  </si>
  <si>
    <t>Thanh toán tiền xây dựng</t>
  </si>
  <si>
    <t>Thanh toán CSHT - KCN Long Đức</t>
  </si>
  <si>
    <t>Thuê quyền SDĐ - KCN Long Đức 26/8/10-15/9/11</t>
  </si>
  <si>
    <t>Tiền sử dụng CSHT - KCN Long Đức 15/9/11-15/9/12</t>
  </si>
  <si>
    <t>Tiền sử dụng CSHT - KCN Long Đức 15/9/13-15/9/14</t>
  </si>
  <si>
    <t>Vay KU 1402LDS201401630</t>
  </si>
  <si>
    <t>Lãi vay KU 1402LDS201401630</t>
  </si>
  <si>
    <t xml:space="preserve">Phí điểu chỉnh lệnh chuyển tiền </t>
  </si>
  <si>
    <t>VAT Phí điểu chỉnh lệnh chuyển tiền</t>
  </si>
  <si>
    <t>Cọc bêtong</t>
  </si>
  <si>
    <t>VAT Cọc bêtong</t>
  </si>
  <si>
    <t>Phí hạ tầng - KCN Long Đức 15/09/14 - 15/09/15</t>
  </si>
  <si>
    <t>Thanh toán tiền dự án cấp thoát nước</t>
  </si>
  <si>
    <t>Thanh toán CSHT - KCN Long Đức 15/09/14 - 15/09/15</t>
  </si>
  <si>
    <t>Vay KU 1402LDS201402374</t>
  </si>
  <si>
    <t>Thanh toán tiền đá - Hồng Rõ</t>
  </si>
  <si>
    <t>Cty TNHH Một Thành Viên Cấp Thoát Nước Trà Vinh</t>
  </si>
  <si>
    <t>Đá 0 x 4</t>
  </si>
  <si>
    <t>VAT Đá 0 x 4</t>
  </si>
  <si>
    <t>Cty TNHH Xây Dựng Thương Mại Hồng Rõ</t>
  </si>
  <si>
    <t>C06</t>
  </si>
  <si>
    <t>C07</t>
  </si>
  <si>
    <t>C08</t>
  </si>
  <si>
    <t>Tiền mạng lưới cấp thoát nước</t>
  </si>
  <si>
    <t>VAT Tiền mạng lưới cấp thoát nước</t>
  </si>
  <si>
    <t>Cty TNHH MTV Thanh Hoàng Thanh</t>
  </si>
  <si>
    <t>Vay KU 1402LDS201402740</t>
  </si>
  <si>
    <t xml:space="preserve">Lãi vay KU 1402LDS201401630 </t>
  </si>
  <si>
    <t>Lãi vay KU 1402LDS201402000</t>
  </si>
  <si>
    <t>Vay KU 1402LDS201403045</t>
  </si>
  <si>
    <t>Lãi vay KU 1402LDS201402374</t>
  </si>
  <si>
    <t>Lãi vay KU 1402LDS201402740</t>
  </si>
  <si>
    <t>Lãi vay KU 1402LDS201403045</t>
  </si>
  <si>
    <t>Vay KU 1402LDS201500362</t>
  </si>
  <si>
    <t>Lãi vay KU 1402LDS201500362</t>
  </si>
  <si>
    <t>Vay KU 1402LDS201500909</t>
  </si>
  <si>
    <t>Thuế môn bài 2015</t>
  </si>
  <si>
    <t>Cty CP Kỹ Nghệ Cách Nhiệt Gia Nguyên</t>
  </si>
  <si>
    <t>Cty TNHH Sản Xuất Cơ Khí Nghĩa Thành Công</t>
  </si>
  <si>
    <t>Cty TNHH XD &amp; Phòng cháy Chữa Cháy Trung Nam</t>
  </si>
  <si>
    <t>Nộp thuế môn bài 2010</t>
  </si>
  <si>
    <t>C09</t>
  </si>
  <si>
    <t>Đăng kí chữ ký số</t>
  </si>
  <si>
    <t>VAT Đăng kí chữ ký số</t>
  </si>
  <si>
    <t>C10</t>
  </si>
  <si>
    <t>C11</t>
  </si>
  <si>
    <t>Thạch cao Gypsoc 9mm</t>
  </si>
  <si>
    <t>VAT Thạch cao Gypsoc 9mm</t>
  </si>
  <si>
    <t>Khung trần nối</t>
  </si>
  <si>
    <t>VAT Khung trần nối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</si>
  <si>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</si>
  <si>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</si>
  <si>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</si>
  <si>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</si>
  <si>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</si>
  <si>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</si>
  <si>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</si>
  <si>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</si>
  <si>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</si>
  <si>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Cty TNHH MTV XD Công Trình Phúc Vinh</t>
  </si>
  <si>
    <t>Thanh toán tiền - Nghĩa Thành Công</t>
  </si>
  <si>
    <t>Vay KU 1402LDS201501248</t>
  </si>
  <si>
    <t>Thanh toán tiền xây dựng - Thanh Hoàng Thanh</t>
  </si>
  <si>
    <t>Thanh toán tiền xây dựng - Nguyễn Trình</t>
  </si>
  <si>
    <t>Thanh toán tiền xây dựng - Phúc Vinh</t>
  </si>
  <si>
    <t>Vay KU 1402LDS201501494</t>
  </si>
  <si>
    <t>Thanh toán tiền giám sát kỹ thuật thi công xây dựng</t>
  </si>
  <si>
    <t>Tạm ứng tiền theo dõi môi trường công trình xây dựng</t>
  </si>
  <si>
    <t xml:space="preserve">Thanh toán tiền công trình </t>
  </si>
  <si>
    <t>Thanh toán tiền cách nhiệt</t>
  </si>
  <si>
    <t>Thanh toán tiền PCCC</t>
  </si>
  <si>
    <t>Khách Hàng</t>
  </si>
  <si>
    <t>Đối tượng:</t>
  </si>
  <si>
    <t>Mẫu số S31-DN</t>
  </si>
  <si>
    <t>(Ban hành theo Thông tư số 200/2014/TT-BTC Ngày 22/12/2014 của Bộ Tài chính)</t>
  </si>
  <si>
    <t>Cty TNHH MTV Cấp Thoát Nước Trà Vinh</t>
  </si>
  <si>
    <t>Thuê quyền SDĐ - KCN Long Đức 08/03/14-08/03/15</t>
  </si>
  <si>
    <t>DNTN Lê Tấn Phát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</si>
  <si>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</si>
  <si>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</si>
  <si>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</si>
  <si>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</si>
  <si>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</si>
  <si>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</si>
  <si>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</si>
  <si>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</si>
  <si>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</si>
  <si>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</si>
  <si>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</si>
  <si>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</si>
  <si>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</si>
  <si>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</si>
  <si>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</si>
  <si>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</si>
  <si>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</si>
  <si>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</si>
  <si>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</si>
  <si>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</si>
  <si>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</si>
  <si>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</si>
  <si>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</si>
  <si>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</si>
  <si>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</si>
  <si>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</si>
  <si>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</si>
  <si>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</si>
  <si>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</si>
  <si>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</si>
  <si>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</si>
  <si>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</si>
  <si>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</si>
  <si>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</si>
  <si>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</si>
  <si>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</si>
  <si>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</si>
  <si>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Các khoản đi vay 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</si>
  <si>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</si>
  <si>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</si>
  <si>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</si>
  <si>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</si>
  <si>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</si>
  <si>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</si>
  <si>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</si>
  <si>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</si>
  <si>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</si>
  <si>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</si>
  <si>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</si>
  <si>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</si>
  <si>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</si>
  <si>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</si>
  <si>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</si>
  <si>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</si>
  <si>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</si>
  <si>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</si>
  <si>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</si>
  <si>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</si>
  <si>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</si>
  <si>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</si>
  <si>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</si>
  <si>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</si>
  <si>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</si>
  <si>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</si>
  <si>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</si>
  <si>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</si>
  <si>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</si>
  <si>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</si>
  <si>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</si>
  <si>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</si>
  <si>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</si>
  <si>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</si>
  <si>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</si>
  <si>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</si>
  <si>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năm</t>
  </si>
  <si>
    <t>tháng</t>
  </si>
  <si>
    <t>Cty TNHH Hải Sản An Lạc - Long An</t>
  </si>
  <si>
    <t>Cty TNHH Hải Sản An Lạc - TP</t>
  </si>
  <si>
    <t>Cty TNHH Phi Hải</t>
  </si>
  <si>
    <t>Sơn Expo</t>
  </si>
  <si>
    <t>Cơ Sở Mai Thu</t>
  </si>
  <si>
    <t>Phạm Thị Đông</t>
  </si>
  <si>
    <t>Lãi vay KU 1402LDS201500909</t>
  </si>
  <si>
    <t>Thanh toán tiền xây dựng - Phi Hải</t>
  </si>
  <si>
    <t>Phí thuê QSDĐ 09/3/15 đến 6/3/16</t>
  </si>
  <si>
    <t>Thanh toán tiền vật tư - Tấn Phát</t>
  </si>
  <si>
    <t>Thanh toán tiền nước T3 + T4/2015</t>
  </si>
  <si>
    <t>VAT Tiền nước T3 + T4/2015</t>
  </si>
  <si>
    <t>Ký quỹ FTTH + điện thoại CĐ</t>
  </si>
  <si>
    <t>TT Kinh Doanh Viễn Thông Trà Vinh</t>
  </si>
  <si>
    <t>Phí hòa mạng điện thoại CĐ</t>
  </si>
  <si>
    <t>VAT Phí hòa mạng điện thoại CĐ</t>
  </si>
  <si>
    <t>Thanh toán phí thuê QSDĐ 09/3/15 đến 6/3/16</t>
  </si>
  <si>
    <t>Cừ tràm</t>
  </si>
  <si>
    <t>DNTN Hai Lượm</t>
  </si>
  <si>
    <t>VAT Phí thuê QSDĐ 09/3/15 đến 6/3/16</t>
  </si>
  <si>
    <t>Thanh toán tiền nước T5/2015</t>
  </si>
  <si>
    <t>VAT Thanh toán tiền nước T5/2015</t>
  </si>
  <si>
    <t>Thi công công trình theo HĐXD số 07/2014/HĐXD</t>
  </si>
  <si>
    <t>VAT Thi công công trình theo HĐXD số 07/2014/HĐXD</t>
  </si>
  <si>
    <t>Sắt gân</t>
  </si>
  <si>
    <t>VAT Sắt gân</t>
  </si>
  <si>
    <t>0004100</t>
  </si>
  <si>
    <t>0004099</t>
  </si>
  <si>
    <t>Sắt, thép xây dựng</t>
  </si>
  <si>
    <t>VAT Sắt, thép xây dựng</t>
  </si>
  <si>
    <t>0004098</t>
  </si>
  <si>
    <t>Cống, gối cống</t>
  </si>
  <si>
    <t>VAT Cống, gối cống</t>
  </si>
  <si>
    <t>DNTN SX - TM Nguyễn Trình</t>
  </si>
  <si>
    <t>Thanh toán tiền công trình</t>
  </si>
  <si>
    <t>Cty CP Điện Nước Quang Phúc</t>
  </si>
  <si>
    <t>Lãi vay KU 1402LDS201501248</t>
  </si>
  <si>
    <t>Lãi vay KU 1402LDS201501494</t>
  </si>
  <si>
    <t>Cty CP Lưới Hàn Thiên Phú</t>
  </si>
  <si>
    <t>Cty TNHH Kỹ Thuật Cơ Điện M &amp; E</t>
  </si>
  <si>
    <t>Thanh toán tiền bảo hiểm xây dựng</t>
  </si>
  <si>
    <t>Nguyễn Thiện Duyệt</t>
  </si>
  <si>
    <t>0016167</t>
  </si>
  <si>
    <t>Bảo hiểm xây dựng - Bảo Long</t>
  </si>
  <si>
    <t>VAT Bảo hiểm xây dựng - Bảo Long</t>
  </si>
  <si>
    <t>Công Ty Bảo Hiểm Bảo Long Nam Sài Gòn</t>
  </si>
  <si>
    <t>Vay KU 1402LDS201402000</t>
  </si>
  <si>
    <t>KU 1402LDS201401630</t>
  </si>
  <si>
    <t>KU 1402LDS201402000</t>
  </si>
  <si>
    <t>KU 1402LDS201402740</t>
  </si>
  <si>
    <t>KU 1402LDS201402374</t>
  </si>
  <si>
    <t>KU 1402LDS201403045</t>
  </si>
  <si>
    <t>KU 1402LDS201500362</t>
  </si>
  <si>
    <t>KU 1402LDS201500909</t>
  </si>
  <si>
    <t>KU 1402LDS201501248</t>
  </si>
  <si>
    <t>KU 1402LDS201501494</t>
  </si>
  <si>
    <t>Vay KU 1402LDS201501796</t>
  </si>
  <si>
    <t>KU 1402LDS201501796</t>
  </si>
  <si>
    <t>Vay KU 1402LDS201502113</t>
  </si>
  <si>
    <t>KU 1402LDS201502113</t>
  </si>
  <si>
    <t>0000768</t>
  </si>
  <si>
    <t>Lưới thép hàn D8a 150</t>
  </si>
  <si>
    <t>VAT Lưới thép hàn D8a 150</t>
  </si>
  <si>
    <t>Thép</t>
  </si>
  <si>
    <t>DNTN Dương Phát</t>
  </si>
  <si>
    <t>VAT Thép</t>
  </si>
  <si>
    <t xml:space="preserve">Sika Floor </t>
  </si>
  <si>
    <t xml:space="preserve">VAT Sika Floor </t>
  </si>
  <si>
    <t>Cty TNHH MTV TM DV Huỳnh Toàn</t>
  </si>
  <si>
    <t>Tiền nước T6/2015</t>
  </si>
  <si>
    <t>VAT Tiền nước T6/2015</t>
  </si>
  <si>
    <t>Màng công trình</t>
  </si>
  <si>
    <t>Cửa Hàng Gia Nhu</t>
  </si>
  <si>
    <t>Cước điện thoại T6/2015 - 005</t>
  </si>
  <si>
    <t>VAT Cước điện thoại T6/2015 - 005</t>
  </si>
  <si>
    <t>Cước điện thoại T6/2015 - 006</t>
  </si>
  <si>
    <t>VAT Cước điện thoại T6/2015 - 006</t>
  </si>
  <si>
    <t>Cước Internet T6/2015</t>
  </si>
  <si>
    <t>VAT Cước Internet T6/2015</t>
  </si>
  <si>
    <t>Vữa chống thấm</t>
  </si>
  <si>
    <t>VAT Vữa chống thấm</t>
  </si>
  <si>
    <t>Cty TNHH Xây Dựng Thế Hưng</t>
  </si>
  <si>
    <t>0004537</t>
  </si>
  <si>
    <t>Bê tông M250</t>
  </si>
  <si>
    <t>VAT Bê tông M250</t>
  </si>
  <si>
    <t>0004539</t>
  </si>
  <si>
    <t>Bê tông M200 R28</t>
  </si>
  <si>
    <t>VAT Bê tông M200 R28</t>
  </si>
  <si>
    <t>0004589</t>
  </si>
  <si>
    <t>0011884</t>
  </si>
  <si>
    <t>Cty TNHH SX TM Nam Đại Thành</t>
  </si>
  <si>
    <t>Bồn inox 10.000L</t>
  </si>
  <si>
    <t>VAT Bồn inox 10.000L</t>
  </si>
  <si>
    <t>KHÁCH HÀNG</t>
  </si>
  <si>
    <t>SỐ HĐ</t>
  </si>
  <si>
    <t>NGÀY HĐ</t>
  </si>
  <si>
    <t>HỢP ĐỒNG - NH (10%VAT)</t>
  </si>
  <si>
    <t>GIÁ TRỊ THỰC TẾ</t>
  </si>
  <si>
    <t>NGÀY THANH TOÁN</t>
  </si>
  <si>
    <t>GHI CHÚ</t>
  </si>
  <si>
    <t>GIÁ TRỊ HĐ</t>
  </si>
  <si>
    <t>THANH TOÁN</t>
  </si>
  <si>
    <t>Thuê QSDĐ 26/8/08-15/9/09</t>
  </si>
  <si>
    <t>Thuê QSDĐ 26/8/09-15/9/10</t>
  </si>
  <si>
    <t>TP- Chuyển NH</t>
  </si>
  <si>
    <t>Thuê QSDĐ 26/8/10-15/9/11</t>
  </si>
  <si>
    <t>Thanh toán NH</t>
  </si>
  <si>
    <t>Thuê QSDĐ 15/9/11-15/9/12</t>
  </si>
  <si>
    <t>Thuê QSDĐ 15/9/12-15/9/13</t>
  </si>
  <si>
    <t>Thuê QSDĐ 15/9/13-15/9/14</t>
  </si>
  <si>
    <t>Thuê QSDĐ 8/3/14 - 8/3/15</t>
  </si>
  <si>
    <t>Phí hạ tầng 15/9/14-15/9/15</t>
  </si>
  <si>
    <t>Thuê QSDĐ 9/3/15 - 6/3/16</t>
  </si>
  <si>
    <t>CÒN LẠI</t>
  </si>
  <si>
    <t>18-11/HĐ-DVMT-2013</t>
  </si>
  <si>
    <t>13/HĐGK/2014</t>
  </si>
  <si>
    <t>Cty TNHH XDTM Hồng Rõ</t>
  </si>
  <si>
    <t>Bảo Hiểm Bảo Long</t>
  </si>
  <si>
    <t>30/HĐTK.TCXDCT</t>
  </si>
  <si>
    <t>27/02/2014/HĐKT/BT IBS PKD DA1</t>
  </si>
  <si>
    <t>Thanh toán TM</t>
  </si>
  <si>
    <t>22/HĐEC.13</t>
  </si>
  <si>
    <t>20.3 HĐ/TVTK.2013</t>
  </si>
  <si>
    <t>01/HĐXD-2011</t>
  </si>
  <si>
    <t>Thu TM</t>
  </si>
  <si>
    <t>07/2014/HĐXD (27.013.067.000)</t>
  </si>
  <si>
    <t>TM : 10ty</t>
  </si>
  <si>
    <t>02-14/HĐTC (Kết cấu thép)</t>
  </si>
  <si>
    <t>01-2015/HĐTC (kết cấu nhà xe, mái nối, thang leo, lang cang,cửa cổng)</t>
  </si>
  <si>
    <t>15/01/2015/HĐKT</t>
  </si>
  <si>
    <t>17/2015</t>
  </si>
  <si>
    <t>13/2013/HĐKT</t>
  </si>
  <si>
    <t>01/2015/HĐKT</t>
  </si>
  <si>
    <t>DNTN SX TM Nguyễn Trình</t>
  </si>
  <si>
    <t>36/2015/HĐMB/NT</t>
  </si>
  <si>
    <t>03/HĐ/2015</t>
  </si>
  <si>
    <t>14/HĐKT.15</t>
  </si>
  <si>
    <t>../2015/HĐXL</t>
  </si>
  <si>
    <t>151/2015/TP/HĐKT</t>
  </si>
  <si>
    <t>1606/HĐKT/M&amp;E/2015</t>
  </si>
  <si>
    <t>Cty TNHH Xây Dựng Hoàn Cầu</t>
  </si>
  <si>
    <t>05/HĐ-XD</t>
  </si>
  <si>
    <t>TỔNG CỘNG CHI PHÍ</t>
  </si>
  <si>
    <t>0000412</t>
  </si>
  <si>
    <t>VAT vật liệu xây dựng</t>
  </si>
  <si>
    <t>0000413</t>
  </si>
  <si>
    <t>0000415</t>
  </si>
  <si>
    <t>Kỹ Thuật</t>
  </si>
  <si>
    <t>Ký quỹ trả tiền xây dựng</t>
  </si>
  <si>
    <t>Vay KU 1402LDS201502211</t>
  </si>
  <si>
    <t>KU 1402LDS201502211</t>
  </si>
  <si>
    <t>Lãi vay KU 1402LDS201501796</t>
  </si>
  <si>
    <t>Thanh toán tiền bồn Inox</t>
  </si>
  <si>
    <t>Thưởng NH</t>
  </si>
  <si>
    <t>Vay KU 1402LDS201502415</t>
  </si>
  <si>
    <t>KU 1402LDS201502415</t>
  </si>
  <si>
    <t>Phí bảo lãnh ký quỹ</t>
  </si>
  <si>
    <t>Giải tỏa ký quỹ</t>
  </si>
  <si>
    <t>TỔNG HỢP TÀI KHOẢN 331</t>
  </si>
  <si>
    <t>HĐ : 0011884</t>
  </si>
  <si>
    <t>Đào giếng &amp; tiền xe VC</t>
  </si>
  <si>
    <t>Chi phí khác bằng tiền mặt không hóa đơn</t>
  </si>
  <si>
    <t>Tủ tài liệu &amp; bàng làm việc</t>
  </si>
  <si>
    <t xml:space="preserve"> HÓA ĐƠN</t>
  </si>
  <si>
    <t>Nguyễn Thiện Duy</t>
  </si>
  <si>
    <t>Ghế, bàn họp</t>
  </si>
  <si>
    <t>VAT Ghế, bàn họp</t>
  </si>
  <si>
    <t>Cty TNHH SX - TM - DV Tài Nguyên</t>
  </si>
  <si>
    <t>Bàn inox</t>
  </si>
  <si>
    <t>Cty TNHH SX TM Trang Trí Nội Thất Inox Nhơn Hòa</t>
  </si>
  <si>
    <t>VAT Bàn inox</t>
  </si>
  <si>
    <t>0000113</t>
  </si>
  <si>
    <t>Bộ chữ Alu, bộ chữ Inox (bảng hiệu)</t>
  </si>
  <si>
    <t>VAT Bộ chữ Alu, bộ chữ Inox (bảng hiệu)</t>
  </si>
  <si>
    <t>Cty TNHH MTV Quảng Cáo Tấn Phong</t>
  </si>
  <si>
    <t>0001388</t>
  </si>
  <si>
    <t>Gạch men</t>
  </si>
  <si>
    <t>VAT Gạch men</t>
  </si>
  <si>
    <t>0000042</t>
  </si>
  <si>
    <t>Thi công sản xuất lắp dựng kết cấu thép nhà xưởng</t>
  </si>
  <si>
    <t>VAT Thi công sản xuất lắp dựng kết cấu thép nhà xưởng</t>
  </si>
  <si>
    <t>Máy mài, máy cắt, máy khoan</t>
  </si>
  <si>
    <t>VAT Máy mài, máy cắt, máy khoan</t>
  </si>
  <si>
    <t>Dụng cụ cầm tay</t>
  </si>
  <si>
    <t>Cty TNHH Kim Minh C.L</t>
  </si>
  <si>
    <t>Cửa Hàng Quách Liên</t>
  </si>
  <si>
    <t>……../HTXL-2015</t>
  </si>
  <si>
    <t>Cty TNHH Thương Mại Trang Trí Nội Thất Kiến Hưng</t>
  </si>
  <si>
    <t>Vay KU 1402LDS201502591</t>
  </si>
  <si>
    <t>KU 1402LDS201502591</t>
  </si>
  <si>
    <t>Dụng cụ sửa kho lạnh</t>
  </si>
  <si>
    <t>Cơ sở Điện Lạnh Công</t>
  </si>
  <si>
    <t>Máy bơm nước</t>
  </si>
  <si>
    <t>Cửa Hàng Điện Cơ Minh</t>
  </si>
  <si>
    <t>Điện Cơ Châu Tấn</t>
  </si>
  <si>
    <t>0000439</t>
  </si>
  <si>
    <t>Vật liệu xây dựng</t>
  </si>
  <si>
    <t>VAT Vật liệu xây dựng</t>
  </si>
  <si>
    <t>Lãi vay KU 1402LDS201502113</t>
  </si>
  <si>
    <t>Lãi vay KU 1402LDS201502211</t>
  </si>
  <si>
    <t>Thanh toán tiền bảng hiệu quảng cáo</t>
  </si>
  <si>
    <t>Thanh toán tiền HĐ: 0001388</t>
  </si>
  <si>
    <t>Ống thun, dây điện</t>
  </si>
  <si>
    <t>Cửa Hàng Hiền Thành</t>
  </si>
  <si>
    <t>0005075</t>
  </si>
  <si>
    <t>Bêtông M250</t>
  </si>
  <si>
    <t>VAT Bêtông M250</t>
  </si>
  <si>
    <t>0000004</t>
  </si>
  <si>
    <t>Cung cấp vật tư thi công, lắp đặt hệ thống tủ điện, cáp động lực chiếu sáng, cấp thoát nước nhà xưởng</t>
  </si>
  <si>
    <t>VAT Cung cấp vật tư thi công, lắp đặt hệ thống tủ điện, cáp động lực chiếu sáng, cấp thoát nước nhà xưởng</t>
  </si>
  <si>
    <t>0000226</t>
  </si>
  <si>
    <t>Thi công xây dựng công trình đường dây trung thế, trạm biến áp</t>
  </si>
  <si>
    <t>Phí giao thông</t>
  </si>
  <si>
    <t>VAT  Phí giao thông</t>
  </si>
  <si>
    <t>Cty TNHH TM Trang Trí Nội Thất Kiến Hưng</t>
  </si>
  <si>
    <t>Tiền nước T8/2015</t>
  </si>
  <si>
    <t>VAT Tiền nước T8/2015</t>
  </si>
  <si>
    <t>DNTN Hiệp Thành</t>
  </si>
  <si>
    <t>Giường MDF &amp; Bàn SV</t>
  </si>
  <si>
    <t>VAT Giường MDF &amp; Bàn SV</t>
  </si>
  <si>
    <t>Nệm, Bàn HQ, Tủ SM, Bàn HQ</t>
  </si>
  <si>
    <t>VAT Nệm, Bàn HQ, Tủ SM, Bàn HQ</t>
  </si>
  <si>
    <t>Tủ hồ sơ, tủ áo</t>
  </si>
  <si>
    <t>VAT Tủ hồ sơ, tủ áo</t>
  </si>
  <si>
    <t>0005498</t>
  </si>
  <si>
    <t>Thép, Ống vuông Inox, tôn lạnh</t>
  </si>
  <si>
    <t>VAT Thép, Ống vuông Inox, tôn lạnh</t>
  </si>
  <si>
    <t>HĐ : 4537,4539,4589,5498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</si>
  <si>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</si>
  <si>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</si>
  <si>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</si>
  <si>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</si>
  <si>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</si>
  <si>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</si>
  <si>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</si>
  <si>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</si>
  <si>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</si>
  <si>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</si>
  <si>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</si>
  <si>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</si>
  <si>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</si>
  <si>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</si>
  <si>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</si>
  <si>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</si>
  <si>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</si>
  <si>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Số chứng từ</t>
  </si>
  <si>
    <t>Đặng Thành Thang</t>
  </si>
  <si>
    <t>0009268</t>
  </si>
  <si>
    <t>Đặng Vũ Thụy</t>
  </si>
  <si>
    <t>Giấy nộp tiền</t>
  </si>
  <si>
    <t>0020006, 038615</t>
  </si>
  <si>
    <t>031407</t>
  </si>
  <si>
    <t>0010228, 00100230</t>
  </si>
  <si>
    <t>Cục Thuế Tỉnh Trà Vinh</t>
  </si>
  <si>
    <t>0007164</t>
  </si>
  <si>
    <t>0065722</t>
  </si>
  <si>
    <t>Cty TNHH Kê Khai Qua Mạng Việt Nam</t>
  </si>
  <si>
    <t>0000531</t>
  </si>
  <si>
    <t>DNTN SX - TM - DV Thành Phát NHT</t>
  </si>
  <si>
    <t>0000536</t>
  </si>
  <si>
    <t>0003021</t>
  </si>
  <si>
    <t>0003100</t>
  </si>
  <si>
    <t>Cty CP Công Nghiệp Vĩnh Tường</t>
  </si>
  <si>
    <t>0034349, 0068947</t>
  </si>
  <si>
    <t>0109337</t>
  </si>
  <si>
    <t>0064352</t>
  </si>
  <si>
    <t>Phiếu thu</t>
  </si>
  <si>
    <t>0003596</t>
  </si>
  <si>
    <t>0001331</t>
  </si>
  <si>
    <t>0000110</t>
  </si>
  <si>
    <t>0147698</t>
  </si>
  <si>
    <t>0000112</t>
  </si>
  <si>
    <t>0000915</t>
  </si>
  <si>
    <t>0146085</t>
  </si>
  <si>
    <t>0146086</t>
  </si>
  <si>
    <t>0146073</t>
  </si>
  <si>
    <t>0000922</t>
  </si>
  <si>
    <t>0009045</t>
  </si>
  <si>
    <t>0000688</t>
  </si>
  <si>
    <t>0000124</t>
  </si>
  <si>
    <t>0000125</t>
  </si>
  <si>
    <t>0000126</t>
  </si>
  <si>
    <t>0000127</t>
  </si>
  <si>
    <t>0023804</t>
  </si>
  <si>
    <t>0024282</t>
  </si>
  <si>
    <t>0053730</t>
  </si>
  <si>
    <t>0010966</t>
  </si>
  <si>
    <t>0095906</t>
  </si>
  <si>
    <t>0211312</t>
  </si>
  <si>
    <t>0079546</t>
  </si>
  <si>
    <t>0001495</t>
  </si>
  <si>
    <t>0001496</t>
  </si>
  <si>
    <t>0001497</t>
  </si>
  <si>
    <t>0043444</t>
  </si>
  <si>
    <t>0139645</t>
  </si>
  <si>
    <t>0042089</t>
  </si>
  <si>
    <t>0000105</t>
  </si>
  <si>
    <t>0056855</t>
  </si>
  <si>
    <t>0000001</t>
  </si>
  <si>
    <t>0000559</t>
  </si>
  <si>
    <t>0000881</t>
  </si>
  <si>
    <t>0000316</t>
  </si>
  <si>
    <t>0066256</t>
  </si>
  <si>
    <t>0008366</t>
  </si>
  <si>
    <t>0000068</t>
  </si>
  <si>
    <t>0072122</t>
  </si>
  <si>
    <t>0000106</t>
  </si>
  <si>
    <t>Lê Thị Hoa</t>
  </si>
  <si>
    <t>Tạ Thị Đông Dân</t>
  </si>
  <si>
    <t>Nộp tiền mặt vào tài khoản ngân hàng</t>
  </si>
  <si>
    <t>Hoàn trả tiền mượn chuyển khoản</t>
  </si>
  <si>
    <t>Thu vốn đầu tư ban đầu</t>
  </si>
  <si>
    <t xml:space="preserve">Mượn vốn </t>
  </si>
  <si>
    <t>Lãi vay KU 1402LDS201502415</t>
  </si>
  <si>
    <t>Lãi vay KU 1402LDS201502591</t>
  </si>
  <si>
    <t>Cừ tràm 3m</t>
  </si>
  <si>
    <t>0029477</t>
  </si>
  <si>
    <t>0022225</t>
  </si>
  <si>
    <t>Thanh Việt</t>
  </si>
  <si>
    <t>Đường Kim Chi</t>
  </si>
  <si>
    <t>Thảm, ly, túi rác, thùng rác, tách trà</t>
  </si>
  <si>
    <t>Máy giặt Toshiba</t>
  </si>
  <si>
    <t>0520284</t>
  </si>
  <si>
    <t>Cty TNHH Cao Phong</t>
  </si>
  <si>
    <t>VAT máy giặt Toshiba</t>
  </si>
  <si>
    <t>0256684; 0256685; 0256686; 0187680; 0187681; 0187661</t>
  </si>
  <si>
    <t>0000464</t>
  </si>
  <si>
    <t>0000466</t>
  </si>
  <si>
    <t>Cước điện thoại + Internet T8/15</t>
  </si>
  <si>
    <t>VAT cước điện thoại + Internet T8/15</t>
  </si>
  <si>
    <t>Phí giao thông T9/2015</t>
  </si>
  <si>
    <t>VAT Phí giao thông T9/2015</t>
  </si>
  <si>
    <t>Sóng nhựa, ghế nhựa</t>
  </si>
  <si>
    <t>VAT Sóng nhựa, ghế nhựa</t>
  </si>
  <si>
    <t>0018334</t>
  </si>
  <si>
    <t>Cty TNHH Nhựa Long Thành</t>
  </si>
  <si>
    <t>Hỗ trợ tiền xe</t>
  </si>
  <si>
    <t>Bàn inox 80 x 230</t>
  </si>
  <si>
    <t>00000135</t>
  </si>
  <si>
    <t>00000136</t>
  </si>
  <si>
    <t>00000137</t>
  </si>
  <si>
    <t>00000138</t>
  </si>
  <si>
    <t>00000139</t>
  </si>
  <si>
    <t>VAT Bàn inox 80 x 230</t>
  </si>
  <si>
    <t>Phí duy trì DV SMS - 0903921945 (USD)</t>
  </si>
  <si>
    <t>Phí duy trì DV SMS - 0982911262 (USD)</t>
  </si>
  <si>
    <t>Phí duy trì DV SMS - 0903921945 (VNĐ)</t>
  </si>
  <si>
    <t>Phí duy trì DV SMS - 0982911262 (VNĐ)</t>
  </si>
  <si>
    <t>Thanh toán tiền thi công</t>
  </si>
  <si>
    <t>Tivi LCD Sony KDL-40R350C</t>
  </si>
  <si>
    <t>0465361</t>
  </si>
  <si>
    <t>0464697</t>
  </si>
  <si>
    <t>VAT Tivi LCD Sony KDL-40R350C</t>
  </si>
  <si>
    <t>Cty CP Thương Mại Nguyễn Kim</t>
  </si>
  <si>
    <t>Máy Fax Panasonic KX-MB2170</t>
  </si>
  <si>
    <t>VAT Máy Fax Panasonic KX-MB2170</t>
  </si>
  <si>
    <t>Táp simen</t>
  </si>
  <si>
    <t>0025970</t>
  </si>
  <si>
    <t>Cơ Sở Hiệp Thành</t>
  </si>
  <si>
    <t>Bảo hộ lao động</t>
  </si>
  <si>
    <t>VAT Bảo hộ lao động</t>
  </si>
  <si>
    <t>0000309</t>
  </si>
  <si>
    <t>Cty TNHH TM DV Toàn Nguyễn</t>
  </si>
  <si>
    <t>Kính nẹp nhôm, tủ âm tường, tủ góc L</t>
  </si>
  <si>
    <t>0057786</t>
  </si>
  <si>
    <t>Nguyễn Thành Công</t>
  </si>
  <si>
    <t>Lưới phơi cá</t>
  </si>
  <si>
    <t>0033052</t>
  </si>
  <si>
    <t>Phạm Thị Hồng</t>
  </si>
  <si>
    <t>0033054</t>
  </si>
  <si>
    <t>Thiết bị mạng</t>
  </si>
  <si>
    <t>VAT Thiết bị mạng</t>
  </si>
  <si>
    <t>0011241</t>
  </si>
  <si>
    <t>Cty TNHH TM DV Kỹ Thuật Hoàng Trần</t>
  </si>
  <si>
    <t>Kết bít 1 tấc</t>
  </si>
  <si>
    <t>VAT Kết bít 1 tấc</t>
  </si>
  <si>
    <t>0000015</t>
  </si>
  <si>
    <t>Cty TNHH MTV Nhựa Tấn Đạt</t>
  </si>
  <si>
    <t>Thùng rác 240, thùng tròn</t>
  </si>
  <si>
    <t>0000016</t>
  </si>
  <si>
    <t>VAT Thùng rác 240, thùng tròn</t>
  </si>
  <si>
    <t>0257094</t>
  </si>
  <si>
    <t>Công Ty Điện Lực Trà Vinh</t>
  </si>
  <si>
    <t>Tiền nước T9/2015</t>
  </si>
  <si>
    <t>0251470</t>
  </si>
  <si>
    <t>VAT Tiền nước T9/2015</t>
  </si>
  <si>
    <t>Điện kỳ 3 T9/2015</t>
  </si>
  <si>
    <t>VAT Điện kỳ 3 T9/2015</t>
  </si>
  <si>
    <t>2412</t>
  </si>
  <si>
    <t xml:space="preserve"> Xây dựng cơ bản </t>
  </si>
  <si>
    <t>241</t>
  </si>
  <si>
    <t xml:space="preserve"> Xây dựng cơ bản dở dang </t>
  </si>
  <si>
    <t>Bồn inox 2.000L</t>
  </si>
  <si>
    <t>VAT Bồn inox 2.000L</t>
  </si>
  <si>
    <t>0011991</t>
  </si>
  <si>
    <t>0057286</t>
  </si>
  <si>
    <t>Thùng rác, chân bình lọc, kệ góc inox</t>
  </si>
  <si>
    <t>Tủ 30 cửa</t>
  </si>
  <si>
    <t>VAT Tủ 30 cửa</t>
  </si>
  <si>
    <t>0000726</t>
  </si>
  <si>
    <t>Cty TNHH MTV TM DV Nguyên Cường Phát</t>
  </si>
  <si>
    <t>Hợp đồng</t>
  </si>
  <si>
    <t>Khách hàng</t>
  </si>
  <si>
    <t>Mục đích</t>
  </si>
  <si>
    <t>Trị giá hợp đồng</t>
  </si>
  <si>
    <t>Hóa đơn</t>
  </si>
  <si>
    <t>Thanh toán</t>
  </si>
  <si>
    <t>Thiết kế sơ bộ</t>
  </si>
  <si>
    <t>Mua ngoài</t>
  </si>
  <si>
    <t>Tiền VLXD (đá 0x4)</t>
  </si>
  <si>
    <t>Thoát nước</t>
  </si>
  <si>
    <t>27/02/2014/PLHĐ/BTIBSPKDD1</t>
  </si>
  <si>
    <t>Cọc Bê tông</t>
  </si>
  <si>
    <t>Ép cọc</t>
  </si>
  <si>
    <t>24/QĐ-BQL (01/07/14); 20/HĐ-CTHT (26/08/09)\</t>
  </si>
  <si>
    <t>Giám sát công trình và tiền phí hạ tầng</t>
  </si>
  <si>
    <t>07/2014HĐXD</t>
  </si>
  <si>
    <t>Thi Công nhà xưởng</t>
  </si>
  <si>
    <t>02-14/HĐTC-HK</t>
  </si>
  <si>
    <t>15/01/2015/HĐKT ngày 10/01/15</t>
  </si>
  <si>
    <t>Điện, thoát nước, điện lạnh..</t>
  </si>
  <si>
    <t>Kho lạnh</t>
  </si>
  <si>
    <t>Máy kho lạnh</t>
  </si>
  <si>
    <t>Ngày 31/03/2015</t>
  </si>
  <si>
    <t>Nồi hơi</t>
  </si>
  <si>
    <t>13/2013/HĐKT ngày 10/12/2013</t>
  </si>
  <si>
    <t>PCCC</t>
  </si>
  <si>
    <t>01/2015/HĐKT ngày 15/04/15</t>
  </si>
  <si>
    <t>Sân và bó vỉa</t>
  </si>
  <si>
    <t>03/HĐ/2015 ngày 01/05/15</t>
  </si>
  <si>
    <t>Vật tư xây dựng</t>
  </si>
  <si>
    <t>14/HĐKT.15 ngày 01/05/15</t>
  </si>
  <si>
    <t>Vách ngăn nhựa, cửa nhôm, cửa nhựa</t>
  </si>
  <si>
    <t>HĐ số  2015/HĐXL</t>
  </si>
  <si>
    <t>Biến áp và xây đường trung thế</t>
  </si>
  <si>
    <t>Hóa đơn 00068</t>
  </si>
  <si>
    <t>Cư tràm</t>
  </si>
  <si>
    <t>Hóa đơn 0011884</t>
  </si>
  <si>
    <t>Bồn Inox</t>
  </si>
  <si>
    <t>05/HĐ-XD (20/07/15)</t>
  </si>
  <si>
    <t>Nâng cấp hàng rào, sơn tường, lát đá hoa cương</t>
  </si>
  <si>
    <t>151/2015/TP/HDKT (27/06/15)</t>
  </si>
  <si>
    <t>Lưới thép hàn</t>
  </si>
  <si>
    <t>Cộng</t>
  </si>
  <si>
    <t>20/2015/HĐMB/KH</t>
  </si>
  <si>
    <t>Gạch men, vật dụng nội thất</t>
  </si>
  <si>
    <t>1811/HĐ-DVMT-2013</t>
  </si>
  <si>
    <t>0000334</t>
  </si>
  <si>
    <t>Điện kỳ 1 T10/2015</t>
  </si>
  <si>
    <t>0269053</t>
  </si>
  <si>
    <t>VAT Điện kỳ 1 T10/2015</t>
  </si>
  <si>
    <t>CSPK điện kỳ 1 T10/2015</t>
  </si>
  <si>
    <t>0000318</t>
  </si>
  <si>
    <t>VAT CSPK điện kỳ 1 T10/2015</t>
  </si>
  <si>
    <t>Thanh toán tiền điện kỳ 1 /T10</t>
  </si>
  <si>
    <t xml:space="preserve">Hoàn tiền do sai tên cty </t>
  </si>
  <si>
    <t>Thanh toán tiền tủ nhôm</t>
  </si>
  <si>
    <t>Trị giá dự toán công trình</t>
  </si>
  <si>
    <t>Máy lạnh Toshiba 2Hp</t>
  </si>
  <si>
    <t>0000646</t>
  </si>
  <si>
    <t>Cty TNHH Thương Mại &amp; Dịch Vụ Bùi Nguyễn</t>
  </si>
  <si>
    <t>VAT Máy lạnh Toshiba 2Hp</t>
  </si>
  <si>
    <t>0000670</t>
  </si>
  <si>
    <t>0000692</t>
  </si>
  <si>
    <t>0000719</t>
  </si>
  <si>
    <t>0000755</t>
  </si>
  <si>
    <t>Bảo trì, sạc gas, thay lốc máy</t>
  </si>
  <si>
    <t>0000761</t>
  </si>
  <si>
    <t>VAT Bảo trì, sạc gas, thay lốc máy</t>
  </si>
  <si>
    <t>Ống đồng</t>
  </si>
  <si>
    <t>0000782</t>
  </si>
  <si>
    <t>VAT Ống đồng</t>
  </si>
  <si>
    <t>0000789</t>
  </si>
  <si>
    <t>Gas</t>
  </si>
  <si>
    <t>0001752</t>
  </si>
  <si>
    <t>Công Ty Xăng Dầu Trà Vinh</t>
  </si>
  <si>
    <t>VAT Gas</t>
  </si>
  <si>
    <t>Ống đồng, eke, dây điện, máy lạnh</t>
  </si>
  <si>
    <t>0000811</t>
  </si>
  <si>
    <t>VAT Ống đồng, eke, dây điện, máy lạnh</t>
  </si>
  <si>
    <t>0000824</t>
  </si>
  <si>
    <t>CHÊNH LỆCH 2 HỘP ĐỒNG</t>
  </si>
  <si>
    <t>VAT 10% CHÊNH LỆCH</t>
  </si>
  <si>
    <t>5% ĐỂ LẠI</t>
  </si>
  <si>
    <t>Eximbank - Q4</t>
  </si>
  <si>
    <t>Gạch</t>
  </si>
  <si>
    <t>0003335</t>
  </si>
  <si>
    <t>Cty TNHH MTV Phát Triển TM Vật Liệu Xây Dựng Phương Nam</t>
  </si>
  <si>
    <t>VAT Gạch</t>
  </si>
  <si>
    <t>0003336</t>
  </si>
  <si>
    <t>0003337</t>
  </si>
  <si>
    <t>Tiền nước T10/2015</t>
  </si>
  <si>
    <t>0292995</t>
  </si>
  <si>
    <t>VAT Tiền nước T10/2015</t>
  </si>
  <si>
    <t>0000492</t>
  </si>
  <si>
    <t>C38</t>
  </si>
  <si>
    <t>C39</t>
  </si>
  <si>
    <t>C40</t>
  </si>
  <si>
    <t>C41</t>
  </si>
  <si>
    <t>C42</t>
  </si>
  <si>
    <t>Van đạp chân, máng rửa tay</t>
  </si>
  <si>
    <t>0000108</t>
  </si>
  <si>
    <t>Cty TNHH Năm Dũng</t>
  </si>
  <si>
    <t>VAT Van đạp chân, máng rửa tay</t>
  </si>
  <si>
    <t>C43</t>
  </si>
  <si>
    <t>Màn chắn côn trùng</t>
  </si>
  <si>
    <t>0000451</t>
  </si>
  <si>
    <t>Cty TNHH TM DV Sài Gòn Nam Phát</t>
  </si>
  <si>
    <t>VAT Màn chắn côn trùng</t>
  </si>
  <si>
    <t>C44</t>
  </si>
  <si>
    <t>0000109</t>
  </si>
  <si>
    <t>C45</t>
  </si>
  <si>
    <t>0000455</t>
  </si>
  <si>
    <t>C46</t>
  </si>
  <si>
    <t>Dịch vụ bảo vệ</t>
  </si>
  <si>
    <t>0000164</t>
  </si>
  <si>
    <t>Cty TNHH MTV Dịch Vụ Bảo Vệ Vạn Lợi</t>
  </si>
  <si>
    <t>VAT Dịch vụ bảo vệ</t>
  </si>
  <si>
    <t>C47</t>
  </si>
  <si>
    <t>Thiết bị văn phòng</t>
  </si>
  <si>
    <t>0099358</t>
  </si>
  <si>
    <t>TT Thiết Bị VP Hải Ngân</t>
  </si>
  <si>
    <t>Máy chấm công và thiết bị lắp đặt</t>
  </si>
  <si>
    <t>0000249</t>
  </si>
  <si>
    <t>Cty CP Đầu Tư Công Nghệ MHP</t>
  </si>
  <si>
    <t>VAT Máy chấm công và thiết bị lắp đặt</t>
  </si>
  <si>
    <t>C48</t>
  </si>
  <si>
    <t>Quạt chắn gió</t>
  </si>
  <si>
    <t>0000457</t>
  </si>
  <si>
    <t>VAT Quạt chắn gió</t>
  </si>
  <si>
    <t>C49</t>
  </si>
  <si>
    <t>Thùng nhựa</t>
  </si>
  <si>
    <t>0000041</t>
  </si>
  <si>
    <t>Cty TNHH MTV Nhựa Tuấn Đạt</t>
  </si>
  <si>
    <t>VAT Thùng nhựa</t>
  </si>
  <si>
    <t>C50</t>
  </si>
  <si>
    <t>C51</t>
  </si>
  <si>
    <t>C52</t>
  </si>
  <si>
    <t>Cước điện thoại + Internet T9/15</t>
  </si>
  <si>
    <t>0309883;  0309882; 0309868</t>
  </si>
  <si>
    <t>VAT Cước điện thoại + Internet T9/15</t>
  </si>
  <si>
    <t>C53</t>
  </si>
  <si>
    <t>Cước điện thoại + Internet T10/15</t>
  </si>
  <si>
    <t>0020621; 0020622; 0020620</t>
  </si>
  <si>
    <t>VAT Cước điện thoại + Internet T10/15</t>
  </si>
  <si>
    <t>C54</t>
  </si>
  <si>
    <t>0000349</t>
  </si>
  <si>
    <t>C55</t>
  </si>
  <si>
    <t>C56</t>
  </si>
  <si>
    <t>Tiền nước T11/2015</t>
  </si>
  <si>
    <t>0320537</t>
  </si>
  <si>
    <t>VAT Tiền nước T11/2015</t>
  </si>
  <si>
    <t>0006632</t>
  </si>
  <si>
    <t>Thi công công trình theo HĐTC số 02-14/HĐTC-HK</t>
  </si>
  <si>
    <t>0000053</t>
  </si>
  <si>
    <t>VAT Thi công công trình theo HĐTC số 02-14/HĐTC-HK</t>
  </si>
  <si>
    <t>Thi công công trình theo HĐTC số 01-2015/HĐTC-HK</t>
  </si>
  <si>
    <t>0000055</t>
  </si>
  <si>
    <t>VAT Thi công công trình theo HĐTC số 01-2015/HĐTC-HK</t>
  </si>
  <si>
    <t>C57</t>
  </si>
  <si>
    <t>Thiết bị điện</t>
  </si>
  <si>
    <t>0075277</t>
  </si>
  <si>
    <t>Nguyễn An Khang</t>
  </si>
  <si>
    <t>C58</t>
  </si>
  <si>
    <t>Bộ màn nhựa vàng KT cửa</t>
  </si>
  <si>
    <t>0000504</t>
  </si>
  <si>
    <t>VAT Bộ màn nhựa vàng KT cửa</t>
  </si>
  <si>
    <t>C59</t>
  </si>
  <si>
    <t>C60</t>
  </si>
  <si>
    <t>Vận chuyển hàng hóa</t>
  </si>
  <si>
    <t>0000356</t>
  </si>
  <si>
    <t>DNTN Hồng Nam</t>
  </si>
  <si>
    <t>VAT Vận chuyển hàng hóa</t>
  </si>
  <si>
    <t>Thanh toán tiền gas</t>
  </si>
  <si>
    <t>Thanh toán tiền điện kỳ 2/T10</t>
  </si>
  <si>
    <t>Thanh toán tiền điện kỳ 1/T11</t>
  </si>
  <si>
    <t>Ứng vốn - Long An</t>
  </si>
  <si>
    <t>Thu tiền mượn - Long An</t>
  </si>
  <si>
    <t>Quạt treo công nghiệp</t>
  </si>
  <si>
    <t>0002791</t>
  </si>
  <si>
    <t>Tiệm Điện Sáu Yên</t>
  </si>
  <si>
    <t>C62</t>
  </si>
  <si>
    <t>Vật liệu đường ống nước</t>
  </si>
  <si>
    <t>0075282</t>
  </si>
  <si>
    <t>C63</t>
  </si>
  <si>
    <t>Tủ treo tường, tủ âm tường</t>
  </si>
  <si>
    <t>0007426</t>
  </si>
  <si>
    <t>Cơ Sở Nhôm - Săt Công Danh</t>
  </si>
  <si>
    <t>C64</t>
  </si>
  <si>
    <t>0048292</t>
  </si>
  <si>
    <t>Hiền Thành</t>
  </si>
  <si>
    <t>C65</t>
  </si>
  <si>
    <t>0048294</t>
  </si>
  <si>
    <t>C66</t>
  </si>
  <si>
    <t>Cước điện thoại + Internet T11/2015</t>
  </si>
  <si>
    <t>0052598 ,0052600, 0052599, 0068369</t>
  </si>
  <si>
    <t>Phí dịch vụ bảo vệ T11/2015</t>
  </si>
  <si>
    <t>0000190</t>
  </si>
  <si>
    <t>Tiền điện kỳ 1 T11/2015</t>
  </si>
  <si>
    <t>0298096</t>
  </si>
  <si>
    <t>VAT Tiền điện kỳ 1 T11/2015</t>
  </si>
  <si>
    <t>Tiền điện kỳ 2 T11/2015</t>
  </si>
  <si>
    <t>VAT Tiền điện kỳ 2 T11/2015</t>
  </si>
  <si>
    <t>Cung cấp Panel EPS theo hợp đồng KT 17/2015</t>
  </si>
  <si>
    <t>0000478</t>
  </si>
  <si>
    <t>VAT Cung cấp Panel EPS theo hợp đồng KT 17/2015</t>
  </si>
  <si>
    <t>Cống BCCT, Bê tông thương phẩm</t>
  </si>
  <si>
    <t>Nhà xưởng bằng thép, Gia công kết cấu thép nhà xe, lan cang, bể nước</t>
  </si>
  <si>
    <t>Lập báo cáo GSMT, Lắp đặt hệ thống xử lý nước thải</t>
  </si>
  <si>
    <t>GIÁ TRỊ SỔ SÁCH</t>
  </si>
  <si>
    <t>THỰC TẾ</t>
  </si>
  <si>
    <t>Tủ nhôm</t>
  </si>
  <si>
    <t>Tổng đài, máy chấm công</t>
  </si>
  <si>
    <t>Chi phí lãi vay</t>
  </si>
  <si>
    <t>Chi phí XD bằng tiền mặt</t>
  </si>
  <si>
    <t>Giá trị TS không thuế</t>
  </si>
  <si>
    <t>Giá trị TS gồm thuế</t>
  </si>
  <si>
    <t>Bảo hiểm xây dựng</t>
  </si>
  <si>
    <t>C69</t>
  </si>
  <si>
    <t>Thanh toán tiền gạch</t>
  </si>
  <si>
    <t>Thanh toán tiền tổng đài &amp; máy chấm công</t>
  </si>
  <si>
    <t>Thanh toán tiền bê tông thương phẩm</t>
  </si>
  <si>
    <t>Thanh toán tiền sóng nhựa &amp; ghế nhựa</t>
  </si>
  <si>
    <t>SỐ TT</t>
  </si>
  <si>
    <t>TÊN CÔNG TÁC XÂY LẮP</t>
  </si>
  <si>
    <t>KL THEO HĐ</t>
  </si>
  <si>
    <t>KL THEO TT</t>
  </si>
  <si>
    <t>KL PS GIẢM</t>
  </si>
  <si>
    <t>KL PS TĂNG</t>
  </si>
  <si>
    <t>KL</t>
  </si>
  <si>
    <t>Đơn giá</t>
  </si>
  <si>
    <t>TT</t>
  </si>
  <si>
    <t>NHÀ XƯỞNG</t>
  </si>
  <si>
    <t>Đào móng cột trụ, hố kiểm tra, rộng &gt;1m, sâu&gt;1, đất cấp I</t>
  </si>
  <si>
    <t>M3</t>
  </si>
  <si>
    <t>Đắp đất đào móng công trình bằng thủ công độ chặt yêu cầu K=0,85</t>
  </si>
  <si>
    <t>Cắt đầu cọc</t>
  </si>
  <si>
    <t>cái</t>
  </si>
  <si>
    <t>Gia công đầu cọc</t>
  </si>
  <si>
    <t>Bê tông lót móng, đá 4x6 mac100 chiều rộng&lt;=250cm</t>
  </si>
  <si>
    <t>Lót bó nền 226x0,3x0,1</t>
  </si>
  <si>
    <t>Bê tông móng đá 1x2 mác 250, rộng&lt;=250cm</t>
  </si>
  <si>
    <t>Bê tông xà dầm, giắng nhà, đá 1x2 mác 250</t>
  </si>
  <si>
    <t>0,1x0,2x284,2</t>
  </si>
  <si>
    <t>Bê tông cột, đá 1x2 mác 250, tiết diện&lt;=0,1m, cao &lt;=4m</t>
  </si>
  <si>
    <t>Bê tông nền, đá 1x2 mác 250 83x33x0,1</t>
  </si>
  <si>
    <t>80x30x0,05</t>
  </si>
  <si>
    <t>SXLD, tháo dỡ ván khuôn móng cột vuông, chữ nhật (BT đổ tại chỗ)</t>
  </si>
  <si>
    <t>100M2</t>
  </si>
  <si>
    <t>SXLD, tháo dỡ ván khuôn xà dầm, giằng (BT đổ tại chỗ)</t>
  </si>
  <si>
    <t>284,2x0,4/100</t>
  </si>
  <si>
    <t>SXLD, tháo dỡ ván khuôn cột vuông, chữ nhật (BT đổ tại chỗ)</t>
  </si>
  <si>
    <t>SX lắp dựng cất thép móng</t>
  </si>
  <si>
    <t>tấn</t>
  </si>
  <si>
    <t>SX lắp dựng cất thép xà dầm, giằng cao &lt;=4m</t>
  </si>
  <si>
    <t>SX lắp dựng cất thép cột, trụ cao &lt;=4m</t>
  </si>
  <si>
    <t>SX lắp dựng cất thép bệ máy, đường kính &lt;=10mm</t>
  </si>
  <si>
    <t>Đấp cát nền móng công trình 2400x0,3</t>
  </si>
  <si>
    <t>Trải PVC chống thấm</t>
  </si>
  <si>
    <t>100M3</t>
  </si>
  <si>
    <t>Xây tường bằng gạch thẻ 4x8x19, dày &lt;=10cm, cao&lt;=4m, vữa ximang mác 75</t>
  </si>
  <si>
    <t>Bó nền hè 232x0,2x0,6</t>
  </si>
  <si>
    <t>xây tường bằng gạch ống 8x8x19, vữa ximang mac 75</t>
  </si>
  <si>
    <t>Trát tường ngoài, chiều dày trát 1,5cm, vữa mác 75</t>
  </si>
  <si>
    <t>M2</t>
  </si>
  <si>
    <t>Lát nền sàn gạch ceramic 400x400mm, vữa mác 75</t>
  </si>
  <si>
    <t>Ốp gạch vào tường cột, gạch 25x40</t>
  </si>
  <si>
    <t>Bả bằng matit vào tường</t>
  </si>
  <si>
    <t>Sơn tường ngoài nhà, đã bả bằng sơn Sunrise, 1 lót, 2 phủ</t>
  </si>
  <si>
    <t>Láng granito nền sàn</t>
  </si>
  <si>
    <t>KHỐI VĂN PHÒNG</t>
  </si>
  <si>
    <t>Lắp đất móng</t>
  </si>
  <si>
    <t>Đóng cọc tràm</t>
  </si>
  <si>
    <t>100M</t>
  </si>
  <si>
    <t>Bê tông lót móng, đá 4x6 mac100</t>
  </si>
  <si>
    <t>Bê tông lót móng đá 1x2 mác 200, rộng &lt;=250cm</t>
  </si>
  <si>
    <t>Bê tông xà dầm, giắng nhà, đá 1x2 mác 200</t>
  </si>
  <si>
    <t>Bê tông seno đá 1x2 mác 200</t>
  </si>
  <si>
    <t>SXLD, tháo dỡ ván khuôn móng</t>
  </si>
  <si>
    <t xml:space="preserve">SXLD, tháo dỡ ván khuôn xà dầm, giằng </t>
  </si>
  <si>
    <t>SXLD, tháo dỡ ván khuôn cột vuông, chữ nhật</t>
  </si>
  <si>
    <t>SXLD, tháo dỡ ván khuôn sê nô</t>
  </si>
  <si>
    <t>SX lắp dựng cất thép xà dầm, giằng</t>
  </si>
  <si>
    <t>SX lắp dựng cất thép cột, trụ</t>
  </si>
  <si>
    <t>SX lắp dựng cất thép sê nô</t>
  </si>
  <si>
    <t>Bê tông nền, đá 1x2 mác 200</t>
  </si>
  <si>
    <t>Lát nền sàn gạch nhám ceramic 400x400mm, vữa mác 75</t>
  </si>
  <si>
    <t>Lát nền sàn gạch thạch anh KT 600x600 vữa mác 75</t>
  </si>
  <si>
    <t>Ốp chân tường, viền tường, viền trụ, cột, kích thước gạch 250x400</t>
  </si>
  <si>
    <t>SX xà gồ thép</t>
  </si>
  <si>
    <t>Lắp dựng xà gồ thép</t>
  </si>
  <si>
    <t>Lợp mái tole sóng vuông cách nhiệt dày 0.45mm</t>
  </si>
  <si>
    <t>Xây tường bằng gạch ống 8x8x19, vữa ximang mac 75</t>
  </si>
  <si>
    <t>Làm trần thạch cao</t>
  </si>
  <si>
    <t>Láng sê nô vửa mác 75</t>
  </si>
  <si>
    <t>Đắp phào kép, vữa mác 75</t>
  </si>
  <si>
    <t>M</t>
  </si>
  <si>
    <t>Đắp phào đơn, vữa mác 75</t>
  </si>
  <si>
    <t>Quét flinkote chống thấm mái, se nô, ô văng</t>
  </si>
  <si>
    <t>Trát tường, chiều dày trát 1,5cm, vữa mác 75</t>
  </si>
  <si>
    <t>Trát sê nô, mái hắt, lam ngang, vữa mác 75</t>
  </si>
  <si>
    <t>Bả matic vào tường</t>
  </si>
  <si>
    <t>Lắp đặt ống PVC 90</t>
  </si>
  <si>
    <t>Lắp đặt co PVC 90</t>
  </si>
  <si>
    <t>KHU PHỤ TRỢ I</t>
  </si>
  <si>
    <t>Bê tông lót móng, đá 4x6 mác 100 chiều rộng &lt;=250cm</t>
  </si>
  <si>
    <t>Bê tông móng đá 1x2 mác 200, rộng&lt;=250cm</t>
  </si>
  <si>
    <t>Bê tông xà dầm , giằng nhà, đá 1x2 mác 200</t>
  </si>
  <si>
    <t>Bê tông cột, đá 1x2 mác 200, tiết diện&lt;=0,1m, cao &lt;=4m</t>
  </si>
  <si>
    <t>SXLD , tháo dỡ ván khuôn xà dầm, giằng</t>
  </si>
  <si>
    <t>SXLD , tháo dỡ ván khuôn seno</t>
  </si>
  <si>
    <t>Sản xuất lắp dựng cốt thép móng</t>
  </si>
  <si>
    <t>Tấn</t>
  </si>
  <si>
    <t>Sản xuất lắp dựng cốt thép xà dầm, giằng</t>
  </si>
  <si>
    <t>Sản xuất lắp dựng cốt thép cột</t>
  </si>
  <si>
    <t>Sản xuất lắp dựng cốt thép se no</t>
  </si>
  <si>
    <t>Trát tường chiều dày trát 1,5 cm, vữa mác 75</t>
  </si>
  <si>
    <t>Trát se no vữa mác 75</t>
  </si>
  <si>
    <t>Láng se no chiều dầy 3cm, vữa mác 75</t>
  </si>
  <si>
    <t>Mét</t>
  </si>
  <si>
    <t>Sản xuất xà gồ thép</t>
  </si>
  <si>
    <t>Lợp mái tole sóng vuông dày 0.45mm</t>
  </si>
  <si>
    <t>Bê tông nền, đá 1x2 ,mác 200</t>
  </si>
  <si>
    <t>Đắp cát nền móng công trình</t>
  </si>
  <si>
    <t>Lát nền gạch thạch anh kích thước gạch 600x600mm, vữa mác 75</t>
  </si>
  <si>
    <t>Lát nền, sàn, gạch ceramic 400x400mm, vữa mác 75</t>
  </si>
  <si>
    <t>Ốp tường, trụ, cột, kích thước gạch 250x400 mm</t>
  </si>
  <si>
    <t>Sơn tường ngoài nhà, đã bả bằng sơn Sunrise, 1 nước lót, 2 nước phủ</t>
  </si>
  <si>
    <t>Cái</t>
  </si>
  <si>
    <t>KHU PHỤ TRỢ II</t>
  </si>
  <si>
    <t>Lấp đất móng</t>
  </si>
  <si>
    <t>Bê tông lót mỏng, đá 4x6 mác 100</t>
  </si>
  <si>
    <t>Bê tông móng, đá 1x2  mác 200, rộng &lt;= 250cm</t>
  </si>
  <si>
    <t>Bê tông xà dầm, giằng nhà, đá 1x2 mác 200</t>
  </si>
  <si>
    <t>SXLD , tháo dỡ ván khuôn mỏng</t>
  </si>
  <si>
    <t>SXLD, tháo dỡ ván khuôn xà dầm, giằng</t>
  </si>
  <si>
    <t>SXLD, tháo dỡ ván khuôn se no</t>
  </si>
  <si>
    <t>Sản xuất lắp dựng cốt thép xà dầm</t>
  </si>
  <si>
    <t>Trát xà dầm, vữa mác 75</t>
  </si>
  <si>
    <t>Lợp mái bằng tôn múi dày 0,45mm</t>
  </si>
  <si>
    <t>Sơn tường nhà đã bả bằng sơn Sunrise, 1 nước lót, 2 nước phủ</t>
  </si>
  <si>
    <t>HỒ NƯỚC 80 M3</t>
  </si>
  <si>
    <t>Bể nước: 5.7x6.4x2.6x1.3</t>
  </si>
  <si>
    <t>Đóng cọc tràm vào đất cấp I, chiều dài cọc &gt;2.5m</t>
  </si>
  <si>
    <t>Bê tông lót móng , đá 4x6 mác 200</t>
  </si>
  <si>
    <t>Bê tông tường đá 1x2 mác 200, dày &lt;=45cm, cao &lt;=4m</t>
  </si>
  <si>
    <t>Bê tông sàn mái đá 1x2 mác 200</t>
  </si>
  <si>
    <t>SXLD, tháo dỡ ván khuôn xà dầm, giằng D5: 2x0.8x2.5/100</t>
  </si>
  <si>
    <t>SXLD, tháo dỡ ván khuôn tường</t>
  </si>
  <si>
    <t>SXLD, tháo dỡ ván khuôn sàn</t>
  </si>
  <si>
    <t>SXLD cốt thép xà dầm, giằng 1099,12/1000</t>
  </si>
  <si>
    <t>SXLD cốt thép cột</t>
  </si>
  <si>
    <t>SXLD cốt thép hồ nước</t>
  </si>
  <si>
    <t>SXLD cốt thép sàn</t>
  </si>
  <si>
    <t>Trát trụ, cột vữa mác 75</t>
  </si>
  <si>
    <t>Trát trần, vữa mác 75</t>
  </si>
  <si>
    <t>Láng bể nước dầy 2cm, vữa mác 75</t>
  </si>
  <si>
    <t>NHÀ XE</t>
  </si>
  <si>
    <t>Đào đất móng</t>
  </si>
  <si>
    <t>Đào đất đà kiềng</t>
  </si>
  <si>
    <t>Lấp đất móng, đà kiềng</t>
  </si>
  <si>
    <t>Bê tông lót móng đá 4x6 mác 100</t>
  </si>
  <si>
    <t>Bê tông móng đá 1x2 mác 200, rộng &lt;=250cm</t>
  </si>
  <si>
    <t>Xây tường bằng gạch ống thẻ 4x8x19, hày &lt;=10cm,cao &lt;=4m, vữa xi măng 75</t>
  </si>
  <si>
    <t>SXLD cốt thép móng</t>
  </si>
  <si>
    <t>SXLD cốt thép xà dầm, giằng</t>
  </si>
  <si>
    <t>SXLD cốt thép nền</t>
  </si>
  <si>
    <t>HẦM TỰ HOẠI VP I</t>
  </si>
  <si>
    <t>Đóng cọc tràm vào đất cấp II, chiều dài cọc &gt;2.5m</t>
  </si>
  <si>
    <t>Đắp dất nền móng công trình bằng thủ công độ chặt yêu cầu K=0.85</t>
  </si>
  <si>
    <t>Bê tông đáy HTH đá 1x2 mác 200, rộng &lt;=250cm</t>
  </si>
  <si>
    <t>Bê tông đan đá 1x2 mác 200</t>
  </si>
  <si>
    <t>SXLD cốt thép đan cao &lt;=4m, đường kính &lt;=10mm</t>
  </si>
  <si>
    <t>Lắp đặt đan HTH</t>
  </si>
  <si>
    <t>Láng HTH dầy 2cm, vữa mác 100</t>
  </si>
  <si>
    <t>Than củi</t>
  </si>
  <si>
    <t>HẦM TỰ HOẠI VP II</t>
  </si>
  <si>
    <t>HẦM TỰ HOẠI KHU PHỤ TRỢ I</t>
  </si>
  <si>
    <t>HỒ XỬ LÝ NƯỚC THẢI</t>
  </si>
  <si>
    <t>PHẦN SAN LẤP NGOÀI DTXD</t>
  </si>
  <si>
    <t>PHẦN SAN LẤP TRONG DTXD</t>
  </si>
  <si>
    <t>PHÁT SINH KHÁC</t>
  </si>
  <si>
    <t>TỔNG CỘNG CÔNG TRÌNH</t>
  </si>
  <si>
    <t>Tiền điện kỳ 2 T10/2015</t>
  </si>
  <si>
    <t>0286099</t>
  </si>
  <si>
    <t>VAT Tiền điện kỳ 2 T10/2015</t>
  </si>
  <si>
    <t>C67</t>
  </si>
  <si>
    <t>C68</t>
  </si>
  <si>
    <t>T03</t>
  </si>
  <si>
    <t>Còn lại</t>
  </si>
  <si>
    <t>Thanh toán tiền điện kỳ 1/T12</t>
  </si>
  <si>
    <t>Vay KU 1402LDS201504108</t>
  </si>
  <si>
    <t>KU 1402LDS201504108</t>
  </si>
  <si>
    <t>Rút tiền mặt nhập quỹ</t>
  </si>
  <si>
    <t>Thanh toán tiền bảo hiểm Số:15/99/AT/KD/KC/1242</t>
  </si>
  <si>
    <t>VAT CL</t>
  </si>
  <si>
    <t>5% Bảo Hành</t>
  </si>
  <si>
    <t>Ghi Chú</t>
  </si>
  <si>
    <t>5% Bảo hành</t>
  </si>
  <si>
    <t>C71</t>
  </si>
  <si>
    <t>0031477</t>
  </si>
  <si>
    <t>Phí bảo hiểm cháy nổ bắt buộc</t>
  </si>
  <si>
    <t>0010889</t>
  </si>
  <si>
    <t>Cty CP Bảo Hiểm Viễn Đông (VASS)</t>
  </si>
  <si>
    <t>VAT Phí bảo hiểm cháy nổ bắt buộc</t>
  </si>
  <si>
    <t>Tiền điện kỳ 1 T12/2015</t>
  </si>
  <si>
    <t>0325267</t>
  </si>
  <si>
    <t>VAT Tiền điện kỳ 1 T12/2015</t>
  </si>
  <si>
    <t>Nguyễn Văn Bé Tư</t>
  </si>
  <si>
    <t>Thanh toán tiền điện kỳ 2/T12</t>
  </si>
  <si>
    <t>Hoàn thuế GTGT - QĐ:</t>
  </si>
  <si>
    <t>Dịch vụ RHC</t>
  </si>
  <si>
    <t>0000023</t>
  </si>
  <si>
    <t>Cty TNHH MTV Công Trình Đô Thị Trà Vinh</t>
  </si>
  <si>
    <t>VAT Dịch vụ RHC</t>
  </si>
  <si>
    <t>0315200</t>
  </si>
  <si>
    <t>C70</t>
  </si>
  <si>
    <t>Văn phòng phẩm</t>
  </si>
  <si>
    <t>0002247</t>
  </si>
  <si>
    <t>Cty CP Văn Hóa Tổng Hợp Trà Vinh</t>
  </si>
  <si>
    <t>VAT Văn phòng phẩm</t>
  </si>
  <si>
    <t>C61</t>
  </si>
  <si>
    <t xml:space="preserve">Đá Granite </t>
  </si>
  <si>
    <t>0000152</t>
  </si>
  <si>
    <t>Cty TNHH Thương Mại Xuất Nhập Khẩu HLT</t>
  </si>
  <si>
    <t xml:space="preserve">VAT Đá Granite </t>
  </si>
  <si>
    <t>VAT Cước điện thoại + Internet T11/2015</t>
  </si>
  <si>
    <t>VAT Phí dịch vụ bảo vệ T11/2015</t>
  </si>
  <si>
    <t>C72</t>
  </si>
  <si>
    <t>Panel EPS 50mm T30kg/m3 mặt tôn inox</t>
  </si>
  <si>
    <t>0000005</t>
  </si>
  <si>
    <t>VAT Panel EPS 50mm T30kg/m3 mặt tôn inox</t>
  </si>
  <si>
    <t>C73</t>
  </si>
  <si>
    <t>Tiền vật liệu xây dựng</t>
  </si>
  <si>
    <t>0000558</t>
  </si>
  <si>
    <t>VAT Tiền vật liệu xây dựng</t>
  </si>
  <si>
    <t>C74</t>
  </si>
  <si>
    <t>T04</t>
  </si>
  <si>
    <t>C75</t>
  </si>
  <si>
    <t>C76</t>
  </si>
  <si>
    <t>Tiền nước T12/2015</t>
  </si>
  <si>
    <t>0351363</t>
  </si>
  <si>
    <t>VAT Tiền nước T12/2015</t>
  </si>
  <si>
    <t>C77</t>
  </si>
  <si>
    <t>Tiền HĐ lấy và thử nghiệm mẫu</t>
  </si>
  <si>
    <t>0075624</t>
  </si>
  <si>
    <t>Trung Tâm Kỹ Thuật Tài Nguyên &amp; Môi Trường</t>
  </si>
  <si>
    <t>VAT Tiền HĐ lấy và thử nghiệm mẫu</t>
  </si>
  <si>
    <t>Tiền HĐ cung cấp&amp; lắp đặt nồi hơi</t>
  </si>
  <si>
    <t>0000010</t>
  </si>
  <si>
    <t>VAT Tiền HĐ cung cấp&amp; lắp đặt nồi hơi</t>
  </si>
  <si>
    <t>C78</t>
  </si>
  <si>
    <t>Khóa Yerti</t>
  </si>
  <si>
    <t>0002196</t>
  </si>
  <si>
    <t>Huỳnh Từ Hải</t>
  </si>
  <si>
    <t>C79</t>
  </si>
  <si>
    <t>C80</t>
  </si>
  <si>
    <t>Thép 6, thép 18</t>
  </si>
  <si>
    <t>0000390</t>
  </si>
  <si>
    <t>Cty TNHH MTV Vật Liệu Xây Dựng Sơn Đông</t>
  </si>
  <si>
    <t>VAT Thép 6, thép 18</t>
  </si>
  <si>
    <t>Xi măng Holcim</t>
  </si>
  <si>
    <t>0000391</t>
  </si>
  <si>
    <t>VAT Xi măng Holcim</t>
  </si>
  <si>
    <t>Cty CP Đá Thiên Nhiên An Phú</t>
  </si>
  <si>
    <t>0000008</t>
  </si>
  <si>
    <t>Xi măng Hà Tiên</t>
  </si>
  <si>
    <t>VAT Xi măng Hà Tiên</t>
  </si>
  <si>
    <t>C81</t>
  </si>
  <si>
    <t>C82</t>
  </si>
  <si>
    <t>C83</t>
  </si>
  <si>
    <t>Tiền điện kỳ 2 T12/2015</t>
  </si>
  <si>
    <t>0344437</t>
  </si>
  <si>
    <t>VAT Tiền điện kỳ 2 T12/2015</t>
  </si>
  <si>
    <t>C84</t>
  </si>
  <si>
    <t>C85</t>
  </si>
  <si>
    <t>C86</t>
  </si>
  <si>
    <t>C87</t>
  </si>
  <si>
    <t>C88</t>
  </si>
  <si>
    <t>Hợp đồng giám sát môi trường</t>
  </si>
  <si>
    <t>0076220</t>
  </si>
  <si>
    <t>VAT Hợp đồng giám sát môi trường</t>
  </si>
  <si>
    <t>Bàn Inox 80x230</t>
  </si>
  <si>
    <t>VAT Bàn Inox 80x230</t>
  </si>
  <si>
    <t>La bàn, que hàn</t>
  </si>
  <si>
    <t>VAT La bàn, que hàn</t>
  </si>
  <si>
    <t>Phí dịch vụ bảo vệ T12/2015</t>
  </si>
  <si>
    <t>VAT Phí dịch vụ bảo vệ T12/2015</t>
  </si>
  <si>
    <t>0001956</t>
  </si>
  <si>
    <t>0000216</t>
  </si>
  <si>
    <t>0117416; 0117417; 0116822; 0117418</t>
  </si>
  <si>
    <t>0000019</t>
  </si>
  <si>
    <t>0000029</t>
  </si>
  <si>
    <t>0000111</t>
  </si>
  <si>
    <t>Tiển công trình đường dây trung thế</t>
  </si>
  <si>
    <t>VAT Tiển công trình đường dây trung thế</t>
  </si>
  <si>
    <t>Chi phí nhân công, máy, ván khuông thi công HĐ: 01/2015/HĐKT</t>
  </si>
  <si>
    <t>VAT Chi phí nhân công, máy</t>
  </si>
  <si>
    <t>Lắp đặt hệ thống PCCC</t>
  </si>
  <si>
    <t>VAT Lắp đặt hệ thống PCCC</t>
  </si>
  <si>
    <t>C89</t>
  </si>
  <si>
    <t>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</si>
</sst>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_(* #,##0.0000_);_(* \(#,##0.0000\);_(* &quot;-&quot;??_);_(@_)"/>
  </numFmts>
  <fonts count="6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60"/>
      <name val="Times New Roman"/>
      <family val="1"/>
    </font>
    <font>
      <sz val="10"/>
      <color indexed="12"/>
      <name val="Times New Roman"/>
      <family val="1"/>
    </font>
    <font>
      <sz val="10"/>
      <color indexed="10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rgb="FFC00000"/>
      <name val="Times New Roman"/>
      <family val="1"/>
    </font>
    <font>
      <sz val="10"/>
      <color rgb="FF0070C0"/>
      <name val="Times New Roman"/>
      <family val="1"/>
    </font>
    <font>
      <sz val="10"/>
      <color rgb="FF7030A0"/>
      <name val="Times New Roman"/>
      <family val="1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sz val="12"/>
      <name val="VNI-Times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9"/>
      <color theme="1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90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3" fontId="24" fillId="21" borderId="2"/>
    <xf numFmtId="0" fontId="9" fillId="22" borderId="3" applyNumberFormat="0" applyAlignment="0" applyProtection="0"/>
    <xf numFmtId="43" fontId="4" fillId="0" borderId="0" applyFont="0" applyFill="0" applyBorder="0" applyAlignment="0" applyProtection="0"/>
    <xf numFmtId="3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4" fillId="21" borderId="2">
      <alignment horizontal="centerContinuous" vertical="center" wrapText="1"/>
    </xf>
    <xf numFmtId="3" fontId="24" fillId="21" borderId="2">
      <alignment horizontal="center" vertical="center" wrapText="1"/>
    </xf>
    <xf numFmtId="2" fontId="25" fillId="0" borderId="0" applyFont="0" applyFill="0" applyBorder="0" applyAlignment="0" applyProtection="0"/>
    <xf numFmtId="0" fontId="11" fillId="4" borderId="0" applyNumberFormat="0" applyBorder="0" applyAlignment="0" applyProtection="0"/>
    <xf numFmtId="0" fontId="26" fillId="0" borderId="4" applyNumberFormat="0" applyAlignment="0" applyProtection="0">
      <alignment horizontal="left" vertical="center"/>
    </xf>
    <xf numFmtId="0" fontId="26" fillId="0" borderId="5">
      <alignment horizontal="left" vertical="center"/>
    </xf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3" fontId="24" fillId="0" borderId="9"/>
    <xf numFmtId="3" fontId="27" fillId="0" borderId="10"/>
    <xf numFmtId="3" fontId="24" fillId="0" borderId="2">
      <alignment horizontal="center" vertical="center" wrapText="1"/>
    </xf>
    <xf numFmtId="3" fontId="24" fillId="0" borderId="2">
      <alignment horizontal="centerContinuous" vertical="center"/>
    </xf>
    <xf numFmtId="0" fontId="16" fillId="0" borderId="11" applyNumberFormat="0" applyFill="0" applyAlignment="0" applyProtection="0"/>
    <xf numFmtId="170" fontId="28" fillId="0" borderId="12"/>
    <xf numFmtId="0" fontId="17" fillId="23" borderId="0" applyNumberFormat="0" applyBorder="0" applyAlignment="0" applyProtection="0"/>
    <xf numFmtId="0" fontId="4" fillId="0" borderId="0"/>
    <xf numFmtId="0" fontId="27" fillId="0" borderId="0"/>
    <xf numFmtId="0" fontId="4" fillId="0" borderId="0"/>
    <xf numFmtId="0" fontId="38" fillId="0" borderId="0"/>
    <xf numFmtId="0" fontId="5" fillId="24" borderId="13" applyNumberFormat="0" applyFont="0" applyAlignment="0" applyProtection="0"/>
    <xf numFmtId="0" fontId="18" fillId="20" borderId="14" applyNumberFormat="0" applyAlignment="0" applyProtection="0"/>
    <xf numFmtId="0" fontId="29" fillId="0" borderId="0">
      <alignment horizontal="centerContinuous"/>
    </xf>
    <xf numFmtId="0" fontId="19" fillId="0" borderId="0" applyNumberFormat="0" applyFill="0" applyBorder="0" applyAlignment="0" applyProtection="0"/>
    <xf numFmtId="0" fontId="20" fillId="0" borderId="15" applyNumberFormat="0" applyFill="0" applyAlignment="0" applyProtection="0"/>
    <xf numFmtId="0" fontId="21" fillId="0" borderId="0" applyNumberFormat="0" applyFill="0" applyBorder="0" applyAlignment="0" applyProtection="0"/>
    <xf numFmtId="40" fontId="30" fillId="0" borderId="0" applyFont="0" applyFill="0" applyBorder="0" applyAlignment="0" applyProtection="0"/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0" fontId="25" fillId="0" borderId="0" applyFont="0" applyFill="0" applyBorder="0" applyAlignment="0" applyProtection="0"/>
    <xf numFmtId="0" fontId="31" fillId="0" borderId="0"/>
    <xf numFmtId="168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6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0" fontId="33" fillId="0" borderId="0"/>
    <xf numFmtId="0" fontId="27" fillId="0" borderId="0"/>
    <xf numFmtId="43" fontId="38" fillId="0" borderId="0" applyFont="0" applyFill="0" applyBorder="0" applyAlignment="0" applyProtection="0"/>
    <xf numFmtId="0" fontId="24" fillId="21" borderId="2">
      <alignment horizontal="centerContinuous" vertical="center" wrapText="1"/>
    </xf>
    <xf numFmtId="0" fontId="25" fillId="0" borderId="0"/>
    <xf numFmtId="0" fontId="38" fillId="0" borderId="0"/>
    <xf numFmtId="0" fontId="25" fillId="0" borderId="0"/>
    <xf numFmtId="0" fontId="49" fillId="0" borderId="0">
      <alignment horizontal="center"/>
    </xf>
    <xf numFmtId="43" fontId="61" fillId="0" borderId="0" applyFont="0" applyFill="0" applyBorder="0" applyAlignment="0" applyProtection="0"/>
    <xf numFmtId="43" fontId="5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1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</cellStyleXfs>
  <cellXfs count="528">
    <xf numFmtId="0" fontId="0" fillId="0" borderId="0" xfId="0"/>
    <xf numFmtId="0" fontId="34" fillId="0" borderId="0" xfId="54" applyFont="1" applyAlignment="1">
      <alignment horizontal="left" vertical="center"/>
    </xf>
    <xf numFmtId="164" fontId="37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0" xfId="52" applyFont="1" applyAlignment="1">
      <alignment vertical="center"/>
    </xf>
    <xf numFmtId="3" fontId="35" fillId="0" borderId="16" xfId="46" applyFont="1" applyBorder="1" applyAlignment="1">
      <alignment horizontal="center" vertical="center"/>
    </xf>
    <xf numFmtId="3" fontId="35" fillId="0" borderId="16" xfId="46" applyFont="1" applyBorder="1" applyAlignment="1">
      <alignment vertical="center"/>
    </xf>
    <xf numFmtId="164" fontId="35" fillId="0" borderId="16" xfId="29" applyNumberFormat="1" applyFont="1" applyBorder="1" applyAlignment="1">
      <alignment vertical="center"/>
    </xf>
    <xf numFmtId="3" fontId="41" fillId="0" borderId="16" xfId="46" applyFont="1" applyBorder="1" applyAlignment="1">
      <alignment vertical="center"/>
    </xf>
    <xf numFmtId="164" fontId="41" fillId="0" borderId="16" xfId="29" applyNumberFormat="1" applyFont="1" applyBorder="1" applyAlignment="1">
      <alignment vertical="center"/>
    </xf>
    <xf numFmtId="14" fontId="35" fillId="0" borderId="22" xfId="55" applyNumberFormat="1" applyFont="1" applyBorder="1" applyAlignment="1">
      <alignment horizontal="center" vertical="center" wrapText="1"/>
    </xf>
    <xf numFmtId="0" fontId="27" fillId="0" borderId="0" xfId="53" applyAlignment="1">
      <alignment vertical="center"/>
    </xf>
    <xf numFmtId="0" fontId="35" fillId="0" borderId="0" xfId="53" applyFont="1" applyAlignment="1">
      <alignment vertical="center"/>
    </xf>
    <xf numFmtId="0" fontId="41" fillId="0" borderId="0" xfId="53" applyFont="1" applyAlignment="1">
      <alignment vertical="center"/>
    </xf>
    <xf numFmtId="0" fontId="42" fillId="0" borderId="0" xfId="53" applyFont="1" applyAlignment="1">
      <alignment vertical="center"/>
    </xf>
    <xf numFmtId="0" fontId="35" fillId="21" borderId="2" xfId="53" applyFont="1" applyFill="1" applyBorder="1" applyAlignment="1">
      <alignment vertical="center"/>
    </xf>
    <xf numFmtId="3" fontId="35" fillId="21" borderId="2" xfId="27" applyFont="1" applyFill="1" applyBorder="1" applyAlignment="1">
      <alignment vertical="center"/>
    </xf>
    <xf numFmtId="164" fontId="35" fillId="21" borderId="2" xfId="29" applyNumberFormat="1" applyFont="1" applyFill="1" applyBorder="1" applyAlignment="1">
      <alignment vertical="center"/>
    </xf>
    <xf numFmtId="0" fontId="35" fillId="21" borderId="0" xfId="53" applyFont="1" applyFill="1" applyAlignment="1">
      <alignment vertical="center"/>
    </xf>
    <xf numFmtId="164" fontId="27" fillId="0" borderId="0" xfId="29" applyNumberFormat="1" applyFont="1" applyAlignment="1">
      <alignment vertical="center"/>
    </xf>
    <xf numFmtId="164" fontId="35" fillId="0" borderId="0" xfId="29" applyNumberFormat="1" applyFont="1" applyAlignment="1">
      <alignment vertical="center"/>
    </xf>
    <xf numFmtId="164" fontId="42" fillId="0" borderId="0" xfId="29" applyNumberFormat="1" applyFont="1" applyAlignment="1">
      <alignment vertical="center"/>
    </xf>
    <xf numFmtId="164" fontId="35" fillId="21" borderId="0" xfId="29" applyNumberFormat="1" applyFont="1" applyFill="1" applyAlignment="1">
      <alignment vertical="center"/>
    </xf>
    <xf numFmtId="16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0" fontId="35" fillId="0" borderId="0" xfId="52" applyFont="1" applyAlignment="1">
      <alignment vertical="center"/>
    </xf>
    <xf numFmtId="0" fontId="35" fillId="0" borderId="0" xfId="52" applyFont="1" applyAlignment="1">
      <alignment horizontal="center" vertical="center"/>
    </xf>
    <xf numFmtId="0" fontId="35" fillId="0" borderId="0" xfId="52" applyFont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35" fillId="0" borderId="20" xfId="52" applyFont="1" applyBorder="1" applyAlignment="1">
      <alignment horizontal="center" vertical="center"/>
    </xf>
    <xf numFmtId="0" fontId="35" fillId="0" borderId="2" xfId="52" quotePrefix="1" applyFont="1" applyBorder="1" applyAlignment="1">
      <alignment vertical="center"/>
    </xf>
    <xf numFmtId="0" fontId="35" fillId="0" borderId="2" xfId="52" applyFont="1" applyBorder="1" applyAlignment="1">
      <alignment vertical="center"/>
    </xf>
    <xf numFmtId="164" fontId="35" fillId="0" borderId="22" xfId="29" applyNumberFormat="1" applyFont="1" applyBorder="1" applyAlignment="1">
      <alignment vertical="center"/>
    </xf>
    <xf numFmtId="14" fontId="35" fillId="0" borderId="2" xfId="52" applyNumberFormat="1" applyFont="1" applyBorder="1" applyAlignment="1">
      <alignment horizontal="center" vertical="center"/>
    </xf>
    <xf numFmtId="164" fontId="35" fillId="0" borderId="2" xfId="29" applyNumberFormat="1" applyFont="1" applyBorder="1" applyAlignment="1">
      <alignment horizontal="center" vertical="center"/>
    </xf>
    <xf numFmtId="0" fontId="35" fillId="0" borderId="0" xfId="52" quotePrefix="1" applyFont="1" applyAlignment="1">
      <alignment horizontal="left" vertical="center"/>
    </xf>
    <xf numFmtId="0" fontId="25" fillId="0" borderId="0" xfId="0" applyFont="1"/>
    <xf numFmtId="0" fontId="35" fillId="0" borderId="2" xfId="52" applyFont="1" applyBorder="1" applyAlignment="1">
      <alignment horizontal="center" vertical="center" wrapText="1" shrinkToFit="1"/>
    </xf>
    <xf numFmtId="0" fontId="24" fillId="0" borderId="0" xfId="73" applyFont="1"/>
    <xf numFmtId="164" fontId="27" fillId="0" borderId="0" xfId="74" applyNumberFormat="1" applyFont="1"/>
    <xf numFmtId="0" fontId="27" fillId="0" borderId="0" xfId="73"/>
    <xf numFmtId="0" fontId="29" fillId="0" borderId="0" xfId="58">
      <alignment horizontal="centerContinuous"/>
    </xf>
    <xf numFmtId="164" fontId="29" fillId="0" borderId="0" xfId="74" applyNumberFormat="1" applyFont="1" applyAlignment="1">
      <alignment horizontal="centerContinuous"/>
    </xf>
    <xf numFmtId="0" fontId="29" fillId="0" borderId="0" xfId="58" applyFont="1">
      <alignment horizontal="centerContinuous"/>
    </xf>
    <xf numFmtId="0" fontId="24" fillId="21" borderId="17" xfId="75" applyBorder="1">
      <alignment horizontal="centerContinuous" vertical="center" wrapText="1"/>
    </xf>
    <xf numFmtId="164" fontId="24" fillId="21" borderId="2" xfId="74" applyNumberFormat="1" applyFont="1" applyFill="1" applyBorder="1" applyAlignment="1">
      <alignment horizontal="centerContinuous" vertical="center" wrapText="1"/>
    </xf>
    <xf numFmtId="0" fontId="24" fillId="21" borderId="2" xfId="75">
      <alignment horizontal="centerContinuous" vertical="center" wrapText="1"/>
    </xf>
    <xf numFmtId="0" fontId="24" fillId="21" borderId="18" xfId="75" applyBorder="1">
      <alignment horizontal="centerContinuous" vertical="center" wrapText="1"/>
    </xf>
    <xf numFmtId="164" fontId="45" fillId="0" borderId="25" xfId="74" quotePrefix="1" applyNumberFormat="1" applyFont="1" applyBorder="1" applyAlignment="1">
      <alignment horizontal="center"/>
    </xf>
    <xf numFmtId="164" fontId="46" fillId="0" borderId="25" xfId="74" applyNumberFormat="1" applyFont="1" applyBorder="1" applyAlignment="1">
      <alignment horizontal="center"/>
    </xf>
    <xf numFmtId="164" fontId="45" fillId="0" borderId="25" xfId="74" applyNumberFormat="1" applyFont="1" applyBorder="1"/>
    <xf numFmtId="164" fontId="45" fillId="0" borderId="27" xfId="74" applyNumberFormat="1" applyFont="1" applyBorder="1"/>
    <xf numFmtId="164" fontId="27" fillId="0" borderId="0" xfId="74" applyNumberFormat="1" applyFont="1" applyFill="1"/>
    <xf numFmtId="164" fontId="24" fillId="0" borderId="10" xfId="74" applyNumberFormat="1" applyFont="1" applyBorder="1" applyAlignment="1">
      <alignment horizontal="left"/>
    </xf>
    <xf numFmtId="164" fontId="44" fillId="0" borderId="10" xfId="74" applyNumberFormat="1" applyFont="1" applyBorder="1" applyAlignment="1">
      <alignment horizontal="left"/>
    </xf>
    <xf numFmtId="164" fontId="24" fillId="0" borderId="10" xfId="74" applyNumberFormat="1" applyFont="1" applyBorder="1"/>
    <xf numFmtId="164" fontId="45" fillId="0" borderId="25" xfId="74" applyNumberFormat="1" applyFont="1" applyBorder="1" applyAlignment="1">
      <alignment horizontal="center"/>
    </xf>
    <xf numFmtId="164" fontId="24" fillId="0" borderId="10" xfId="74" quotePrefix="1" applyNumberFormat="1" applyFont="1" applyBorder="1" applyAlignment="1">
      <alignment horizontal="left"/>
    </xf>
    <xf numFmtId="164" fontId="27" fillId="0" borderId="28" xfId="74" applyNumberFormat="1" applyFont="1" applyBorder="1"/>
    <xf numFmtId="164" fontId="27" fillId="0" borderId="28" xfId="74" quotePrefix="1" applyNumberFormat="1" applyFont="1" applyBorder="1" applyAlignment="1">
      <alignment horizontal="right"/>
    </xf>
    <xf numFmtId="164" fontId="36" fillId="0" borderId="28" xfId="74" applyNumberFormat="1" applyFont="1" applyBorder="1" applyAlignment="1">
      <alignment horizontal="right"/>
    </xf>
    <xf numFmtId="164" fontId="24" fillId="0" borderId="2" xfId="74" applyNumberFormat="1" applyFont="1" applyBorder="1"/>
    <xf numFmtId="3" fontId="27" fillId="0" borderId="0" xfId="73" applyNumberFormat="1"/>
    <xf numFmtId="164" fontId="27" fillId="0" borderId="0" xfId="73" applyNumberFormat="1"/>
    <xf numFmtId="0" fontId="27" fillId="0" borderId="0" xfId="73" applyBorder="1"/>
    <xf numFmtId="0" fontId="35" fillId="0" borderId="0" xfId="76" applyFont="1" applyFill="1" applyAlignment="1">
      <alignment horizontal="left" vertical="center"/>
    </xf>
    <xf numFmtId="0" fontId="40" fillId="0" borderId="0" xfId="76" applyFont="1" applyFill="1" applyAlignment="1">
      <alignment horizontal="center" vertical="center" wrapText="1"/>
    </xf>
    <xf numFmtId="0" fontId="40" fillId="0" borderId="0" xfId="76" applyFont="1" applyFill="1" applyAlignment="1">
      <alignment vertical="center" wrapText="1"/>
    </xf>
    <xf numFmtId="1" fontId="35" fillId="0" borderId="0" xfId="76" applyNumberFormat="1" applyFont="1" applyFill="1" applyAlignment="1">
      <alignment horizontal="center" vertical="center"/>
    </xf>
    <xf numFmtId="1" fontId="35" fillId="0" borderId="0" xfId="76" applyNumberFormat="1" applyFont="1" applyFill="1" applyAlignment="1">
      <alignment horizontal="center" vertical="center" wrapText="1"/>
    </xf>
    <xf numFmtId="0" fontId="48" fillId="0" borderId="2" xfId="76" applyFont="1" applyFill="1" applyBorder="1" applyAlignment="1">
      <alignment horizontal="center" vertical="center"/>
    </xf>
    <xf numFmtId="0" fontId="35" fillId="0" borderId="16" xfId="77" applyNumberFormat="1" applyFont="1" applyFill="1" applyBorder="1" applyAlignment="1">
      <alignment horizontal="center" vertical="center"/>
    </xf>
    <xf numFmtId="14" fontId="35" fillId="0" borderId="16" xfId="76" applyNumberFormat="1" applyFont="1" applyFill="1" applyBorder="1" applyAlignment="1">
      <alignment horizontal="center" vertical="center"/>
    </xf>
    <xf numFmtId="164" fontId="35" fillId="0" borderId="16" xfId="77" applyNumberFormat="1" applyFont="1" applyFill="1" applyBorder="1" applyAlignment="1">
      <alignment vertical="center"/>
    </xf>
    <xf numFmtId="0" fontId="35" fillId="0" borderId="16" xfId="76" quotePrefix="1" applyNumberFormat="1" applyFont="1" applyFill="1" applyBorder="1" applyAlignment="1">
      <alignment horizontal="center" vertical="center"/>
    </xf>
    <xf numFmtId="164" fontId="35" fillId="0" borderId="16" xfId="76" applyNumberFormat="1" applyFont="1" applyFill="1" applyBorder="1" applyAlignment="1">
      <alignment horizontal="left" vertical="center"/>
    </xf>
    <xf numFmtId="0" fontId="35" fillId="0" borderId="16" xfId="76" applyNumberFormat="1" applyFont="1" applyFill="1" applyBorder="1" applyAlignment="1">
      <alignment horizontal="center" vertical="center"/>
    </xf>
    <xf numFmtId="1" fontId="35" fillId="0" borderId="16" xfId="76" quotePrefix="1" applyNumberFormat="1" applyFont="1" applyFill="1" applyBorder="1" applyAlignment="1">
      <alignment horizontal="center" vertical="center"/>
    </xf>
    <xf numFmtId="14" fontId="50" fillId="0" borderId="16" xfId="76" applyNumberFormat="1" applyFont="1" applyFill="1" applyBorder="1" applyAlignment="1">
      <alignment horizontal="center" vertical="center"/>
    </xf>
    <xf numFmtId="164" fontId="50" fillId="0" borderId="16" xfId="76" applyNumberFormat="1" applyFont="1" applyFill="1" applyBorder="1" applyAlignment="1">
      <alignment horizontal="left" vertical="center"/>
    </xf>
    <xf numFmtId="164" fontId="50" fillId="0" borderId="16" xfId="77" applyNumberFormat="1" applyFont="1" applyFill="1" applyBorder="1" applyAlignment="1">
      <alignment vertical="center"/>
    </xf>
    <xf numFmtId="1" fontId="50" fillId="0" borderId="16" xfId="76" quotePrefix="1" applyNumberFormat="1" applyFont="1" applyFill="1" applyBorder="1" applyAlignment="1">
      <alignment horizontal="center" vertical="center"/>
    </xf>
    <xf numFmtId="0" fontId="50" fillId="0" borderId="16" xfId="76" quotePrefix="1" applyNumberFormat="1" applyFont="1" applyFill="1" applyBorder="1" applyAlignment="1">
      <alignment horizontal="center" vertical="center"/>
    </xf>
    <xf numFmtId="14" fontId="51" fillId="0" borderId="16" xfId="76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left" vertical="center"/>
    </xf>
    <xf numFmtId="164" fontId="51" fillId="0" borderId="16" xfId="77" applyNumberFormat="1" applyFont="1" applyFill="1" applyBorder="1" applyAlignment="1">
      <alignment vertical="center"/>
    </xf>
    <xf numFmtId="0" fontId="51" fillId="0" borderId="16" xfId="76" quotePrefix="1" applyNumberFormat="1" applyFont="1" applyFill="1" applyBorder="1" applyAlignment="1">
      <alignment horizontal="center" vertical="center"/>
    </xf>
    <xf numFmtId="14" fontId="52" fillId="0" borderId="16" xfId="76" applyNumberFormat="1" applyFont="1" applyFill="1" applyBorder="1" applyAlignment="1">
      <alignment horizontal="center" vertical="center"/>
    </xf>
    <xf numFmtId="164" fontId="52" fillId="0" borderId="16" xfId="76" applyNumberFormat="1" applyFont="1" applyFill="1" applyBorder="1" applyAlignment="1">
      <alignment horizontal="left" vertical="center"/>
    </xf>
    <xf numFmtId="164" fontId="52" fillId="0" borderId="16" xfId="77" applyNumberFormat="1" applyFont="1" applyFill="1" applyBorder="1" applyAlignment="1">
      <alignment vertical="center"/>
    </xf>
    <xf numFmtId="0" fontId="52" fillId="0" borderId="16" xfId="76" quotePrefix="1" applyNumberFormat="1" applyFont="1" applyFill="1" applyBorder="1" applyAlignment="1">
      <alignment horizontal="center" vertical="center"/>
    </xf>
    <xf numFmtId="14" fontId="53" fillId="0" borderId="16" xfId="76" applyNumberFormat="1" applyFont="1" applyFill="1" applyBorder="1" applyAlignment="1">
      <alignment horizontal="center" vertical="center"/>
    </xf>
    <xf numFmtId="164" fontId="53" fillId="0" borderId="16" xfId="76" applyNumberFormat="1" applyFont="1" applyFill="1" applyBorder="1" applyAlignment="1">
      <alignment horizontal="left" vertical="center"/>
    </xf>
    <xf numFmtId="164" fontId="53" fillId="0" borderId="16" xfId="77" applyNumberFormat="1" applyFont="1" applyFill="1" applyBorder="1" applyAlignment="1">
      <alignment vertical="center"/>
    </xf>
    <xf numFmtId="0" fontId="53" fillId="0" borderId="16" xfId="76" quotePrefix="1" applyNumberFormat="1" applyFont="1" applyFill="1" applyBorder="1" applyAlignment="1">
      <alignment horizontal="center" vertical="center"/>
    </xf>
    <xf numFmtId="14" fontId="53" fillId="0" borderId="16" xfId="78" applyNumberFormat="1" applyFont="1" applyBorder="1" applyAlignment="1">
      <alignment horizontal="center"/>
    </xf>
    <xf numFmtId="0" fontId="53" fillId="0" borderId="16" xfId="78" applyFont="1" applyBorder="1" applyAlignment="1">
      <alignment horizontal="center"/>
    </xf>
    <xf numFmtId="14" fontId="53" fillId="0" borderId="21" xfId="76" applyNumberFormat="1" applyFont="1" applyFill="1" applyBorder="1" applyAlignment="1">
      <alignment horizontal="center" vertical="center"/>
    </xf>
    <xf numFmtId="14" fontId="53" fillId="0" borderId="21" xfId="78" applyNumberFormat="1" applyFont="1" applyBorder="1" applyAlignment="1">
      <alignment horizontal="center"/>
    </xf>
    <xf numFmtId="164" fontId="53" fillId="0" borderId="21" xfId="76" applyNumberFormat="1" applyFont="1" applyFill="1" applyBorder="1" applyAlignment="1">
      <alignment horizontal="left" vertical="center"/>
    </xf>
    <xf numFmtId="164" fontId="53" fillId="0" borderId="21" xfId="77" applyNumberFormat="1" applyFont="1" applyFill="1" applyBorder="1" applyAlignment="1">
      <alignment vertical="center"/>
    </xf>
    <xf numFmtId="0" fontId="35" fillId="0" borderId="2" xfId="76" applyFont="1" applyFill="1" applyBorder="1" applyAlignment="1">
      <alignment horizontal="center" vertical="center" wrapText="1"/>
    </xf>
    <xf numFmtId="0" fontId="35" fillId="0" borderId="0" xfId="76" applyFont="1" applyFill="1" applyAlignment="1">
      <alignment horizontal="center" vertical="center" wrapText="1"/>
    </xf>
    <xf numFmtId="0" fontId="35" fillId="0" borderId="20" xfId="76" applyFont="1" applyFill="1" applyBorder="1" applyAlignment="1">
      <alignment horizontal="center" vertical="center" wrapText="1"/>
    </xf>
    <xf numFmtId="0" fontId="35" fillId="0" borderId="2" xfId="76" applyNumberFormat="1" applyFont="1" applyFill="1" applyBorder="1" applyAlignment="1">
      <alignment horizontal="center" vertical="center" wrapText="1"/>
    </xf>
    <xf numFmtId="0" fontId="35" fillId="0" borderId="0" xfId="76" applyFont="1" applyFill="1" applyAlignment="1">
      <alignment horizontal="center" vertical="center"/>
    </xf>
    <xf numFmtId="14" fontId="35" fillId="0" borderId="16" xfId="77" applyNumberFormat="1" applyFont="1" applyBorder="1" applyAlignment="1">
      <alignment horizontal="center" vertical="center"/>
    </xf>
    <xf numFmtId="164" fontId="35" fillId="0" borderId="22" xfId="29" applyNumberFormat="1" applyFont="1" applyBorder="1" applyAlignment="1">
      <alignment horizontal="center" vertical="center" wrapText="1"/>
    </xf>
    <xf numFmtId="0" fontId="0" fillId="0" borderId="0" xfId="0" applyAlignment="1"/>
    <xf numFmtId="14" fontId="53" fillId="0" borderId="16" xfId="77" applyNumberFormat="1" applyFont="1" applyBorder="1" applyAlignment="1">
      <alignment horizontal="center" vertical="center"/>
    </xf>
    <xf numFmtId="0" fontId="53" fillId="0" borderId="16" xfId="78" applyFont="1" applyBorder="1" applyAlignment="1"/>
    <xf numFmtId="164" fontId="53" fillId="0" borderId="16" xfId="74" applyNumberFormat="1" applyFont="1" applyBorder="1" applyAlignment="1"/>
    <xf numFmtId="0" fontId="53" fillId="0" borderId="16" xfId="78" applyFont="1" applyFill="1" applyBorder="1" applyAlignment="1"/>
    <xf numFmtId="164" fontId="53" fillId="0" borderId="16" xfId="74" applyNumberFormat="1" applyFont="1" applyFill="1" applyBorder="1" applyAlignment="1"/>
    <xf numFmtId="49" fontId="35" fillId="0" borderId="0" xfId="76" applyNumberFormat="1" applyFont="1" applyFill="1" applyAlignment="1">
      <alignment horizontal="center" vertical="center"/>
    </xf>
    <xf numFmtId="49" fontId="50" fillId="0" borderId="16" xfId="76" applyNumberFormat="1" applyFont="1" applyFill="1" applyBorder="1" applyAlignment="1">
      <alignment horizontal="left" vertical="center"/>
    </xf>
    <xf numFmtId="49" fontId="51" fillId="0" borderId="16" xfId="76" applyNumberFormat="1" applyFont="1" applyFill="1" applyBorder="1" applyAlignment="1">
      <alignment horizontal="left" vertical="center"/>
    </xf>
    <xf numFmtId="49" fontId="51" fillId="0" borderId="16" xfId="76" quotePrefix="1" applyNumberFormat="1" applyFont="1" applyFill="1" applyBorder="1" applyAlignment="1">
      <alignment horizontal="left" vertical="center"/>
    </xf>
    <xf numFmtId="49" fontId="52" fillId="0" borderId="16" xfId="76" applyNumberFormat="1" applyFont="1" applyFill="1" applyBorder="1" applyAlignment="1">
      <alignment horizontal="left" vertical="center"/>
    </xf>
    <xf numFmtId="49" fontId="53" fillId="0" borderId="16" xfId="76" applyNumberFormat="1" applyFont="1" applyFill="1" applyBorder="1" applyAlignment="1">
      <alignment horizontal="left" vertical="center"/>
    </xf>
    <xf numFmtId="49" fontId="53" fillId="0" borderId="16" xfId="76" quotePrefix="1" applyNumberFormat="1" applyFont="1" applyFill="1" applyBorder="1" applyAlignment="1">
      <alignment horizontal="left" vertical="center"/>
    </xf>
    <xf numFmtId="49" fontId="35" fillId="0" borderId="16" xfId="76" applyNumberFormat="1" applyFont="1" applyFill="1" applyBorder="1" applyAlignment="1">
      <alignment horizontal="left" vertical="center"/>
    </xf>
    <xf numFmtId="49" fontId="35" fillId="0" borderId="16" xfId="76" quotePrefix="1" applyNumberFormat="1" applyFont="1" applyFill="1" applyBorder="1" applyAlignment="1">
      <alignment horizontal="left" vertical="center"/>
    </xf>
    <xf numFmtId="49" fontId="35" fillId="0" borderId="16" xfId="77" applyNumberFormat="1" applyFont="1" applyFill="1" applyBorder="1" applyAlignment="1">
      <alignment vertical="center"/>
    </xf>
    <xf numFmtId="49" fontId="35" fillId="0" borderId="16" xfId="76" applyNumberFormat="1" applyFont="1" applyFill="1" applyBorder="1" applyAlignment="1">
      <alignment horizontal="left" vertical="center" wrapText="1"/>
    </xf>
    <xf numFmtId="0" fontId="35" fillId="0" borderId="22" xfId="55" applyNumberFormat="1" applyFont="1" applyBorder="1" applyAlignment="1">
      <alignment horizontal="left" vertical="center" wrapText="1"/>
    </xf>
    <xf numFmtId="0" fontId="35" fillId="0" borderId="22" xfId="55" applyNumberFormat="1" applyFont="1" applyBorder="1" applyAlignment="1">
      <alignment horizontal="center" vertical="center" wrapText="1"/>
    </xf>
    <xf numFmtId="164" fontId="35" fillId="0" borderId="2" xfId="29" applyNumberFormat="1" applyFont="1" applyBorder="1" applyAlignment="1">
      <alignment vertical="center"/>
    </xf>
    <xf numFmtId="0" fontId="54" fillId="0" borderId="16" xfId="77" applyNumberFormat="1" applyFont="1" applyFill="1" applyBorder="1" applyAlignment="1">
      <alignment horizontal="center" vertical="center"/>
    </xf>
    <xf numFmtId="14" fontId="54" fillId="0" borderId="16" xfId="76" applyNumberFormat="1" applyFont="1" applyFill="1" applyBorder="1" applyAlignment="1">
      <alignment horizontal="center" vertical="center"/>
    </xf>
    <xf numFmtId="164" fontId="54" fillId="0" borderId="16" xfId="76" applyNumberFormat="1" applyFont="1" applyFill="1" applyBorder="1" applyAlignment="1">
      <alignment horizontal="left" vertical="center"/>
    </xf>
    <xf numFmtId="49" fontId="54" fillId="0" borderId="16" xfId="76" applyNumberFormat="1" applyFont="1" applyFill="1" applyBorder="1" applyAlignment="1">
      <alignment horizontal="left" vertical="center"/>
    </xf>
    <xf numFmtId="164" fontId="54" fillId="0" borderId="16" xfId="77" applyNumberFormat="1" applyFont="1" applyFill="1" applyBorder="1" applyAlignment="1">
      <alignment vertical="center"/>
    </xf>
    <xf numFmtId="0" fontId="54" fillId="0" borderId="16" xfId="76" quotePrefix="1" applyNumberFormat="1" applyFont="1" applyFill="1" applyBorder="1" applyAlignment="1">
      <alignment horizontal="center" vertical="center"/>
    </xf>
    <xf numFmtId="0" fontId="55" fillId="0" borderId="0" xfId="0" applyFont="1" applyAlignment="1"/>
    <xf numFmtId="0" fontId="56" fillId="0" borderId="16" xfId="76" quotePrefix="1" applyNumberFormat="1" applyFont="1" applyFill="1" applyBorder="1" applyAlignment="1">
      <alignment horizontal="center" vertical="center"/>
    </xf>
    <xf numFmtId="14" fontId="35" fillId="0" borderId="16" xfId="76" quotePrefix="1" applyNumberFormat="1" applyFont="1" applyFill="1" applyBorder="1" applyAlignment="1">
      <alignment horizontal="center" vertical="center"/>
    </xf>
    <xf numFmtId="164" fontId="35" fillId="0" borderId="22" xfId="29" applyNumberFormat="1" applyFont="1" applyBorder="1" applyAlignment="1">
      <alignment horizontal="center" vertical="center" wrapText="1"/>
    </xf>
    <xf numFmtId="164" fontId="24" fillId="0" borderId="28" xfId="74" applyNumberFormat="1" applyFont="1" applyBorder="1"/>
    <xf numFmtId="164" fontId="24" fillId="0" borderId="29" xfId="74" applyNumberFormat="1" applyFont="1" applyBorder="1"/>
    <xf numFmtId="1" fontId="54" fillId="0" borderId="16" xfId="76" quotePrefix="1" applyNumberFormat="1" applyFont="1" applyFill="1" applyBorder="1" applyAlignment="1">
      <alignment horizontal="center" vertical="center"/>
    </xf>
    <xf numFmtId="49" fontId="54" fillId="0" borderId="16" xfId="76" quotePrefix="1" applyNumberFormat="1" applyFont="1" applyFill="1" applyBorder="1" applyAlignment="1">
      <alignment horizontal="left" vertical="center"/>
    </xf>
    <xf numFmtId="164" fontId="27" fillId="0" borderId="0" xfId="53" applyNumberFormat="1" applyAlignment="1">
      <alignment vertical="center"/>
    </xf>
    <xf numFmtId="0" fontId="23" fillId="0" borderId="0" xfId="0" applyFont="1" applyAlignment="1">
      <alignment vertical="center" wrapText="1"/>
    </xf>
    <xf numFmtId="0" fontId="40" fillId="0" borderId="0" xfId="0" applyFont="1" applyAlignment="1">
      <alignment horizontal="center" vertical="center" wrapText="1"/>
    </xf>
    <xf numFmtId="164" fontId="40" fillId="0" borderId="2" xfId="29" applyNumberFormat="1" applyFont="1" applyBorder="1" applyAlignment="1">
      <alignment vertical="center" wrapText="1"/>
    </xf>
    <xf numFmtId="164" fontId="40" fillId="0" borderId="2" xfId="29" applyNumberFormat="1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42" fillId="0" borderId="16" xfId="0" applyFont="1" applyBorder="1" applyAlignment="1">
      <alignment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vertical="center" wrapText="1"/>
    </xf>
    <xf numFmtId="0" fontId="42" fillId="0" borderId="16" xfId="0" applyFont="1" applyBorder="1" applyAlignment="1">
      <alignment horizontal="center" vertical="center" wrapText="1"/>
    </xf>
    <xf numFmtId="0" fontId="42" fillId="0" borderId="0" xfId="0" applyFont="1" applyAlignment="1">
      <alignment vertical="center" wrapText="1"/>
    </xf>
    <xf numFmtId="0" fontId="42" fillId="0" borderId="21" xfId="0" applyFont="1" applyBorder="1" applyAlignment="1">
      <alignment vertical="center" wrapText="1"/>
    </xf>
    <xf numFmtId="14" fontId="42" fillId="0" borderId="21" xfId="0" applyNumberFormat="1" applyFont="1" applyBorder="1" applyAlignment="1">
      <alignment horizontal="center" vertical="center" wrapText="1"/>
    </xf>
    <xf numFmtId="164" fontId="42" fillId="0" borderId="21" xfId="29" applyNumberFormat="1" applyFont="1" applyBorder="1" applyAlignment="1">
      <alignment vertical="center" wrapText="1"/>
    </xf>
    <xf numFmtId="0" fontId="42" fillId="0" borderId="22" xfId="0" applyFont="1" applyBorder="1" applyAlignment="1">
      <alignment horizontal="center" vertical="center" wrapText="1"/>
    </xf>
    <xf numFmtId="164" fontId="57" fillId="25" borderId="2" xfId="0" applyNumberFormat="1" applyFont="1" applyFill="1" applyBorder="1" applyAlignment="1">
      <alignment vertical="center" wrapText="1"/>
    </xf>
    <xf numFmtId="14" fontId="57" fillId="25" borderId="2" xfId="0" applyNumberFormat="1" applyFont="1" applyFill="1" applyBorder="1" applyAlignment="1">
      <alignment horizontal="center" vertical="center" wrapText="1"/>
    </xf>
    <xf numFmtId="164" fontId="57" fillId="25" borderId="2" xfId="0" applyNumberFormat="1" applyFont="1" applyFill="1" applyBorder="1" applyAlignment="1">
      <alignment horizontal="center" vertical="center" wrapText="1"/>
    </xf>
    <xf numFmtId="0" fontId="57" fillId="0" borderId="0" xfId="0" applyFont="1" applyAlignment="1">
      <alignment vertical="center" wrapText="1"/>
    </xf>
    <xf numFmtId="164" fontId="57" fillId="25" borderId="26" xfId="0" applyNumberFormat="1" applyFont="1" applyFill="1" applyBorder="1" applyAlignment="1">
      <alignment vertical="center" wrapText="1"/>
    </xf>
    <xf numFmtId="164" fontId="57" fillId="25" borderId="20" xfId="0" applyNumberFormat="1" applyFont="1" applyFill="1" applyBorder="1" applyAlignment="1">
      <alignment vertical="center" wrapText="1"/>
    </xf>
    <xf numFmtId="164" fontId="42" fillId="0" borderId="22" xfId="29" applyNumberFormat="1" applyFont="1" applyBorder="1" applyAlignment="1">
      <alignment vertical="center" wrapText="1"/>
    </xf>
    <xf numFmtId="14" fontId="42" fillId="0" borderId="22" xfId="55" applyNumberFormat="1" applyFont="1" applyBorder="1" applyAlignment="1">
      <alignment horizontal="center" vertical="center" wrapText="1"/>
    </xf>
    <xf numFmtId="14" fontId="42" fillId="0" borderId="16" xfId="55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0" fontId="42" fillId="0" borderId="21" xfId="0" applyFont="1" applyBorder="1" applyAlignment="1">
      <alignment horizontal="center" vertical="center" wrapText="1"/>
    </xf>
    <xf numFmtId="164" fontId="42" fillId="0" borderId="19" xfId="29" applyNumberFormat="1" applyFont="1" applyBorder="1" applyAlignment="1">
      <alignment vertical="center" wrapText="1"/>
    </xf>
    <xf numFmtId="14" fontId="42" fillId="0" borderId="19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vertical="center" wrapText="1"/>
    </xf>
    <xf numFmtId="14" fontId="35" fillId="0" borderId="22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0" xfId="0" applyFont="1" applyAlignment="1">
      <alignment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vertical="center" wrapText="1"/>
    </xf>
    <xf numFmtId="0" fontId="35" fillId="0" borderId="16" xfId="0" applyFont="1" applyBorder="1" applyAlignment="1">
      <alignment horizontal="center" vertical="center" wrapText="1"/>
    </xf>
    <xf numFmtId="164" fontId="35" fillId="0" borderId="12" xfId="29" applyNumberFormat="1" applyFont="1" applyBorder="1" applyAlignment="1">
      <alignment vertical="center" wrapText="1"/>
    </xf>
    <xf numFmtId="0" fontId="43" fillId="0" borderId="0" xfId="0" applyFont="1" applyAlignment="1">
      <alignment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64" fontId="43" fillId="0" borderId="16" xfId="29" applyNumberFormat="1" applyFont="1" applyBorder="1" applyAlignment="1">
      <alignment vertical="center" wrapText="1"/>
    </xf>
    <xf numFmtId="14" fontId="43" fillId="0" borderId="22" xfId="0" applyNumberFormat="1" applyFont="1" applyBorder="1" applyAlignment="1">
      <alignment horizontal="center" vertical="center" wrapText="1"/>
    </xf>
    <xf numFmtId="0" fontId="43" fillId="0" borderId="22" xfId="0" applyFont="1" applyBorder="1" applyAlignment="1">
      <alignment horizontal="center" vertical="center" wrapText="1"/>
    </xf>
    <xf numFmtId="164" fontId="35" fillId="0" borderId="16" xfId="0" applyNumberFormat="1" applyFont="1" applyBorder="1" applyAlignment="1">
      <alignment horizontal="center" vertical="center" wrapText="1"/>
    </xf>
    <xf numFmtId="14" fontId="35" fillId="0" borderId="12" xfId="0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14" fontId="35" fillId="0" borderId="19" xfId="0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164" fontId="56" fillId="0" borderId="16" xfId="29" applyNumberFormat="1" applyFont="1" applyBorder="1" applyAlignment="1">
      <alignment vertical="center" wrapText="1"/>
    </xf>
    <xf numFmtId="14" fontId="56" fillId="0" borderId="16" xfId="0" applyNumberFormat="1" applyFont="1" applyBorder="1" applyAlignment="1">
      <alignment horizontal="center" vertical="center" wrapText="1"/>
    </xf>
    <xf numFmtId="164" fontId="56" fillId="0" borderId="16" xfId="0" applyNumberFormat="1" applyFont="1" applyBorder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164" fontId="35" fillId="0" borderId="0" xfId="29" applyNumberFormat="1" applyFont="1" applyAlignment="1">
      <alignment vertical="center" wrapText="1"/>
    </xf>
    <xf numFmtId="0" fontId="40" fillId="0" borderId="0" xfId="0" applyFont="1" applyBorder="1" applyAlignment="1">
      <alignment vertical="center" wrapText="1"/>
    </xf>
    <xf numFmtId="164" fontId="40" fillId="0" borderId="0" xfId="29" applyNumberFormat="1" applyFont="1" applyAlignment="1">
      <alignment horizontal="center" vertical="center" wrapText="1"/>
    </xf>
    <xf numFmtId="164" fontId="35" fillId="0" borderId="0" xfId="0" applyNumberFormat="1" applyFont="1" applyAlignment="1">
      <alignment vertical="center" wrapText="1"/>
    </xf>
    <xf numFmtId="0" fontId="58" fillId="0" borderId="0" xfId="0" applyFont="1" applyBorder="1" applyAlignment="1">
      <alignment vertical="center" wrapText="1"/>
    </xf>
    <xf numFmtId="164" fontId="35" fillId="0" borderId="0" xfId="0" applyNumberFormat="1" applyFont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55" fillId="0" borderId="0" xfId="0" applyFont="1"/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49" fontId="40" fillId="0" borderId="0" xfId="76" applyNumberFormat="1" applyFont="1" applyFill="1" applyAlignment="1">
      <alignment vertical="center"/>
    </xf>
    <xf numFmtId="49" fontId="40" fillId="0" borderId="0" xfId="76" applyNumberFormat="1" applyFont="1" applyFill="1" applyAlignment="1">
      <alignment horizontal="center" vertical="center"/>
    </xf>
    <xf numFmtId="49" fontId="0" fillId="0" borderId="0" xfId="0" applyNumberFormat="1" applyAlignment="1"/>
    <xf numFmtId="0" fontId="35" fillId="0" borderId="16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76" applyNumberFormat="1" applyFont="1" applyFill="1" applyBorder="1" applyAlignment="1">
      <alignment horizontal="left" vertical="center" wrapText="1"/>
    </xf>
    <xf numFmtId="0" fontId="56" fillId="0" borderId="16" xfId="77" applyNumberFormat="1" applyFont="1" applyFill="1" applyBorder="1" applyAlignment="1">
      <alignment horizontal="center" vertical="center"/>
    </xf>
    <xf numFmtId="14" fontId="56" fillId="0" borderId="16" xfId="76" applyNumberFormat="1" applyFont="1" applyFill="1" applyBorder="1" applyAlignment="1">
      <alignment horizontal="center" vertical="center"/>
    </xf>
    <xf numFmtId="164" fontId="56" fillId="0" borderId="16" xfId="76" applyNumberFormat="1" applyFont="1" applyFill="1" applyBorder="1" applyAlignment="1">
      <alignment horizontal="left" vertical="center"/>
    </xf>
    <xf numFmtId="49" fontId="56" fillId="0" borderId="16" xfId="76" applyNumberFormat="1" applyFont="1" applyFill="1" applyBorder="1" applyAlignment="1">
      <alignment horizontal="left" vertical="center"/>
    </xf>
    <xf numFmtId="164" fontId="56" fillId="0" borderId="16" xfId="77" applyNumberFormat="1" applyFont="1" applyFill="1" applyBorder="1" applyAlignment="1">
      <alignment vertical="center"/>
    </xf>
    <xf numFmtId="0" fontId="60" fillId="0" borderId="0" xfId="0" applyFont="1"/>
    <xf numFmtId="164" fontId="35" fillId="0" borderId="22" xfId="29" applyNumberFormat="1" applyFont="1" applyBorder="1" applyAlignment="1">
      <alignment horizontal="center" vertical="center" wrapText="1"/>
    </xf>
    <xf numFmtId="164" fontId="35" fillId="0" borderId="22" xfId="76" applyNumberFormat="1" applyFont="1" applyFill="1" applyBorder="1" applyAlignment="1">
      <alignment horizontal="left" vertical="center"/>
    </xf>
    <xf numFmtId="0" fontId="35" fillId="0" borderId="16" xfId="55" applyNumberFormat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5" fillId="0" borderId="2" xfId="0" applyFont="1" applyBorder="1" applyAlignment="1">
      <alignment horizontal="center"/>
    </xf>
    <xf numFmtId="0" fontId="35" fillId="0" borderId="16" xfId="77" applyNumberFormat="1" applyFont="1" applyFill="1" applyBorder="1" applyAlignment="1">
      <alignment horizontal="center" vertical="center" wrapText="1"/>
    </xf>
    <xf numFmtId="14" fontId="35" fillId="0" borderId="16" xfId="76" applyNumberFormat="1" applyFont="1" applyFill="1" applyBorder="1" applyAlignment="1">
      <alignment horizontal="center" vertical="center" wrapText="1"/>
    </xf>
    <xf numFmtId="164" fontId="35" fillId="0" borderId="16" xfId="77" applyNumberFormat="1" applyFont="1" applyFill="1" applyBorder="1" applyAlignment="1">
      <alignment vertical="center" wrapText="1"/>
    </xf>
    <xf numFmtId="0" fontId="35" fillId="0" borderId="16" xfId="76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51" fillId="0" borderId="16" xfId="76" quotePrefix="1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center" vertical="center"/>
    </xf>
    <xf numFmtId="164" fontId="52" fillId="0" borderId="16" xfId="76" applyNumberFormat="1" applyFont="1" applyFill="1" applyBorder="1" applyAlignment="1">
      <alignment horizontal="center" vertical="center"/>
    </xf>
    <xf numFmtId="164" fontId="53" fillId="0" borderId="16" xfId="76" applyNumberFormat="1" applyFont="1" applyFill="1" applyBorder="1" applyAlignment="1">
      <alignment horizontal="center" vertical="center"/>
    </xf>
    <xf numFmtId="164" fontId="35" fillId="0" borderId="16" xfId="76" applyNumberFormat="1" applyFont="1" applyFill="1" applyBorder="1" applyAlignment="1">
      <alignment horizontal="center" vertical="center"/>
    </xf>
    <xf numFmtId="164" fontId="54" fillId="0" borderId="16" xfId="76" applyNumberFormat="1" applyFont="1" applyFill="1" applyBorder="1" applyAlignment="1">
      <alignment horizontal="center" vertical="center"/>
    </xf>
    <xf numFmtId="164" fontId="56" fillId="0" borderId="16" xfId="76" applyNumberFormat="1" applyFont="1" applyFill="1" applyBorder="1" applyAlignment="1">
      <alignment horizontal="center" vertical="center"/>
    </xf>
    <xf numFmtId="164" fontId="52" fillId="0" borderId="16" xfId="76" quotePrefix="1" applyNumberFormat="1" applyFont="1" applyFill="1" applyBorder="1" applyAlignment="1">
      <alignment horizontal="center" vertical="center"/>
    </xf>
    <xf numFmtId="164" fontId="53" fillId="0" borderId="16" xfId="76" quotePrefix="1" applyNumberFormat="1" applyFont="1" applyFill="1" applyBorder="1" applyAlignment="1">
      <alignment horizontal="center" vertical="center"/>
    </xf>
    <xf numFmtId="164" fontId="35" fillId="0" borderId="16" xfId="76" quotePrefix="1" applyNumberFormat="1" applyFont="1" applyFill="1" applyBorder="1" applyAlignment="1">
      <alignment horizontal="center" vertical="center"/>
    </xf>
    <xf numFmtId="164" fontId="54" fillId="0" borderId="16" xfId="76" quotePrefix="1" applyNumberFormat="1" applyFont="1" applyFill="1" applyBorder="1" applyAlignment="1">
      <alignment horizontal="center" vertical="center"/>
    </xf>
    <xf numFmtId="164" fontId="35" fillId="0" borderId="22" xfId="76" applyNumberFormat="1" applyFont="1" applyFill="1" applyBorder="1" applyAlignment="1">
      <alignment horizontal="center" vertical="center"/>
    </xf>
    <xf numFmtId="0" fontId="35" fillId="0" borderId="16" xfId="55" applyNumberFormat="1" applyFont="1" applyBorder="1" applyAlignment="1">
      <alignment horizontal="center" vertical="center" wrapText="1"/>
    </xf>
    <xf numFmtId="164" fontId="50" fillId="0" borderId="16" xfId="76" applyNumberFormat="1" applyFont="1" applyFill="1" applyBorder="1" applyAlignment="1">
      <alignment horizontal="center" vertical="center"/>
    </xf>
    <xf numFmtId="164" fontId="53" fillId="0" borderId="21" xfId="76" applyNumberFormat="1" applyFont="1" applyFill="1" applyBorder="1" applyAlignment="1">
      <alignment horizontal="center" vertical="center"/>
    </xf>
    <xf numFmtId="0" fontId="53" fillId="0" borderId="16" xfId="78" applyFont="1" applyFill="1" applyBorder="1" applyAlignment="1">
      <alignment horizontal="center"/>
    </xf>
    <xf numFmtId="0" fontId="35" fillId="0" borderId="25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5" fillId="0" borderId="32" xfId="0" applyFont="1" applyBorder="1" applyAlignment="1">
      <alignment horizontal="center" vertical="center" wrapText="1"/>
    </xf>
    <xf numFmtId="14" fontId="35" fillId="0" borderId="32" xfId="0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54" fillId="0" borderId="16" xfId="77" applyNumberFormat="1" applyFont="1" applyFill="1" applyBorder="1" applyAlignment="1">
      <alignment horizontal="center" vertical="center" wrapText="1"/>
    </xf>
    <xf numFmtId="14" fontId="54" fillId="0" borderId="16" xfId="76" applyNumberFormat="1" applyFont="1" applyFill="1" applyBorder="1" applyAlignment="1">
      <alignment horizontal="center" vertical="center" wrapText="1"/>
    </xf>
    <xf numFmtId="164" fontId="54" fillId="0" borderId="16" xfId="76" applyNumberFormat="1" applyFont="1" applyFill="1" applyBorder="1" applyAlignment="1">
      <alignment horizontal="left" vertical="center" wrapText="1"/>
    </xf>
    <xf numFmtId="164" fontId="54" fillId="0" borderId="16" xfId="77" applyNumberFormat="1" applyFont="1" applyFill="1" applyBorder="1" applyAlignment="1">
      <alignment vertical="center" wrapText="1"/>
    </xf>
    <xf numFmtId="0" fontId="54" fillId="0" borderId="16" xfId="76" quotePrefix="1" applyNumberFormat="1" applyFont="1" applyFill="1" applyBorder="1" applyAlignment="1">
      <alignment horizontal="center" vertical="center" wrapText="1"/>
    </xf>
    <xf numFmtId="0" fontId="55" fillId="0" borderId="0" xfId="0" applyFont="1" applyAlignment="1">
      <alignment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57" fillId="0" borderId="0" xfId="0" applyNumberFormat="1" applyFont="1" applyAlignment="1">
      <alignment vertical="center" wrapText="1"/>
    </xf>
    <xf numFmtId="164" fontId="57" fillId="0" borderId="0" xfId="29" applyNumberFormat="1" applyFont="1" applyAlignment="1">
      <alignment vertical="center" wrapText="1"/>
    </xf>
    <xf numFmtId="164" fontId="23" fillId="0" borderId="0" xfId="29" applyNumberFormat="1" applyFont="1" applyAlignment="1">
      <alignment vertical="center" wrapText="1"/>
    </xf>
    <xf numFmtId="164" fontId="35" fillId="0" borderId="0" xfId="29" applyNumberFormat="1" applyFont="1" applyAlignment="1">
      <alignment horizontal="center" vertical="center" wrapText="1"/>
    </xf>
    <xf numFmtId="164" fontId="42" fillId="0" borderId="0" xfId="29" applyNumberFormat="1" applyFont="1" applyAlignment="1">
      <alignment vertical="center" wrapText="1"/>
    </xf>
    <xf numFmtId="164" fontId="43" fillId="0" borderId="0" xfId="29" applyNumberFormat="1" applyFont="1" applyAlignment="1">
      <alignment vertical="center" wrapText="1"/>
    </xf>
    <xf numFmtId="164" fontId="35" fillId="0" borderId="0" xfId="53" applyNumberFormat="1" applyFont="1" applyAlignment="1">
      <alignment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76" applyNumberFormat="1" applyFont="1" applyFill="1" applyBorder="1" applyAlignment="1">
      <alignment horizontal="center" vertical="center" wrapText="1"/>
    </xf>
    <xf numFmtId="14" fontId="35" fillId="0" borderId="16" xfId="87" applyNumberFormat="1" applyFont="1" applyFill="1" applyBorder="1" applyAlignment="1">
      <alignment horizontal="center" vertical="center"/>
    </xf>
    <xf numFmtId="164" fontId="35" fillId="0" borderId="16" xfId="87" applyNumberFormat="1" applyFont="1" applyFill="1" applyBorder="1" applyAlignment="1">
      <alignment horizontal="left" vertical="center"/>
    </xf>
    <xf numFmtId="164" fontId="35" fillId="0" borderId="16" xfId="87" quotePrefix="1" applyNumberFormat="1" applyFont="1" applyFill="1" applyBorder="1" applyAlignment="1">
      <alignment horizontal="center" vertical="center"/>
    </xf>
    <xf numFmtId="49" fontId="35" fillId="0" borderId="16" xfId="87" applyNumberFormat="1" applyFont="1" applyFill="1" applyBorder="1" applyAlignment="1">
      <alignment horizontal="left" vertical="center"/>
    </xf>
    <xf numFmtId="0" fontId="35" fillId="0" borderId="16" xfId="87" quotePrefix="1" applyNumberFormat="1" applyFont="1" applyFill="1" applyBorder="1" applyAlignment="1">
      <alignment horizontal="center" vertical="center"/>
    </xf>
    <xf numFmtId="164" fontId="35" fillId="0" borderId="16" xfId="87" applyNumberFormat="1" applyFont="1" applyFill="1" applyBorder="1" applyAlignment="1">
      <alignment horizontal="center" vertical="center"/>
    </xf>
    <xf numFmtId="14" fontId="54" fillId="0" borderId="16" xfId="87" applyNumberFormat="1" applyFont="1" applyFill="1" applyBorder="1" applyAlignment="1">
      <alignment horizontal="center" vertical="center"/>
    </xf>
    <xf numFmtId="164" fontId="54" fillId="0" borderId="16" xfId="87" applyNumberFormat="1" applyFont="1" applyFill="1" applyBorder="1" applyAlignment="1">
      <alignment horizontal="left" vertical="center"/>
    </xf>
    <xf numFmtId="164" fontId="54" fillId="0" borderId="16" xfId="87" quotePrefix="1" applyNumberFormat="1" applyFont="1" applyFill="1" applyBorder="1" applyAlignment="1">
      <alignment horizontal="center" vertical="center"/>
    </xf>
    <xf numFmtId="49" fontId="54" fillId="0" borderId="16" xfId="87" applyNumberFormat="1" applyFont="1" applyFill="1" applyBorder="1" applyAlignment="1">
      <alignment horizontal="left" vertical="center"/>
    </xf>
    <xf numFmtId="0" fontId="54" fillId="0" borderId="16" xfId="87" quotePrefix="1" applyNumberFormat="1" applyFont="1" applyFill="1" applyBorder="1" applyAlignment="1">
      <alignment horizontal="center" vertical="center"/>
    </xf>
    <xf numFmtId="164" fontId="57" fillId="25" borderId="2" xfId="29" applyNumberFormat="1" applyFont="1" applyFill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43" fontId="62" fillId="0" borderId="0" xfId="88" applyFont="1" applyAlignment="1">
      <alignment horizontal="center" vertical="center" wrapText="1"/>
    </xf>
    <xf numFmtId="171" fontId="62" fillId="0" borderId="2" xfId="88" applyNumberFormat="1" applyFont="1" applyBorder="1" applyAlignment="1">
      <alignment horizontal="center" vertical="center" wrapText="1"/>
    </xf>
    <xf numFmtId="164" fontId="62" fillId="0" borderId="2" xfId="88" applyNumberFormat="1" applyFont="1" applyBorder="1" applyAlignment="1">
      <alignment horizontal="center" vertical="center" wrapText="1"/>
    </xf>
    <xf numFmtId="171" fontId="62" fillId="0" borderId="12" xfId="88" applyNumberFormat="1" applyFont="1" applyBorder="1" applyAlignment="1">
      <alignment horizontal="center" vertical="center" wrapText="1"/>
    </xf>
    <xf numFmtId="164" fontId="62" fillId="0" borderId="12" xfId="88" applyNumberFormat="1" applyFont="1" applyBorder="1" applyAlignment="1">
      <alignment horizontal="center" vertical="center" wrapText="1"/>
    </xf>
    <xf numFmtId="43" fontId="62" fillId="0" borderId="12" xfId="88" applyFont="1" applyBorder="1" applyAlignment="1">
      <alignment horizontal="center" vertical="center" wrapText="1"/>
    </xf>
    <xf numFmtId="0" fontId="63" fillId="0" borderId="22" xfId="88" applyNumberFormat="1" applyFont="1" applyBorder="1" applyAlignment="1">
      <alignment horizontal="center" vertical="center" wrapText="1"/>
    </xf>
    <xf numFmtId="43" fontId="63" fillId="0" borderId="22" xfId="88" applyFont="1" applyBorder="1" applyAlignment="1">
      <alignment horizontal="left" vertical="center" wrapText="1"/>
    </xf>
    <xf numFmtId="43" fontId="63" fillId="0" borderId="22" xfId="88" applyFont="1" applyBorder="1" applyAlignment="1">
      <alignment horizontal="center" vertical="center" wrapText="1"/>
    </xf>
    <xf numFmtId="171" fontId="63" fillId="0" borderId="22" xfId="88" applyNumberFormat="1" applyFont="1" applyBorder="1" applyAlignment="1">
      <alignment horizontal="center" vertical="center" wrapText="1"/>
    </xf>
    <xf numFmtId="164" fontId="63" fillId="0" borderId="22" xfId="88" applyNumberFormat="1" applyFont="1" applyBorder="1" applyAlignment="1">
      <alignment horizontal="center" vertical="center" wrapText="1"/>
    </xf>
    <xf numFmtId="171" fontId="63" fillId="0" borderId="16" xfId="88" applyNumberFormat="1" applyFont="1" applyBorder="1" applyAlignment="1">
      <alignment horizontal="center" vertical="center" wrapText="1"/>
    </xf>
    <xf numFmtId="164" fontId="63" fillId="0" borderId="16" xfId="88" applyNumberFormat="1" applyFont="1" applyBorder="1" applyAlignment="1">
      <alignment horizontal="center" vertical="center" wrapText="1"/>
    </xf>
    <xf numFmtId="43" fontId="63" fillId="0" borderId="16" xfId="88" applyFont="1" applyBorder="1" applyAlignment="1">
      <alignment horizontal="center" vertical="center" wrapText="1"/>
    </xf>
    <xf numFmtId="43" fontId="63" fillId="0" borderId="0" xfId="88" applyFont="1" applyAlignment="1">
      <alignment horizontal="center" vertical="center" wrapText="1"/>
    </xf>
    <xf numFmtId="0" fontId="63" fillId="0" borderId="16" xfId="88" applyNumberFormat="1" applyFont="1" applyBorder="1" applyAlignment="1">
      <alignment horizontal="center" vertical="center" wrapText="1"/>
    </xf>
    <xf numFmtId="43" fontId="63" fillId="0" borderId="16" xfId="88" applyFont="1" applyBorder="1" applyAlignment="1">
      <alignment horizontal="left" vertical="center" wrapText="1"/>
    </xf>
    <xf numFmtId="0" fontId="63" fillId="25" borderId="16" xfId="88" applyNumberFormat="1" applyFont="1" applyFill="1" applyBorder="1" applyAlignment="1">
      <alignment horizontal="center" vertical="center" wrapText="1"/>
    </xf>
    <xf numFmtId="43" fontId="63" fillId="25" borderId="16" xfId="88" applyFont="1" applyFill="1" applyBorder="1" applyAlignment="1">
      <alignment horizontal="left" vertical="center" wrapText="1"/>
    </xf>
    <xf numFmtId="43" fontId="63" fillId="25" borderId="22" xfId="88" applyFont="1" applyFill="1" applyBorder="1" applyAlignment="1">
      <alignment horizontal="center" vertical="center" wrapText="1"/>
    </xf>
    <xf numFmtId="171" fontId="63" fillId="25" borderId="16" xfId="88" applyNumberFormat="1" applyFont="1" applyFill="1" applyBorder="1" applyAlignment="1">
      <alignment horizontal="center" vertical="center" wrapText="1"/>
    </xf>
    <xf numFmtId="164" fontId="63" fillId="25" borderId="16" xfId="88" applyNumberFormat="1" applyFont="1" applyFill="1" applyBorder="1" applyAlignment="1">
      <alignment horizontal="center" vertical="center" wrapText="1"/>
    </xf>
    <xf numFmtId="164" fontId="63" fillId="25" borderId="22" xfId="88" applyNumberFormat="1" applyFont="1" applyFill="1" applyBorder="1" applyAlignment="1">
      <alignment horizontal="center" vertical="center" wrapText="1"/>
    </xf>
    <xf numFmtId="171" fontId="63" fillId="25" borderId="22" xfId="88" applyNumberFormat="1" applyFont="1" applyFill="1" applyBorder="1" applyAlignment="1">
      <alignment horizontal="center" vertical="center" wrapText="1"/>
    </xf>
    <xf numFmtId="43" fontId="63" fillId="25" borderId="16" xfId="88" applyFont="1" applyFill="1" applyBorder="1" applyAlignment="1">
      <alignment horizontal="center" vertical="center" wrapText="1"/>
    </xf>
    <xf numFmtId="43" fontId="63" fillId="25" borderId="0" xfId="88" applyFont="1" applyFill="1" applyAlignment="1">
      <alignment horizontal="center" vertical="center" wrapText="1"/>
    </xf>
    <xf numFmtId="0" fontId="63" fillId="25" borderId="21" xfId="88" applyNumberFormat="1" applyFont="1" applyFill="1" applyBorder="1" applyAlignment="1">
      <alignment horizontal="center" vertical="center" wrapText="1"/>
    </xf>
    <xf numFmtId="43" fontId="63" fillId="25" borderId="21" xfId="88" applyFont="1" applyFill="1" applyBorder="1" applyAlignment="1">
      <alignment horizontal="left" vertical="center" wrapText="1"/>
    </xf>
    <xf numFmtId="43" fontId="63" fillId="25" borderId="21" xfId="88" applyFont="1" applyFill="1" applyBorder="1" applyAlignment="1">
      <alignment horizontal="center" vertical="center" wrapText="1"/>
    </xf>
    <xf numFmtId="171" fontId="63" fillId="25" borderId="21" xfId="88" applyNumberFormat="1" applyFont="1" applyFill="1" applyBorder="1" applyAlignment="1">
      <alignment horizontal="center" vertical="center" wrapText="1"/>
    </xf>
    <xf numFmtId="164" fontId="63" fillId="25" borderId="21" xfId="88" applyNumberFormat="1" applyFont="1" applyFill="1" applyBorder="1" applyAlignment="1">
      <alignment horizontal="center" vertical="center" wrapText="1"/>
    </xf>
    <xf numFmtId="164" fontId="63" fillId="25" borderId="25" xfId="88" applyNumberFormat="1" applyFont="1" applyFill="1" applyBorder="1" applyAlignment="1">
      <alignment horizontal="center" vertical="center" wrapText="1"/>
    </xf>
    <xf numFmtId="171" fontId="63" fillId="25" borderId="25" xfId="88" applyNumberFormat="1" applyFont="1" applyFill="1" applyBorder="1" applyAlignment="1">
      <alignment horizontal="center" vertical="center" wrapText="1"/>
    </xf>
    <xf numFmtId="43" fontId="62" fillId="0" borderId="2" xfId="88" applyFont="1" applyBorder="1" applyAlignment="1">
      <alignment horizontal="center" vertical="center" wrapText="1"/>
    </xf>
    <xf numFmtId="171" fontId="62" fillId="0" borderId="22" xfId="88" applyNumberFormat="1" applyFont="1" applyBorder="1" applyAlignment="1">
      <alignment horizontal="center" vertical="center" wrapText="1"/>
    </xf>
    <xf numFmtId="164" fontId="62" fillId="0" borderId="22" xfId="88" applyNumberFormat="1" applyFont="1" applyBorder="1" applyAlignment="1">
      <alignment horizontal="center" vertical="center" wrapText="1"/>
    </xf>
    <xf numFmtId="43" fontId="62" fillId="0" borderId="22" xfId="88" applyFont="1" applyBorder="1" applyAlignment="1">
      <alignment horizontal="center" vertical="center" wrapText="1"/>
    </xf>
    <xf numFmtId="43" fontId="63" fillId="25" borderId="0" xfId="88" applyFont="1" applyFill="1" applyAlignment="1">
      <alignment horizontal="left" vertical="center" wrapText="1"/>
    </xf>
    <xf numFmtId="164" fontId="63" fillId="25" borderId="0" xfId="88" applyNumberFormat="1" applyFont="1" applyFill="1" applyAlignment="1">
      <alignment horizontal="center" vertical="center" wrapText="1"/>
    </xf>
    <xf numFmtId="43" fontId="63" fillId="25" borderId="25" xfId="88" applyFont="1" applyFill="1" applyBorder="1" applyAlignment="1">
      <alignment horizontal="center" vertical="center" wrapText="1"/>
    </xf>
    <xf numFmtId="171" fontId="62" fillId="0" borderId="16" xfId="88" applyNumberFormat="1" applyFont="1" applyBorder="1" applyAlignment="1">
      <alignment horizontal="center" vertical="center" wrapText="1"/>
    </xf>
    <xf numFmtId="164" fontId="62" fillId="0" borderId="16" xfId="88" applyNumberFormat="1" applyFont="1" applyBorder="1" applyAlignment="1">
      <alignment horizontal="center" vertical="center" wrapText="1"/>
    </xf>
    <xf numFmtId="43" fontId="62" fillId="0" borderId="16" xfId="88" applyFont="1" applyBorder="1" applyAlignment="1">
      <alignment horizontal="center" vertical="center" wrapText="1"/>
    </xf>
    <xf numFmtId="171" fontId="62" fillId="0" borderId="19" xfId="88" applyNumberFormat="1" applyFont="1" applyBorder="1" applyAlignment="1">
      <alignment horizontal="center" vertical="center" wrapText="1"/>
    </xf>
    <xf numFmtId="164" fontId="62" fillId="0" borderId="19" xfId="88" applyNumberFormat="1" applyFont="1" applyBorder="1" applyAlignment="1">
      <alignment horizontal="center" vertical="center" wrapText="1"/>
    </xf>
    <xf numFmtId="43" fontId="62" fillId="0" borderId="19" xfId="88" applyFont="1" applyBorder="1" applyAlignment="1">
      <alignment horizontal="center" vertical="center" wrapText="1"/>
    </xf>
    <xf numFmtId="0" fontId="63" fillId="0" borderId="0" xfId="88" applyNumberFormat="1" applyFont="1" applyAlignment="1">
      <alignment horizontal="center" vertical="center" wrapText="1"/>
    </xf>
    <xf numFmtId="171" fontId="63" fillId="0" borderId="0" xfId="88" applyNumberFormat="1" applyFont="1" applyAlignment="1">
      <alignment horizontal="center" vertical="center" wrapText="1"/>
    </xf>
    <xf numFmtId="164" fontId="63" fillId="0" borderId="0" xfId="88" applyNumberFormat="1" applyFont="1" applyAlignment="1">
      <alignment horizontal="center" vertical="center" wrapText="1"/>
    </xf>
    <xf numFmtId="171" fontId="63" fillId="26" borderId="0" xfId="88" applyNumberFormat="1" applyFont="1" applyFill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vertical="center" wrapText="1"/>
    </xf>
    <xf numFmtId="164" fontId="35" fillId="0" borderId="21" xfId="29" applyNumberFormat="1" applyFont="1" applyBorder="1" applyAlignment="1">
      <alignment vertical="center" wrapText="1"/>
    </xf>
    <xf numFmtId="14" fontId="57" fillId="25" borderId="20" xfId="0" applyNumberFormat="1" applyFont="1" applyFill="1" applyBorder="1" applyAlignment="1">
      <alignment vertical="center" wrapText="1"/>
    </xf>
    <xf numFmtId="0" fontId="34" fillId="0" borderId="0" xfId="0" applyFont="1"/>
    <xf numFmtId="0" fontId="40" fillId="26" borderId="0" xfId="85" applyFont="1" applyFill="1" applyAlignment="1">
      <alignment vertical="center" wrapText="1"/>
    </xf>
    <xf numFmtId="0" fontId="35" fillId="26" borderId="0" xfId="85" applyFont="1" applyFill="1" applyAlignment="1">
      <alignment horizontal="center" vertical="center" wrapText="1"/>
    </xf>
    <xf numFmtId="0" fontId="35" fillId="26" borderId="0" xfId="85" applyFont="1" applyFill="1" applyAlignment="1">
      <alignment vertical="center" wrapText="1"/>
    </xf>
    <xf numFmtId="0" fontId="40" fillId="26" borderId="2" xfId="85" applyFont="1" applyFill="1" applyBorder="1" applyAlignment="1">
      <alignment horizontal="center" vertical="center" wrapText="1"/>
    </xf>
    <xf numFmtId="0" fontId="35" fillId="26" borderId="22" xfId="85" applyFont="1" applyFill="1" applyBorder="1" applyAlignment="1">
      <alignment horizontal="center" vertical="center" wrapText="1"/>
    </xf>
    <xf numFmtId="0" fontId="35" fillId="26" borderId="22" xfId="85" applyFont="1" applyFill="1" applyBorder="1" applyAlignment="1">
      <alignment vertical="center" wrapText="1"/>
    </xf>
    <xf numFmtId="164" fontId="35" fillId="26" borderId="22" xfId="86" applyNumberFormat="1" applyFont="1" applyFill="1" applyBorder="1" applyAlignment="1">
      <alignment horizontal="center" vertical="center" wrapText="1"/>
    </xf>
    <xf numFmtId="164" fontId="35" fillId="26" borderId="0" xfId="85" applyNumberFormat="1" applyFont="1" applyFill="1" applyAlignment="1">
      <alignment vertical="center" wrapText="1"/>
    </xf>
    <xf numFmtId="0" fontId="35" fillId="26" borderId="16" xfId="85" applyFont="1" applyFill="1" applyBorder="1" applyAlignment="1">
      <alignment horizontal="center" vertical="center" wrapText="1"/>
    </xf>
    <xf numFmtId="0" fontId="35" fillId="26" borderId="16" xfId="85" applyFont="1" applyFill="1" applyBorder="1" applyAlignment="1">
      <alignment vertical="center" wrapText="1"/>
    </xf>
    <xf numFmtId="164" fontId="35" fillId="26" borderId="16" xfId="86" applyNumberFormat="1" applyFont="1" applyFill="1" applyBorder="1" applyAlignment="1">
      <alignment horizontal="center" vertical="center" wrapText="1"/>
    </xf>
    <xf numFmtId="3" fontId="35" fillId="26" borderId="16" xfId="46" applyFont="1" applyFill="1" applyBorder="1" applyAlignment="1">
      <alignment vertical="center" wrapText="1"/>
    </xf>
    <xf numFmtId="0" fontId="35" fillId="26" borderId="16" xfId="85" quotePrefix="1" applyFont="1" applyFill="1" applyBorder="1" applyAlignment="1">
      <alignment horizontal="center" vertical="center" wrapText="1"/>
    </xf>
    <xf numFmtId="0" fontId="35" fillId="26" borderId="19" xfId="85" applyFont="1" applyFill="1" applyBorder="1" applyAlignment="1">
      <alignment horizontal="center" vertical="center" wrapText="1"/>
    </xf>
    <xf numFmtId="164" fontId="40" fillId="26" borderId="2" xfId="86" applyNumberFormat="1" applyFont="1" applyFill="1" applyBorder="1" applyAlignment="1">
      <alignment horizontal="center" vertical="center" wrapText="1"/>
    </xf>
    <xf numFmtId="164" fontId="35" fillId="26" borderId="0" xfId="29" applyNumberFormat="1" applyFont="1" applyFill="1" applyAlignment="1">
      <alignment vertical="center" wrapText="1"/>
    </xf>
    <xf numFmtId="0" fontId="35" fillId="26" borderId="22" xfId="89" applyFont="1" applyFill="1" applyBorder="1" applyAlignment="1" applyProtection="1">
      <alignment horizontal="center" vertical="center" wrapText="1"/>
    </xf>
    <xf numFmtId="164" fontId="35" fillId="0" borderId="16" xfId="87" quotePrefix="1" applyNumberFormat="1" applyFont="1" applyFill="1" applyBorder="1" applyAlignment="1">
      <alignment horizontal="center" vertical="center" wrapText="1"/>
    </xf>
    <xf numFmtId="14" fontId="35" fillId="25" borderId="16" xfId="87" applyNumberFormat="1" applyFont="1" applyFill="1" applyBorder="1" applyAlignment="1">
      <alignment horizontal="center" vertical="center"/>
    </xf>
    <xf numFmtId="164" fontId="35" fillId="25" borderId="16" xfId="87" applyNumberFormat="1" applyFont="1" applyFill="1" applyBorder="1" applyAlignment="1">
      <alignment horizontal="left" vertical="center"/>
    </xf>
    <xf numFmtId="164" fontId="35" fillId="25" borderId="16" xfId="87" quotePrefix="1" applyNumberFormat="1" applyFont="1" applyFill="1" applyBorder="1" applyAlignment="1">
      <alignment horizontal="center" vertical="center" wrapText="1"/>
    </xf>
    <xf numFmtId="49" fontId="35" fillId="25" borderId="16" xfId="87" applyNumberFormat="1" applyFont="1" applyFill="1" applyBorder="1" applyAlignment="1">
      <alignment horizontal="left" vertical="center"/>
    </xf>
    <xf numFmtId="164" fontId="35" fillId="25" borderId="16" xfId="77" applyNumberFormat="1" applyFont="1" applyFill="1" applyBorder="1" applyAlignment="1">
      <alignment vertical="center"/>
    </xf>
    <xf numFmtId="0" fontId="35" fillId="25" borderId="16" xfId="87" quotePrefix="1" applyNumberFormat="1" applyFont="1" applyFill="1" applyBorder="1" applyAlignment="1">
      <alignment horizontal="center" vertical="center"/>
    </xf>
    <xf numFmtId="0" fontId="36" fillId="26" borderId="16" xfId="89" applyFont="1" applyFill="1" applyBorder="1" applyAlignment="1" applyProtection="1">
      <alignment horizontal="center" vertical="center" wrapText="1"/>
    </xf>
    <xf numFmtId="0" fontId="36" fillId="26" borderId="22" xfId="89" applyFont="1" applyFill="1" applyBorder="1" applyAlignment="1" applyProtection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87" applyNumberFormat="1" applyFont="1" applyFill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0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17" xfId="76" applyFont="1" applyFill="1" applyBorder="1" applyAlignment="1">
      <alignment horizontal="center" vertical="center"/>
    </xf>
    <xf numFmtId="0" fontId="35" fillId="0" borderId="18" xfId="76" applyFont="1" applyFill="1" applyBorder="1" applyAlignment="1">
      <alignment horizontal="center" vertical="center"/>
    </xf>
    <xf numFmtId="49" fontId="35" fillId="0" borderId="2" xfId="76" applyNumberFormat="1" applyFont="1" applyFill="1" applyBorder="1" applyAlignment="1">
      <alignment horizontal="center" vertical="center"/>
    </xf>
    <xf numFmtId="0" fontId="35" fillId="0" borderId="2" xfId="76" applyNumberFormat="1" applyFont="1" applyFill="1" applyBorder="1" applyAlignment="1">
      <alignment horizontal="center" vertical="center" wrapText="1"/>
    </xf>
    <xf numFmtId="0" fontId="47" fillId="0" borderId="0" xfId="76" applyFont="1" applyFill="1" applyAlignment="1">
      <alignment horizontal="center" vertical="center"/>
    </xf>
    <xf numFmtId="0" fontId="37" fillId="0" borderId="0" xfId="76" applyFont="1" applyFill="1" applyAlignment="1">
      <alignment horizontal="center" vertical="center"/>
    </xf>
    <xf numFmtId="0" fontId="35" fillId="0" borderId="2" xfId="76" applyFont="1" applyFill="1" applyBorder="1" applyAlignment="1">
      <alignment horizontal="center" vertical="center" wrapText="1"/>
    </xf>
    <xf numFmtId="0" fontId="35" fillId="0" borderId="5" xfId="76" applyFont="1" applyFill="1" applyBorder="1" applyAlignment="1">
      <alignment horizontal="center" vertical="center" wrapText="1"/>
    </xf>
    <xf numFmtId="0" fontId="35" fillId="0" borderId="20" xfId="76" applyFont="1" applyFill="1" applyBorder="1" applyAlignment="1">
      <alignment horizontal="center" vertical="center" wrapText="1"/>
    </xf>
    <xf numFmtId="0" fontId="35" fillId="0" borderId="17" xfId="76" applyFont="1" applyFill="1" applyBorder="1" applyAlignment="1">
      <alignment horizontal="center" vertical="center" wrapText="1"/>
    </xf>
    <xf numFmtId="0" fontId="35" fillId="0" borderId="18" xfId="76" applyFont="1" applyFill="1" applyBorder="1" applyAlignment="1">
      <alignment horizontal="center" vertical="center" wrapText="1"/>
    </xf>
    <xf numFmtId="0" fontId="40" fillId="26" borderId="2" xfId="85" applyFont="1" applyFill="1" applyBorder="1" applyAlignment="1">
      <alignment horizontal="center" vertical="center" wrapText="1"/>
    </xf>
    <xf numFmtId="0" fontId="40" fillId="26" borderId="17" xfId="85" applyFont="1" applyFill="1" applyBorder="1" applyAlignment="1">
      <alignment horizontal="center" vertical="center" wrapText="1"/>
    </xf>
    <xf numFmtId="0" fontId="40" fillId="26" borderId="18" xfId="85" applyFont="1" applyFill="1" applyBorder="1" applyAlignment="1">
      <alignment horizontal="center" vertical="center" wrapText="1"/>
    </xf>
    <xf numFmtId="0" fontId="40" fillId="26" borderId="25" xfId="85" applyFont="1" applyFill="1" applyBorder="1" applyAlignment="1">
      <alignment horizontal="center" vertical="center" wrapText="1"/>
    </xf>
    <xf numFmtId="0" fontId="40" fillId="26" borderId="26" xfId="85" applyFont="1" applyFill="1" applyBorder="1" applyAlignment="1">
      <alignment horizontal="center" vertical="center" wrapText="1"/>
    </xf>
    <xf numFmtId="0" fontId="40" fillId="26" borderId="20" xfId="85" applyFont="1" applyFill="1" applyBorder="1" applyAlignment="1">
      <alignment horizontal="center" vertical="center" wrapText="1"/>
    </xf>
    <xf numFmtId="0" fontId="40" fillId="26" borderId="5" xfId="85" applyFont="1" applyFill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64" fontId="42" fillId="0" borderId="17" xfId="29" applyNumberFormat="1" applyFont="1" applyBorder="1" applyAlignment="1">
      <alignment horizontal="center" vertical="center" wrapText="1"/>
    </xf>
    <xf numFmtId="0" fontId="0" fillId="0" borderId="25" xfId="0" applyBorder="1"/>
    <xf numFmtId="164" fontId="35" fillId="0" borderId="12" xfId="29" applyNumberFormat="1" applyFont="1" applyBorder="1" applyAlignment="1">
      <alignment horizontal="center" vertical="center" wrapText="1"/>
    </xf>
    <xf numFmtId="0" fontId="57" fillId="25" borderId="26" xfId="0" applyFont="1" applyFill="1" applyBorder="1" applyAlignment="1">
      <alignment horizontal="center" vertical="center" wrapText="1"/>
    </xf>
    <xf numFmtId="0" fontId="57" fillId="25" borderId="20" xfId="0" applyFont="1" applyFill="1" applyBorder="1" applyAlignment="1">
      <alignment horizontal="center"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0" fontId="42" fillId="0" borderId="17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18" xfId="0" applyFont="1" applyBorder="1" applyAlignment="1">
      <alignment horizontal="center" vertical="center" wrapText="1"/>
    </xf>
    <xf numFmtId="0" fontId="42" fillId="0" borderId="2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14" fontId="35" fillId="0" borderId="12" xfId="29" applyNumberFormat="1" applyFont="1" applyBorder="1" applyAlignment="1">
      <alignment horizontal="center" vertical="center" wrapText="1"/>
    </xf>
    <xf numFmtId="14" fontId="35" fillId="0" borderId="16" xfId="29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14" fontId="35" fillId="0" borderId="21" xfId="29" applyNumberFormat="1" applyFont="1" applyBorder="1" applyAlignment="1">
      <alignment horizontal="center" vertical="center" wrapText="1"/>
    </xf>
    <xf numFmtId="14" fontId="35" fillId="0" borderId="19" xfId="29" applyNumberFormat="1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14" fontId="23" fillId="0" borderId="0" xfId="0" applyNumberFormat="1" applyFont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164" fontId="40" fillId="0" borderId="30" xfId="29" applyNumberFormat="1" applyFont="1" applyBorder="1" applyAlignment="1">
      <alignment horizontal="center" vertical="center" wrapText="1"/>
    </xf>
    <xf numFmtId="164" fontId="40" fillId="0" borderId="33" xfId="29" applyNumberFormat="1" applyFont="1" applyBorder="1" applyAlignment="1">
      <alignment horizontal="center" vertical="center" wrapText="1"/>
    </xf>
    <xf numFmtId="164" fontId="40" fillId="0" borderId="31" xfId="29" applyNumberFormat="1" applyFont="1" applyBorder="1" applyAlignment="1">
      <alignment horizontal="center" vertical="center" wrapText="1"/>
    </xf>
    <xf numFmtId="0" fontId="40" fillId="0" borderId="17" xfId="0" applyFont="1" applyBorder="1" applyAlignment="1">
      <alignment horizontal="center" vertical="center" wrapText="1"/>
    </xf>
    <xf numFmtId="0" fontId="40" fillId="0" borderId="18" xfId="0" applyFont="1" applyBorder="1" applyAlignment="1">
      <alignment horizontal="center" vertical="center" wrapText="1"/>
    </xf>
    <xf numFmtId="3" fontId="35" fillId="0" borderId="2" xfId="46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17" xfId="0" applyFont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wrapText="1"/>
    </xf>
    <xf numFmtId="14" fontId="35" fillId="0" borderId="17" xfId="0" applyNumberFormat="1" applyFont="1" applyBorder="1" applyAlignment="1">
      <alignment horizontal="center" vertical="center" wrapText="1"/>
    </xf>
    <xf numFmtId="14" fontId="35" fillId="0" borderId="18" xfId="0" applyNumberFormat="1" applyFont="1" applyBorder="1" applyAlignment="1">
      <alignment horizontal="center" vertical="center" wrapText="1"/>
    </xf>
    <xf numFmtId="164" fontId="35" fillId="0" borderId="17" xfId="29" applyNumberFormat="1" applyFont="1" applyBorder="1" applyAlignment="1">
      <alignment horizontal="center" vertical="center" wrapText="1"/>
    </xf>
    <xf numFmtId="164" fontId="35" fillId="0" borderId="18" xfId="29" applyNumberFormat="1" applyFont="1" applyBorder="1" applyAlignment="1">
      <alignment horizontal="center" vertical="center" wrapText="1"/>
    </xf>
    <xf numFmtId="164" fontId="35" fillId="0" borderId="32" xfId="29" applyNumberFormat="1" applyFont="1" applyBorder="1" applyAlignment="1">
      <alignment horizontal="center" vertical="center" wrapText="1"/>
    </xf>
    <xf numFmtId="164" fontId="42" fillId="0" borderId="22" xfId="29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1" xfId="0" quotePrefix="1" applyFont="1" applyBorder="1" applyAlignment="1">
      <alignment horizontal="center" vertical="center" wrapText="1"/>
    </xf>
    <xf numFmtId="0" fontId="40" fillId="0" borderId="26" xfId="0" applyFont="1" applyBorder="1" applyAlignment="1">
      <alignment horizontal="center" vertical="center" wrapText="1"/>
    </xf>
    <xf numFmtId="0" fontId="40" fillId="0" borderId="5" xfId="0" applyFont="1" applyBorder="1" applyAlignment="1">
      <alignment horizontal="center" vertical="center" wrapText="1"/>
    </xf>
    <xf numFmtId="0" fontId="40" fillId="0" borderId="20" xfId="0" applyFont="1" applyBorder="1" applyAlignment="1">
      <alignment horizontal="center" vertical="center" wrapText="1"/>
    </xf>
    <xf numFmtId="0" fontId="40" fillId="21" borderId="26" xfId="34" applyFont="1" applyBorder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164" fontId="35" fillId="0" borderId="23" xfId="29" applyNumberFormat="1" applyFont="1" applyBorder="1" applyAlignment="1">
      <alignment horizontal="center" vertical="center"/>
    </xf>
    <xf numFmtId="0" fontId="39" fillId="0" borderId="24" xfId="58" applyFont="1" applyBorder="1" applyAlignment="1">
      <alignment horizontal="center" vertical="center"/>
    </xf>
    <xf numFmtId="0" fontId="40" fillId="21" borderId="17" xfId="53" applyFont="1" applyFill="1" applyBorder="1" applyAlignment="1">
      <alignment horizontal="center" vertical="center"/>
    </xf>
    <xf numFmtId="0" fontId="40" fillId="21" borderId="25" xfId="53" applyFont="1" applyFill="1" applyBorder="1" applyAlignment="1">
      <alignment horizontal="center" vertical="center"/>
    </xf>
    <xf numFmtId="0" fontId="40" fillId="21" borderId="17" xfId="34" applyFont="1" applyBorder="1" applyAlignment="1">
      <alignment horizontal="center" vertical="center" wrapText="1"/>
    </xf>
    <xf numFmtId="0" fontId="40" fillId="21" borderId="25" xfId="34" applyFont="1" applyBorder="1" applyAlignment="1">
      <alignment horizontal="center" vertical="center" wrapText="1"/>
    </xf>
    <xf numFmtId="164" fontId="40" fillId="0" borderId="0" xfId="54" applyNumberFormat="1" applyFont="1" applyAlignment="1">
      <alignment horizontal="center" vertical="center" wrapText="1"/>
    </xf>
    <xf numFmtId="164" fontId="35" fillId="0" borderId="0" xfId="54" applyNumberFormat="1" applyFont="1" applyAlignment="1">
      <alignment horizontal="center" vertical="center" wrapText="1"/>
    </xf>
    <xf numFmtId="0" fontId="35" fillId="0" borderId="0" xfId="52" applyFont="1" applyAlignment="1">
      <alignment horizontal="left" vertical="center"/>
    </xf>
    <xf numFmtId="0" fontId="35" fillId="0" borderId="0" xfId="52" applyFont="1" applyAlignment="1">
      <alignment horizontal="center" vertical="center"/>
    </xf>
    <xf numFmtId="0" fontId="35" fillId="0" borderId="24" xfId="52" applyFont="1" applyBorder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35" fillId="0" borderId="2" xfId="52" applyFont="1" applyBorder="1" applyAlignment="1">
      <alignment horizontal="center" vertical="center" wrapText="1"/>
    </xf>
    <xf numFmtId="0" fontId="35" fillId="0" borderId="26" xfId="52" applyFont="1" applyBorder="1" applyAlignment="1">
      <alignment horizontal="center" vertical="center"/>
    </xf>
    <xf numFmtId="0" fontId="35" fillId="0" borderId="20" xfId="52" applyFont="1" applyBorder="1" applyAlignment="1">
      <alignment horizontal="center" vertical="center"/>
    </xf>
    <xf numFmtId="0" fontId="23" fillId="0" borderId="0" xfId="52" applyFont="1" applyAlignment="1">
      <alignment horizontal="center" vertical="center"/>
    </xf>
    <xf numFmtId="0" fontId="57" fillId="25" borderId="2" xfId="0" applyFont="1" applyFill="1" applyBorder="1" applyAlignment="1">
      <alignment horizontal="center" vertical="center" wrapText="1"/>
    </xf>
    <xf numFmtId="0" fontId="62" fillId="0" borderId="2" xfId="88" applyNumberFormat="1" applyFont="1" applyBorder="1" applyAlignment="1">
      <alignment horizontal="center" vertical="center" wrapText="1"/>
    </xf>
    <xf numFmtId="43" fontId="62" fillId="0" borderId="2" xfId="88" applyFont="1" applyBorder="1" applyAlignment="1">
      <alignment horizontal="center" vertical="center" wrapText="1"/>
    </xf>
    <xf numFmtId="0" fontId="62" fillId="0" borderId="34" xfId="88" applyNumberFormat="1" applyFont="1" applyBorder="1" applyAlignment="1">
      <alignment horizontal="center" vertical="center" wrapText="1"/>
    </xf>
    <xf numFmtId="0" fontId="62" fillId="0" borderId="35" xfId="88" applyNumberFormat="1" applyFont="1" applyBorder="1" applyAlignment="1">
      <alignment horizontal="center" vertical="center" wrapText="1"/>
    </xf>
    <xf numFmtId="0" fontId="62" fillId="0" borderId="36" xfId="88" applyNumberFormat="1" applyFont="1" applyBorder="1" applyAlignment="1">
      <alignment horizontal="center" vertical="center" wrapText="1"/>
    </xf>
    <xf numFmtId="164" fontId="62" fillId="0" borderId="2" xfId="88" applyNumberFormat="1" applyFont="1" applyBorder="1" applyAlignment="1">
      <alignment horizontal="center" vertical="center" wrapText="1"/>
    </xf>
    <xf numFmtId="43" fontId="62" fillId="0" borderId="12" xfId="88" applyFont="1" applyBorder="1" applyAlignment="1">
      <alignment horizontal="center" vertical="center" wrapText="1"/>
    </xf>
    <xf numFmtId="0" fontId="62" fillId="0" borderId="26" xfId="88" applyNumberFormat="1" applyFont="1" applyBorder="1" applyAlignment="1">
      <alignment horizontal="center" vertical="center" wrapText="1"/>
    </xf>
    <xf numFmtId="0" fontId="62" fillId="0" borderId="5" xfId="88" applyNumberFormat="1" applyFont="1" applyBorder="1" applyAlignment="1">
      <alignment horizontal="center" vertical="center" wrapText="1"/>
    </xf>
    <xf numFmtId="0" fontId="62" fillId="0" borderId="20" xfId="88" applyNumberFormat="1" applyFont="1" applyBorder="1" applyAlignment="1">
      <alignment horizontal="center" vertical="center" wrapText="1"/>
    </xf>
    <xf numFmtId="0" fontId="62" fillId="0" borderId="12" xfId="88" applyNumberFormat="1" applyFont="1" applyBorder="1" applyAlignment="1">
      <alignment horizontal="center" vertical="center" wrapText="1"/>
    </xf>
    <xf numFmtId="0" fontId="62" fillId="0" borderId="16" xfId="88" applyNumberFormat="1" applyFont="1" applyBorder="1" applyAlignment="1">
      <alignment horizontal="center" vertical="center" wrapText="1"/>
    </xf>
    <xf numFmtId="0" fontId="62" fillId="0" borderId="19" xfId="88" applyNumberFormat="1" applyFont="1" applyBorder="1" applyAlignment="1">
      <alignment horizontal="center" vertical="center" wrapText="1"/>
    </xf>
  </cellXfs>
  <cellStyles count="9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3" xfId="80"/>
    <cellStyle name="Comma 4" xfId="81"/>
    <cellStyle name="Comma 5" xfId="82"/>
    <cellStyle name="Comma 6" xfId="86"/>
    <cellStyle name="Comma 7" xfId="88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9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3" xfId="83"/>
    <cellStyle name="Normal 4" xfId="84"/>
    <cellStyle name="Normal 5" xfId="85"/>
    <cellStyle name="Normal_Bao cao" xfId="73"/>
    <cellStyle name="Normal_Copy of Ke-toan-mo-phong-mauso_ke_toan_NKC_excel-2" xfId="52"/>
    <cellStyle name="Normal_Copy of Ke-toan-mo-phong-mauso_ke_toan_NKC_excel-2 2" xfId="78"/>
    <cellStyle name="Normal_Ctkt08" xfId="53"/>
    <cellStyle name="Normal_ketoanthucte_NhatKySoCai" xfId="54"/>
    <cellStyle name="Normal_ketoanthucte_NhatKySoCai 2" xfId="76"/>
    <cellStyle name="Normal_ketoanthucte_NhatKySoCai 2 2" xfId="87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9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E36" sqref="E36"/>
    </sheetView>
  </sheetViews>
  <sheetFormatPr defaultColWidth="8" defaultRowHeight="13.5"/>
  <cols>
    <col min="1" max="1" width="7.42578125" style="41" customWidth="1"/>
    <col min="2" max="2" width="35.85546875" style="41" customWidth="1"/>
    <col min="3" max="3" width="14.5703125" style="40" customWidth="1"/>
    <col min="4" max="4" width="13.5703125" style="40" customWidth="1"/>
    <col min="5" max="5" width="15.140625" style="41" customWidth="1"/>
    <col min="6" max="6" width="17.28515625" style="41" customWidth="1"/>
    <col min="7" max="7" width="13.85546875" style="41" customWidth="1"/>
    <col min="8" max="8" width="14.7109375" style="41" customWidth="1"/>
    <col min="9" max="9" width="6.140625" style="41" customWidth="1"/>
    <col min="10" max="10" width="15.42578125" style="41" customWidth="1"/>
    <col min="11" max="11" width="13.7109375" style="41" customWidth="1"/>
    <col min="12" max="16384" width="8" style="41"/>
  </cols>
  <sheetData>
    <row r="1" spans="1:12">
      <c r="A1" s="39" t="s">
        <v>191</v>
      </c>
      <c r="B1" s="39"/>
    </row>
    <row r="2" spans="1:12">
      <c r="A2" s="39" t="s">
        <v>192</v>
      </c>
      <c r="B2" s="39"/>
    </row>
    <row r="3" spans="1:12">
      <c r="A3" s="39" t="s">
        <v>193</v>
      </c>
      <c r="B3" s="39"/>
    </row>
    <row r="5" spans="1:12" ht="15.75">
      <c r="A5" s="42" t="s">
        <v>194</v>
      </c>
      <c r="B5" s="42"/>
      <c r="C5" s="43"/>
      <c r="D5" s="43"/>
      <c r="E5" s="42"/>
      <c r="F5" s="42"/>
      <c r="G5" s="42"/>
      <c r="H5" s="42"/>
    </row>
    <row r="6" spans="1:12" ht="15.75">
      <c r="A6" s="44" t="s">
        <v>195</v>
      </c>
      <c r="B6" s="42"/>
      <c r="C6" s="43"/>
      <c r="D6" s="43"/>
      <c r="E6" s="42"/>
      <c r="F6" s="42"/>
      <c r="G6" s="42"/>
      <c r="H6" s="42"/>
    </row>
    <row r="8" spans="1:12">
      <c r="A8" s="45"/>
      <c r="B8" s="45" t="s">
        <v>196</v>
      </c>
      <c r="C8" s="46" t="s">
        <v>197</v>
      </c>
      <c r="D8" s="46"/>
      <c r="E8" s="47" t="s">
        <v>198</v>
      </c>
      <c r="F8" s="47"/>
      <c r="G8" s="47" t="s">
        <v>199</v>
      </c>
      <c r="H8" s="47"/>
    </row>
    <row r="9" spans="1:12">
      <c r="A9" s="48" t="s">
        <v>200</v>
      </c>
      <c r="B9" s="48"/>
      <c r="C9" s="46" t="s">
        <v>201</v>
      </c>
      <c r="D9" s="46" t="s">
        <v>202</v>
      </c>
      <c r="E9" s="47" t="s">
        <v>201</v>
      </c>
      <c r="F9" s="47" t="s">
        <v>202</v>
      </c>
      <c r="G9" s="47" t="s">
        <v>201</v>
      </c>
      <c r="H9" s="47" t="s">
        <v>202</v>
      </c>
    </row>
    <row r="10" spans="1:12" s="40" customFormat="1">
      <c r="A10" s="49" t="s">
        <v>203</v>
      </c>
      <c r="B10" s="50" t="s">
        <v>204</v>
      </c>
      <c r="C10" s="51"/>
      <c r="D10" s="51"/>
      <c r="E10" s="51">
        <f t="array" ref="E10">SUM(IF(A10=KHN,TH))</f>
        <v>11010000000</v>
      </c>
      <c r="F10" s="51">
        <f t="array" ref="F10">SUM(IF(A10=KHC,TH))</f>
        <v>9702505585</v>
      </c>
      <c r="G10" s="52">
        <f>MAX(C10+E10-D10-F10,0)</f>
        <v>1307494415</v>
      </c>
      <c r="H10" s="52">
        <f>MAX(D10+F10-E10-C10,0)</f>
        <v>0</v>
      </c>
      <c r="K10" s="53"/>
      <c r="L10" s="53"/>
    </row>
    <row r="11" spans="1:12" s="40" customFormat="1">
      <c r="A11" s="54" t="s">
        <v>33</v>
      </c>
      <c r="B11" s="55" t="s">
        <v>205</v>
      </c>
      <c r="C11" s="56"/>
      <c r="D11" s="56"/>
      <c r="E11" s="56">
        <f>E10</f>
        <v>11010000000</v>
      </c>
      <c r="F11" s="56">
        <f>F10</f>
        <v>9702505585</v>
      </c>
      <c r="G11" s="56">
        <f>G10</f>
        <v>1307494415</v>
      </c>
      <c r="H11" s="56">
        <f>H10</f>
        <v>0</v>
      </c>
      <c r="K11" s="53"/>
    </row>
    <row r="12" spans="1:12" s="40" customFormat="1">
      <c r="A12" s="57" t="s">
        <v>54</v>
      </c>
      <c r="B12" s="50" t="s">
        <v>206</v>
      </c>
      <c r="C12" s="51"/>
      <c r="D12" s="51"/>
      <c r="E12" s="51">
        <f t="array" ref="E12">SUM(IF(A12=KHN,TH))</f>
        <v>32509543465</v>
      </c>
      <c r="F12" s="51">
        <f t="array" ref="F12">SUM(IF(A12=KHC,TH))</f>
        <v>31429888773</v>
      </c>
      <c r="G12" s="52">
        <f>MAX(C12+E12-D12-F12,0)</f>
        <v>1079654692</v>
      </c>
      <c r="H12" s="52">
        <f>MAX(D12+F12-E12-C12,0)</f>
        <v>0</v>
      </c>
      <c r="K12" s="53"/>
      <c r="L12" s="53"/>
    </row>
    <row r="13" spans="1:12" s="40" customFormat="1">
      <c r="A13" s="54" t="s">
        <v>207</v>
      </c>
      <c r="B13" s="55" t="s">
        <v>208</v>
      </c>
      <c r="C13" s="56"/>
      <c r="D13" s="56"/>
      <c r="E13" s="56">
        <f>E12</f>
        <v>32509543465</v>
      </c>
      <c r="F13" s="56">
        <f>F12</f>
        <v>31429888773</v>
      </c>
      <c r="G13" s="56">
        <f>MAX(C13+E13-D13-F13,0)</f>
        <v>1079654692</v>
      </c>
      <c r="H13" s="56">
        <f>MAX(D13+F13-E13-C13,0)</f>
        <v>0</v>
      </c>
      <c r="K13" s="53"/>
    </row>
    <row r="14" spans="1:12" s="40" customFormat="1">
      <c r="A14" s="57" t="s">
        <v>19</v>
      </c>
      <c r="B14" s="50" t="s">
        <v>209</v>
      </c>
      <c r="C14" s="51"/>
      <c r="D14" s="51"/>
      <c r="E14" s="51">
        <f t="array" ref="E14">SUM(IF(A14=KHN,TH))</f>
        <v>2266907528</v>
      </c>
      <c r="F14" s="51">
        <f t="array" ref="F14">SUM(IF(A14=KHC,TH))</f>
        <v>1678844208</v>
      </c>
      <c r="G14" s="52">
        <f>MAX(C14+E14-D14-F14,0)</f>
        <v>588063320</v>
      </c>
      <c r="H14" s="52">
        <f>MAX(D14+F14-E14-C14,0)</f>
        <v>0</v>
      </c>
      <c r="K14" s="53"/>
    </row>
    <row r="15" spans="1:12" s="40" customFormat="1">
      <c r="A15" s="54" t="s">
        <v>210</v>
      </c>
      <c r="B15" s="55" t="s">
        <v>211</v>
      </c>
      <c r="C15" s="56"/>
      <c r="D15" s="56"/>
      <c r="E15" s="56">
        <f>E14</f>
        <v>2266907528</v>
      </c>
      <c r="F15" s="56">
        <f>F14</f>
        <v>1678844208</v>
      </c>
      <c r="G15" s="56">
        <f>G14</f>
        <v>588063320</v>
      </c>
      <c r="H15" s="56">
        <f>H14</f>
        <v>0</v>
      </c>
      <c r="K15" s="53"/>
    </row>
    <row r="16" spans="1:12" s="40" customFormat="1">
      <c r="A16" s="57" t="s">
        <v>212</v>
      </c>
      <c r="B16" s="50" t="s">
        <v>213</v>
      </c>
      <c r="C16" s="51"/>
      <c r="D16" s="51"/>
      <c r="E16" s="51">
        <f t="array" ref="E16">SUM(IF(A16=KHN,TH))</f>
        <v>1995421193</v>
      </c>
      <c r="F16" s="51">
        <f t="array" ref="F16">SUM(IF(A16=KHC,TH))</f>
        <v>1995421193</v>
      </c>
      <c r="G16" s="52">
        <f t="shared" ref="G16:G22" si="0">MAX(C16+E16-D16-F16,0)</f>
        <v>0</v>
      </c>
      <c r="H16" s="52">
        <f t="shared" ref="H16:H22" si="1">MAX(D16+F16-E16-C16,0)</f>
        <v>0</v>
      </c>
      <c r="K16" s="53"/>
    </row>
    <row r="17" spans="1:11" s="40" customFormat="1">
      <c r="A17" s="54" t="s">
        <v>214</v>
      </c>
      <c r="B17" s="55" t="s">
        <v>215</v>
      </c>
      <c r="C17" s="56"/>
      <c r="D17" s="56"/>
      <c r="E17" s="56">
        <f>E16</f>
        <v>1995421193</v>
      </c>
      <c r="F17" s="56">
        <f>F16</f>
        <v>1995421193</v>
      </c>
      <c r="G17" s="56">
        <f t="shared" si="0"/>
        <v>0</v>
      </c>
      <c r="H17" s="56">
        <f t="shared" si="1"/>
        <v>0</v>
      </c>
      <c r="K17" s="53"/>
    </row>
    <row r="18" spans="1:11" s="40" customFormat="1">
      <c r="A18" s="57" t="s">
        <v>655</v>
      </c>
      <c r="B18" s="50" t="s">
        <v>656</v>
      </c>
      <c r="C18" s="51"/>
      <c r="D18" s="51"/>
      <c r="E18" s="51">
        <f t="array" ref="E18">SUM(IF(A18=KHN,TH))</f>
        <v>23946959081</v>
      </c>
      <c r="F18" s="51">
        <f t="array" ref="F18">SUM(IF(A18=KHC,TH))</f>
        <v>0</v>
      </c>
      <c r="G18" s="52">
        <f t="shared" si="0"/>
        <v>23946959081</v>
      </c>
      <c r="H18" s="52">
        <f t="shared" si="1"/>
        <v>0</v>
      </c>
      <c r="K18" s="53"/>
    </row>
    <row r="19" spans="1:11" s="40" customFormat="1">
      <c r="A19" s="54" t="s">
        <v>657</v>
      </c>
      <c r="B19" s="55" t="s">
        <v>658</v>
      </c>
      <c r="C19" s="56"/>
      <c r="D19" s="56"/>
      <c r="E19" s="56">
        <f>E18</f>
        <v>23946959081</v>
      </c>
      <c r="F19" s="56">
        <f>F18</f>
        <v>0</v>
      </c>
      <c r="G19" s="56">
        <f t="shared" si="0"/>
        <v>23946959081</v>
      </c>
      <c r="H19" s="56">
        <f t="shared" si="1"/>
        <v>0</v>
      </c>
      <c r="K19" s="53"/>
    </row>
    <row r="20" spans="1:11" s="40" customFormat="1">
      <c r="A20" s="54" t="s">
        <v>18</v>
      </c>
      <c r="B20" s="55" t="s">
        <v>216</v>
      </c>
      <c r="C20" s="56"/>
      <c r="D20" s="56"/>
      <c r="E20" s="139">
        <f t="array" ref="E20">SUM(IF(A20=KHN,TH))</f>
        <v>27506120790</v>
      </c>
      <c r="F20" s="139">
        <f t="array" ref="F20">SUM(IF(A20=KHC,TH))</f>
        <v>24036234026</v>
      </c>
      <c r="G20" s="56">
        <f t="shared" si="0"/>
        <v>3469886764</v>
      </c>
      <c r="H20" s="56">
        <f t="shared" si="1"/>
        <v>0</v>
      </c>
      <c r="K20" s="53"/>
    </row>
    <row r="21" spans="1:11" s="40" customFormat="1">
      <c r="A21" s="57" t="s">
        <v>217</v>
      </c>
      <c r="B21" s="50" t="s">
        <v>218</v>
      </c>
      <c r="C21" s="51"/>
      <c r="D21" s="51"/>
      <c r="E21" s="51">
        <f t="array" ref="E21">SUM(IF(A21=KHN,TH))</f>
        <v>0</v>
      </c>
      <c r="F21" s="51">
        <f t="array" ref="F21">SUM(IF(A21=KHC,TH))</f>
        <v>0</v>
      </c>
      <c r="G21" s="51">
        <f t="shared" si="0"/>
        <v>0</v>
      </c>
      <c r="H21" s="51">
        <f t="shared" si="1"/>
        <v>0</v>
      </c>
      <c r="I21" s="40">
        <f t="shared" ref="I21:I26" si="2">E21-F21</f>
        <v>0</v>
      </c>
    </row>
    <row r="22" spans="1:11" s="40" customFormat="1">
      <c r="A22" s="60" t="s">
        <v>219</v>
      </c>
      <c r="B22" s="61" t="s">
        <v>220</v>
      </c>
      <c r="C22" s="59"/>
      <c r="D22" s="59"/>
      <c r="E22" s="59">
        <f t="array" ref="E22">SUM(IF(A22=KHN,TH))</f>
        <v>11250000</v>
      </c>
      <c r="F22" s="59">
        <f t="array" ref="F22">SUM(IF(A22=KHC,TH))</f>
        <v>11250000</v>
      </c>
      <c r="G22" s="59">
        <f t="shared" si="0"/>
        <v>0</v>
      </c>
      <c r="H22" s="59">
        <f t="shared" si="1"/>
        <v>0</v>
      </c>
      <c r="I22" s="40">
        <f t="shared" si="2"/>
        <v>0</v>
      </c>
    </row>
    <row r="23" spans="1:11" s="40" customFormat="1">
      <c r="A23" s="57" t="s">
        <v>40</v>
      </c>
      <c r="B23" s="50" t="s">
        <v>221</v>
      </c>
      <c r="C23" s="51"/>
      <c r="D23" s="51"/>
      <c r="E23" s="51">
        <f>E22</f>
        <v>11250000</v>
      </c>
      <c r="F23" s="51">
        <f>F22</f>
        <v>11250000</v>
      </c>
      <c r="G23" s="51">
        <f>G22</f>
        <v>0</v>
      </c>
      <c r="H23" s="51">
        <f>H22</f>
        <v>0</v>
      </c>
      <c r="I23" s="40">
        <f t="shared" si="2"/>
        <v>0</v>
      </c>
    </row>
    <row r="24" spans="1:11" s="40" customFormat="1">
      <c r="A24" s="54" t="s">
        <v>222</v>
      </c>
      <c r="B24" s="55" t="s">
        <v>223</v>
      </c>
      <c r="C24" s="56"/>
      <c r="D24" s="56"/>
      <c r="E24" s="56">
        <f>E21+E23</f>
        <v>11250000</v>
      </c>
      <c r="F24" s="56">
        <f>F21+F23</f>
        <v>11250000</v>
      </c>
      <c r="G24" s="56">
        <f>G21+G23</f>
        <v>0</v>
      </c>
      <c r="H24" s="56">
        <f>H21+H23</f>
        <v>0</v>
      </c>
      <c r="I24" s="40">
        <f t="shared" si="2"/>
        <v>0</v>
      </c>
    </row>
    <row r="25" spans="1:11" s="40" customFormat="1">
      <c r="A25" s="57" t="s">
        <v>39</v>
      </c>
      <c r="B25" s="50" t="s">
        <v>224</v>
      </c>
      <c r="C25" s="51"/>
      <c r="D25" s="51"/>
      <c r="E25" s="51">
        <f t="array" ref="E25">SUM(IF(A25=KHN,TH))</f>
        <v>1444500000</v>
      </c>
      <c r="F25" s="51">
        <f t="array" ref="F25">SUM(IF(A25=KHC,TH))</f>
        <v>6444500000</v>
      </c>
      <c r="G25" s="51">
        <f>MAX(C25+E25-D25-F25,0)</f>
        <v>0</v>
      </c>
      <c r="H25" s="51">
        <f>MAX(D25+F25-E25-C25,0)</f>
        <v>5000000000</v>
      </c>
      <c r="I25" s="40">
        <f t="shared" si="2"/>
        <v>-5000000000</v>
      </c>
    </row>
    <row r="26" spans="1:11" s="40" customFormat="1">
      <c r="A26" s="54" t="s">
        <v>225</v>
      </c>
      <c r="B26" s="55" t="s">
        <v>226</v>
      </c>
      <c r="C26" s="56"/>
      <c r="D26" s="56"/>
      <c r="E26" s="56">
        <f>E25</f>
        <v>1444500000</v>
      </c>
      <c r="F26" s="56">
        <f>F25</f>
        <v>6444500000</v>
      </c>
      <c r="G26" s="56">
        <f>G25</f>
        <v>0</v>
      </c>
      <c r="H26" s="56">
        <f>H25</f>
        <v>5000000000</v>
      </c>
      <c r="I26" s="40">
        <f t="shared" si="2"/>
        <v>-5000000000</v>
      </c>
    </row>
    <row r="27" spans="1:11" s="40" customFormat="1">
      <c r="A27" s="49" t="s">
        <v>227</v>
      </c>
      <c r="B27" s="50" t="s">
        <v>228</v>
      </c>
      <c r="C27" s="51"/>
      <c r="D27" s="51"/>
      <c r="E27" s="51">
        <f t="array" ref="E27">SUM(IF(A27=KHN,TH))</f>
        <v>0</v>
      </c>
      <c r="F27" s="51">
        <f t="array" ref="F27">SUM(IF(A27=KHC,TH))</f>
        <v>21982640000</v>
      </c>
      <c r="G27" s="52">
        <f>MAX(C27+E27-D27-F27,0)</f>
        <v>0</v>
      </c>
      <c r="H27" s="52">
        <f>MAX(D27+F27-E27-C27,0)</f>
        <v>21982640000</v>
      </c>
    </row>
    <row r="28" spans="1:11" s="40" customFormat="1">
      <c r="A28" s="58" t="s">
        <v>97</v>
      </c>
      <c r="B28" s="55" t="s">
        <v>229</v>
      </c>
      <c r="C28" s="56"/>
      <c r="D28" s="56"/>
      <c r="E28" s="56">
        <f>E27</f>
        <v>0</v>
      </c>
      <c r="F28" s="56">
        <f>F27</f>
        <v>21982640000</v>
      </c>
      <c r="G28" s="56">
        <f>G27</f>
        <v>0</v>
      </c>
      <c r="H28" s="56">
        <f>H27</f>
        <v>21982640000</v>
      </c>
    </row>
    <row r="29" spans="1:11" s="40" customFormat="1">
      <c r="A29" s="57" t="s">
        <v>55</v>
      </c>
      <c r="B29" s="50" t="s">
        <v>230</v>
      </c>
      <c r="C29" s="51"/>
      <c r="D29" s="51"/>
      <c r="E29" s="51">
        <f t="array" ref="E29">SUM(IF(A29=KHN,TH))</f>
        <v>0</v>
      </c>
      <c r="F29" s="51">
        <f t="array" ref="F29">SUM(IF(A29=KHC,TH))</f>
        <v>4000000000</v>
      </c>
      <c r="G29" s="52">
        <f>MAX(C29+E29-D29-F29,0)</f>
        <v>0</v>
      </c>
      <c r="H29" s="52">
        <f>MAX(D29+F29-E29-C29,0)</f>
        <v>4000000000</v>
      </c>
    </row>
    <row r="30" spans="1:11" s="40" customFormat="1">
      <c r="A30" s="54" t="s">
        <v>231</v>
      </c>
      <c r="B30" s="55" t="s">
        <v>232</v>
      </c>
      <c r="C30" s="56"/>
      <c r="D30" s="56"/>
      <c r="E30" s="56">
        <f>E29</f>
        <v>0</v>
      </c>
      <c r="F30" s="56">
        <f>F29</f>
        <v>4000000000</v>
      </c>
      <c r="G30" s="56">
        <f>MAX(C30+E30-D30-F30,0)</f>
        <v>0</v>
      </c>
      <c r="H30" s="56">
        <f>MAX(D30+F30-E30-C30,0)</f>
        <v>4000000000</v>
      </c>
    </row>
    <row r="31" spans="1:11" s="40" customFormat="1">
      <c r="A31" s="49" t="s">
        <v>233</v>
      </c>
      <c r="B31" s="50" t="s">
        <v>234</v>
      </c>
      <c r="C31" s="51"/>
      <c r="D31" s="51"/>
      <c r="E31" s="51">
        <f t="array" ref="E31">SUM(IF(A31=KHN,TH))</f>
        <v>0</v>
      </c>
      <c r="F31" s="51">
        <f t="array" ref="F31">SUM(IF(A31=KHC,TH))</f>
        <v>0</v>
      </c>
      <c r="G31" s="52">
        <f>MAX(C31+E31-D31-F31,0)</f>
        <v>0</v>
      </c>
      <c r="H31" s="52">
        <f>MAX(D31+F31-E31-C31,0)</f>
        <v>0</v>
      </c>
    </row>
    <row r="32" spans="1:11" s="40" customFormat="1">
      <c r="A32" s="57" t="s">
        <v>235</v>
      </c>
      <c r="B32" s="50" t="s">
        <v>236</v>
      </c>
      <c r="C32" s="51"/>
      <c r="D32" s="51"/>
      <c r="E32" s="51">
        <f t="array" ref="E32">SUM(IF(A32=TH!$J$10:$J$1209,TH!$I$10:$I$1209))</f>
        <v>590581728</v>
      </c>
      <c r="F32" s="51">
        <f t="array" ref="F32">SUM(IF(A32=TH!$K$10:$K$1209,TH!$I$10:$I$1209))</f>
        <v>0</v>
      </c>
      <c r="G32" s="51">
        <f>MAX(C32+E32-D32-F32,0)</f>
        <v>590581728</v>
      </c>
      <c r="H32" s="51">
        <f>MAX(D32+F32-E32-C32,0)</f>
        <v>0</v>
      </c>
    </row>
    <row r="33" spans="1:9" s="40" customFormat="1">
      <c r="A33" s="54" t="s">
        <v>237</v>
      </c>
      <c r="B33" s="55" t="s">
        <v>238</v>
      </c>
      <c r="C33" s="56"/>
      <c r="D33" s="56"/>
      <c r="E33" s="56">
        <f>E32+E31</f>
        <v>590581728</v>
      </c>
      <c r="F33" s="56">
        <f>F32+F31</f>
        <v>0</v>
      </c>
      <c r="G33" s="56">
        <f>G32+G31</f>
        <v>590581728</v>
      </c>
      <c r="H33" s="56">
        <f>H32+H31</f>
        <v>0</v>
      </c>
    </row>
    <row r="34" spans="1:9" s="40" customFormat="1">
      <c r="A34" s="54" t="s">
        <v>99</v>
      </c>
      <c r="B34" s="55" t="s">
        <v>239</v>
      </c>
      <c r="C34" s="56"/>
      <c r="D34" s="56"/>
      <c r="E34" s="139">
        <f t="array" ref="E34">SUM(IF(A34=KHN,TH))</f>
        <v>1782272</v>
      </c>
      <c r="F34" s="139">
        <f t="array" ref="F34">SUM(IF(A34=KHC,TH))</f>
        <v>1782272</v>
      </c>
      <c r="G34" s="56"/>
      <c r="H34" s="56"/>
      <c r="I34" s="40">
        <f t="shared" ref="I34:I40" si="3">E34-F34</f>
        <v>0</v>
      </c>
    </row>
    <row r="35" spans="1:9" s="40" customFormat="1" ht="12.75" customHeight="1">
      <c r="A35" s="54" t="s">
        <v>240</v>
      </c>
      <c r="B35" s="55" t="s">
        <v>241</v>
      </c>
      <c r="C35" s="56"/>
      <c r="D35" s="56"/>
      <c r="E35" s="139">
        <f t="array" ref="E35">SUM(IF(A35=KHN,TH))</f>
        <v>1532829404</v>
      </c>
      <c r="F35" s="139">
        <f t="array" ref="F35">SUM(IF(A35=KHC,TH))</f>
        <v>1532829404</v>
      </c>
      <c r="G35" s="56"/>
      <c r="H35" s="56"/>
      <c r="I35" s="40">
        <f t="shared" si="3"/>
        <v>0</v>
      </c>
    </row>
    <row r="36" spans="1:9" s="40" customFormat="1" ht="12.75" customHeight="1">
      <c r="A36" s="54" t="s">
        <v>242</v>
      </c>
      <c r="B36" s="55" t="s">
        <v>243</v>
      </c>
      <c r="C36" s="56"/>
      <c r="D36" s="56"/>
      <c r="E36" s="139">
        <f t="array" ref="E36">SUM(IF(A36=KHN,TH))</f>
        <v>563344000</v>
      </c>
      <c r="F36" s="139">
        <f t="array" ref="F36">SUM(IF(A36=KHC,TH))</f>
        <v>563344000</v>
      </c>
      <c r="G36" s="56"/>
      <c r="H36" s="56"/>
      <c r="I36" s="40">
        <f t="shared" si="3"/>
        <v>0</v>
      </c>
    </row>
    <row r="37" spans="1:9" s="40" customFormat="1" ht="12.75" customHeight="1">
      <c r="A37" s="58" t="s">
        <v>244</v>
      </c>
      <c r="B37" s="55" t="s">
        <v>245</v>
      </c>
      <c r="C37" s="56"/>
      <c r="D37" s="56"/>
      <c r="E37" s="139">
        <f t="array" ref="E37">SUM(IF(A37=KHN,TH))</f>
        <v>900000</v>
      </c>
      <c r="F37" s="139">
        <f t="array" ref="F37">SUM(IF(A37=KHC,TH))</f>
        <v>900000</v>
      </c>
      <c r="G37" s="56"/>
      <c r="H37" s="56"/>
      <c r="I37" s="40">
        <f t="shared" si="3"/>
        <v>0</v>
      </c>
    </row>
    <row r="38" spans="1:9" s="40" customFormat="1" ht="12.75" customHeight="1">
      <c r="A38" s="54" t="s">
        <v>246</v>
      </c>
      <c r="B38" s="55" t="s">
        <v>247</v>
      </c>
      <c r="C38" s="56"/>
      <c r="D38" s="56"/>
      <c r="E38" s="139">
        <f t="array" ref="E38">SUM(IF(A38=KHN,TH))</f>
        <v>29920000</v>
      </c>
      <c r="F38" s="139">
        <f t="array" ref="F38">SUM(IF(A38=KHC,TH))</f>
        <v>29920000</v>
      </c>
      <c r="G38" s="56"/>
      <c r="H38" s="56"/>
      <c r="I38" s="40">
        <f t="shared" si="3"/>
        <v>0</v>
      </c>
    </row>
    <row r="39" spans="1:9" s="40" customFormat="1" ht="12.75" customHeight="1">
      <c r="A39" s="58" t="s">
        <v>248</v>
      </c>
      <c r="B39" s="55" t="s">
        <v>249</v>
      </c>
      <c r="C39" s="56"/>
      <c r="D39" s="56"/>
      <c r="E39" s="139">
        <f t="array" ref="E39">SUM(IF(A39=KHN,TH))</f>
        <v>0</v>
      </c>
      <c r="F39" s="139">
        <f t="array" ref="F39">SUM(IF(A39=KHC,TH))</f>
        <v>0</v>
      </c>
      <c r="G39" s="56"/>
      <c r="H39" s="56"/>
      <c r="I39" s="40">
        <f t="shared" si="3"/>
        <v>0</v>
      </c>
    </row>
    <row r="40" spans="1:9" s="40" customFormat="1">
      <c r="A40" s="54" t="s">
        <v>250</v>
      </c>
      <c r="B40" s="55" t="s">
        <v>251</v>
      </c>
      <c r="C40" s="56"/>
      <c r="D40" s="56"/>
      <c r="E40" s="140">
        <f t="array" ref="E40">SUM(IF(A40=KHN,TH))</f>
        <v>593264000</v>
      </c>
      <c r="F40" s="140">
        <f t="array" ref="F40">SUM(IF(A40=TH!$K$10:$K$1209,TH!$I$10:$I$1209))</f>
        <v>593264000</v>
      </c>
      <c r="G40" s="56"/>
      <c r="H40" s="56"/>
      <c r="I40" s="40">
        <f t="shared" si="3"/>
        <v>0</v>
      </c>
    </row>
    <row r="41" spans="1:9" s="40" customFormat="1">
      <c r="A41" s="62" t="s">
        <v>252</v>
      </c>
      <c r="B41" s="62"/>
      <c r="C41" s="62">
        <f>C11+C13+C15+C17+C20+C24+C26+C28+C30+C33+C34+C35+C36+C37+C38+C39+C40+C19</f>
        <v>0</v>
      </c>
      <c r="D41" s="62">
        <f t="shared" ref="D41:H41" si="4">D11+D13+D15+D17+D20+D24+D26+D28+D30+D33+D34+D35+D36+D37+D38+D39+D40+D19</f>
        <v>0</v>
      </c>
      <c r="E41" s="62">
        <f t="shared" si="4"/>
        <v>104003323461</v>
      </c>
      <c r="F41" s="62">
        <f t="shared" si="4"/>
        <v>104003323461</v>
      </c>
      <c r="G41" s="62">
        <f t="shared" si="4"/>
        <v>30982640000</v>
      </c>
      <c r="H41" s="62">
        <f t="shared" si="4"/>
        <v>30982640000</v>
      </c>
    </row>
    <row r="42" spans="1:9">
      <c r="E42" s="63"/>
      <c r="F42" s="64"/>
    </row>
    <row r="43" spans="1:9">
      <c r="E43" s="64">
        <f>E41-F41</f>
        <v>0</v>
      </c>
      <c r="H43" s="64">
        <f>G41-H41</f>
        <v>0</v>
      </c>
    </row>
    <row r="44" spans="1:9">
      <c r="E44" s="65"/>
      <c r="F44" s="65"/>
    </row>
    <row r="45" spans="1:9">
      <c r="E45" s="65"/>
      <c r="F45" s="65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M1209"/>
  <sheetViews>
    <sheetView tabSelected="1" topLeftCell="A7" workbookViewId="0">
      <pane ySplit="3" topLeftCell="A1153" activePane="bottomLeft" state="frozen"/>
      <selection activeCell="A7" sqref="A7"/>
      <selection pane="bottomLeft" activeCell="C1160" sqref="C1160:K1181"/>
    </sheetView>
  </sheetViews>
  <sheetFormatPr defaultRowHeight="12.75"/>
  <cols>
    <col min="1" max="2" width="4.85546875" customWidth="1"/>
    <col min="3" max="3" width="9.140625" customWidth="1"/>
    <col min="4" max="4" width="6.85546875" customWidth="1"/>
    <col min="5" max="5" width="9.140625" customWidth="1"/>
    <col min="6" max="6" width="33.7109375" customWidth="1"/>
    <col min="7" max="7" width="8.5703125" style="254" customWidth="1"/>
    <col min="8" max="8" width="48.42578125" style="241" customWidth="1"/>
    <col min="9" max="9" width="13.140625" customWidth="1"/>
    <col min="10" max="11" width="7" customWidth="1"/>
    <col min="12" max="12" width="4.42578125" customWidth="1"/>
  </cols>
  <sheetData>
    <row r="1" spans="1:12">
      <c r="A1" s="66"/>
      <c r="B1" s="66"/>
      <c r="C1" s="66" t="s">
        <v>263</v>
      </c>
      <c r="D1" s="67"/>
      <c r="E1" s="67"/>
      <c r="F1" s="68"/>
      <c r="G1" s="67"/>
      <c r="H1" s="239"/>
      <c r="I1" s="106"/>
      <c r="J1" s="69"/>
      <c r="K1" s="69"/>
      <c r="L1" s="69"/>
    </row>
    <row r="2" spans="1:12">
      <c r="A2" s="66"/>
      <c r="B2" s="66"/>
      <c r="C2" s="66" t="s">
        <v>264</v>
      </c>
      <c r="D2" s="67"/>
      <c r="E2" s="67"/>
      <c r="F2" s="67"/>
      <c r="G2" s="67"/>
      <c r="H2" s="240"/>
      <c r="I2" s="106"/>
      <c r="J2" s="69"/>
      <c r="K2" s="69"/>
      <c r="L2" s="69"/>
    </row>
    <row r="3" spans="1:12">
      <c r="A3" s="67"/>
      <c r="B3" s="67"/>
      <c r="C3" s="67"/>
      <c r="D3" s="67"/>
      <c r="E3" s="67"/>
      <c r="F3" s="67"/>
      <c r="G3" s="67"/>
      <c r="H3" s="240"/>
      <c r="I3" s="103"/>
      <c r="J3" s="70"/>
      <c r="K3" s="70"/>
      <c r="L3" s="70"/>
    </row>
    <row r="4" spans="1:12" ht="22.5">
      <c r="A4" s="106"/>
      <c r="B4" s="106"/>
      <c r="C4" s="429" t="s">
        <v>253</v>
      </c>
      <c r="D4" s="429"/>
      <c r="E4" s="429"/>
      <c r="F4" s="429"/>
      <c r="G4" s="429"/>
      <c r="H4" s="429"/>
      <c r="I4" s="429"/>
      <c r="J4" s="429"/>
      <c r="K4" s="429"/>
    </row>
    <row r="5" spans="1:12" ht="14.25">
      <c r="A5" s="106"/>
      <c r="B5" s="106"/>
      <c r="C5" s="430"/>
      <c r="D5" s="430"/>
      <c r="E5" s="430"/>
      <c r="F5" s="430"/>
      <c r="G5" s="430"/>
      <c r="H5" s="430"/>
      <c r="I5" s="430"/>
      <c r="J5" s="430"/>
      <c r="K5" s="430"/>
    </row>
    <row r="6" spans="1:12">
      <c r="A6" s="106"/>
      <c r="B6" s="106"/>
      <c r="C6" s="106"/>
      <c r="D6" s="106"/>
      <c r="E6" s="106"/>
      <c r="F6" s="106"/>
      <c r="G6" s="106"/>
      <c r="H6" s="115"/>
      <c r="I6" s="106"/>
      <c r="J6" s="69"/>
      <c r="K6" s="69"/>
      <c r="L6" s="69"/>
    </row>
    <row r="7" spans="1:12">
      <c r="A7" s="425" t="s">
        <v>265</v>
      </c>
      <c r="B7" s="425" t="s">
        <v>266</v>
      </c>
      <c r="C7" s="431" t="s">
        <v>50</v>
      </c>
      <c r="D7" s="432" t="s">
        <v>10</v>
      </c>
      <c r="E7" s="433"/>
      <c r="F7" s="431" t="s">
        <v>0</v>
      </c>
      <c r="G7" s="434" t="s">
        <v>512</v>
      </c>
      <c r="H7" s="427" t="s">
        <v>184</v>
      </c>
      <c r="I7" s="431" t="s">
        <v>254</v>
      </c>
      <c r="J7" s="428" t="s">
        <v>255</v>
      </c>
      <c r="K7" s="428"/>
      <c r="L7" s="428">
        <v>331</v>
      </c>
    </row>
    <row r="8" spans="1:12" ht="25.5">
      <c r="A8" s="426"/>
      <c r="B8" s="426"/>
      <c r="C8" s="431"/>
      <c r="D8" s="104" t="s">
        <v>32</v>
      </c>
      <c r="E8" s="102" t="s">
        <v>70</v>
      </c>
      <c r="F8" s="431"/>
      <c r="G8" s="435"/>
      <c r="H8" s="427"/>
      <c r="I8" s="431"/>
      <c r="J8" s="105" t="s">
        <v>52</v>
      </c>
      <c r="K8" s="105" t="s">
        <v>53</v>
      </c>
      <c r="L8" s="428"/>
    </row>
    <row r="9" spans="1:12">
      <c r="A9" s="71">
        <v>2</v>
      </c>
      <c r="B9" s="255">
        <v>3</v>
      </c>
      <c r="C9" s="71">
        <v>4</v>
      </c>
      <c r="D9" s="255">
        <v>5</v>
      </c>
      <c r="E9" s="71">
        <v>6</v>
      </c>
      <c r="F9" s="255">
        <v>7</v>
      </c>
      <c r="G9" s="71">
        <v>8</v>
      </c>
      <c r="H9" s="255">
        <v>9</v>
      </c>
      <c r="I9" s="71">
        <v>10</v>
      </c>
      <c r="J9" s="255">
        <v>11</v>
      </c>
      <c r="K9" s="71">
        <v>12</v>
      </c>
      <c r="L9" s="255">
        <v>13</v>
      </c>
    </row>
    <row r="10" spans="1:12" s="109" customFormat="1">
      <c r="A10" s="72">
        <f>IF(C10&lt;&gt;"",YEAR(C10),"")</f>
        <v>2015</v>
      </c>
      <c r="B10" s="72">
        <f>IF(C10&lt;&gt;"",MONTH(C10),"")</f>
        <v>12</v>
      </c>
      <c r="C10" s="130">
        <v>42369</v>
      </c>
      <c r="D10" s="130" t="s">
        <v>256</v>
      </c>
      <c r="E10" s="130">
        <v>42369</v>
      </c>
      <c r="F10" s="131" t="s">
        <v>259</v>
      </c>
      <c r="G10" s="266"/>
      <c r="H10" s="132"/>
      <c r="I10" s="133">
        <f>MAX(SUMIF(KHN,"911",TH)-SUMIF(KHC,"911",TH),SUMIF(KHC,"911",TH)-SUMIF(KHN,"911",TH))</f>
        <v>590581728</v>
      </c>
      <c r="J10" s="134" t="s">
        <v>235</v>
      </c>
      <c r="K10" s="134" t="s">
        <v>250</v>
      </c>
      <c r="L10" s="134" t="str">
        <f>IF(AND('331-CT'!$E$7=TH!H10,OR(J10="331",K10="331")),"x","")</f>
        <v/>
      </c>
    </row>
    <row r="11" spans="1:12" s="109" customFormat="1">
      <c r="A11" s="72">
        <f>IF(C11&lt;&gt;"",YEAR(C11),"")</f>
        <v>2015</v>
      </c>
      <c r="B11" s="72">
        <f>IF(C11&lt;&gt;"",MONTH(C11),"")</f>
        <v>12</v>
      </c>
      <c r="C11" s="130">
        <v>42369</v>
      </c>
      <c r="D11" s="130" t="s">
        <v>256</v>
      </c>
      <c r="E11" s="130">
        <v>42369</v>
      </c>
      <c r="F11" s="131" t="s">
        <v>257</v>
      </c>
      <c r="G11" s="266"/>
      <c r="H11" s="132"/>
      <c r="I11" s="133">
        <f>SUMIF(KHN,"635",TH)</f>
        <v>1532829404</v>
      </c>
      <c r="J11" s="141" t="s">
        <v>655</v>
      </c>
      <c r="K11" s="134" t="s">
        <v>240</v>
      </c>
      <c r="L11" s="134" t="str">
        <f>IF(AND('331-CT'!$E$7=TH!H11,OR(J11="331",K11="331")),"x","")</f>
        <v/>
      </c>
    </row>
    <row r="12" spans="1:12" s="109" customFormat="1">
      <c r="A12" s="72">
        <f>IF(C12&lt;&gt;"",YEAR(C12),"")</f>
        <v>2015</v>
      </c>
      <c r="B12" s="72">
        <f>IF(C12&lt;&gt;"",MONTH(C12),"")</f>
        <v>12</v>
      </c>
      <c r="C12" s="130">
        <v>42369</v>
      </c>
      <c r="D12" s="130" t="s">
        <v>256</v>
      </c>
      <c r="E12" s="130">
        <v>42369</v>
      </c>
      <c r="F12" s="131" t="s">
        <v>258</v>
      </c>
      <c r="G12" s="266"/>
      <c r="H12" s="132"/>
      <c r="I12" s="133">
        <f>SUMIF(KHN,"642",TH)</f>
        <v>563344000</v>
      </c>
      <c r="J12" s="141" t="s">
        <v>250</v>
      </c>
      <c r="K12" s="134" t="s">
        <v>242</v>
      </c>
      <c r="L12" s="134" t="str">
        <f>IF(AND('331-CT'!$E$7=TH!H12,OR(J12="331",K12="331")),"x","")</f>
        <v/>
      </c>
    </row>
    <row r="13" spans="1:12" s="109" customFormat="1">
      <c r="A13" s="72">
        <f t="shared" ref="A13:A14" si="0">IF(C13&lt;&gt;"",YEAR(C13),"")</f>
        <v>2015</v>
      </c>
      <c r="B13" s="72">
        <f t="shared" ref="B13:B14" si="1">IF(C13&lt;&gt;"",MONTH(C13),"")</f>
        <v>12</v>
      </c>
      <c r="C13" s="130">
        <v>42369</v>
      </c>
      <c r="D13" s="130" t="s">
        <v>256</v>
      </c>
      <c r="E13" s="130">
        <v>42369</v>
      </c>
      <c r="F13" s="131" t="s">
        <v>260</v>
      </c>
      <c r="G13" s="266"/>
      <c r="H13" s="142"/>
      <c r="I13" s="133">
        <f>SUMIF(KHC,"515",TH)</f>
        <v>1782272</v>
      </c>
      <c r="J13" s="134" t="s">
        <v>99</v>
      </c>
      <c r="K13" s="134" t="s">
        <v>250</v>
      </c>
      <c r="L13" s="134" t="str">
        <f>IF(AND('331-CT'!$E$7=TH!H13,OR(J13="331",K13="331")),"x","")</f>
        <v/>
      </c>
    </row>
    <row r="14" spans="1:12" s="109" customFormat="1">
      <c r="A14" s="72">
        <f t="shared" si="0"/>
        <v>2015</v>
      </c>
      <c r="B14" s="72">
        <f t="shared" si="1"/>
        <v>12</v>
      </c>
      <c r="C14" s="130">
        <v>42369</v>
      </c>
      <c r="D14" s="130" t="s">
        <v>256</v>
      </c>
      <c r="E14" s="130">
        <v>42369</v>
      </c>
      <c r="F14" s="131" t="s">
        <v>261</v>
      </c>
      <c r="G14" s="266"/>
      <c r="H14" s="132"/>
      <c r="I14" s="133">
        <f>SUMIF(KHC,"711",TH)</f>
        <v>900000</v>
      </c>
      <c r="J14" s="134" t="s">
        <v>244</v>
      </c>
      <c r="K14" s="134" t="s">
        <v>250</v>
      </c>
      <c r="L14" s="134" t="str">
        <f>IF(AND('331-CT'!$E$7=TH!H14,OR(J14="331",K14="331")),"x","")</f>
        <v/>
      </c>
    </row>
    <row r="15" spans="1:12" s="109" customFormat="1">
      <c r="A15" s="72">
        <f t="shared" ref="A15" si="2">IF(C15&lt;&gt;"",YEAR(C15),"")</f>
        <v>2015</v>
      </c>
      <c r="B15" s="72">
        <f t="shared" ref="B15" si="3">IF(C15&lt;&gt;"",MONTH(C15),"")</f>
        <v>12</v>
      </c>
      <c r="C15" s="130">
        <v>42369</v>
      </c>
      <c r="D15" s="130" t="s">
        <v>256</v>
      </c>
      <c r="E15" s="130">
        <v>42369</v>
      </c>
      <c r="F15" s="131" t="s">
        <v>262</v>
      </c>
      <c r="G15" s="266"/>
      <c r="H15" s="132"/>
      <c r="I15" s="133">
        <f>SUMIF(KHN,"811",TH)</f>
        <v>29920000</v>
      </c>
      <c r="J15" s="134" t="s">
        <v>250</v>
      </c>
      <c r="K15" s="134" t="s">
        <v>246</v>
      </c>
      <c r="L15" s="134" t="str">
        <f>IF(AND('331-CT'!$E$7=TH!H15,OR(J15="331",K15="331")),"x","")</f>
        <v/>
      </c>
    </row>
    <row r="16" spans="1:12" s="109" customFormat="1">
      <c r="A16" s="72">
        <f t="shared" ref="A16:A75" si="4">IF(C16&lt;&gt;"",YEAR(C16),"")</f>
        <v>2008</v>
      </c>
      <c r="B16" s="72">
        <f t="shared" ref="B16:B75" si="5">IF(C16&lt;&gt;"",MONTH(C16),"")</f>
        <v>2</v>
      </c>
      <c r="C16" s="79">
        <v>39479</v>
      </c>
      <c r="D16" s="79" t="s">
        <v>20</v>
      </c>
      <c r="E16" s="79">
        <f t="shared" ref="E16:E30" si="6">C16</f>
        <v>39479</v>
      </c>
      <c r="F16" s="80" t="s">
        <v>578</v>
      </c>
      <c r="G16" s="274"/>
      <c r="H16" s="116" t="s">
        <v>431</v>
      </c>
      <c r="I16" s="81">
        <v>2400000000</v>
      </c>
      <c r="J16" s="82" t="s">
        <v>203</v>
      </c>
      <c r="K16" s="83" t="s">
        <v>55</v>
      </c>
      <c r="L16" s="134" t="str">
        <f>IF(AND('331-CT'!$E$7=TH!H16,OR(J16="331",K16="331")),"x","")</f>
        <v/>
      </c>
    </row>
    <row r="17" spans="1:12" s="109" customFormat="1">
      <c r="A17" s="72">
        <f t="shared" si="4"/>
        <v>2008</v>
      </c>
      <c r="B17" s="72">
        <f t="shared" si="5"/>
        <v>2</v>
      </c>
      <c r="C17" s="79">
        <v>39479</v>
      </c>
      <c r="D17" s="79" t="s">
        <v>22</v>
      </c>
      <c r="E17" s="79">
        <f t="shared" si="6"/>
        <v>39479</v>
      </c>
      <c r="F17" s="80" t="s">
        <v>578</v>
      </c>
      <c r="G17" s="274"/>
      <c r="H17" s="116" t="s">
        <v>574</v>
      </c>
      <c r="I17" s="81">
        <v>1600000000</v>
      </c>
      <c r="J17" s="82" t="s">
        <v>203</v>
      </c>
      <c r="K17" s="83" t="s">
        <v>55</v>
      </c>
      <c r="L17" s="134" t="str">
        <f>IF(AND('331-CT'!$E$7=TH!H17,OR(J17="331",K17="331")),"x","")</f>
        <v/>
      </c>
    </row>
    <row r="18" spans="1:12" s="109" customFormat="1">
      <c r="A18" s="72">
        <f t="shared" si="4"/>
        <v>2009</v>
      </c>
      <c r="B18" s="72">
        <f t="shared" si="5"/>
        <v>1</v>
      </c>
      <c r="C18" s="84">
        <v>39834</v>
      </c>
      <c r="D18" s="84" t="s">
        <v>73</v>
      </c>
      <c r="E18" s="84">
        <f t="shared" si="6"/>
        <v>39834</v>
      </c>
      <c r="F18" s="85" t="s">
        <v>60</v>
      </c>
      <c r="G18" s="261" t="s">
        <v>514</v>
      </c>
      <c r="H18" s="117" t="s">
        <v>513</v>
      </c>
      <c r="I18" s="86">
        <v>1500000</v>
      </c>
      <c r="J18" s="87" t="s">
        <v>219</v>
      </c>
      <c r="K18" s="87" t="s">
        <v>203</v>
      </c>
      <c r="L18" s="134" t="str">
        <f>IF(AND('331-CT'!$E$7=TH!H18,OR(J18="331",K18="331")),"x","")</f>
        <v/>
      </c>
    </row>
    <row r="19" spans="1:12" s="109" customFormat="1">
      <c r="A19" s="72">
        <f t="shared" si="4"/>
        <v>2009</v>
      </c>
      <c r="B19" s="72">
        <f t="shared" si="5"/>
        <v>1</v>
      </c>
      <c r="C19" s="84">
        <v>39834</v>
      </c>
      <c r="D19" s="84" t="s">
        <v>78</v>
      </c>
      <c r="E19" s="84">
        <f t="shared" si="6"/>
        <v>39834</v>
      </c>
      <c r="F19" s="85" t="s">
        <v>60</v>
      </c>
      <c r="G19" s="262"/>
      <c r="H19" s="118"/>
      <c r="I19" s="86">
        <v>1500000</v>
      </c>
      <c r="J19" s="87" t="s">
        <v>242</v>
      </c>
      <c r="K19" s="87" t="s">
        <v>219</v>
      </c>
      <c r="L19" s="134" t="str">
        <f>IF(AND('331-CT'!$E$7=TH!H19,OR(J19="331",K19="331")),"x","")</f>
        <v/>
      </c>
    </row>
    <row r="20" spans="1:12" s="109" customFormat="1">
      <c r="A20" s="72">
        <f t="shared" si="4"/>
        <v>2009</v>
      </c>
      <c r="B20" s="72">
        <f t="shared" si="5"/>
        <v>5</v>
      </c>
      <c r="C20" s="84">
        <v>39959</v>
      </c>
      <c r="D20" s="84" t="s">
        <v>92</v>
      </c>
      <c r="E20" s="84">
        <f t="shared" si="6"/>
        <v>39959</v>
      </c>
      <c r="F20" s="85" t="s">
        <v>57</v>
      </c>
      <c r="G20" s="262" t="s">
        <v>516</v>
      </c>
      <c r="H20" s="117" t="s">
        <v>515</v>
      </c>
      <c r="I20" s="86">
        <v>1000000</v>
      </c>
      <c r="J20" s="87" t="s">
        <v>242</v>
      </c>
      <c r="K20" s="87" t="s">
        <v>203</v>
      </c>
      <c r="L20" s="134" t="str">
        <f>IF(AND('331-CT'!$E$7=TH!H20,OR(J20="331",K20="331")),"x","")</f>
        <v/>
      </c>
    </row>
    <row r="21" spans="1:12" s="109" customFormat="1">
      <c r="A21" s="72">
        <f t="shared" si="4"/>
        <v>2009</v>
      </c>
      <c r="B21" s="72">
        <f t="shared" si="5"/>
        <v>5</v>
      </c>
      <c r="C21" s="84">
        <v>39959</v>
      </c>
      <c r="D21" s="84" t="s">
        <v>92</v>
      </c>
      <c r="E21" s="84">
        <f t="shared" si="6"/>
        <v>39959</v>
      </c>
      <c r="F21" s="85" t="s">
        <v>58</v>
      </c>
      <c r="G21" s="262"/>
      <c r="H21" s="117"/>
      <c r="I21" s="86">
        <v>25000</v>
      </c>
      <c r="J21" s="87" t="s">
        <v>242</v>
      </c>
      <c r="K21" s="87" t="s">
        <v>203</v>
      </c>
      <c r="L21" s="134" t="str">
        <f>IF(AND('331-CT'!$E$7=TH!H21,OR(J21="331",K21="331")),"x","")</f>
        <v/>
      </c>
    </row>
    <row r="22" spans="1:12" s="109" customFormat="1">
      <c r="A22" s="72">
        <f t="shared" si="4"/>
        <v>2009</v>
      </c>
      <c r="B22" s="72">
        <f t="shared" si="5"/>
        <v>9</v>
      </c>
      <c r="C22" s="84">
        <v>40079</v>
      </c>
      <c r="D22" s="84" t="s">
        <v>93</v>
      </c>
      <c r="E22" s="84">
        <f t="shared" si="6"/>
        <v>40079</v>
      </c>
      <c r="F22" s="85" t="s">
        <v>59</v>
      </c>
      <c r="G22" s="262" t="s">
        <v>516</v>
      </c>
      <c r="H22" s="117" t="s">
        <v>515</v>
      </c>
      <c r="I22" s="86">
        <v>750000</v>
      </c>
      <c r="J22" s="87" t="s">
        <v>219</v>
      </c>
      <c r="K22" s="87" t="s">
        <v>203</v>
      </c>
      <c r="L22" s="134" t="str">
        <f>IF(AND('331-CT'!$E$7=TH!H22,OR(J22="331",K22="331")),"x","")</f>
        <v/>
      </c>
    </row>
    <row r="23" spans="1:12" s="109" customFormat="1">
      <c r="A23" s="72">
        <f t="shared" si="4"/>
        <v>2009</v>
      </c>
      <c r="B23" s="72">
        <f t="shared" si="5"/>
        <v>9</v>
      </c>
      <c r="C23" s="84">
        <v>40079</v>
      </c>
      <c r="D23" s="84" t="s">
        <v>78</v>
      </c>
      <c r="E23" s="84">
        <f t="shared" si="6"/>
        <v>40079</v>
      </c>
      <c r="F23" s="85" t="s">
        <v>59</v>
      </c>
      <c r="G23" s="262"/>
      <c r="H23" s="117"/>
      <c r="I23" s="86">
        <v>750000</v>
      </c>
      <c r="J23" s="87" t="s">
        <v>242</v>
      </c>
      <c r="K23" s="87" t="s">
        <v>219</v>
      </c>
      <c r="L23" s="134" t="str">
        <f>IF(AND('331-CT'!$E$7=TH!H23,OR(J23="331",K23="331")),"x","")</f>
        <v/>
      </c>
    </row>
    <row r="24" spans="1:12" s="109" customFormat="1">
      <c r="A24" s="72">
        <f t="shared" si="4"/>
        <v>2009</v>
      </c>
      <c r="B24" s="72">
        <f t="shared" si="5"/>
        <v>9</v>
      </c>
      <c r="C24" s="84">
        <v>40079</v>
      </c>
      <c r="D24" s="84" t="s">
        <v>93</v>
      </c>
      <c r="E24" s="84">
        <f t="shared" si="6"/>
        <v>40079</v>
      </c>
      <c r="F24" s="85" t="s">
        <v>58</v>
      </c>
      <c r="G24" s="262"/>
      <c r="H24" s="117"/>
      <c r="I24" s="86">
        <v>25000</v>
      </c>
      <c r="J24" s="87" t="s">
        <v>242</v>
      </c>
      <c r="K24" s="87" t="s">
        <v>203</v>
      </c>
      <c r="L24" s="134" t="str">
        <f>IF(AND('331-CT'!$E$7=TH!H24,OR(J24="331",K24="331")),"x","")</f>
        <v/>
      </c>
    </row>
    <row r="25" spans="1:12" s="109" customFormat="1">
      <c r="A25" s="72">
        <f t="shared" si="4"/>
        <v>2010</v>
      </c>
      <c r="B25" s="72">
        <f t="shared" si="5"/>
        <v>5</v>
      </c>
      <c r="C25" s="88">
        <v>40317</v>
      </c>
      <c r="D25" s="88" t="s">
        <v>73</v>
      </c>
      <c r="E25" s="88">
        <f t="shared" si="6"/>
        <v>40317</v>
      </c>
      <c r="F25" s="89" t="s">
        <v>153</v>
      </c>
      <c r="G25" s="262" t="s">
        <v>516</v>
      </c>
      <c r="H25" s="117" t="s">
        <v>515</v>
      </c>
      <c r="I25" s="90">
        <v>1500000</v>
      </c>
      <c r="J25" s="91" t="s">
        <v>219</v>
      </c>
      <c r="K25" s="91" t="s">
        <v>203</v>
      </c>
      <c r="L25" s="134" t="str">
        <f>IF(AND('331-CT'!$E$7=TH!H25,OR(J25="331",K25="331")),"x","")</f>
        <v/>
      </c>
    </row>
    <row r="26" spans="1:12" s="109" customFormat="1">
      <c r="A26" s="72">
        <f t="shared" si="4"/>
        <v>2010</v>
      </c>
      <c r="B26" s="72">
        <f t="shared" si="5"/>
        <v>5</v>
      </c>
      <c r="C26" s="88">
        <v>40317</v>
      </c>
      <c r="D26" s="88" t="s">
        <v>78</v>
      </c>
      <c r="E26" s="88">
        <f t="shared" si="6"/>
        <v>40317</v>
      </c>
      <c r="F26" s="89" t="s">
        <v>153</v>
      </c>
      <c r="G26" s="263"/>
      <c r="H26" s="119"/>
      <c r="I26" s="90">
        <v>1500000</v>
      </c>
      <c r="J26" s="91" t="s">
        <v>242</v>
      </c>
      <c r="K26" s="91" t="s">
        <v>219</v>
      </c>
      <c r="L26" s="134" t="str">
        <f>IF(AND('331-CT'!$E$7=TH!H26,OR(J26="331",K26="331")),"x","")</f>
        <v/>
      </c>
    </row>
    <row r="27" spans="1:12" s="109" customFormat="1">
      <c r="A27" s="72">
        <f t="shared" si="4"/>
        <v>2010</v>
      </c>
      <c r="B27" s="72">
        <f t="shared" si="5"/>
        <v>9</v>
      </c>
      <c r="C27" s="88">
        <v>40437</v>
      </c>
      <c r="D27" s="88" t="s">
        <v>92</v>
      </c>
      <c r="E27" s="88">
        <f t="shared" si="6"/>
        <v>40437</v>
      </c>
      <c r="F27" s="89" t="s">
        <v>61</v>
      </c>
      <c r="G27" s="268" t="s">
        <v>517</v>
      </c>
      <c r="H27" s="117" t="s">
        <v>431</v>
      </c>
      <c r="I27" s="90">
        <v>390000</v>
      </c>
      <c r="J27" s="91" t="s">
        <v>242</v>
      </c>
      <c r="K27" s="91" t="s">
        <v>203</v>
      </c>
      <c r="L27" s="134" t="str">
        <f>IF(AND('331-CT'!$E$7=TH!H27,OR(J27="331",K27="331")),"x","")</f>
        <v/>
      </c>
    </row>
    <row r="28" spans="1:12" s="109" customFormat="1">
      <c r="A28" s="72">
        <f t="shared" si="4"/>
        <v>2010</v>
      </c>
      <c r="B28" s="72">
        <f t="shared" si="5"/>
        <v>9</v>
      </c>
      <c r="C28" s="88">
        <v>40451</v>
      </c>
      <c r="D28" s="88" t="s">
        <v>93</v>
      </c>
      <c r="E28" s="88">
        <f t="shared" si="6"/>
        <v>40451</v>
      </c>
      <c r="F28" s="89" t="s">
        <v>56</v>
      </c>
      <c r="G28" s="268" t="s">
        <v>518</v>
      </c>
      <c r="H28" s="117" t="s">
        <v>431</v>
      </c>
      <c r="I28" s="90">
        <v>20000</v>
      </c>
      <c r="J28" s="91" t="s">
        <v>242</v>
      </c>
      <c r="K28" s="91" t="s">
        <v>203</v>
      </c>
      <c r="L28" s="134" t="str">
        <f>IF(AND('331-CT'!$E$7=TH!H28,OR(J28="331",K28="331")),"x","")</f>
        <v/>
      </c>
    </row>
    <row r="29" spans="1:12" s="109" customFormat="1">
      <c r="A29" s="72">
        <f t="shared" si="4"/>
        <v>2011</v>
      </c>
      <c r="B29" s="72">
        <f t="shared" si="5"/>
        <v>1</v>
      </c>
      <c r="C29" s="92">
        <v>40570</v>
      </c>
      <c r="D29" s="92" t="s">
        <v>73</v>
      </c>
      <c r="E29" s="92">
        <f t="shared" si="6"/>
        <v>40570</v>
      </c>
      <c r="F29" s="93" t="s">
        <v>576</v>
      </c>
      <c r="G29" s="264"/>
      <c r="H29" s="116" t="s">
        <v>431</v>
      </c>
      <c r="I29" s="94">
        <v>100000000</v>
      </c>
      <c r="J29" s="95" t="s">
        <v>54</v>
      </c>
      <c r="K29" s="95" t="s">
        <v>203</v>
      </c>
      <c r="L29" s="134" t="str">
        <f>IF(AND('331-CT'!$E$7=TH!H29,OR(J29="331",K29="331")),"x","")</f>
        <v/>
      </c>
    </row>
    <row r="30" spans="1:12" s="109" customFormat="1">
      <c r="A30" s="72">
        <f t="shared" si="4"/>
        <v>2011</v>
      </c>
      <c r="B30" s="72">
        <f t="shared" si="5"/>
        <v>1</v>
      </c>
      <c r="C30" s="92">
        <v>40570</v>
      </c>
      <c r="D30" s="92" t="s">
        <v>73</v>
      </c>
      <c r="E30" s="92">
        <f t="shared" si="6"/>
        <v>40570</v>
      </c>
      <c r="F30" s="93" t="s">
        <v>576</v>
      </c>
      <c r="G30" s="264"/>
      <c r="H30" s="116" t="s">
        <v>431</v>
      </c>
      <c r="I30" s="94">
        <v>100000</v>
      </c>
      <c r="J30" s="95" t="s">
        <v>54</v>
      </c>
      <c r="K30" s="95" t="s">
        <v>203</v>
      </c>
      <c r="L30" s="134" t="str">
        <f>IF(AND('331-CT'!$E$7=TH!H30,OR(J30="331",K30="331")),"x","")</f>
        <v/>
      </c>
    </row>
    <row r="31" spans="1:12" s="109" customFormat="1">
      <c r="A31" s="72">
        <f t="shared" si="4"/>
        <v>2011</v>
      </c>
      <c r="B31" s="72">
        <f t="shared" si="5"/>
        <v>1</v>
      </c>
      <c r="C31" s="110">
        <f>E31</f>
        <v>40570</v>
      </c>
      <c r="D31" s="92" t="s">
        <v>17</v>
      </c>
      <c r="E31" s="92">
        <v>40570</v>
      </c>
      <c r="F31" s="93" t="s">
        <v>112</v>
      </c>
      <c r="G31" s="264"/>
      <c r="H31" s="120" t="s">
        <v>85</v>
      </c>
      <c r="I31" s="94">
        <v>100000000</v>
      </c>
      <c r="J31" s="95" t="s">
        <v>18</v>
      </c>
      <c r="K31" s="95" t="s">
        <v>54</v>
      </c>
      <c r="L31" s="134" t="str">
        <f>IF(AND('331-CT'!$E$7=TH!H31,OR(J31="331",K31="331")),"x","")</f>
        <v/>
      </c>
    </row>
    <row r="32" spans="1:12" s="109" customFormat="1">
      <c r="A32" s="72">
        <f t="shared" si="4"/>
        <v>2011</v>
      </c>
      <c r="B32" s="72">
        <f t="shared" si="5"/>
        <v>1</v>
      </c>
      <c r="C32" s="110">
        <v>40570</v>
      </c>
      <c r="D32" s="92" t="s">
        <v>17</v>
      </c>
      <c r="E32" s="92">
        <v>40570</v>
      </c>
      <c r="F32" s="93" t="s">
        <v>34</v>
      </c>
      <c r="G32" s="264"/>
      <c r="H32" s="120"/>
      <c r="I32" s="94">
        <v>50000</v>
      </c>
      <c r="J32" s="95" t="s">
        <v>242</v>
      </c>
      <c r="K32" s="95" t="s">
        <v>54</v>
      </c>
      <c r="L32" s="134" t="str">
        <f>IF(AND('331-CT'!$E$7=TH!H32,OR(J32="331",K32="331")),"x","")</f>
        <v/>
      </c>
    </row>
    <row r="33" spans="1:12" s="109" customFormat="1">
      <c r="A33" s="72">
        <f t="shared" si="4"/>
        <v>2011</v>
      </c>
      <c r="B33" s="72">
        <f t="shared" si="5"/>
        <v>1</v>
      </c>
      <c r="C33" s="110">
        <v>40570</v>
      </c>
      <c r="D33" s="92" t="s">
        <v>17</v>
      </c>
      <c r="E33" s="92">
        <v>40570</v>
      </c>
      <c r="F33" s="93" t="s">
        <v>35</v>
      </c>
      <c r="G33" s="264"/>
      <c r="H33" s="120"/>
      <c r="I33" s="94">
        <v>5000</v>
      </c>
      <c r="J33" s="95" t="s">
        <v>242</v>
      </c>
      <c r="K33" s="95" t="s">
        <v>54</v>
      </c>
      <c r="L33" s="134" t="str">
        <f>IF(AND('331-CT'!$E$7=TH!H33,OR(J33="331",K33="331")),"x","")</f>
        <v/>
      </c>
    </row>
    <row r="34" spans="1:12" s="109" customFormat="1">
      <c r="A34" s="72">
        <f t="shared" si="4"/>
        <v>2011</v>
      </c>
      <c r="B34" s="72">
        <f t="shared" si="5"/>
        <v>1</v>
      </c>
      <c r="C34" s="110">
        <v>40570</v>
      </c>
      <c r="D34" s="92" t="s">
        <v>17</v>
      </c>
      <c r="E34" s="92">
        <v>40570</v>
      </c>
      <c r="F34" s="93" t="s">
        <v>23</v>
      </c>
      <c r="G34" s="264"/>
      <c r="H34" s="120"/>
      <c r="I34" s="94">
        <v>30000</v>
      </c>
      <c r="J34" s="95" t="s">
        <v>242</v>
      </c>
      <c r="K34" s="95" t="s">
        <v>54</v>
      </c>
      <c r="L34" s="134" t="str">
        <f>IF(AND('331-CT'!$E$7=TH!H34,OR(J34="331",K34="331")),"x","")</f>
        <v/>
      </c>
    </row>
    <row r="35" spans="1:12" s="109" customFormat="1">
      <c r="A35" s="72">
        <f t="shared" si="4"/>
        <v>2011</v>
      </c>
      <c r="B35" s="72">
        <f t="shared" si="5"/>
        <v>1</v>
      </c>
      <c r="C35" s="110">
        <v>40570</v>
      </c>
      <c r="D35" s="92" t="s">
        <v>17</v>
      </c>
      <c r="E35" s="92">
        <v>40570</v>
      </c>
      <c r="F35" s="93" t="s">
        <v>24</v>
      </c>
      <c r="G35" s="264"/>
      <c r="H35" s="120"/>
      <c r="I35" s="94">
        <v>3000</v>
      </c>
      <c r="J35" s="95" t="s">
        <v>242</v>
      </c>
      <c r="K35" s="95" t="s">
        <v>54</v>
      </c>
      <c r="L35" s="134" t="str">
        <f>IF(AND('331-CT'!$E$7=TH!H35,OR(J35="331",K35="331")),"x","")</f>
        <v/>
      </c>
    </row>
    <row r="36" spans="1:12" s="109" customFormat="1">
      <c r="A36" s="72">
        <f t="shared" si="4"/>
        <v>2011</v>
      </c>
      <c r="B36" s="72">
        <f t="shared" si="5"/>
        <v>1</v>
      </c>
      <c r="C36" s="110">
        <v>40571</v>
      </c>
      <c r="D36" s="92" t="s">
        <v>17</v>
      </c>
      <c r="E36" s="92">
        <v>40571</v>
      </c>
      <c r="F36" s="93" t="s">
        <v>36</v>
      </c>
      <c r="G36" s="264"/>
      <c r="H36" s="120"/>
      <c r="I36" s="94">
        <v>10000</v>
      </c>
      <c r="J36" s="95" t="s">
        <v>242</v>
      </c>
      <c r="K36" s="95" t="s">
        <v>54</v>
      </c>
      <c r="L36" s="134" t="str">
        <f>IF(AND('331-CT'!$E$7=TH!H36,OR(J36="331",K36="331")),"x","")</f>
        <v/>
      </c>
    </row>
    <row r="37" spans="1:12" s="109" customFormat="1">
      <c r="A37" s="72">
        <f t="shared" si="4"/>
        <v>2011</v>
      </c>
      <c r="B37" s="72">
        <f t="shared" si="5"/>
        <v>1</v>
      </c>
      <c r="C37" s="110">
        <v>40571</v>
      </c>
      <c r="D37" s="92" t="s">
        <v>17</v>
      </c>
      <c r="E37" s="92">
        <v>40571</v>
      </c>
      <c r="F37" s="93" t="s">
        <v>37</v>
      </c>
      <c r="G37" s="264"/>
      <c r="H37" s="120"/>
      <c r="I37" s="94">
        <v>1000</v>
      </c>
      <c r="J37" s="95" t="s">
        <v>242</v>
      </c>
      <c r="K37" s="95" t="s">
        <v>54</v>
      </c>
      <c r="L37" s="134" t="str">
        <f>IF(AND('331-CT'!$E$7=TH!H37,OR(J37="331",K37="331")),"x","")</f>
        <v/>
      </c>
    </row>
    <row r="38" spans="1:12" s="109" customFormat="1">
      <c r="A38" s="72">
        <f t="shared" si="4"/>
        <v>2011</v>
      </c>
      <c r="B38" s="72">
        <f t="shared" si="5"/>
        <v>1</v>
      </c>
      <c r="C38" s="92">
        <v>40572</v>
      </c>
      <c r="D38" s="92" t="s">
        <v>92</v>
      </c>
      <c r="E38" s="92">
        <f>C38</f>
        <v>40572</v>
      </c>
      <c r="F38" s="93" t="s">
        <v>577</v>
      </c>
      <c r="G38" s="264"/>
      <c r="H38" s="120" t="s">
        <v>268</v>
      </c>
      <c r="I38" s="94">
        <v>2000000</v>
      </c>
      <c r="J38" s="95" t="s">
        <v>39</v>
      </c>
      <c r="K38" s="95" t="s">
        <v>203</v>
      </c>
      <c r="L38" s="134" t="str">
        <f>IF(AND('331-CT'!$E$7=TH!H38,OR(J38="331",K38="331")),"x","")</f>
        <v/>
      </c>
    </row>
    <row r="39" spans="1:12" s="109" customFormat="1">
      <c r="A39" s="72">
        <f t="shared" si="4"/>
        <v>2011</v>
      </c>
      <c r="B39" s="72">
        <f t="shared" si="5"/>
        <v>1</v>
      </c>
      <c r="C39" s="110">
        <v>40572</v>
      </c>
      <c r="D39" s="92" t="s">
        <v>21</v>
      </c>
      <c r="E39" s="92">
        <v>40572</v>
      </c>
      <c r="F39" s="93" t="s">
        <v>38</v>
      </c>
      <c r="G39" s="264"/>
      <c r="H39" s="120" t="s">
        <v>268</v>
      </c>
      <c r="I39" s="94">
        <v>2000000</v>
      </c>
      <c r="J39" s="95" t="s">
        <v>54</v>
      </c>
      <c r="K39" s="95" t="s">
        <v>39</v>
      </c>
      <c r="L39" s="134" t="str">
        <f>IF(AND('331-CT'!$E$7=TH!H39,OR(J39="331",K39="331")),"x","")</f>
        <v/>
      </c>
    </row>
    <row r="40" spans="1:12" s="109" customFormat="1">
      <c r="A40" s="72">
        <f t="shared" si="4"/>
        <v>2011</v>
      </c>
      <c r="B40" s="72">
        <f t="shared" si="5"/>
        <v>1</v>
      </c>
      <c r="C40" s="92">
        <v>40572</v>
      </c>
      <c r="D40" s="92" t="s">
        <v>78</v>
      </c>
      <c r="E40" s="92">
        <v>40572</v>
      </c>
      <c r="F40" s="93" t="s">
        <v>4</v>
      </c>
      <c r="G40" s="264"/>
      <c r="H40" s="120"/>
      <c r="I40" s="94">
        <v>1500000</v>
      </c>
      <c r="J40" s="95" t="s">
        <v>242</v>
      </c>
      <c r="K40" s="95" t="s">
        <v>219</v>
      </c>
      <c r="L40" s="134" t="str">
        <f>IF(AND('331-CT'!$E$7=TH!H40,OR(J40="331",K40="331")),"x","")</f>
        <v/>
      </c>
    </row>
    <row r="41" spans="1:12" s="109" customFormat="1">
      <c r="A41" s="72">
        <f t="shared" si="4"/>
        <v>2011</v>
      </c>
      <c r="B41" s="72">
        <f t="shared" si="5"/>
        <v>1</v>
      </c>
      <c r="C41" s="110">
        <v>40572</v>
      </c>
      <c r="D41" s="92" t="s">
        <v>17</v>
      </c>
      <c r="E41" s="92">
        <v>40572</v>
      </c>
      <c r="F41" s="93" t="s">
        <v>4</v>
      </c>
      <c r="G41" s="264"/>
      <c r="H41" s="120"/>
      <c r="I41" s="94">
        <v>1500000</v>
      </c>
      <c r="J41" s="95" t="s">
        <v>219</v>
      </c>
      <c r="K41" s="95" t="s">
        <v>54</v>
      </c>
      <c r="L41" s="134" t="str">
        <f>IF(AND('331-CT'!$E$7=TH!H41,OR(J41="331",K41="331")),"x","")</f>
        <v/>
      </c>
    </row>
    <row r="42" spans="1:12" s="109" customFormat="1">
      <c r="A42" s="72">
        <f t="shared" si="4"/>
        <v>2011</v>
      </c>
      <c r="B42" s="72">
        <f t="shared" si="5"/>
        <v>1</v>
      </c>
      <c r="C42" s="110">
        <v>40572</v>
      </c>
      <c r="D42" s="92" t="s">
        <v>17</v>
      </c>
      <c r="E42" s="92">
        <v>40572</v>
      </c>
      <c r="F42" s="93" t="s">
        <v>34</v>
      </c>
      <c r="G42" s="264"/>
      <c r="H42" s="120"/>
      <c r="I42" s="94">
        <v>20000</v>
      </c>
      <c r="J42" s="95" t="s">
        <v>242</v>
      </c>
      <c r="K42" s="95" t="s">
        <v>54</v>
      </c>
      <c r="L42" s="134" t="str">
        <f>IF(AND('331-CT'!$E$7=TH!H42,OR(J42="331",K42="331")),"x","")</f>
        <v/>
      </c>
    </row>
    <row r="43" spans="1:12" s="109" customFormat="1">
      <c r="A43" s="72">
        <f t="shared" si="4"/>
        <v>2011</v>
      </c>
      <c r="B43" s="72">
        <f t="shared" si="5"/>
        <v>1</v>
      </c>
      <c r="C43" s="110">
        <v>40572</v>
      </c>
      <c r="D43" s="92" t="s">
        <v>17</v>
      </c>
      <c r="E43" s="92">
        <v>40572</v>
      </c>
      <c r="F43" s="93" t="s">
        <v>35</v>
      </c>
      <c r="G43" s="264"/>
      <c r="H43" s="120"/>
      <c r="I43" s="94">
        <v>2000</v>
      </c>
      <c r="J43" s="95" t="s">
        <v>242</v>
      </c>
      <c r="K43" s="95" t="s">
        <v>54</v>
      </c>
      <c r="L43" s="134" t="str">
        <f>IF(AND('331-CT'!$E$7=TH!H43,OR(J43="331",K43="331")),"x","")</f>
        <v/>
      </c>
    </row>
    <row r="44" spans="1:12" s="109" customFormat="1">
      <c r="A44" s="72">
        <f t="shared" si="4"/>
        <v>2011</v>
      </c>
      <c r="B44" s="72">
        <f t="shared" si="5"/>
        <v>1</v>
      </c>
      <c r="C44" s="110">
        <v>40572</v>
      </c>
      <c r="D44" s="92" t="s">
        <v>17</v>
      </c>
      <c r="E44" s="92">
        <v>40572</v>
      </c>
      <c r="F44" s="93" t="s">
        <v>36</v>
      </c>
      <c r="G44" s="264"/>
      <c r="H44" s="120"/>
      <c r="I44" s="94">
        <v>10000</v>
      </c>
      <c r="J44" s="95" t="s">
        <v>242</v>
      </c>
      <c r="K44" s="95" t="s">
        <v>54</v>
      </c>
      <c r="L44" s="134" t="str">
        <f>IF(AND('331-CT'!$E$7=TH!H44,OR(J44="331",K44="331")),"x","")</f>
        <v/>
      </c>
    </row>
    <row r="45" spans="1:12" s="109" customFormat="1">
      <c r="A45" s="72">
        <f t="shared" si="4"/>
        <v>2011</v>
      </c>
      <c r="B45" s="72">
        <f t="shared" si="5"/>
        <v>1</v>
      </c>
      <c r="C45" s="110">
        <v>40572</v>
      </c>
      <c r="D45" s="92" t="s">
        <v>17</v>
      </c>
      <c r="E45" s="92">
        <v>40572</v>
      </c>
      <c r="F45" s="93" t="s">
        <v>37</v>
      </c>
      <c r="G45" s="264"/>
      <c r="H45" s="120"/>
      <c r="I45" s="94">
        <v>1000</v>
      </c>
      <c r="J45" s="95" t="s">
        <v>242</v>
      </c>
      <c r="K45" s="95" t="s">
        <v>54</v>
      </c>
      <c r="L45" s="134" t="str">
        <f>IF(AND('331-CT'!$E$7=TH!H45,OR(J45="331",K45="331")),"x","")</f>
        <v/>
      </c>
    </row>
    <row r="46" spans="1:12" s="109" customFormat="1">
      <c r="A46" s="72">
        <f t="shared" si="4"/>
        <v>2011</v>
      </c>
      <c r="B46" s="72">
        <f t="shared" si="5"/>
        <v>2</v>
      </c>
      <c r="C46" s="92">
        <v>40588</v>
      </c>
      <c r="D46" s="92" t="s">
        <v>93</v>
      </c>
      <c r="E46" s="92">
        <f>C46</f>
        <v>40588</v>
      </c>
      <c r="F46" s="93" t="s">
        <v>577</v>
      </c>
      <c r="G46" s="264"/>
      <c r="H46" s="120" t="s">
        <v>267</v>
      </c>
      <c r="I46" s="94">
        <v>50000000</v>
      </c>
      <c r="J46" s="95" t="s">
        <v>39</v>
      </c>
      <c r="K46" s="95" t="s">
        <v>203</v>
      </c>
      <c r="L46" s="134" t="str">
        <f>IF(AND('331-CT'!$E$7=TH!H46,OR(J46="331",K46="331")),"x","")</f>
        <v/>
      </c>
    </row>
    <row r="47" spans="1:12" s="109" customFormat="1">
      <c r="A47" s="72">
        <f t="shared" si="4"/>
        <v>2011</v>
      </c>
      <c r="B47" s="72">
        <f t="shared" si="5"/>
        <v>2</v>
      </c>
      <c r="C47" s="110">
        <v>40588</v>
      </c>
      <c r="D47" s="92" t="s">
        <v>21</v>
      </c>
      <c r="E47" s="92">
        <v>40588</v>
      </c>
      <c r="F47" s="93" t="s">
        <v>45</v>
      </c>
      <c r="G47" s="264"/>
      <c r="H47" s="120" t="s">
        <v>267</v>
      </c>
      <c r="I47" s="94">
        <v>50000000</v>
      </c>
      <c r="J47" s="95" t="s">
        <v>54</v>
      </c>
      <c r="K47" s="95" t="s">
        <v>39</v>
      </c>
      <c r="L47" s="134" t="str">
        <f>IF(AND('331-CT'!$E$7=TH!H47,OR(J47="331",K47="331")),"x","")</f>
        <v/>
      </c>
    </row>
    <row r="48" spans="1:12" s="109" customFormat="1">
      <c r="A48" s="72">
        <f t="shared" si="4"/>
        <v>2011</v>
      </c>
      <c r="B48" s="72">
        <f t="shared" si="5"/>
        <v>2</v>
      </c>
      <c r="C48" s="110">
        <f>E48</f>
        <v>40588</v>
      </c>
      <c r="D48" s="92" t="s">
        <v>17</v>
      </c>
      <c r="E48" s="92">
        <v>40588</v>
      </c>
      <c r="F48" s="93" t="s">
        <v>112</v>
      </c>
      <c r="G48" s="264"/>
      <c r="H48" s="120" t="s">
        <v>85</v>
      </c>
      <c r="I48" s="94">
        <v>50000000</v>
      </c>
      <c r="J48" s="95" t="s">
        <v>18</v>
      </c>
      <c r="K48" s="95" t="s">
        <v>54</v>
      </c>
      <c r="L48" s="134" t="str">
        <f>IF(AND('331-CT'!$E$7=TH!H48,OR(J48="331",K48="331")),"x","")</f>
        <v/>
      </c>
    </row>
    <row r="49" spans="1:12" s="109" customFormat="1">
      <c r="A49" s="72">
        <f t="shared" si="4"/>
        <v>2011</v>
      </c>
      <c r="B49" s="72">
        <f t="shared" si="5"/>
        <v>2</v>
      </c>
      <c r="C49" s="110">
        <v>40588</v>
      </c>
      <c r="D49" s="92" t="s">
        <v>17</v>
      </c>
      <c r="E49" s="92">
        <v>40588</v>
      </c>
      <c r="F49" s="93" t="s">
        <v>34</v>
      </c>
      <c r="G49" s="264"/>
      <c r="H49" s="120"/>
      <c r="I49" s="94">
        <v>25000</v>
      </c>
      <c r="J49" s="95" t="s">
        <v>242</v>
      </c>
      <c r="K49" s="95" t="s">
        <v>54</v>
      </c>
      <c r="L49" s="134" t="str">
        <f>IF(AND('331-CT'!$E$7=TH!H49,OR(J49="331",K49="331")),"x","")</f>
        <v/>
      </c>
    </row>
    <row r="50" spans="1:12" s="109" customFormat="1">
      <c r="A50" s="72">
        <f t="shared" si="4"/>
        <v>2011</v>
      </c>
      <c r="B50" s="72">
        <f t="shared" si="5"/>
        <v>2</v>
      </c>
      <c r="C50" s="110">
        <v>40588</v>
      </c>
      <c r="D50" s="92" t="s">
        <v>17</v>
      </c>
      <c r="E50" s="92">
        <v>40588</v>
      </c>
      <c r="F50" s="93" t="s">
        <v>35</v>
      </c>
      <c r="G50" s="264"/>
      <c r="H50" s="120"/>
      <c r="I50" s="94">
        <v>2500</v>
      </c>
      <c r="J50" s="95" t="s">
        <v>242</v>
      </c>
      <c r="K50" s="95" t="s">
        <v>54</v>
      </c>
      <c r="L50" s="134" t="str">
        <f>IF(AND('331-CT'!$E$7=TH!H50,OR(J50="331",K50="331")),"x","")</f>
        <v/>
      </c>
    </row>
    <row r="51" spans="1:12" s="109" customFormat="1">
      <c r="A51" s="72">
        <f t="shared" si="4"/>
        <v>2011</v>
      </c>
      <c r="B51" s="72">
        <f t="shared" si="5"/>
        <v>2</v>
      </c>
      <c r="C51" s="110">
        <v>40590</v>
      </c>
      <c r="D51" s="92" t="s">
        <v>17</v>
      </c>
      <c r="E51" s="92">
        <v>40590</v>
      </c>
      <c r="F51" s="93" t="s">
        <v>41</v>
      </c>
      <c r="G51" s="264"/>
      <c r="H51" s="120"/>
      <c r="I51" s="94">
        <v>5500</v>
      </c>
      <c r="J51" s="95" t="s">
        <v>242</v>
      </c>
      <c r="K51" s="95" t="s">
        <v>54</v>
      </c>
      <c r="L51" s="134" t="str">
        <f>IF(AND('331-CT'!$E$7=TH!H51,OR(J51="331",K51="331")),"x","")</f>
        <v/>
      </c>
    </row>
    <row r="52" spans="1:12" s="109" customFormat="1">
      <c r="A52" s="72">
        <f t="shared" si="4"/>
        <v>2011</v>
      </c>
      <c r="B52" s="72">
        <f t="shared" si="5"/>
        <v>2</v>
      </c>
      <c r="C52" s="110">
        <v>40591</v>
      </c>
      <c r="D52" s="92" t="s">
        <v>17</v>
      </c>
      <c r="E52" s="92">
        <v>40591</v>
      </c>
      <c r="F52" s="93" t="s">
        <v>41</v>
      </c>
      <c r="G52" s="264"/>
      <c r="H52" s="120"/>
      <c r="I52" s="94">
        <v>5500</v>
      </c>
      <c r="J52" s="95" t="s">
        <v>242</v>
      </c>
      <c r="K52" s="95" t="s">
        <v>54</v>
      </c>
      <c r="L52" s="134" t="str">
        <f>IF(AND('331-CT'!$E$7=TH!H52,OR(J52="331",K52="331")),"x","")</f>
        <v/>
      </c>
    </row>
    <row r="53" spans="1:12" s="109" customFormat="1">
      <c r="A53" s="72">
        <f t="shared" si="4"/>
        <v>2011</v>
      </c>
      <c r="B53" s="72">
        <f t="shared" si="5"/>
        <v>3</v>
      </c>
      <c r="C53" s="92">
        <v>40605</v>
      </c>
      <c r="D53" s="92" t="s">
        <v>72</v>
      </c>
      <c r="E53" s="92">
        <f>C53</f>
        <v>40605</v>
      </c>
      <c r="F53" s="93" t="s">
        <v>577</v>
      </c>
      <c r="G53" s="264"/>
      <c r="H53" s="120" t="s">
        <v>268</v>
      </c>
      <c r="I53" s="94">
        <v>100000000</v>
      </c>
      <c r="J53" s="95" t="s">
        <v>39</v>
      </c>
      <c r="K53" s="95" t="s">
        <v>203</v>
      </c>
      <c r="L53" s="134" t="str">
        <f>IF(AND('331-CT'!$E$7=TH!H53,OR(J53="331",K53="331")),"x","")</f>
        <v/>
      </c>
    </row>
    <row r="54" spans="1:12" s="109" customFormat="1">
      <c r="A54" s="72">
        <f t="shared" si="4"/>
        <v>2011</v>
      </c>
      <c r="B54" s="72">
        <f t="shared" si="5"/>
        <v>3</v>
      </c>
      <c r="C54" s="110">
        <v>40605</v>
      </c>
      <c r="D54" s="92" t="s">
        <v>21</v>
      </c>
      <c r="E54" s="92">
        <v>40605</v>
      </c>
      <c r="F54" s="93" t="s">
        <v>38</v>
      </c>
      <c r="G54" s="264"/>
      <c r="H54" s="120" t="s">
        <v>268</v>
      </c>
      <c r="I54" s="94">
        <v>100000000</v>
      </c>
      <c r="J54" s="95" t="s">
        <v>54</v>
      </c>
      <c r="K54" s="95" t="s">
        <v>39</v>
      </c>
      <c r="L54" s="134" t="str">
        <f>IF(AND('331-CT'!$E$7=TH!H54,OR(J54="331",K54="331")),"x","")</f>
        <v/>
      </c>
    </row>
    <row r="55" spans="1:12" s="109" customFormat="1">
      <c r="A55" s="72">
        <f t="shared" si="4"/>
        <v>2011</v>
      </c>
      <c r="B55" s="72">
        <f t="shared" si="5"/>
        <v>3</v>
      </c>
      <c r="C55" s="110">
        <f>E55</f>
        <v>40605</v>
      </c>
      <c r="D55" s="92" t="s">
        <v>17</v>
      </c>
      <c r="E55" s="92">
        <v>40605</v>
      </c>
      <c r="F55" s="93" t="s">
        <v>112</v>
      </c>
      <c r="G55" s="264"/>
      <c r="H55" s="120" t="s">
        <v>85</v>
      </c>
      <c r="I55" s="94">
        <v>100000000</v>
      </c>
      <c r="J55" s="95" t="s">
        <v>18</v>
      </c>
      <c r="K55" s="95" t="s">
        <v>54</v>
      </c>
      <c r="L55" s="134" t="str">
        <f>IF(AND('331-CT'!$E$7=TH!H55,OR(J55="331",K55="331")),"x","")</f>
        <v/>
      </c>
    </row>
    <row r="56" spans="1:12" s="109" customFormat="1">
      <c r="A56" s="72">
        <f t="shared" si="4"/>
        <v>2011</v>
      </c>
      <c r="B56" s="72">
        <f t="shared" si="5"/>
        <v>3</v>
      </c>
      <c r="C56" s="110">
        <v>40605</v>
      </c>
      <c r="D56" s="92" t="s">
        <v>17</v>
      </c>
      <c r="E56" s="92">
        <v>40605</v>
      </c>
      <c r="F56" s="93" t="s">
        <v>34</v>
      </c>
      <c r="G56" s="264"/>
      <c r="H56" s="120"/>
      <c r="I56" s="94">
        <v>50000</v>
      </c>
      <c r="J56" s="95" t="s">
        <v>242</v>
      </c>
      <c r="K56" s="95" t="s">
        <v>54</v>
      </c>
      <c r="L56" s="134" t="str">
        <f>IF(AND('331-CT'!$E$7=TH!H56,OR(J56="331",K56="331")),"x","")</f>
        <v/>
      </c>
    </row>
    <row r="57" spans="1:12" s="109" customFormat="1">
      <c r="A57" s="72">
        <f t="shared" si="4"/>
        <v>2011</v>
      </c>
      <c r="B57" s="72">
        <f t="shared" si="5"/>
        <v>3</v>
      </c>
      <c r="C57" s="110">
        <v>40605</v>
      </c>
      <c r="D57" s="92" t="s">
        <v>17</v>
      </c>
      <c r="E57" s="92">
        <v>40605</v>
      </c>
      <c r="F57" s="93" t="s">
        <v>35</v>
      </c>
      <c r="G57" s="264"/>
      <c r="H57" s="120"/>
      <c r="I57" s="94">
        <v>5000</v>
      </c>
      <c r="J57" s="95" t="s">
        <v>242</v>
      </c>
      <c r="K57" s="95" t="s">
        <v>54</v>
      </c>
      <c r="L57" s="134" t="str">
        <f>IF(AND('331-CT'!$E$7=TH!H57,OR(J57="331",K57="331")),"x","")</f>
        <v/>
      </c>
    </row>
    <row r="58" spans="1:12" s="109" customFormat="1">
      <c r="A58" s="72">
        <f t="shared" si="4"/>
        <v>2011</v>
      </c>
      <c r="B58" s="72">
        <f t="shared" si="5"/>
        <v>3</v>
      </c>
      <c r="C58" s="110">
        <v>40618</v>
      </c>
      <c r="D58" s="92" t="s">
        <v>17</v>
      </c>
      <c r="E58" s="92">
        <v>40618</v>
      </c>
      <c r="F58" s="111" t="s">
        <v>41</v>
      </c>
      <c r="G58" s="97"/>
      <c r="H58" s="120"/>
      <c r="I58" s="94">
        <v>5500</v>
      </c>
      <c r="J58" s="95" t="s">
        <v>242</v>
      </c>
      <c r="K58" s="95" t="s">
        <v>54</v>
      </c>
      <c r="L58" s="134" t="str">
        <f>IF(AND('331-CT'!$E$7=TH!H58,OR(J58="331",K58="331")),"x","")</f>
        <v/>
      </c>
    </row>
    <row r="59" spans="1:12" s="109" customFormat="1">
      <c r="A59" s="72">
        <f t="shared" si="4"/>
        <v>2011</v>
      </c>
      <c r="B59" s="72">
        <f t="shared" si="5"/>
        <v>3</v>
      </c>
      <c r="C59" s="110">
        <v>40619</v>
      </c>
      <c r="D59" s="92" t="s">
        <v>17</v>
      </c>
      <c r="E59" s="92">
        <v>40619</v>
      </c>
      <c r="F59" s="93" t="s">
        <v>41</v>
      </c>
      <c r="G59" s="264"/>
      <c r="H59" s="120"/>
      <c r="I59" s="94">
        <v>5500</v>
      </c>
      <c r="J59" s="95" t="s">
        <v>242</v>
      </c>
      <c r="K59" s="95" t="s">
        <v>54</v>
      </c>
      <c r="L59" s="134" t="str">
        <f>IF(AND('331-CT'!$E$7=TH!H59,OR(J59="331",K59="331")),"x","")</f>
        <v/>
      </c>
    </row>
    <row r="60" spans="1:12" s="109" customFormat="1">
      <c r="A60" s="72">
        <f t="shared" si="4"/>
        <v>2011</v>
      </c>
      <c r="B60" s="72">
        <f t="shared" si="5"/>
        <v>3</v>
      </c>
      <c r="C60" s="92">
        <v>40623</v>
      </c>
      <c r="D60" s="92" t="s">
        <v>71</v>
      </c>
      <c r="E60" s="92">
        <f>C60</f>
        <v>40623</v>
      </c>
      <c r="F60" s="93" t="s">
        <v>577</v>
      </c>
      <c r="G60" s="264"/>
      <c r="H60" s="120" t="s">
        <v>267</v>
      </c>
      <c r="I60" s="94">
        <v>232500000</v>
      </c>
      <c r="J60" s="95" t="s">
        <v>39</v>
      </c>
      <c r="K60" s="95" t="s">
        <v>203</v>
      </c>
      <c r="L60" s="134" t="str">
        <f>IF(AND('331-CT'!$E$7=TH!H60,OR(J60="331",K60="331")),"x","")</f>
        <v/>
      </c>
    </row>
    <row r="61" spans="1:12" s="109" customFormat="1">
      <c r="A61" s="72">
        <f t="shared" si="4"/>
        <v>2011</v>
      </c>
      <c r="B61" s="72">
        <f t="shared" si="5"/>
        <v>3</v>
      </c>
      <c r="C61" s="110">
        <v>40623</v>
      </c>
      <c r="D61" s="92" t="s">
        <v>21</v>
      </c>
      <c r="E61" s="92">
        <v>40623</v>
      </c>
      <c r="F61" s="93" t="s">
        <v>45</v>
      </c>
      <c r="G61" s="264"/>
      <c r="H61" s="120" t="s">
        <v>267</v>
      </c>
      <c r="I61" s="94">
        <v>232500000</v>
      </c>
      <c r="J61" s="95" t="s">
        <v>54</v>
      </c>
      <c r="K61" s="95" t="s">
        <v>39</v>
      </c>
      <c r="L61" s="134" t="str">
        <f>IF(AND('331-CT'!$E$7=TH!H61,OR(J61="331",K61="331")),"x","")</f>
        <v/>
      </c>
    </row>
    <row r="62" spans="1:12" s="109" customFormat="1">
      <c r="A62" s="72">
        <f t="shared" si="4"/>
        <v>2011</v>
      </c>
      <c r="B62" s="72">
        <f t="shared" si="5"/>
        <v>3</v>
      </c>
      <c r="C62" s="110">
        <f>E62</f>
        <v>40623</v>
      </c>
      <c r="D62" s="92" t="s">
        <v>17</v>
      </c>
      <c r="E62" s="92">
        <v>40623</v>
      </c>
      <c r="F62" s="93" t="s">
        <v>112</v>
      </c>
      <c r="G62" s="264"/>
      <c r="H62" s="120" t="s">
        <v>85</v>
      </c>
      <c r="I62" s="94">
        <v>200000000</v>
      </c>
      <c r="J62" s="95" t="s">
        <v>18</v>
      </c>
      <c r="K62" s="95" t="s">
        <v>54</v>
      </c>
      <c r="L62" s="134" t="str">
        <f>IF(AND('331-CT'!$E$7=TH!H62,OR(J62="331",K62="331")),"x","")</f>
        <v/>
      </c>
    </row>
    <row r="63" spans="1:12" s="109" customFormat="1">
      <c r="A63" s="72">
        <f t="shared" si="4"/>
        <v>2011</v>
      </c>
      <c r="B63" s="72">
        <f t="shared" si="5"/>
        <v>3</v>
      </c>
      <c r="C63" s="110">
        <v>40623</v>
      </c>
      <c r="D63" s="92" t="s">
        <v>17</v>
      </c>
      <c r="E63" s="92">
        <v>40623</v>
      </c>
      <c r="F63" s="93" t="s">
        <v>34</v>
      </c>
      <c r="G63" s="264"/>
      <c r="H63" s="120"/>
      <c r="I63" s="94">
        <v>100000</v>
      </c>
      <c r="J63" s="95" t="s">
        <v>242</v>
      </c>
      <c r="K63" s="95" t="s">
        <v>54</v>
      </c>
      <c r="L63" s="134" t="str">
        <f>IF(AND('331-CT'!$E$7=TH!H63,OR(J63="331",K63="331")),"x","")</f>
        <v/>
      </c>
    </row>
    <row r="64" spans="1:12" s="109" customFormat="1">
      <c r="A64" s="72">
        <f t="shared" si="4"/>
        <v>2011</v>
      </c>
      <c r="B64" s="72">
        <f t="shared" si="5"/>
        <v>3</v>
      </c>
      <c r="C64" s="110">
        <v>40623</v>
      </c>
      <c r="D64" s="92" t="s">
        <v>17</v>
      </c>
      <c r="E64" s="92">
        <v>40623</v>
      </c>
      <c r="F64" s="93" t="s">
        <v>35</v>
      </c>
      <c r="G64" s="264"/>
      <c r="H64" s="120"/>
      <c r="I64" s="94">
        <v>10000</v>
      </c>
      <c r="J64" s="95" t="s">
        <v>242</v>
      </c>
      <c r="K64" s="95" t="s">
        <v>54</v>
      </c>
      <c r="L64" s="134" t="str">
        <f>IF(AND('331-CT'!$E$7=TH!H64,OR(J64="331",K64="331")),"x","")</f>
        <v/>
      </c>
    </row>
    <row r="65" spans="1:12" s="109" customFormat="1">
      <c r="A65" s="72">
        <f t="shared" si="4"/>
        <v>2011</v>
      </c>
      <c r="B65" s="72">
        <f t="shared" si="5"/>
        <v>3</v>
      </c>
      <c r="C65" s="92">
        <f>E65</f>
        <v>40623</v>
      </c>
      <c r="D65" s="92" t="s">
        <v>78</v>
      </c>
      <c r="E65" s="92">
        <v>40623</v>
      </c>
      <c r="F65" s="93" t="s">
        <v>115</v>
      </c>
      <c r="G65" s="269" t="s">
        <v>561</v>
      </c>
      <c r="H65" s="121" t="s">
        <v>83</v>
      </c>
      <c r="I65" s="94">
        <v>32288666</v>
      </c>
      <c r="J65" s="95" t="s">
        <v>242</v>
      </c>
      <c r="K65" s="95" t="s">
        <v>18</v>
      </c>
      <c r="L65" s="134" t="str">
        <f>IF(AND('331-CT'!$E$7=TH!H65,OR(J65="331",K65="331")),"x","")</f>
        <v/>
      </c>
    </row>
    <row r="66" spans="1:12" s="109" customFormat="1">
      <c r="A66" s="72">
        <f t="shared" si="4"/>
        <v>2011</v>
      </c>
      <c r="B66" s="72">
        <f t="shared" si="5"/>
        <v>3</v>
      </c>
      <c r="C66" s="110">
        <f>E66</f>
        <v>40623</v>
      </c>
      <c r="D66" s="92" t="s">
        <v>17</v>
      </c>
      <c r="E66" s="92">
        <v>40623</v>
      </c>
      <c r="F66" s="93" t="s">
        <v>114</v>
      </c>
      <c r="G66" s="264"/>
      <c r="H66" s="120" t="s">
        <v>83</v>
      </c>
      <c r="I66" s="94">
        <v>32288666</v>
      </c>
      <c r="J66" s="95" t="s">
        <v>18</v>
      </c>
      <c r="K66" s="95" t="s">
        <v>54</v>
      </c>
      <c r="L66" s="134" t="str">
        <f>IF(AND('331-CT'!$E$7=TH!H66,OR(J66="331",K66="331")),"x","")</f>
        <v/>
      </c>
    </row>
    <row r="67" spans="1:12" s="109" customFormat="1">
      <c r="A67" s="72">
        <f t="shared" si="4"/>
        <v>2011</v>
      </c>
      <c r="B67" s="72">
        <f t="shared" si="5"/>
        <v>3</v>
      </c>
      <c r="C67" s="110">
        <v>40623</v>
      </c>
      <c r="D67" s="92" t="s">
        <v>17</v>
      </c>
      <c r="E67" s="92">
        <v>40623</v>
      </c>
      <c r="F67" s="93" t="s">
        <v>34</v>
      </c>
      <c r="G67" s="264"/>
      <c r="H67" s="120"/>
      <c r="I67" s="94">
        <v>20000</v>
      </c>
      <c r="J67" s="95" t="s">
        <v>242</v>
      </c>
      <c r="K67" s="95" t="s">
        <v>54</v>
      </c>
      <c r="L67" s="134" t="str">
        <f>IF(AND('331-CT'!$E$7=TH!H67,OR(J67="331",K67="331")),"x","")</f>
        <v/>
      </c>
    </row>
    <row r="68" spans="1:12" s="109" customFormat="1">
      <c r="A68" s="72">
        <f t="shared" si="4"/>
        <v>2011</v>
      </c>
      <c r="B68" s="72">
        <f t="shared" si="5"/>
        <v>3</v>
      </c>
      <c r="C68" s="110">
        <v>40623</v>
      </c>
      <c r="D68" s="92" t="s">
        <v>17</v>
      </c>
      <c r="E68" s="92">
        <v>40623</v>
      </c>
      <c r="F68" s="93" t="s">
        <v>35</v>
      </c>
      <c r="G68" s="264"/>
      <c r="H68" s="120"/>
      <c r="I68" s="94">
        <v>2000</v>
      </c>
      <c r="J68" s="95" t="s">
        <v>242</v>
      </c>
      <c r="K68" s="95" t="s">
        <v>54</v>
      </c>
      <c r="L68" s="134" t="str">
        <f>IF(AND('331-CT'!$E$7=TH!H68,OR(J68="331",K68="331")),"x","")</f>
        <v/>
      </c>
    </row>
    <row r="69" spans="1:12" s="109" customFormat="1">
      <c r="A69" s="72">
        <f t="shared" si="4"/>
        <v>2011</v>
      </c>
      <c r="B69" s="72">
        <f t="shared" si="5"/>
        <v>3</v>
      </c>
      <c r="C69" s="92">
        <v>40630</v>
      </c>
      <c r="D69" s="92" t="s">
        <v>133</v>
      </c>
      <c r="E69" s="92">
        <f>C69</f>
        <v>40630</v>
      </c>
      <c r="F69" s="93" t="s">
        <v>577</v>
      </c>
      <c r="G69" s="264"/>
      <c r="H69" s="120" t="s">
        <v>268</v>
      </c>
      <c r="I69" s="94">
        <v>100000000</v>
      </c>
      <c r="J69" s="95" t="s">
        <v>39</v>
      </c>
      <c r="K69" s="95" t="s">
        <v>203</v>
      </c>
      <c r="L69" s="134" t="str">
        <f>IF(AND('331-CT'!$E$7=TH!H69,OR(J69="331",K69="331")),"x","")</f>
        <v/>
      </c>
    </row>
    <row r="70" spans="1:12" s="109" customFormat="1">
      <c r="A70" s="72">
        <f t="shared" si="4"/>
        <v>2011</v>
      </c>
      <c r="B70" s="72">
        <f t="shared" si="5"/>
        <v>3</v>
      </c>
      <c r="C70" s="110">
        <v>40630</v>
      </c>
      <c r="D70" s="92" t="s">
        <v>21</v>
      </c>
      <c r="E70" s="92">
        <v>40630</v>
      </c>
      <c r="F70" s="93" t="s">
        <v>38</v>
      </c>
      <c r="G70" s="264"/>
      <c r="H70" s="120" t="s">
        <v>268</v>
      </c>
      <c r="I70" s="94">
        <v>100000000</v>
      </c>
      <c r="J70" s="95" t="s">
        <v>54</v>
      </c>
      <c r="K70" s="95" t="s">
        <v>39</v>
      </c>
      <c r="L70" s="134" t="str">
        <f>IF(AND('331-CT'!$E$7=TH!H70,OR(J70="331",K70="331")),"x","")</f>
        <v/>
      </c>
    </row>
    <row r="71" spans="1:12" s="109" customFormat="1">
      <c r="A71" s="72">
        <f t="shared" si="4"/>
        <v>2011</v>
      </c>
      <c r="B71" s="72">
        <f t="shared" si="5"/>
        <v>3</v>
      </c>
      <c r="C71" s="110">
        <f>E71</f>
        <v>40630</v>
      </c>
      <c r="D71" s="92" t="s">
        <v>17</v>
      </c>
      <c r="E71" s="92">
        <v>40630</v>
      </c>
      <c r="F71" s="93" t="s">
        <v>112</v>
      </c>
      <c r="G71" s="264"/>
      <c r="H71" s="120" t="s">
        <v>85</v>
      </c>
      <c r="I71" s="94">
        <v>100000000</v>
      </c>
      <c r="J71" s="95" t="s">
        <v>18</v>
      </c>
      <c r="K71" s="95" t="s">
        <v>54</v>
      </c>
      <c r="L71" s="134" t="str">
        <f>IF(AND('331-CT'!$E$7=TH!H71,OR(J71="331",K71="331")),"x","")</f>
        <v/>
      </c>
    </row>
    <row r="72" spans="1:12" s="109" customFormat="1">
      <c r="A72" s="72">
        <f t="shared" si="4"/>
        <v>2011</v>
      </c>
      <c r="B72" s="72">
        <f t="shared" si="5"/>
        <v>3</v>
      </c>
      <c r="C72" s="110">
        <v>40630</v>
      </c>
      <c r="D72" s="92" t="s">
        <v>17</v>
      </c>
      <c r="E72" s="92">
        <v>40630</v>
      </c>
      <c r="F72" s="93" t="s">
        <v>34</v>
      </c>
      <c r="G72" s="264"/>
      <c r="H72" s="120"/>
      <c r="I72" s="94">
        <v>50000</v>
      </c>
      <c r="J72" s="95" t="s">
        <v>242</v>
      </c>
      <c r="K72" s="95" t="s">
        <v>54</v>
      </c>
      <c r="L72" s="134" t="str">
        <f>IF(AND('331-CT'!$E$7=TH!H72,OR(J72="331",K72="331")),"x","")</f>
        <v/>
      </c>
    </row>
    <row r="73" spans="1:12" s="109" customFormat="1">
      <c r="A73" s="72">
        <f t="shared" si="4"/>
        <v>2011</v>
      </c>
      <c r="B73" s="72">
        <f t="shared" si="5"/>
        <v>3</v>
      </c>
      <c r="C73" s="110">
        <v>40630</v>
      </c>
      <c r="D73" s="92" t="s">
        <v>17</v>
      </c>
      <c r="E73" s="92">
        <v>40630</v>
      </c>
      <c r="F73" s="93" t="s">
        <v>35</v>
      </c>
      <c r="G73" s="264"/>
      <c r="H73" s="120"/>
      <c r="I73" s="94">
        <v>5000</v>
      </c>
      <c r="J73" s="95" t="s">
        <v>242</v>
      </c>
      <c r="K73" s="95" t="s">
        <v>54</v>
      </c>
      <c r="L73" s="134" t="str">
        <f>IF(AND('331-CT'!$E$7=TH!H73,OR(J73="331",K73="331")),"x","")</f>
        <v/>
      </c>
    </row>
    <row r="74" spans="1:12" s="109" customFormat="1">
      <c r="A74" s="72">
        <f t="shared" si="4"/>
        <v>2011</v>
      </c>
      <c r="B74" s="72">
        <f t="shared" si="5"/>
        <v>4</v>
      </c>
      <c r="C74" s="110">
        <v>40649</v>
      </c>
      <c r="D74" s="92" t="s">
        <v>17</v>
      </c>
      <c r="E74" s="92">
        <v>40649</v>
      </c>
      <c r="F74" s="93" t="s">
        <v>41</v>
      </c>
      <c r="G74" s="264"/>
      <c r="H74" s="120"/>
      <c r="I74" s="94">
        <v>5500</v>
      </c>
      <c r="J74" s="95" t="s">
        <v>242</v>
      </c>
      <c r="K74" s="95" t="s">
        <v>54</v>
      </c>
      <c r="L74" s="134" t="str">
        <f>IF(AND('331-CT'!$E$7=TH!H74,OR(J74="331",K74="331")),"x","")</f>
        <v/>
      </c>
    </row>
    <row r="75" spans="1:12" s="109" customFormat="1">
      <c r="A75" s="72">
        <f t="shared" si="4"/>
        <v>2011</v>
      </c>
      <c r="B75" s="72">
        <f t="shared" si="5"/>
        <v>4</v>
      </c>
      <c r="C75" s="110">
        <v>40651</v>
      </c>
      <c r="D75" s="92" t="s">
        <v>17</v>
      </c>
      <c r="E75" s="92">
        <v>40651</v>
      </c>
      <c r="F75" s="93" t="s">
        <v>41</v>
      </c>
      <c r="G75" s="264"/>
      <c r="H75" s="120"/>
      <c r="I75" s="94">
        <v>5500</v>
      </c>
      <c r="J75" s="95" t="s">
        <v>242</v>
      </c>
      <c r="K75" s="95" t="s">
        <v>54</v>
      </c>
      <c r="L75" s="134" t="str">
        <f>IF(AND('331-CT'!$E$7=TH!H75,OR(J75="331",K75="331")),"x","")</f>
        <v/>
      </c>
    </row>
    <row r="76" spans="1:12" s="109" customFormat="1">
      <c r="A76" s="72">
        <f t="shared" ref="A76:A139" si="7">IF(C76&lt;&gt;"",YEAR(C76),"")</f>
        <v>2011</v>
      </c>
      <c r="B76" s="72">
        <f t="shared" ref="B76:B139" si="8">IF(C76&lt;&gt;"",MONTH(C76),"")</f>
        <v>5</v>
      </c>
      <c r="C76" s="110">
        <v>40679</v>
      </c>
      <c r="D76" s="92" t="s">
        <v>17</v>
      </c>
      <c r="E76" s="92">
        <v>40679</v>
      </c>
      <c r="F76" s="93" t="s">
        <v>41</v>
      </c>
      <c r="G76" s="264"/>
      <c r="H76" s="120"/>
      <c r="I76" s="94">
        <v>5500</v>
      </c>
      <c r="J76" s="95" t="s">
        <v>242</v>
      </c>
      <c r="K76" s="95" t="s">
        <v>54</v>
      </c>
      <c r="L76" s="134" t="str">
        <f>IF(AND('331-CT'!$E$7=TH!H76,OR(J76="331",K76="331")),"x","")</f>
        <v/>
      </c>
    </row>
    <row r="77" spans="1:12" s="109" customFormat="1">
      <c r="A77" s="72">
        <f t="shared" si="7"/>
        <v>2011</v>
      </c>
      <c r="B77" s="72">
        <f t="shared" si="8"/>
        <v>5</v>
      </c>
      <c r="C77" s="110">
        <v>40680</v>
      </c>
      <c r="D77" s="92" t="s">
        <v>17</v>
      </c>
      <c r="E77" s="92">
        <v>40680</v>
      </c>
      <c r="F77" s="93" t="s">
        <v>41</v>
      </c>
      <c r="G77" s="264"/>
      <c r="H77" s="120"/>
      <c r="I77" s="94">
        <v>5500</v>
      </c>
      <c r="J77" s="95" t="s">
        <v>242</v>
      </c>
      <c r="K77" s="95" t="s">
        <v>54</v>
      </c>
      <c r="L77" s="134" t="str">
        <f>IF(AND('331-CT'!$E$7=TH!H77,OR(J77="331",K77="331")),"x","")</f>
        <v/>
      </c>
    </row>
    <row r="78" spans="1:12" s="109" customFormat="1">
      <c r="A78" s="72">
        <f t="shared" si="7"/>
        <v>2011</v>
      </c>
      <c r="B78" s="72">
        <f t="shared" si="8"/>
        <v>5</v>
      </c>
      <c r="C78" s="92">
        <v>40686</v>
      </c>
      <c r="D78" s="92" t="s">
        <v>134</v>
      </c>
      <c r="E78" s="92">
        <f>C78</f>
        <v>40686</v>
      </c>
      <c r="F78" s="93" t="s">
        <v>577</v>
      </c>
      <c r="G78" s="264"/>
      <c r="H78" s="120" t="s">
        <v>268</v>
      </c>
      <c r="I78" s="94">
        <v>100000000</v>
      </c>
      <c r="J78" s="95" t="s">
        <v>39</v>
      </c>
      <c r="K78" s="95" t="s">
        <v>203</v>
      </c>
      <c r="L78" s="134" t="str">
        <f>IF(AND('331-CT'!$E$7=TH!H78,OR(J78="331",K78="331")),"x","")</f>
        <v/>
      </c>
    </row>
    <row r="79" spans="1:12" s="109" customFormat="1">
      <c r="A79" s="72">
        <f t="shared" si="7"/>
        <v>2011</v>
      </c>
      <c r="B79" s="72">
        <f t="shared" si="8"/>
        <v>5</v>
      </c>
      <c r="C79" s="110">
        <v>40686</v>
      </c>
      <c r="D79" s="92" t="s">
        <v>21</v>
      </c>
      <c r="E79" s="92">
        <v>40686</v>
      </c>
      <c r="F79" s="93" t="s">
        <v>38</v>
      </c>
      <c r="G79" s="264"/>
      <c r="H79" s="120" t="s">
        <v>268</v>
      </c>
      <c r="I79" s="94">
        <v>100000000</v>
      </c>
      <c r="J79" s="95" t="s">
        <v>54</v>
      </c>
      <c r="K79" s="95" t="s">
        <v>39</v>
      </c>
      <c r="L79" s="134" t="str">
        <f>IF(AND('331-CT'!$E$7=TH!H79,OR(J79="331",K79="331")),"x","")</f>
        <v/>
      </c>
    </row>
    <row r="80" spans="1:12" s="109" customFormat="1">
      <c r="A80" s="72">
        <f t="shared" si="7"/>
        <v>2011</v>
      </c>
      <c r="B80" s="72">
        <f t="shared" si="8"/>
        <v>5</v>
      </c>
      <c r="C80" s="110">
        <f>E80</f>
        <v>40686</v>
      </c>
      <c r="D80" s="92" t="s">
        <v>17</v>
      </c>
      <c r="E80" s="92">
        <v>40686</v>
      </c>
      <c r="F80" s="93" t="s">
        <v>112</v>
      </c>
      <c r="G80" s="264"/>
      <c r="H80" s="120" t="s">
        <v>85</v>
      </c>
      <c r="I80" s="94">
        <v>100000000</v>
      </c>
      <c r="J80" s="95" t="s">
        <v>18</v>
      </c>
      <c r="K80" s="95" t="s">
        <v>54</v>
      </c>
      <c r="L80" s="134" t="str">
        <f>IF(AND('331-CT'!$E$7=TH!H80,OR(J80="331",K80="331")),"x","")</f>
        <v/>
      </c>
    </row>
    <row r="81" spans="1:12" s="109" customFormat="1">
      <c r="A81" s="72">
        <f t="shared" si="7"/>
        <v>2011</v>
      </c>
      <c r="B81" s="72">
        <f t="shared" si="8"/>
        <v>5</v>
      </c>
      <c r="C81" s="110">
        <v>40686</v>
      </c>
      <c r="D81" s="92" t="s">
        <v>17</v>
      </c>
      <c r="E81" s="92">
        <v>40686</v>
      </c>
      <c r="F81" s="93" t="s">
        <v>34</v>
      </c>
      <c r="G81" s="264"/>
      <c r="H81" s="120"/>
      <c r="I81" s="94">
        <v>50000</v>
      </c>
      <c r="J81" s="95" t="s">
        <v>242</v>
      </c>
      <c r="K81" s="95" t="s">
        <v>54</v>
      </c>
      <c r="L81" s="134" t="str">
        <f>IF(AND('331-CT'!$E$7=TH!H81,OR(J81="331",K81="331")),"x","")</f>
        <v/>
      </c>
    </row>
    <row r="82" spans="1:12" s="109" customFormat="1">
      <c r="A82" s="72">
        <f t="shared" si="7"/>
        <v>2011</v>
      </c>
      <c r="B82" s="72">
        <f t="shared" si="8"/>
        <v>5</v>
      </c>
      <c r="C82" s="110">
        <v>40686</v>
      </c>
      <c r="D82" s="92" t="s">
        <v>17</v>
      </c>
      <c r="E82" s="92">
        <v>40686</v>
      </c>
      <c r="F82" s="93" t="s">
        <v>35</v>
      </c>
      <c r="G82" s="264"/>
      <c r="H82" s="120"/>
      <c r="I82" s="94">
        <v>5000</v>
      </c>
      <c r="J82" s="95" t="s">
        <v>242</v>
      </c>
      <c r="K82" s="95" t="s">
        <v>54</v>
      </c>
      <c r="L82" s="134" t="str">
        <f>IF(AND('331-CT'!$E$7=TH!H82,OR(J82="331",K82="331")),"x","")</f>
        <v/>
      </c>
    </row>
    <row r="83" spans="1:12" s="109" customFormat="1">
      <c r="A83" s="72">
        <f t="shared" si="7"/>
        <v>2011</v>
      </c>
      <c r="B83" s="72">
        <f t="shared" si="8"/>
        <v>5</v>
      </c>
      <c r="C83" s="92">
        <v>40690</v>
      </c>
      <c r="D83" s="92" t="s">
        <v>135</v>
      </c>
      <c r="E83" s="92">
        <f>C83</f>
        <v>40690</v>
      </c>
      <c r="F83" s="93" t="s">
        <v>576</v>
      </c>
      <c r="G83" s="264"/>
      <c r="H83" s="116" t="s">
        <v>431</v>
      </c>
      <c r="I83" s="94">
        <v>50000000</v>
      </c>
      <c r="J83" s="95" t="s">
        <v>54</v>
      </c>
      <c r="K83" s="95" t="s">
        <v>203</v>
      </c>
      <c r="L83" s="134" t="str">
        <f>IF(AND('331-CT'!$E$7=TH!H83,OR(J83="331",K83="331")),"x","")</f>
        <v/>
      </c>
    </row>
    <row r="84" spans="1:12" s="109" customFormat="1">
      <c r="A84" s="72">
        <f t="shared" si="7"/>
        <v>2011</v>
      </c>
      <c r="B84" s="72">
        <f t="shared" si="8"/>
        <v>5</v>
      </c>
      <c r="C84" s="110">
        <f>E84</f>
        <v>40690</v>
      </c>
      <c r="D84" s="92" t="s">
        <v>17</v>
      </c>
      <c r="E84" s="92">
        <v>40690</v>
      </c>
      <c r="F84" s="93" t="s">
        <v>112</v>
      </c>
      <c r="G84" s="264"/>
      <c r="H84" s="120" t="s">
        <v>85</v>
      </c>
      <c r="I84" s="94">
        <v>50000000</v>
      </c>
      <c r="J84" s="95" t="s">
        <v>18</v>
      </c>
      <c r="K84" s="95" t="s">
        <v>54</v>
      </c>
      <c r="L84" s="134" t="str">
        <f>IF(AND('331-CT'!$E$7=TH!H84,OR(J84="331",K84="331")),"x","")</f>
        <v/>
      </c>
    </row>
    <row r="85" spans="1:12" s="109" customFormat="1">
      <c r="A85" s="72">
        <f t="shared" si="7"/>
        <v>2011</v>
      </c>
      <c r="B85" s="72">
        <f t="shared" si="8"/>
        <v>5</v>
      </c>
      <c r="C85" s="110">
        <v>40690</v>
      </c>
      <c r="D85" s="92" t="s">
        <v>17</v>
      </c>
      <c r="E85" s="92">
        <v>40690</v>
      </c>
      <c r="F85" s="93" t="s">
        <v>34</v>
      </c>
      <c r="G85" s="264"/>
      <c r="H85" s="120"/>
      <c r="I85" s="94">
        <v>25000</v>
      </c>
      <c r="J85" s="95" t="s">
        <v>242</v>
      </c>
      <c r="K85" s="95" t="s">
        <v>54</v>
      </c>
      <c r="L85" s="134" t="str">
        <f>IF(AND('331-CT'!$E$7=TH!H85,OR(J85="331",K85="331")),"x","")</f>
        <v/>
      </c>
    </row>
    <row r="86" spans="1:12" s="109" customFormat="1">
      <c r="A86" s="72">
        <f t="shared" si="7"/>
        <v>2011</v>
      </c>
      <c r="B86" s="72">
        <f t="shared" si="8"/>
        <v>5</v>
      </c>
      <c r="C86" s="110">
        <v>40690</v>
      </c>
      <c r="D86" s="92" t="s">
        <v>17</v>
      </c>
      <c r="E86" s="92">
        <v>40690</v>
      </c>
      <c r="F86" s="93" t="s">
        <v>35</v>
      </c>
      <c r="G86" s="264"/>
      <c r="H86" s="120"/>
      <c r="I86" s="94">
        <v>14907</v>
      </c>
      <c r="J86" s="95" t="s">
        <v>242</v>
      </c>
      <c r="K86" s="95" t="s">
        <v>54</v>
      </c>
      <c r="L86" s="134" t="str">
        <f>IF(AND('331-CT'!$E$7=TH!H86,OR(J86="331",K86="331")),"x","")</f>
        <v/>
      </c>
    </row>
    <row r="87" spans="1:12" s="109" customFormat="1">
      <c r="A87" s="72">
        <f t="shared" si="7"/>
        <v>2011</v>
      </c>
      <c r="B87" s="72">
        <f t="shared" si="8"/>
        <v>5</v>
      </c>
      <c r="C87" s="110">
        <v>40690</v>
      </c>
      <c r="D87" s="92" t="s">
        <v>17</v>
      </c>
      <c r="E87" s="92">
        <v>40690</v>
      </c>
      <c r="F87" s="93" t="s">
        <v>23</v>
      </c>
      <c r="G87" s="264"/>
      <c r="H87" s="120"/>
      <c r="I87" s="94">
        <v>2500</v>
      </c>
      <c r="J87" s="95" t="s">
        <v>242</v>
      </c>
      <c r="K87" s="95" t="s">
        <v>54</v>
      </c>
      <c r="L87" s="134" t="str">
        <f>IF(AND('331-CT'!$E$7=TH!H87,OR(J87="331",K87="331")),"x","")</f>
        <v/>
      </c>
    </row>
    <row r="88" spans="1:12" s="109" customFormat="1">
      <c r="A88" s="72">
        <f t="shared" si="7"/>
        <v>2011</v>
      </c>
      <c r="B88" s="72">
        <f t="shared" si="8"/>
        <v>5</v>
      </c>
      <c r="C88" s="110">
        <v>40690</v>
      </c>
      <c r="D88" s="92" t="s">
        <v>17</v>
      </c>
      <c r="E88" s="92">
        <v>40690</v>
      </c>
      <c r="F88" s="93" t="s">
        <v>24</v>
      </c>
      <c r="G88" s="264"/>
      <c r="H88" s="120"/>
      <c r="I88" s="94">
        <v>1491</v>
      </c>
      <c r="J88" s="95" t="s">
        <v>242</v>
      </c>
      <c r="K88" s="95" t="s">
        <v>54</v>
      </c>
      <c r="L88" s="134" t="str">
        <f>IF(AND('331-CT'!$E$7=TH!H88,OR(J88="331",K88="331")),"x","")</f>
        <v/>
      </c>
    </row>
    <row r="89" spans="1:12" s="109" customFormat="1">
      <c r="A89" s="72">
        <f t="shared" si="7"/>
        <v>2011</v>
      </c>
      <c r="B89" s="72">
        <f t="shared" si="8"/>
        <v>6</v>
      </c>
      <c r="C89" s="96">
        <v>40710</v>
      </c>
      <c r="D89" s="97" t="s">
        <v>17</v>
      </c>
      <c r="E89" s="96">
        <v>40710</v>
      </c>
      <c r="F89" s="111" t="s">
        <v>41</v>
      </c>
      <c r="G89" s="97"/>
      <c r="H89" s="120"/>
      <c r="I89" s="112">
        <v>5500</v>
      </c>
      <c r="J89" s="95" t="s">
        <v>242</v>
      </c>
      <c r="K89" s="95" t="s">
        <v>54</v>
      </c>
      <c r="L89" s="134" t="str">
        <f>IF(AND('331-CT'!$E$7=TH!H89,OR(J89="331",K89="331")),"x","")</f>
        <v/>
      </c>
    </row>
    <row r="90" spans="1:12" s="109" customFormat="1">
      <c r="A90" s="72">
        <f t="shared" si="7"/>
        <v>2011</v>
      </c>
      <c r="B90" s="72">
        <f t="shared" si="8"/>
        <v>6</v>
      </c>
      <c r="C90" s="110">
        <v>40711</v>
      </c>
      <c r="D90" s="92" t="s">
        <v>17</v>
      </c>
      <c r="E90" s="92">
        <v>40711</v>
      </c>
      <c r="F90" s="93" t="s">
        <v>41</v>
      </c>
      <c r="G90" s="264"/>
      <c r="H90" s="120"/>
      <c r="I90" s="94">
        <v>5500</v>
      </c>
      <c r="J90" s="95" t="s">
        <v>242</v>
      </c>
      <c r="K90" s="95" t="s">
        <v>54</v>
      </c>
      <c r="L90" s="134" t="str">
        <f>IF(AND('331-CT'!$E$7=TH!H90,OR(J90="331",K90="331")),"x","")</f>
        <v/>
      </c>
    </row>
    <row r="91" spans="1:12" s="109" customFormat="1">
      <c r="A91" s="72">
        <f t="shared" si="7"/>
        <v>2011</v>
      </c>
      <c r="B91" s="72">
        <f t="shared" si="8"/>
        <v>6</v>
      </c>
      <c r="C91" s="92">
        <v>40724</v>
      </c>
      <c r="D91" s="92" t="s">
        <v>154</v>
      </c>
      <c r="E91" s="92">
        <f>C91</f>
        <v>40724</v>
      </c>
      <c r="F91" s="93" t="s">
        <v>576</v>
      </c>
      <c r="G91" s="264"/>
      <c r="H91" s="120" t="s">
        <v>513</v>
      </c>
      <c r="I91" s="94">
        <v>100000000</v>
      </c>
      <c r="J91" s="95" t="s">
        <v>54</v>
      </c>
      <c r="K91" s="95" t="s">
        <v>203</v>
      </c>
      <c r="L91" s="134" t="str">
        <f>IF(AND('331-CT'!$E$7=TH!H91,OR(J91="331",K91="331")),"x","")</f>
        <v/>
      </c>
    </row>
    <row r="92" spans="1:12" s="109" customFormat="1">
      <c r="A92" s="72">
        <f t="shared" si="7"/>
        <v>2011</v>
      </c>
      <c r="B92" s="72">
        <f t="shared" si="8"/>
        <v>6</v>
      </c>
      <c r="C92" s="110">
        <f>E92</f>
        <v>40724</v>
      </c>
      <c r="D92" s="97" t="s">
        <v>17</v>
      </c>
      <c r="E92" s="96">
        <v>40724</v>
      </c>
      <c r="F92" s="111" t="s">
        <v>112</v>
      </c>
      <c r="G92" s="97"/>
      <c r="H92" s="120" t="s">
        <v>85</v>
      </c>
      <c r="I92" s="112">
        <v>100000000</v>
      </c>
      <c r="J92" s="95" t="s">
        <v>18</v>
      </c>
      <c r="K92" s="95" t="s">
        <v>54</v>
      </c>
      <c r="L92" s="134" t="str">
        <f>IF(AND('331-CT'!$E$7=TH!H92,OR(J92="331",K92="331")),"x","")</f>
        <v/>
      </c>
    </row>
    <row r="93" spans="1:12" s="109" customFormat="1">
      <c r="A93" s="72">
        <f t="shared" si="7"/>
        <v>2011</v>
      </c>
      <c r="B93" s="72">
        <f t="shared" si="8"/>
        <v>6</v>
      </c>
      <c r="C93" s="96">
        <v>40724</v>
      </c>
      <c r="D93" s="97" t="s">
        <v>17</v>
      </c>
      <c r="E93" s="96">
        <v>40724</v>
      </c>
      <c r="F93" s="111" t="s">
        <v>34</v>
      </c>
      <c r="G93" s="97"/>
      <c r="H93" s="120"/>
      <c r="I93" s="112">
        <v>50000</v>
      </c>
      <c r="J93" s="95" t="s">
        <v>242</v>
      </c>
      <c r="K93" s="95" t="s">
        <v>54</v>
      </c>
      <c r="L93" s="134" t="str">
        <f>IF(AND('331-CT'!$E$7=TH!H93,OR(J93="331",K93="331")),"x","")</f>
        <v/>
      </c>
    </row>
    <row r="94" spans="1:12" s="109" customFormat="1">
      <c r="A94" s="72">
        <f t="shared" si="7"/>
        <v>2011</v>
      </c>
      <c r="B94" s="72">
        <f t="shared" si="8"/>
        <v>6</v>
      </c>
      <c r="C94" s="96">
        <v>40724</v>
      </c>
      <c r="D94" s="97" t="s">
        <v>17</v>
      </c>
      <c r="E94" s="96">
        <v>40724</v>
      </c>
      <c r="F94" s="111" t="s">
        <v>35</v>
      </c>
      <c r="G94" s="97"/>
      <c r="H94" s="120"/>
      <c r="I94" s="112">
        <v>5000</v>
      </c>
      <c r="J94" s="95" t="s">
        <v>242</v>
      </c>
      <c r="K94" s="95" t="s">
        <v>54</v>
      </c>
      <c r="L94" s="134" t="str">
        <f>IF(AND('331-CT'!$E$7=TH!H94,OR(J94="331",K94="331")),"x","")</f>
        <v/>
      </c>
    </row>
    <row r="95" spans="1:12" s="109" customFormat="1">
      <c r="A95" s="72">
        <f t="shared" si="7"/>
        <v>2011</v>
      </c>
      <c r="B95" s="72">
        <f t="shared" si="8"/>
        <v>6</v>
      </c>
      <c r="C95" s="96">
        <v>40724</v>
      </c>
      <c r="D95" s="97" t="s">
        <v>17</v>
      </c>
      <c r="E95" s="96">
        <v>40724</v>
      </c>
      <c r="F95" s="111" t="s">
        <v>23</v>
      </c>
      <c r="G95" s="97"/>
      <c r="H95" s="120"/>
      <c r="I95" s="112">
        <v>29923</v>
      </c>
      <c r="J95" s="95" t="s">
        <v>242</v>
      </c>
      <c r="K95" s="95" t="s">
        <v>54</v>
      </c>
      <c r="L95" s="134" t="str">
        <f>IF(AND('331-CT'!$E$7=TH!H95,OR(J95="331",K95="331")),"x","")</f>
        <v/>
      </c>
    </row>
    <row r="96" spans="1:12" s="109" customFormat="1">
      <c r="A96" s="72">
        <f t="shared" si="7"/>
        <v>2011</v>
      </c>
      <c r="B96" s="72">
        <f t="shared" si="8"/>
        <v>6</v>
      </c>
      <c r="C96" s="110">
        <v>40724</v>
      </c>
      <c r="D96" s="92" t="s">
        <v>17</v>
      </c>
      <c r="E96" s="96">
        <v>40724</v>
      </c>
      <c r="F96" s="93" t="s">
        <v>24</v>
      </c>
      <c r="G96" s="264"/>
      <c r="H96" s="120"/>
      <c r="I96" s="94">
        <v>2992</v>
      </c>
      <c r="J96" s="95" t="s">
        <v>242</v>
      </c>
      <c r="K96" s="95" t="s">
        <v>54</v>
      </c>
      <c r="L96" s="134" t="str">
        <f>IF(AND('331-CT'!$E$7=TH!H96,OR(J96="331",K96="331")),"x","")</f>
        <v/>
      </c>
    </row>
    <row r="97" spans="1:12" s="109" customFormat="1">
      <c r="A97" s="72">
        <f t="shared" si="7"/>
        <v>2011</v>
      </c>
      <c r="B97" s="72">
        <f t="shared" si="8"/>
        <v>7</v>
      </c>
      <c r="C97" s="110">
        <v>40740</v>
      </c>
      <c r="D97" s="98" t="s">
        <v>17</v>
      </c>
      <c r="E97" s="99">
        <v>40740</v>
      </c>
      <c r="F97" s="100" t="s">
        <v>41</v>
      </c>
      <c r="G97" s="275"/>
      <c r="H97" s="120"/>
      <c r="I97" s="94">
        <v>5500</v>
      </c>
      <c r="J97" s="95" t="s">
        <v>242</v>
      </c>
      <c r="K97" s="95" t="s">
        <v>54</v>
      </c>
      <c r="L97" s="134" t="str">
        <f>IF(AND('331-CT'!$E$7=TH!H97,OR(J97="331",K97="331")),"x","")</f>
        <v/>
      </c>
    </row>
    <row r="98" spans="1:12" s="109" customFormat="1">
      <c r="A98" s="72">
        <f t="shared" si="7"/>
        <v>2011</v>
      </c>
      <c r="B98" s="72">
        <f t="shared" si="8"/>
        <v>7</v>
      </c>
      <c r="C98" s="110">
        <v>40742</v>
      </c>
      <c r="D98" s="92" t="s">
        <v>17</v>
      </c>
      <c r="E98" s="96">
        <v>40742</v>
      </c>
      <c r="F98" s="93" t="s">
        <v>41</v>
      </c>
      <c r="G98" s="264"/>
      <c r="H98" s="120"/>
      <c r="I98" s="94">
        <v>5500</v>
      </c>
      <c r="J98" s="95" t="s">
        <v>242</v>
      </c>
      <c r="K98" s="95" t="s">
        <v>54</v>
      </c>
      <c r="L98" s="134" t="str">
        <f>IF(AND('331-CT'!$E$7=TH!H98,OR(J98="331",K98="331")),"x","")</f>
        <v/>
      </c>
    </row>
    <row r="99" spans="1:12" s="109" customFormat="1">
      <c r="A99" s="72">
        <f t="shared" si="7"/>
        <v>2011</v>
      </c>
      <c r="B99" s="72">
        <f t="shared" si="8"/>
        <v>8</v>
      </c>
      <c r="C99" s="110">
        <v>40771</v>
      </c>
      <c r="D99" s="92" t="s">
        <v>17</v>
      </c>
      <c r="E99" s="96">
        <v>40771</v>
      </c>
      <c r="F99" s="93" t="s">
        <v>41</v>
      </c>
      <c r="G99" s="264"/>
      <c r="H99" s="120"/>
      <c r="I99" s="94">
        <v>5500</v>
      </c>
      <c r="J99" s="95" t="s">
        <v>242</v>
      </c>
      <c r="K99" s="95" t="s">
        <v>54</v>
      </c>
      <c r="L99" s="134" t="str">
        <f>IF(AND('331-CT'!$E$7=TH!H99,OR(J99="331",K99="331")),"x","")</f>
        <v/>
      </c>
    </row>
    <row r="100" spans="1:12" s="109" customFormat="1">
      <c r="A100" s="72">
        <f t="shared" si="7"/>
        <v>2011</v>
      </c>
      <c r="B100" s="72">
        <f t="shared" si="8"/>
        <v>8</v>
      </c>
      <c r="C100" s="92">
        <v>40772</v>
      </c>
      <c r="D100" s="92" t="s">
        <v>17</v>
      </c>
      <c r="E100" s="96">
        <v>40772</v>
      </c>
      <c r="F100" s="93" t="s">
        <v>41</v>
      </c>
      <c r="G100" s="264"/>
      <c r="H100" s="120"/>
      <c r="I100" s="94">
        <v>5500</v>
      </c>
      <c r="J100" s="95" t="s">
        <v>242</v>
      </c>
      <c r="K100" s="95" t="s">
        <v>54</v>
      </c>
      <c r="L100" s="134" t="str">
        <f>IF(AND('331-CT'!$E$7=TH!H100,OR(J100="331",K100="331")),"x","")</f>
        <v/>
      </c>
    </row>
    <row r="101" spans="1:12" s="109" customFormat="1">
      <c r="A101" s="72">
        <f t="shared" si="7"/>
        <v>2011</v>
      </c>
      <c r="B101" s="72">
        <f t="shared" si="8"/>
        <v>9</v>
      </c>
      <c r="C101" s="110">
        <v>40802</v>
      </c>
      <c r="D101" s="98" t="s">
        <v>17</v>
      </c>
      <c r="E101" s="92">
        <v>40802</v>
      </c>
      <c r="F101" s="100" t="s">
        <v>49</v>
      </c>
      <c r="G101" s="275"/>
      <c r="H101" s="120"/>
      <c r="I101" s="101">
        <v>24000</v>
      </c>
      <c r="J101" s="95" t="s">
        <v>242</v>
      </c>
      <c r="K101" s="95" t="s">
        <v>54</v>
      </c>
      <c r="L101" s="134" t="str">
        <f>IF(AND('331-CT'!$E$7=TH!H101,OR(J101="331",K101="331")),"x","")</f>
        <v/>
      </c>
    </row>
    <row r="102" spans="1:12" s="109" customFormat="1">
      <c r="A102" s="72">
        <f t="shared" si="7"/>
        <v>2011</v>
      </c>
      <c r="B102" s="72">
        <f t="shared" si="8"/>
        <v>9</v>
      </c>
      <c r="C102" s="110">
        <v>40802</v>
      </c>
      <c r="D102" s="92" t="s">
        <v>17</v>
      </c>
      <c r="E102" s="92">
        <v>40802</v>
      </c>
      <c r="F102" s="93" t="s">
        <v>44</v>
      </c>
      <c r="G102" s="264"/>
      <c r="H102" s="120"/>
      <c r="I102" s="94">
        <v>2400</v>
      </c>
      <c r="J102" s="95" t="s">
        <v>242</v>
      </c>
      <c r="K102" s="95" t="s">
        <v>54</v>
      </c>
      <c r="L102" s="134" t="str">
        <f>IF(AND('331-CT'!$E$7=TH!H102,OR(J102="331",K102="331")),"x","")</f>
        <v/>
      </c>
    </row>
    <row r="103" spans="1:12" s="109" customFormat="1">
      <c r="A103" s="72">
        <f t="shared" si="7"/>
        <v>2011</v>
      </c>
      <c r="B103" s="72">
        <f t="shared" si="8"/>
        <v>9</v>
      </c>
      <c r="C103" s="110">
        <v>40802</v>
      </c>
      <c r="D103" s="98" t="s">
        <v>17</v>
      </c>
      <c r="E103" s="92">
        <v>40802</v>
      </c>
      <c r="F103" s="100" t="s">
        <v>48</v>
      </c>
      <c r="G103" s="275"/>
      <c r="H103" s="120"/>
      <c r="I103" s="101">
        <v>24000</v>
      </c>
      <c r="J103" s="95" t="s">
        <v>242</v>
      </c>
      <c r="K103" s="95" t="s">
        <v>54</v>
      </c>
      <c r="L103" s="134" t="str">
        <f>IF(AND('331-CT'!$E$7=TH!H103,OR(J103="331",K103="331")),"x","")</f>
        <v/>
      </c>
    </row>
    <row r="104" spans="1:12" s="109" customFormat="1">
      <c r="A104" s="72">
        <f t="shared" si="7"/>
        <v>2011</v>
      </c>
      <c r="B104" s="72">
        <f t="shared" si="8"/>
        <v>9</v>
      </c>
      <c r="C104" s="110">
        <v>40802</v>
      </c>
      <c r="D104" s="92" t="s">
        <v>17</v>
      </c>
      <c r="E104" s="92">
        <v>40802</v>
      </c>
      <c r="F104" s="93" t="s">
        <v>44</v>
      </c>
      <c r="G104" s="264"/>
      <c r="H104" s="120"/>
      <c r="I104" s="94">
        <v>2400</v>
      </c>
      <c r="J104" s="95" t="s">
        <v>242</v>
      </c>
      <c r="K104" s="95" t="s">
        <v>54</v>
      </c>
      <c r="L104" s="134" t="str">
        <f>IF(AND('331-CT'!$E$7=TH!H104,OR(J104="331",K104="331")),"x","")</f>
        <v/>
      </c>
    </row>
    <row r="105" spans="1:12" s="109" customFormat="1">
      <c r="A105" s="72">
        <f t="shared" si="7"/>
        <v>2011</v>
      </c>
      <c r="B105" s="72">
        <f t="shared" si="8"/>
        <v>9</v>
      </c>
      <c r="C105" s="92">
        <v>40802</v>
      </c>
      <c r="D105" s="92" t="s">
        <v>17</v>
      </c>
      <c r="E105" s="96">
        <v>40802</v>
      </c>
      <c r="F105" s="93" t="s">
        <v>47</v>
      </c>
      <c r="G105" s="264"/>
      <c r="H105" s="120"/>
      <c r="I105" s="94">
        <v>24000</v>
      </c>
      <c r="J105" s="95" t="s">
        <v>242</v>
      </c>
      <c r="K105" s="95" t="s">
        <v>54</v>
      </c>
      <c r="L105" s="134" t="str">
        <f>IF(AND('331-CT'!$E$7=TH!H105,OR(J105="331",K105="331")),"x","")</f>
        <v/>
      </c>
    </row>
    <row r="106" spans="1:12" s="109" customFormat="1">
      <c r="A106" s="72">
        <f t="shared" si="7"/>
        <v>2011</v>
      </c>
      <c r="B106" s="72">
        <f t="shared" si="8"/>
        <v>9</v>
      </c>
      <c r="C106" s="110">
        <v>40802</v>
      </c>
      <c r="D106" s="92" t="s">
        <v>17</v>
      </c>
      <c r="E106" s="92">
        <v>40802</v>
      </c>
      <c r="F106" s="93" t="s">
        <v>44</v>
      </c>
      <c r="G106" s="264"/>
      <c r="H106" s="120"/>
      <c r="I106" s="94">
        <v>2400</v>
      </c>
      <c r="J106" s="95" t="s">
        <v>242</v>
      </c>
      <c r="K106" s="95" t="s">
        <v>54</v>
      </c>
      <c r="L106" s="134" t="str">
        <f>IF(AND('331-CT'!$E$7=TH!H106,OR(J106="331",K106="331")),"x","")</f>
        <v/>
      </c>
    </row>
    <row r="107" spans="1:12" s="109" customFormat="1">
      <c r="A107" s="72">
        <f t="shared" si="7"/>
        <v>2011</v>
      </c>
      <c r="B107" s="72">
        <f t="shared" si="8"/>
        <v>9</v>
      </c>
      <c r="C107" s="110">
        <v>40803</v>
      </c>
      <c r="D107" s="92" t="s">
        <v>17</v>
      </c>
      <c r="E107" s="92">
        <v>40803</v>
      </c>
      <c r="F107" s="93" t="s">
        <v>43</v>
      </c>
      <c r="G107" s="264"/>
      <c r="H107" s="120"/>
      <c r="I107" s="94">
        <v>24000</v>
      </c>
      <c r="J107" s="95" t="s">
        <v>242</v>
      </c>
      <c r="K107" s="95" t="s">
        <v>54</v>
      </c>
      <c r="L107" s="134" t="str">
        <f>IF(AND('331-CT'!$E$7=TH!H107,OR(J107="331",K107="331")),"x","")</f>
        <v/>
      </c>
    </row>
    <row r="108" spans="1:12" s="109" customFormat="1">
      <c r="A108" s="72">
        <f t="shared" si="7"/>
        <v>2011</v>
      </c>
      <c r="B108" s="72">
        <f t="shared" si="8"/>
        <v>9</v>
      </c>
      <c r="C108" s="110">
        <v>40803</v>
      </c>
      <c r="D108" s="92" t="s">
        <v>17</v>
      </c>
      <c r="E108" s="92">
        <v>40803</v>
      </c>
      <c r="F108" s="113" t="s">
        <v>44</v>
      </c>
      <c r="G108" s="276"/>
      <c r="H108" s="120"/>
      <c r="I108" s="114">
        <v>2400</v>
      </c>
      <c r="J108" s="95" t="s">
        <v>242</v>
      </c>
      <c r="K108" s="95" t="s">
        <v>54</v>
      </c>
      <c r="L108" s="134" t="str">
        <f>IF(AND('331-CT'!$E$7=TH!H108,OR(J108="331",K108="331")),"x","")</f>
        <v/>
      </c>
    </row>
    <row r="109" spans="1:12" s="109" customFormat="1">
      <c r="A109" s="72">
        <f t="shared" si="7"/>
        <v>2011</v>
      </c>
      <c r="B109" s="72">
        <f t="shared" si="8"/>
        <v>9</v>
      </c>
      <c r="C109" s="110">
        <v>40803</v>
      </c>
      <c r="D109" s="92" t="s">
        <v>17</v>
      </c>
      <c r="E109" s="92">
        <v>40803</v>
      </c>
      <c r="F109" s="113" t="s">
        <v>23</v>
      </c>
      <c r="G109" s="276"/>
      <c r="H109" s="120"/>
      <c r="I109" s="114">
        <v>12746</v>
      </c>
      <c r="J109" s="95" t="s">
        <v>242</v>
      </c>
      <c r="K109" s="95" t="s">
        <v>54</v>
      </c>
      <c r="L109" s="134" t="str">
        <f>IF(AND('331-CT'!$E$7=TH!H109,OR(J109="331",K109="331")),"x","")</f>
        <v/>
      </c>
    </row>
    <row r="110" spans="1:12" s="109" customFormat="1">
      <c r="A110" s="72">
        <f t="shared" si="7"/>
        <v>2011</v>
      </c>
      <c r="B110" s="72">
        <f t="shared" si="8"/>
        <v>9</v>
      </c>
      <c r="C110" s="110">
        <v>40803</v>
      </c>
      <c r="D110" s="92" t="s">
        <v>17</v>
      </c>
      <c r="E110" s="92">
        <v>40803</v>
      </c>
      <c r="F110" s="113" t="s">
        <v>24</v>
      </c>
      <c r="G110" s="276"/>
      <c r="H110" s="120"/>
      <c r="I110" s="114">
        <v>1275</v>
      </c>
      <c r="J110" s="95" t="s">
        <v>242</v>
      </c>
      <c r="K110" s="95" t="s">
        <v>54</v>
      </c>
      <c r="L110" s="134" t="str">
        <f>IF(AND('331-CT'!$E$7=TH!H110,OR(J110="331",K110="331")),"x","")</f>
        <v/>
      </c>
    </row>
    <row r="111" spans="1:12" s="109" customFormat="1">
      <c r="A111" s="72">
        <f t="shared" si="7"/>
        <v>2011</v>
      </c>
      <c r="B111" s="72">
        <f t="shared" si="8"/>
        <v>9</v>
      </c>
      <c r="C111" s="110">
        <v>40803</v>
      </c>
      <c r="D111" s="92" t="s">
        <v>17</v>
      </c>
      <c r="E111" s="92">
        <v>40803</v>
      </c>
      <c r="F111" s="93" t="s">
        <v>41</v>
      </c>
      <c r="G111" s="264"/>
      <c r="H111" s="120"/>
      <c r="I111" s="94">
        <v>14021</v>
      </c>
      <c r="J111" s="95" t="s">
        <v>242</v>
      </c>
      <c r="K111" s="95" t="s">
        <v>54</v>
      </c>
      <c r="L111" s="134" t="str">
        <f>IF(AND('331-CT'!$E$7=TH!H111,OR(J111="331",K111="331")),"x","")</f>
        <v/>
      </c>
    </row>
    <row r="112" spans="1:12" s="109" customFormat="1">
      <c r="A112" s="72">
        <f t="shared" si="7"/>
        <v>2011</v>
      </c>
      <c r="B112" s="72">
        <f t="shared" si="8"/>
        <v>9</v>
      </c>
      <c r="C112" s="92">
        <v>40803</v>
      </c>
      <c r="D112" s="92" t="s">
        <v>17</v>
      </c>
      <c r="E112" s="92">
        <v>40803</v>
      </c>
      <c r="F112" s="93" t="s">
        <v>41</v>
      </c>
      <c r="G112" s="264"/>
      <c r="H112" s="120"/>
      <c r="I112" s="94">
        <v>12379</v>
      </c>
      <c r="J112" s="95" t="s">
        <v>242</v>
      </c>
      <c r="K112" s="95" t="s">
        <v>54</v>
      </c>
      <c r="L112" s="134" t="str">
        <f>IF(AND('331-CT'!$E$7=TH!H112,OR(J112="331",K112="331")),"x","")</f>
        <v/>
      </c>
    </row>
    <row r="113" spans="1:12" s="109" customFormat="1">
      <c r="A113" s="72">
        <f t="shared" si="7"/>
        <v>2011</v>
      </c>
      <c r="B113" s="72">
        <f t="shared" si="8"/>
        <v>11</v>
      </c>
      <c r="C113" s="92">
        <v>40872</v>
      </c>
      <c r="D113" s="92" t="s">
        <v>157</v>
      </c>
      <c r="E113" s="92">
        <f>C113</f>
        <v>40872</v>
      </c>
      <c r="F113" s="93" t="s">
        <v>577</v>
      </c>
      <c r="G113" s="264"/>
      <c r="H113" s="120" t="s">
        <v>267</v>
      </c>
      <c r="I113" s="94">
        <v>30000000</v>
      </c>
      <c r="J113" s="95" t="s">
        <v>39</v>
      </c>
      <c r="K113" s="95" t="s">
        <v>203</v>
      </c>
      <c r="L113" s="134" t="str">
        <f>IF(AND('331-CT'!$E$7=TH!H113,OR(J113="331",K113="331")),"x","")</f>
        <v/>
      </c>
    </row>
    <row r="114" spans="1:12" s="109" customFormat="1">
      <c r="A114" s="72">
        <f t="shared" si="7"/>
        <v>2011</v>
      </c>
      <c r="B114" s="72">
        <f t="shared" si="8"/>
        <v>11</v>
      </c>
      <c r="C114" s="110">
        <v>40872</v>
      </c>
      <c r="D114" s="92" t="s">
        <v>21</v>
      </c>
      <c r="E114" s="92">
        <v>40872</v>
      </c>
      <c r="F114" s="93" t="s">
        <v>45</v>
      </c>
      <c r="G114" s="264"/>
      <c r="H114" s="120" t="s">
        <v>267</v>
      </c>
      <c r="I114" s="94">
        <v>30000000</v>
      </c>
      <c r="J114" s="95" t="s">
        <v>54</v>
      </c>
      <c r="K114" s="95" t="s">
        <v>39</v>
      </c>
      <c r="L114" s="134" t="str">
        <f>IF(AND('331-CT'!$E$7=TH!H114,OR(J114="331",K114="331")),"x","")</f>
        <v/>
      </c>
    </row>
    <row r="115" spans="1:12" s="109" customFormat="1">
      <c r="A115" s="72">
        <f t="shared" si="7"/>
        <v>2011</v>
      </c>
      <c r="B115" s="72">
        <f t="shared" si="8"/>
        <v>11</v>
      </c>
      <c r="C115" s="110">
        <f>E115</f>
        <v>40872</v>
      </c>
      <c r="D115" s="92" t="s">
        <v>17</v>
      </c>
      <c r="E115" s="92">
        <v>40872</v>
      </c>
      <c r="F115" s="93" t="s">
        <v>114</v>
      </c>
      <c r="G115" s="264"/>
      <c r="H115" s="120" t="s">
        <v>83</v>
      </c>
      <c r="I115" s="94">
        <v>29920000</v>
      </c>
      <c r="J115" s="95" t="s">
        <v>18</v>
      </c>
      <c r="K115" s="95" t="s">
        <v>54</v>
      </c>
      <c r="L115" s="134" t="str">
        <f>IF(AND('331-CT'!$E$7=TH!H115,OR(J115="331",K115="331")),"x","")</f>
        <v/>
      </c>
    </row>
    <row r="116" spans="1:12" s="109" customFormat="1">
      <c r="A116" s="72">
        <f t="shared" si="7"/>
        <v>2011</v>
      </c>
      <c r="B116" s="72">
        <f t="shared" si="8"/>
        <v>11</v>
      </c>
      <c r="C116" s="92">
        <v>40872</v>
      </c>
      <c r="D116" s="92" t="s">
        <v>17</v>
      </c>
      <c r="E116" s="92">
        <v>40872</v>
      </c>
      <c r="F116" s="93" t="s">
        <v>34</v>
      </c>
      <c r="G116" s="264"/>
      <c r="H116" s="120"/>
      <c r="I116" s="94">
        <v>20000</v>
      </c>
      <c r="J116" s="95" t="s">
        <v>242</v>
      </c>
      <c r="K116" s="95" t="s">
        <v>54</v>
      </c>
      <c r="L116" s="134" t="str">
        <f>IF(AND('331-CT'!$E$7=TH!H116,OR(J116="331",K116="331")),"x","")</f>
        <v/>
      </c>
    </row>
    <row r="117" spans="1:12" s="109" customFormat="1">
      <c r="A117" s="72">
        <f t="shared" si="7"/>
        <v>2011</v>
      </c>
      <c r="B117" s="72">
        <f t="shared" si="8"/>
        <v>11</v>
      </c>
      <c r="C117" s="92">
        <v>40872</v>
      </c>
      <c r="D117" s="92" t="s">
        <v>17</v>
      </c>
      <c r="E117" s="92">
        <v>40872</v>
      </c>
      <c r="F117" s="93" t="s">
        <v>35</v>
      </c>
      <c r="G117" s="264"/>
      <c r="H117" s="120"/>
      <c r="I117" s="94">
        <v>2000</v>
      </c>
      <c r="J117" s="95" t="s">
        <v>242</v>
      </c>
      <c r="K117" s="95" t="s">
        <v>54</v>
      </c>
      <c r="L117" s="134" t="str">
        <f>IF(AND('331-CT'!$E$7=TH!H117,OR(J117="331",K117="331")),"x","")</f>
        <v/>
      </c>
    </row>
    <row r="118" spans="1:12" s="109" customFormat="1">
      <c r="A118" s="72">
        <f t="shared" si="7"/>
        <v>2011</v>
      </c>
      <c r="B118" s="72">
        <f t="shared" si="8"/>
        <v>11</v>
      </c>
      <c r="C118" s="92">
        <f>E118</f>
        <v>40875</v>
      </c>
      <c r="D118" s="92" t="s">
        <v>78</v>
      </c>
      <c r="E118" s="92">
        <v>40875</v>
      </c>
      <c r="F118" s="93" t="s">
        <v>116</v>
      </c>
      <c r="G118" s="269" t="s">
        <v>560</v>
      </c>
      <c r="H118" s="120" t="s">
        <v>83</v>
      </c>
      <c r="I118" s="94">
        <v>29920000</v>
      </c>
      <c r="J118" s="95" t="s">
        <v>242</v>
      </c>
      <c r="K118" s="95" t="s">
        <v>18</v>
      </c>
      <c r="L118" s="134" t="str">
        <f>IF(AND('331-CT'!$E$7=TH!H118,OR(J118="331",K118="331")),"x","")</f>
        <v/>
      </c>
    </row>
    <row r="119" spans="1:12" s="109" customFormat="1">
      <c r="A119" s="72">
        <f t="shared" si="7"/>
        <v>2011</v>
      </c>
      <c r="B119" s="72">
        <f t="shared" si="8"/>
        <v>12</v>
      </c>
      <c r="C119" s="92">
        <v>40893</v>
      </c>
      <c r="D119" s="92" t="s">
        <v>17</v>
      </c>
      <c r="E119" s="92">
        <v>40893</v>
      </c>
      <c r="F119" s="93" t="s">
        <v>43</v>
      </c>
      <c r="G119" s="264"/>
      <c r="H119" s="120"/>
      <c r="I119" s="94">
        <v>24000</v>
      </c>
      <c r="J119" s="95" t="s">
        <v>242</v>
      </c>
      <c r="K119" s="95" t="s">
        <v>54</v>
      </c>
      <c r="L119" s="134" t="str">
        <f>IF(AND('331-CT'!$E$7=TH!H119,OR(J119="331",K119="331")),"x","")</f>
        <v/>
      </c>
    </row>
    <row r="120" spans="1:12" s="109" customFormat="1">
      <c r="A120" s="72">
        <f t="shared" si="7"/>
        <v>2011</v>
      </c>
      <c r="B120" s="72">
        <f t="shared" si="8"/>
        <v>12</v>
      </c>
      <c r="C120" s="92">
        <v>40893</v>
      </c>
      <c r="D120" s="92" t="s">
        <v>17</v>
      </c>
      <c r="E120" s="92">
        <v>40893</v>
      </c>
      <c r="F120" s="93" t="s">
        <v>44</v>
      </c>
      <c r="G120" s="264"/>
      <c r="H120" s="120"/>
      <c r="I120" s="94">
        <v>2400</v>
      </c>
      <c r="J120" s="95" t="s">
        <v>242</v>
      </c>
      <c r="K120" s="95" t="s">
        <v>54</v>
      </c>
      <c r="L120" s="134" t="str">
        <f>IF(AND('331-CT'!$E$7=TH!H120,OR(J120="331",K120="331")),"x","")</f>
        <v/>
      </c>
    </row>
    <row r="121" spans="1:12" s="109" customFormat="1">
      <c r="A121" s="72">
        <f t="shared" si="7"/>
        <v>2011</v>
      </c>
      <c r="B121" s="72">
        <f t="shared" si="8"/>
        <v>12</v>
      </c>
      <c r="C121" s="92">
        <v>40893</v>
      </c>
      <c r="D121" s="92" t="s">
        <v>17</v>
      </c>
      <c r="E121" s="92">
        <v>40893</v>
      </c>
      <c r="F121" s="93" t="s">
        <v>43</v>
      </c>
      <c r="G121" s="264"/>
      <c r="H121" s="120"/>
      <c r="I121" s="94">
        <v>24000</v>
      </c>
      <c r="J121" s="95" t="s">
        <v>242</v>
      </c>
      <c r="K121" s="95" t="s">
        <v>54</v>
      </c>
      <c r="L121" s="134" t="str">
        <f>IF(AND('331-CT'!$E$7=TH!H121,OR(J121="331",K121="331")),"x","")</f>
        <v/>
      </c>
    </row>
    <row r="122" spans="1:12" s="109" customFormat="1">
      <c r="A122" s="72">
        <f t="shared" si="7"/>
        <v>2011</v>
      </c>
      <c r="B122" s="72">
        <f t="shared" si="8"/>
        <v>12</v>
      </c>
      <c r="C122" s="92">
        <v>40893</v>
      </c>
      <c r="D122" s="92" t="s">
        <v>17</v>
      </c>
      <c r="E122" s="92">
        <v>40893</v>
      </c>
      <c r="F122" s="93" t="s">
        <v>44</v>
      </c>
      <c r="G122" s="264"/>
      <c r="H122" s="120"/>
      <c r="I122" s="94">
        <v>2400</v>
      </c>
      <c r="J122" s="95" t="s">
        <v>242</v>
      </c>
      <c r="K122" s="95" t="s">
        <v>54</v>
      </c>
      <c r="L122" s="134" t="str">
        <f>IF(AND('331-CT'!$E$7=TH!H122,OR(J122="331",K122="331")),"x","")</f>
        <v/>
      </c>
    </row>
    <row r="123" spans="1:12" s="109" customFormat="1">
      <c r="A123" s="72">
        <f t="shared" si="7"/>
        <v>2011</v>
      </c>
      <c r="B123" s="72">
        <f t="shared" si="8"/>
        <v>12</v>
      </c>
      <c r="C123" s="92">
        <v>40893</v>
      </c>
      <c r="D123" s="92" t="s">
        <v>17</v>
      </c>
      <c r="E123" s="92">
        <v>40893</v>
      </c>
      <c r="F123" s="93" t="s">
        <v>23</v>
      </c>
      <c r="G123" s="264"/>
      <c r="H123" s="120"/>
      <c r="I123" s="94">
        <v>4727</v>
      </c>
      <c r="J123" s="95" t="s">
        <v>242</v>
      </c>
      <c r="K123" s="95" t="s">
        <v>54</v>
      </c>
      <c r="L123" s="134" t="str">
        <f>IF(AND('331-CT'!$E$7=TH!H123,OR(J123="331",K123="331")),"x","")</f>
        <v/>
      </c>
    </row>
    <row r="124" spans="1:12" s="109" customFormat="1">
      <c r="A124" s="72">
        <f t="shared" si="7"/>
        <v>2011</v>
      </c>
      <c r="B124" s="72">
        <f t="shared" si="8"/>
        <v>12</v>
      </c>
      <c r="C124" s="92">
        <v>40893</v>
      </c>
      <c r="D124" s="92" t="s">
        <v>17</v>
      </c>
      <c r="E124" s="92">
        <v>40893</v>
      </c>
      <c r="F124" s="93" t="s">
        <v>24</v>
      </c>
      <c r="G124" s="264"/>
      <c r="H124" s="120"/>
      <c r="I124" s="94">
        <v>473</v>
      </c>
      <c r="J124" s="95" t="s">
        <v>242</v>
      </c>
      <c r="K124" s="95" t="s">
        <v>54</v>
      </c>
      <c r="L124" s="134" t="str">
        <f>IF(AND('331-CT'!$E$7=TH!H124,OR(J124="331",K124="331")),"x","")</f>
        <v/>
      </c>
    </row>
    <row r="125" spans="1:12" s="109" customFormat="1">
      <c r="A125" s="72">
        <f t="shared" si="7"/>
        <v>2011</v>
      </c>
      <c r="B125" s="72">
        <f t="shared" si="8"/>
        <v>12</v>
      </c>
      <c r="C125" s="92">
        <v>40896</v>
      </c>
      <c r="D125" s="92" t="s">
        <v>158</v>
      </c>
      <c r="E125" s="92">
        <f>C125</f>
        <v>40896</v>
      </c>
      <c r="F125" s="93" t="s">
        <v>63</v>
      </c>
      <c r="G125" s="269" t="s">
        <v>519</v>
      </c>
      <c r="H125" s="122" t="s">
        <v>520</v>
      </c>
      <c r="I125" s="94">
        <v>150000</v>
      </c>
      <c r="J125" s="95" t="s">
        <v>242</v>
      </c>
      <c r="K125" s="95" t="s">
        <v>203</v>
      </c>
      <c r="L125" s="134" t="str">
        <f>IF(AND('331-CT'!$E$7=TH!H125,OR(J125="331",K125="331")),"x","")</f>
        <v/>
      </c>
    </row>
    <row r="126" spans="1:12" s="109" customFormat="1">
      <c r="A126" s="72">
        <f t="shared" si="7"/>
        <v>2012</v>
      </c>
      <c r="B126" s="72">
        <f t="shared" si="8"/>
        <v>1</v>
      </c>
      <c r="C126" s="73">
        <v>40913</v>
      </c>
      <c r="D126" s="73" t="s">
        <v>73</v>
      </c>
      <c r="E126" s="73">
        <f>C126</f>
        <v>40913</v>
      </c>
      <c r="F126" s="93" t="s">
        <v>577</v>
      </c>
      <c r="G126" s="265"/>
      <c r="H126" s="120" t="s">
        <v>267</v>
      </c>
      <c r="I126" s="74">
        <v>20000000</v>
      </c>
      <c r="J126" s="75" t="s">
        <v>39</v>
      </c>
      <c r="K126" s="75" t="s">
        <v>203</v>
      </c>
      <c r="L126" s="134" t="str">
        <f>IF(AND('331-CT'!$E$7=TH!H126,OR(J126="331",K126="331")),"x","")</f>
        <v/>
      </c>
    </row>
    <row r="127" spans="1:12" s="109" customFormat="1">
      <c r="A127" s="72">
        <f t="shared" si="7"/>
        <v>2012</v>
      </c>
      <c r="B127" s="72">
        <f t="shared" si="8"/>
        <v>1</v>
      </c>
      <c r="C127" s="73">
        <v>40913</v>
      </c>
      <c r="D127" s="73" t="s">
        <v>92</v>
      </c>
      <c r="E127" s="73">
        <f>C127</f>
        <v>40913</v>
      </c>
      <c r="F127" s="93" t="s">
        <v>577</v>
      </c>
      <c r="G127" s="265"/>
      <c r="H127" s="120" t="s">
        <v>267</v>
      </c>
      <c r="I127" s="74">
        <v>500000</v>
      </c>
      <c r="J127" s="75" t="s">
        <v>39</v>
      </c>
      <c r="K127" s="75" t="s">
        <v>203</v>
      </c>
      <c r="L127" s="134" t="str">
        <f>IF(AND('331-CT'!$E$7=TH!H127,OR(J127="331",K127="331")),"x","")</f>
        <v/>
      </c>
    </row>
    <row r="128" spans="1:12" s="109" customFormat="1">
      <c r="A128" s="72">
        <f t="shared" si="7"/>
        <v>2012</v>
      </c>
      <c r="B128" s="72">
        <f t="shared" si="8"/>
        <v>1</v>
      </c>
      <c r="C128" s="107">
        <v>40913</v>
      </c>
      <c r="D128" s="73" t="s">
        <v>21</v>
      </c>
      <c r="E128" s="73">
        <v>40913</v>
      </c>
      <c r="F128" s="76" t="s">
        <v>45</v>
      </c>
      <c r="G128" s="265"/>
      <c r="H128" s="120" t="s">
        <v>267</v>
      </c>
      <c r="I128" s="74">
        <v>20000000</v>
      </c>
      <c r="J128" s="75" t="s">
        <v>54</v>
      </c>
      <c r="K128" s="75" t="s">
        <v>39</v>
      </c>
      <c r="L128" s="134" t="str">
        <f>IF(AND('331-CT'!$E$7=TH!H128,OR(J128="331",K128="331")),"x","")</f>
        <v/>
      </c>
    </row>
    <row r="129" spans="1:12" s="109" customFormat="1">
      <c r="A129" s="72">
        <f t="shared" si="7"/>
        <v>2012</v>
      </c>
      <c r="B129" s="72">
        <f t="shared" si="8"/>
        <v>1</v>
      </c>
      <c r="C129" s="107">
        <v>40913</v>
      </c>
      <c r="D129" s="73" t="s">
        <v>21</v>
      </c>
      <c r="E129" s="73">
        <v>40913</v>
      </c>
      <c r="F129" s="76" t="s">
        <v>45</v>
      </c>
      <c r="G129" s="265"/>
      <c r="H129" s="120" t="s">
        <v>267</v>
      </c>
      <c r="I129" s="74">
        <v>500000</v>
      </c>
      <c r="J129" s="75" t="s">
        <v>54</v>
      </c>
      <c r="K129" s="75" t="s">
        <v>39</v>
      </c>
      <c r="L129" s="134" t="str">
        <f>IF(AND('331-CT'!$E$7=TH!H129,OR(J129="331",K129="331")),"x","")</f>
        <v/>
      </c>
    </row>
    <row r="130" spans="1:12" s="109" customFormat="1">
      <c r="A130" s="72">
        <f t="shared" si="7"/>
        <v>2012</v>
      </c>
      <c r="B130" s="72">
        <f t="shared" si="8"/>
        <v>1</v>
      </c>
      <c r="C130" s="73">
        <v>40913</v>
      </c>
      <c r="D130" s="73" t="s">
        <v>17</v>
      </c>
      <c r="E130" s="73">
        <v>40913</v>
      </c>
      <c r="F130" s="76" t="s">
        <v>1</v>
      </c>
      <c r="G130" s="265"/>
      <c r="H130" s="122"/>
      <c r="I130" s="74">
        <v>20000000</v>
      </c>
      <c r="J130" s="75" t="s">
        <v>242</v>
      </c>
      <c r="K130" s="75" t="s">
        <v>54</v>
      </c>
      <c r="L130" s="134" t="str">
        <f>IF(AND('331-CT'!$E$7=TH!H130,OR(J130="331",K130="331")),"x","")</f>
        <v/>
      </c>
    </row>
    <row r="131" spans="1:12" s="109" customFormat="1">
      <c r="A131" s="72">
        <f t="shared" si="7"/>
        <v>2012</v>
      </c>
      <c r="B131" s="72">
        <f t="shared" si="8"/>
        <v>1</v>
      </c>
      <c r="C131" s="73">
        <v>40913</v>
      </c>
      <c r="D131" s="73" t="s">
        <v>17</v>
      </c>
      <c r="E131" s="73">
        <v>40913</v>
      </c>
      <c r="F131" s="76" t="s">
        <v>34</v>
      </c>
      <c r="G131" s="265"/>
      <c r="H131" s="122"/>
      <c r="I131" s="74">
        <v>20000</v>
      </c>
      <c r="J131" s="75" t="s">
        <v>242</v>
      </c>
      <c r="K131" s="75" t="s">
        <v>54</v>
      </c>
      <c r="L131" s="134" t="str">
        <f>IF(AND('331-CT'!$E$7=TH!H131,OR(J131="331",K131="331")),"x","")</f>
        <v/>
      </c>
    </row>
    <row r="132" spans="1:12" s="109" customFormat="1">
      <c r="A132" s="72">
        <f t="shared" si="7"/>
        <v>2012</v>
      </c>
      <c r="B132" s="72">
        <f t="shared" si="8"/>
        <v>1</v>
      </c>
      <c r="C132" s="107">
        <v>40913</v>
      </c>
      <c r="D132" s="73" t="s">
        <v>17</v>
      </c>
      <c r="E132" s="73">
        <v>40913</v>
      </c>
      <c r="F132" s="76" t="s">
        <v>35</v>
      </c>
      <c r="G132" s="265"/>
      <c r="H132" s="122"/>
      <c r="I132" s="74">
        <v>2000</v>
      </c>
      <c r="J132" s="95" t="s">
        <v>242</v>
      </c>
      <c r="K132" s="75" t="s">
        <v>54</v>
      </c>
      <c r="L132" s="134" t="str">
        <f>IF(AND('331-CT'!$E$7=TH!H132,OR(J132="331",K132="331")),"x","")</f>
        <v/>
      </c>
    </row>
    <row r="133" spans="1:12" s="109" customFormat="1">
      <c r="A133" s="72">
        <f t="shared" si="7"/>
        <v>2012</v>
      </c>
      <c r="B133" s="72">
        <f t="shared" si="8"/>
        <v>1</v>
      </c>
      <c r="C133" s="73">
        <v>40925</v>
      </c>
      <c r="D133" s="73" t="s">
        <v>93</v>
      </c>
      <c r="E133" s="73">
        <f>C133</f>
        <v>40925</v>
      </c>
      <c r="F133" s="93" t="s">
        <v>576</v>
      </c>
      <c r="G133" s="265"/>
      <c r="H133" s="117" t="s">
        <v>431</v>
      </c>
      <c r="I133" s="74">
        <v>1500000</v>
      </c>
      <c r="J133" s="75" t="s">
        <v>54</v>
      </c>
      <c r="K133" s="75" t="s">
        <v>203</v>
      </c>
      <c r="L133" s="134" t="str">
        <f>IF(AND('331-CT'!$E$7=TH!H133,OR(J133="331",K133="331")),"x","")</f>
        <v/>
      </c>
    </row>
    <row r="134" spans="1:12" s="109" customFormat="1">
      <c r="A134" s="72">
        <f t="shared" si="7"/>
        <v>2012</v>
      </c>
      <c r="B134" s="72">
        <f t="shared" si="8"/>
        <v>1</v>
      </c>
      <c r="C134" s="73">
        <v>40925</v>
      </c>
      <c r="D134" s="73" t="s">
        <v>78</v>
      </c>
      <c r="E134" s="73">
        <v>40925</v>
      </c>
      <c r="F134" s="76" t="s">
        <v>2</v>
      </c>
      <c r="G134" s="265"/>
      <c r="H134" s="122"/>
      <c r="I134" s="74">
        <v>1500000</v>
      </c>
      <c r="J134" s="75" t="s">
        <v>242</v>
      </c>
      <c r="K134" s="75" t="s">
        <v>219</v>
      </c>
      <c r="L134" s="134" t="str">
        <f>IF(AND('331-CT'!$E$7=TH!H134,OR(J134="331",K134="331")),"x","")</f>
        <v/>
      </c>
    </row>
    <row r="135" spans="1:12" s="109" customFormat="1">
      <c r="A135" s="72">
        <f t="shared" si="7"/>
        <v>2012</v>
      </c>
      <c r="B135" s="72">
        <f t="shared" si="8"/>
        <v>1</v>
      </c>
      <c r="C135" s="107">
        <v>40925</v>
      </c>
      <c r="D135" s="73" t="s">
        <v>17</v>
      </c>
      <c r="E135" s="73">
        <v>40925</v>
      </c>
      <c r="F135" s="76" t="s">
        <v>2</v>
      </c>
      <c r="G135" s="265"/>
      <c r="H135" s="122"/>
      <c r="I135" s="74">
        <v>1500000</v>
      </c>
      <c r="J135" s="75" t="s">
        <v>219</v>
      </c>
      <c r="K135" s="75" t="s">
        <v>54</v>
      </c>
      <c r="L135" s="134" t="str">
        <f>IF(AND('331-CT'!$E$7=TH!H135,OR(J135="331",K135="331")),"x","")</f>
        <v/>
      </c>
    </row>
    <row r="136" spans="1:12" s="109" customFormat="1">
      <c r="A136" s="72">
        <f t="shared" si="7"/>
        <v>2012</v>
      </c>
      <c r="B136" s="72">
        <f t="shared" si="8"/>
        <v>1</v>
      </c>
      <c r="C136" s="107">
        <v>40925</v>
      </c>
      <c r="D136" s="73" t="s">
        <v>17</v>
      </c>
      <c r="E136" s="73">
        <v>40925</v>
      </c>
      <c r="F136" s="76" t="s">
        <v>34</v>
      </c>
      <c r="G136" s="265"/>
      <c r="H136" s="122"/>
      <c r="I136" s="74">
        <v>20000</v>
      </c>
      <c r="J136" s="75" t="s">
        <v>242</v>
      </c>
      <c r="K136" s="75" t="s">
        <v>54</v>
      </c>
      <c r="L136" s="134" t="str">
        <f>IF(AND('331-CT'!$E$7=TH!H136,OR(J136="331",K136="331")),"x","")</f>
        <v/>
      </c>
    </row>
    <row r="137" spans="1:12" s="109" customFormat="1">
      <c r="A137" s="72">
        <f t="shared" si="7"/>
        <v>2012</v>
      </c>
      <c r="B137" s="72">
        <f t="shared" si="8"/>
        <v>1</v>
      </c>
      <c r="C137" s="107">
        <v>40925</v>
      </c>
      <c r="D137" s="73" t="s">
        <v>17</v>
      </c>
      <c r="E137" s="73">
        <v>40925</v>
      </c>
      <c r="F137" s="76" t="s">
        <v>35</v>
      </c>
      <c r="G137" s="265"/>
      <c r="H137" s="122"/>
      <c r="I137" s="74">
        <v>2000</v>
      </c>
      <c r="J137" s="95" t="s">
        <v>242</v>
      </c>
      <c r="K137" s="75" t="s">
        <v>54</v>
      </c>
      <c r="L137" s="134" t="str">
        <f>IF(AND('331-CT'!$E$7=TH!H137,OR(J137="331",K137="331")),"x","")</f>
        <v/>
      </c>
    </row>
    <row r="138" spans="1:12" s="109" customFormat="1">
      <c r="A138" s="72">
        <f t="shared" si="7"/>
        <v>2012</v>
      </c>
      <c r="B138" s="72">
        <f t="shared" si="8"/>
        <v>3</v>
      </c>
      <c r="C138" s="107">
        <v>40984</v>
      </c>
      <c r="D138" s="73" t="s">
        <v>17</v>
      </c>
      <c r="E138" s="73">
        <v>40984</v>
      </c>
      <c r="F138" s="76" t="s">
        <v>49</v>
      </c>
      <c r="G138" s="265"/>
      <c r="H138" s="122"/>
      <c r="I138" s="74">
        <v>24000</v>
      </c>
      <c r="J138" s="75" t="s">
        <v>242</v>
      </c>
      <c r="K138" s="75" t="s">
        <v>54</v>
      </c>
      <c r="L138" s="134" t="str">
        <f>IF(AND('331-CT'!$E$7=TH!H138,OR(J138="331",K138="331")),"x","")</f>
        <v/>
      </c>
    </row>
    <row r="139" spans="1:12" s="109" customFormat="1">
      <c r="A139" s="72">
        <f t="shared" si="7"/>
        <v>2012</v>
      </c>
      <c r="B139" s="72">
        <f t="shared" si="8"/>
        <v>3</v>
      </c>
      <c r="C139" s="107">
        <v>40984</v>
      </c>
      <c r="D139" s="73" t="s">
        <v>17</v>
      </c>
      <c r="E139" s="73">
        <v>40984</v>
      </c>
      <c r="F139" s="76" t="s">
        <v>44</v>
      </c>
      <c r="G139" s="265"/>
      <c r="H139" s="122"/>
      <c r="I139" s="74">
        <v>2400</v>
      </c>
      <c r="J139" s="95" t="s">
        <v>242</v>
      </c>
      <c r="K139" s="75" t="s">
        <v>54</v>
      </c>
      <c r="L139" s="134" t="str">
        <f>IF(AND('331-CT'!$E$7=TH!H139,OR(J139="331",K139="331")),"x","")</f>
        <v/>
      </c>
    </row>
    <row r="140" spans="1:12" s="109" customFormat="1">
      <c r="A140" s="72">
        <f t="shared" ref="A140:A203" si="9">IF(C140&lt;&gt;"",YEAR(C140),"")</f>
        <v>2012</v>
      </c>
      <c r="B140" s="72">
        <f t="shared" ref="B140:B203" si="10">IF(C140&lt;&gt;"",MONTH(C140),"")</f>
        <v>3</v>
      </c>
      <c r="C140" s="107">
        <v>40984</v>
      </c>
      <c r="D140" s="73" t="s">
        <v>17</v>
      </c>
      <c r="E140" s="73">
        <v>40984</v>
      </c>
      <c r="F140" s="76" t="s">
        <v>48</v>
      </c>
      <c r="G140" s="265"/>
      <c r="H140" s="122"/>
      <c r="I140" s="74">
        <v>24000</v>
      </c>
      <c r="J140" s="75" t="s">
        <v>242</v>
      </c>
      <c r="K140" s="75" t="s">
        <v>54</v>
      </c>
      <c r="L140" s="134" t="str">
        <f>IF(AND('331-CT'!$E$7=TH!H140,OR(J140="331",K140="331")),"x","")</f>
        <v/>
      </c>
    </row>
    <row r="141" spans="1:12" s="109" customFormat="1">
      <c r="A141" s="72">
        <f t="shared" si="9"/>
        <v>2012</v>
      </c>
      <c r="B141" s="72">
        <f t="shared" si="10"/>
        <v>3</v>
      </c>
      <c r="C141" s="107">
        <v>40984</v>
      </c>
      <c r="D141" s="73" t="s">
        <v>17</v>
      </c>
      <c r="E141" s="73">
        <v>40984</v>
      </c>
      <c r="F141" s="76" t="s">
        <v>44</v>
      </c>
      <c r="G141" s="265"/>
      <c r="H141" s="122"/>
      <c r="I141" s="74">
        <v>2400</v>
      </c>
      <c r="J141" s="95" t="s">
        <v>242</v>
      </c>
      <c r="K141" s="75" t="s">
        <v>54</v>
      </c>
      <c r="L141" s="134" t="str">
        <f>IF(AND('331-CT'!$E$7=TH!H141,OR(J141="331",K141="331")),"x","")</f>
        <v/>
      </c>
    </row>
    <row r="142" spans="1:12" s="109" customFormat="1">
      <c r="A142" s="72">
        <f t="shared" si="9"/>
        <v>2012</v>
      </c>
      <c r="B142" s="72">
        <f t="shared" si="10"/>
        <v>3</v>
      </c>
      <c r="C142" s="107">
        <v>40984</v>
      </c>
      <c r="D142" s="73" t="s">
        <v>17</v>
      </c>
      <c r="E142" s="73">
        <v>40984</v>
      </c>
      <c r="F142" s="76" t="s">
        <v>47</v>
      </c>
      <c r="G142" s="265"/>
      <c r="H142" s="122"/>
      <c r="I142" s="74">
        <v>24000</v>
      </c>
      <c r="J142" s="75" t="s">
        <v>242</v>
      </c>
      <c r="K142" s="75" t="s">
        <v>54</v>
      </c>
      <c r="L142" s="134" t="str">
        <f>IF(AND('331-CT'!$E$7=TH!H142,OR(J142="331",K142="331")),"x","")</f>
        <v/>
      </c>
    </row>
    <row r="143" spans="1:12" s="109" customFormat="1">
      <c r="A143" s="72">
        <f t="shared" si="9"/>
        <v>2012</v>
      </c>
      <c r="B143" s="72">
        <f t="shared" si="10"/>
        <v>3</v>
      </c>
      <c r="C143" s="107">
        <v>40984</v>
      </c>
      <c r="D143" s="73" t="s">
        <v>17</v>
      </c>
      <c r="E143" s="73">
        <v>40984</v>
      </c>
      <c r="F143" s="76" t="s">
        <v>44</v>
      </c>
      <c r="G143" s="265"/>
      <c r="H143" s="122"/>
      <c r="I143" s="74">
        <v>2400</v>
      </c>
      <c r="J143" s="95" t="s">
        <v>242</v>
      </c>
      <c r="K143" s="75" t="s">
        <v>54</v>
      </c>
      <c r="L143" s="134" t="str">
        <f>IF(AND('331-CT'!$E$7=TH!H143,OR(J143="331",K143="331")),"x","")</f>
        <v/>
      </c>
    </row>
    <row r="144" spans="1:12" s="109" customFormat="1">
      <c r="A144" s="72">
        <f t="shared" si="9"/>
        <v>2012</v>
      </c>
      <c r="B144" s="72">
        <f t="shared" si="10"/>
        <v>3</v>
      </c>
      <c r="C144" s="73">
        <v>40995</v>
      </c>
      <c r="D144" s="73" t="s">
        <v>72</v>
      </c>
      <c r="E144" s="73">
        <f>C144</f>
        <v>40995</v>
      </c>
      <c r="F144" s="76" t="s">
        <v>62</v>
      </c>
      <c r="G144" s="270" t="s">
        <v>522</v>
      </c>
      <c r="H144" s="122" t="s">
        <v>520</v>
      </c>
      <c r="I144" s="74">
        <v>896500</v>
      </c>
      <c r="J144" s="75" t="s">
        <v>242</v>
      </c>
      <c r="K144" s="75" t="s">
        <v>203</v>
      </c>
      <c r="L144" s="134" t="str">
        <f>IF(AND('331-CT'!$E$7=TH!H144,OR(J144="331",K144="331")),"x","")</f>
        <v/>
      </c>
    </row>
    <row r="145" spans="1:12" s="109" customFormat="1">
      <c r="A145" s="72">
        <f t="shared" si="9"/>
        <v>2012</v>
      </c>
      <c r="B145" s="72">
        <f t="shared" si="10"/>
        <v>6</v>
      </c>
      <c r="C145" s="73">
        <v>41076</v>
      </c>
      <c r="D145" s="73" t="s">
        <v>17</v>
      </c>
      <c r="E145" s="73">
        <v>41076</v>
      </c>
      <c r="F145" s="76" t="s">
        <v>49</v>
      </c>
      <c r="G145" s="265"/>
      <c r="H145" s="122"/>
      <c r="I145" s="74">
        <v>24000</v>
      </c>
      <c r="J145" s="75" t="s">
        <v>242</v>
      </c>
      <c r="K145" s="75" t="s">
        <v>54</v>
      </c>
      <c r="L145" s="134" t="str">
        <f>IF(AND('331-CT'!$E$7=TH!H145,OR(J145="331",K145="331")),"x","")</f>
        <v/>
      </c>
    </row>
    <row r="146" spans="1:12" s="109" customFormat="1">
      <c r="A146" s="72">
        <f t="shared" si="9"/>
        <v>2012</v>
      </c>
      <c r="B146" s="72">
        <f t="shared" si="10"/>
        <v>6</v>
      </c>
      <c r="C146" s="107">
        <v>41076</v>
      </c>
      <c r="D146" s="73" t="s">
        <v>17</v>
      </c>
      <c r="E146" s="73">
        <v>41076</v>
      </c>
      <c r="F146" s="76" t="s">
        <v>44</v>
      </c>
      <c r="G146" s="265"/>
      <c r="H146" s="122"/>
      <c r="I146" s="74">
        <v>2400</v>
      </c>
      <c r="J146" s="95" t="s">
        <v>242</v>
      </c>
      <c r="K146" s="75" t="s">
        <v>54</v>
      </c>
      <c r="L146" s="134" t="str">
        <f>IF(AND('331-CT'!$E$7=TH!H146,OR(J146="331",K146="331")),"x","")</f>
        <v/>
      </c>
    </row>
    <row r="147" spans="1:12" s="109" customFormat="1">
      <c r="A147" s="72">
        <f t="shared" si="9"/>
        <v>2012</v>
      </c>
      <c r="B147" s="72">
        <f t="shared" si="10"/>
        <v>6</v>
      </c>
      <c r="C147" s="73">
        <v>41076</v>
      </c>
      <c r="D147" s="73" t="s">
        <v>17</v>
      </c>
      <c r="E147" s="73">
        <v>41076</v>
      </c>
      <c r="F147" s="76" t="s">
        <v>48</v>
      </c>
      <c r="G147" s="265"/>
      <c r="H147" s="122"/>
      <c r="I147" s="74">
        <v>24000</v>
      </c>
      <c r="J147" s="75" t="s">
        <v>242</v>
      </c>
      <c r="K147" s="75" t="s">
        <v>54</v>
      </c>
      <c r="L147" s="134" t="str">
        <f>IF(AND('331-CT'!$E$7=TH!H147,OR(J147="331",K147="331")),"x","")</f>
        <v/>
      </c>
    </row>
    <row r="148" spans="1:12" s="109" customFormat="1">
      <c r="A148" s="72">
        <f t="shared" si="9"/>
        <v>2012</v>
      </c>
      <c r="B148" s="72">
        <f t="shared" si="10"/>
        <v>6</v>
      </c>
      <c r="C148" s="73">
        <v>41076</v>
      </c>
      <c r="D148" s="73" t="s">
        <v>17</v>
      </c>
      <c r="E148" s="73">
        <v>41076</v>
      </c>
      <c r="F148" s="76" t="s">
        <v>44</v>
      </c>
      <c r="G148" s="265"/>
      <c r="H148" s="122"/>
      <c r="I148" s="74">
        <v>2400</v>
      </c>
      <c r="J148" s="95" t="s">
        <v>242</v>
      </c>
      <c r="K148" s="75" t="s">
        <v>54</v>
      </c>
      <c r="L148" s="134" t="str">
        <f>IF(AND('331-CT'!$E$7=TH!H148,OR(J148="331",K148="331")),"x","")</f>
        <v/>
      </c>
    </row>
    <row r="149" spans="1:12" s="109" customFormat="1">
      <c r="A149" s="72">
        <f t="shared" si="9"/>
        <v>2012</v>
      </c>
      <c r="B149" s="72">
        <f t="shared" si="10"/>
        <v>6</v>
      </c>
      <c r="C149" s="107">
        <v>41076</v>
      </c>
      <c r="D149" s="73" t="s">
        <v>17</v>
      </c>
      <c r="E149" s="73">
        <v>41076</v>
      </c>
      <c r="F149" s="76" t="s">
        <v>47</v>
      </c>
      <c r="G149" s="265"/>
      <c r="H149" s="122"/>
      <c r="I149" s="74">
        <v>24000</v>
      </c>
      <c r="J149" s="75" t="s">
        <v>242</v>
      </c>
      <c r="K149" s="75" t="s">
        <v>54</v>
      </c>
      <c r="L149" s="134" t="str">
        <f>IF(AND('331-CT'!$E$7=TH!H149,OR(J149="331",K149="331")),"x","")</f>
        <v/>
      </c>
    </row>
    <row r="150" spans="1:12" s="109" customFormat="1">
      <c r="A150" s="72">
        <f t="shared" si="9"/>
        <v>2012</v>
      </c>
      <c r="B150" s="72">
        <f t="shared" si="10"/>
        <v>6</v>
      </c>
      <c r="C150" s="73">
        <v>41076</v>
      </c>
      <c r="D150" s="73" t="s">
        <v>17</v>
      </c>
      <c r="E150" s="73">
        <v>41076</v>
      </c>
      <c r="F150" s="76" t="s">
        <v>44</v>
      </c>
      <c r="G150" s="265"/>
      <c r="H150" s="122"/>
      <c r="I150" s="74">
        <v>2400</v>
      </c>
      <c r="J150" s="95" t="s">
        <v>242</v>
      </c>
      <c r="K150" s="75" t="s">
        <v>54</v>
      </c>
      <c r="L150" s="134" t="str">
        <f>IF(AND('331-CT'!$E$7=TH!H150,OR(J150="331",K150="331")),"x","")</f>
        <v/>
      </c>
    </row>
    <row r="151" spans="1:12" s="109" customFormat="1">
      <c r="A151" s="72">
        <f t="shared" si="9"/>
        <v>2012</v>
      </c>
      <c r="B151" s="72">
        <f t="shared" si="10"/>
        <v>7</v>
      </c>
      <c r="C151" s="73">
        <v>41115</v>
      </c>
      <c r="D151" s="73" t="s">
        <v>71</v>
      </c>
      <c r="E151" s="73">
        <f>C151</f>
        <v>41115</v>
      </c>
      <c r="F151" s="93" t="s">
        <v>576</v>
      </c>
      <c r="G151" s="265"/>
      <c r="H151" s="117" t="s">
        <v>431</v>
      </c>
      <c r="I151" s="74">
        <v>51000000</v>
      </c>
      <c r="J151" s="75" t="s">
        <v>54</v>
      </c>
      <c r="K151" s="75" t="s">
        <v>203</v>
      </c>
      <c r="L151" s="134" t="str">
        <f>IF(AND('331-CT'!$E$7=TH!H151,OR(J151="331",K151="331")),"x","")</f>
        <v/>
      </c>
    </row>
    <row r="152" spans="1:12" s="109" customFormat="1">
      <c r="A152" s="72">
        <f t="shared" si="9"/>
        <v>2012</v>
      </c>
      <c r="B152" s="72">
        <f t="shared" si="10"/>
        <v>7</v>
      </c>
      <c r="C152" s="107">
        <f>E152</f>
        <v>41115</v>
      </c>
      <c r="D152" s="73" t="s">
        <v>17</v>
      </c>
      <c r="E152" s="73">
        <v>41115</v>
      </c>
      <c r="F152" s="76" t="s">
        <v>112</v>
      </c>
      <c r="G152" s="265"/>
      <c r="H152" s="122" t="s">
        <v>85</v>
      </c>
      <c r="I152" s="74">
        <v>50000000</v>
      </c>
      <c r="J152" s="75" t="s">
        <v>18</v>
      </c>
      <c r="K152" s="75" t="s">
        <v>54</v>
      </c>
      <c r="L152" s="134" t="str">
        <f>IF(AND('331-CT'!$E$7=TH!H152,OR(J152="331",K152="331")),"x","")</f>
        <v/>
      </c>
    </row>
    <row r="153" spans="1:12" s="109" customFormat="1">
      <c r="A153" s="72">
        <f t="shared" si="9"/>
        <v>2012</v>
      </c>
      <c r="B153" s="72">
        <f t="shared" si="10"/>
        <v>7</v>
      </c>
      <c r="C153" s="73">
        <v>41115</v>
      </c>
      <c r="D153" s="73" t="s">
        <v>17</v>
      </c>
      <c r="E153" s="73">
        <v>41115</v>
      </c>
      <c r="F153" s="76" t="s">
        <v>34</v>
      </c>
      <c r="G153" s="265"/>
      <c r="H153" s="122"/>
      <c r="I153" s="74">
        <v>25000</v>
      </c>
      <c r="J153" s="75" t="s">
        <v>242</v>
      </c>
      <c r="K153" s="75" t="s">
        <v>54</v>
      </c>
      <c r="L153" s="134" t="str">
        <f>IF(AND('331-CT'!$E$7=TH!H153,OR(J153="331",K153="331")),"x","")</f>
        <v/>
      </c>
    </row>
    <row r="154" spans="1:12" s="109" customFormat="1">
      <c r="A154" s="72">
        <f t="shared" si="9"/>
        <v>2012</v>
      </c>
      <c r="B154" s="72">
        <f t="shared" si="10"/>
        <v>7</v>
      </c>
      <c r="C154" s="73">
        <v>41115</v>
      </c>
      <c r="D154" s="73" t="s">
        <v>17</v>
      </c>
      <c r="E154" s="73">
        <v>41115</v>
      </c>
      <c r="F154" s="76" t="s">
        <v>35</v>
      </c>
      <c r="G154" s="265"/>
      <c r="H154" s="122"/>
      <c r="I154" s="74">
        <v>2500</v>
      </c>
      <c r="J154" s="95" t="s">
        <v>242</v>
      </c>
      <c r="K154" s="75" t="s">
        <v>54</v>
      </c>
      <c r="L154" s="134" t="str">
        <f>IF(AND('331-CT'!$E$7=TH!H154,OR(J154="331",K154="331")),"x","")</f>
        <v/>
      </c>
    </row>
    <row r="155" spans="1:12" s="109" customFormat="1">
      <c r="A155" s="72">
        <f t="shared" si="9"/>
        <v>2012</v>
      </c>
      <c r="B155" s="72">
        <f t="shared" si="10"/>
        <v>9</v>
      </c>
      <c r="C155" s="73">
        <v>41168</v>
      </c>
      <c r="D155" s="73" t="s">
        <v>17</v>
      </c>
      <c r="E155" s="73">
        <v>41168</v>
      </c>
      <c r="F155" s="76" t="s">
        <v>49</v>
      </c>
      <c r="G155" s="265"/>
      <c r="H155" s="122"/>
      <c r="I155" s="74">
        <v>24000</v>
      </c>
      <c r="J155" s="75" t="s">
        <v>242</v>
      </c>
      <c r="K155" s="75" t="s">
        <v>54</v>
      </c>
      <c r="L155" s="134" t="str">
        <f>IF(AND('331-CT'!$E$7=TH!H155,OR(J155="331",K155="331")),"x","")</f>
        <v/>
      </c>
    </row>
    <row r="156" spans="1:12" s="109" customFormat="1">
      <c r="A156" s="72">
        <f t="shared" si="9"/>
        <v>2012</v>
      </c>
      <c r="B156" s="72">
        <f t="shared" si="10"/>
        <v>9</v>
      </c>
      <c r="C156" s="73">
        <v>41168</v>
      </c>
      <c r="D156" s="73" t="s">
        <v>17</v>
      </c>
      <c r="E156" s="73">
        <v>41168</v>
      </c>
      <c r="F156" s="76" t="s">
        <v>44</v>
      </c>
      <c r="G156" s="265"/>
      <c r="H156" s="122"/>
      <c r="I156" s="74">
        <v>2400</v>
      </c>
      <c r="J156" s="95" t="s">
        <v>242</v>
      </c>
      <c r="K156" s="75" t="s">
        <v>54</v>
      </c>
      <c r="L156" s="134" t="str">
        <f>IF(AND('331-CT'!$E$7=TH!H156,OR(J156="331",K156="331")),"x","")</f>
        <v/>
      </c>
    </row>
    <row r="157" spans="1:12" s="109" customFormat="1">
      <c r="A157" s="72">
        <f t="shared" si="9"/>
        <v>2012</v>
      </c>
      <c r="B157" s="72">
        <f t="shared" si="10"/>
        <v>9</v>
      </c>
      <c r="C157" s="73">
        <v>41168</v>
      </c>
      <c r="D157" s="73" t="s">
        <v>17</v>
      </c>
      <c r="E157" s="73">
        <v>41168</v>
      </c>
      <c r="F157" s="76" t="s">
        <v>48</v>
      </c>
      <c r="G157" s="265"/>
      <c r="H157" s="122"/>
      <c r="I157" s="74">
        <v>24000</v>
      </c>
      <c r="J157" s="75" t="s">
        <v>242</v>
      </c>
      <c r="K157" s="75" t="s">
        <v>54</v>
      </c>
      <c r="L157" s="134" t="str">
        <f>IF(AND('331-CT'!$E$7=TH!H157,OR(J157="331",K157="331")),"x","")</f>
        <v/>
      </c>
    </row>
    <row r="158" spans="1:12" s="109" customFormat="1">
      <c r="A158" s="72">
        <f t="shared" si="9"/>
        <v>2012</v>
      </c>
      <c r="B158" s="72">
        <f t="shared" si="10"/>
        <v>9</v>
      </c>
      <c r="C158" s="73">
        <v>41168</v>
      </c>
      <c r="D158" s="73" t="s">
        <v>17</v>
      </c>
      <c r="E158" s="73">
        <v>41168</v>
      </c>
      <c r="F158" s="76" t="s">
        <v>44</v>
      </c>
      <c r="G158" s="265"/>
      <c r="H158" s="122"/>
      <c r="I158" s="74">
        <v>2400</v>
      </c>
      <c r="J158" s="95" t="s">
        <v>242</v>
      </c>
      <c r="K158" s="75" t="s">
        <v>54</v>
      </c>
      <c r="L158" s="134" t="str">
        <f>IF(AND('331-CT'!$E$7=TH!H158,OR(J158="331",K158="331")),"x","")</f>
        <v/>
      </c>
    </row>
    <row r="159" spans="1:12" s="109" customFormat="1">
      <c r="A159" s="72">
        <f t="shared" si="9"/>
        <v>2012</v>
      </c>
      <c r="B159" s="72">
        <f t="shared" si="10"/>
        <v>9</v>
      </c>
      <c r="C159" s="73">
        <v>41168</v>
      </c>
      <c r="D159" s="73" t="s">
        <v>17</v>
      </c>
      <c r="E159" s="73">
        <v>41168</v>
      </c>
      <c r="F159" s="76" t="s">
        <v>47</v>
      </c>
      <c r="G159" s="265"/>
      <c r="H159" s="122"/>
      <c r="I159" s="74">
        <v>24000</v>
      </c>
      <c r="J159" s="75" t="s">
        <v>242</v>
      </c>
      <c r="K159" s="75" t="s">
        <v>54</v>
      </c>
      <c r="L159" s="134" t="str">
        <f>IF(AND('331-CT'!$E$7=TH!H159,OR(J159="331",K159="331")),"x","")</f>
        <v/>
      </c>
    </row>
    <row r="160" spans="1:12" s="109" customFormat="1">
      <c r="A160" s="72">
        <f t="shared" si="9"/>
        <v>2012</v>
      </c>
      <c r="B160" s="72">
        <f t="shared" si="10"/>
        <v>9</v>
      </c>
      <c r="C160" s="73">
        <v>41168</v>
      </c>
      <c r="D160" s="73" t="s">
        <v>17</v>
      </c>
      <c r="E160" s="73">
        <v>41168</v>
      </c>
      <c r="F160" s="76" t="s">
        <v>44</v>
      </c>
      <c r="G160" s="265"/>
      <c r="H160" s="122"/>
      <c r="I160" s="74">
        <v>2400</v>
      </c>
      <c r="J160" s="95" t="s">
        <v>242</v>
      </c>
      <c r="K160" s="75" t="s">
        <v>54</v>
      </c>
      <c r="L160" s="134" t="str">
        <f>IF(AND('331-CT'!$E$7=TH!H160,OR(J160="331",K160="331")),"x","")</f>
        <v/>
      </c>
    </row>
    <row r="161" spans="1:12" s="109" customFormat="1">
      <c r="A161" s="72">
        <f t="shared" si="9"/>
        <v>2012</v>
      </c>
      <c r="B161" s="72">
        <f t="shared" si="10"/>
        <v>10</v>
      </c>
      <c r="C161" s="73">
        <v>41193</v>
      </c>
      <c r="D161" s="73" t="s">
        <v>133</v>
      </c>
      <c r="E161" s="73">
        <f>C161</f>
        <v>41193</v>
      </c>
      <c r="F161" s="93" t="s">
        <v>577</v>
      </c>
      <c r="G161" s="265"/>
      <c r="H161" s="120" t="s">
        <v>267</v>
      </c>
      <c r="I161" s="74">
        <v>30000000</v>
      </c>
      <c r="J161" s="75" t="s">
        <v>39</v>
      </c>
      <c r="K161" s="75" t="s">
        <v>203</v>
      </c>
      <c r="L161" s="134" t="str">
        <f>IF(AND('331-CT'!$E$7=TH!H161,OR(J161="331",K161="331")),"x","")</f>
        <v/>
      </c>
    </row>
    <row r="162" spans="1:12" s="109" customFormat="1">
      <c r="A162" s="72">
        <f t="shared" si="9"/>
        <v>2012</v>
      </c>
      <c r="B162" s="72">
        <f t="shared" si="10"/>
        <v>10</v>
      </c>
      <c r="C162" s="107">
        <v>41193</v>
      </c>
      <c r="D162" s="73" t="s">
        <v>21</v>
      </c>
      <c r="E162" s="73">
        <v>41193</v>
      </c>
      <c r="F162" s="76" t="s">
        <v>45</v>
      </c>
      <c r="G162" s="265"/>
      <c r="H162" s="120" t="s">
        <v>267</v>
      </c>
      <c r="I162" s="74">
        <v>30000000</v>
      </c>
      <c r="J162" s="75" t="s">
        <v>54</v>
      </c>
      <c r="K162" s="75" t="s">
        <v>39</v>
      </c>
      <c r="L162" s="134" t="str">
        <f>IF(AND('331-CT'!$E$7=TH!H162,OR(J162="331",K162="331")),"x","")</f>
        <v/>
      </c>
    </row>
    <row r="163" spans="1:12" s="109" customFormat="1">
      <c r="A163" s="72">
        <f t="shared" si="9"/>
        <v>2012</v>
      </c>
      <c r="B163" s="72">
        <f t="shared" si="10"/>
        <v>10</v>
      </c>
      <c r="C163" s="107">
        <f>E163</f>
        <v>41193</v>
      </c>
      <c r="D163" s="73" t="s">
        <v>17</v>
      </c>
      <c r="E163" s="73">
        <v>41193</v>
      </c>
      <c r="F163" s="76" t="s">
        <v>114</v>
      </c>
      <c r="G163" s="265"/>
      <c r="H163" s="122" t="s">
        <v>83</v>
      </c>
      <c r="I163" s="74">
        <v>29920000</v>
      </c>
      <c r="J163" s="75" t="s">
        <v>18</v>
      </c>
      <c r="K163" s="75" t="s">
        <v>54</v>
      </c>
      <c r="L163" s="134" t="str">
        <f>IF(AND('331-CT'!$E$7=TH!H163,OR(J163="331",K163="331")),"x","")</f>
        <v/>
      </c>
    </row>
    <row r="164" spans="1:12" s="109" customFormat="1">
      <c r="A164" s="72">
        <f t="shared" si="9"/>
        <v>2012</v>
      </c>
      <c r="B164" s="72">
        <f t="shared" si="10"/>
        <v>10</v>
      </c>
      <c r="C164" s="73">
        <v>41193</v>
      </c>
      <c r="D164" s="73" t="s">
        <v>17</v>
      </c>
      <c r="E164" s="73">
        <v>41193</v>
      </c>
      <c r="F164" s="76" t="s">
        <v>34</v>
      </c>
      <c r="G164" s="265"/>
      <c r="H164" s="122"/>
      <c r="I164" s="74">
        <v>20000</v>
      </c>
      <c r="J164" s="75" t="s">
        <v>242</v>
      </c>
      <c r="K164" s="75" t="s">
        <v>54</v>
      </c>
      <c r="L164" s="134" t="str">
        <f>IF(AND('331-CT'!$E$7=TH!H164,OR(J164="331",K164="331")),"x","")</f>
        <v/>
      </c>
    </row>
    <row r="165" spans="1:12" s="109" customFormat="1">
      <c r="A165" s="72">
        <f t="shared" si="9"/>
        <v>2012</v>
      </c>
      <c r="B165" s="72">
        <f t="shared" si="10"/>
        <v>10</v>
      </c>
      <c r="C165" s="73">
        <v>41193</v>
      </c>
      <c r="D165" s="73" t="s">
        <v>17</v>
      </c>
      <c r="E165" s="73">
        <v>41193</v>
      </c>
      <c r="F165" s="76" t="s">
        <v>35</v>
      </c>
      <c r="G165" s="265"/>
      <c r="H165" s="122"/>
      <c r="I165" s="74">
        <v>2000</v>
      </c>
      <c r="J165" s="95" t="s">
        <v>242</v>
      </c>
      <c r="K165" s="75" t="s">
        <v>54</v>
      </c>
      <c r="L165" s="134" t="str">
        <f>IF(AND('331-CT'!$E$7=TH!H165,OR(J165="331",K165="331")),"x","")</f>
        <v/>
      </c>
    </row>
    <row r="166" spans="1:12" s="109" customFormat="1">
      <c r="A166" s="72">
        <f t="shared" si="9"/>
        <v>2012</v>
      </c>
      <c r="B166" s="72">
        <f t="shared" si="10"/>
        <v>12</v>
      </c>
      <c r="C166" s="107">
        <v>41260</v>
      </c>
      <c r="D166" s="73" t="s">
        <v>17</v>
      </c>
      <c r="E166" s="73">
        <v>41260</v>
      </c>
      <c r="F166" s="76" t="s">
        <v>49</v>
      </c>
      <c r="G166" s="265"/>
      <c r="H166" s="122"/>
      <c r="I166" s="74">
        <v>24000</v>
      </c>
      <c r="J166" s="75" t="s">
        <v>242</v>
      </c>
      <c r="K166" s="75" t="s">
        <v>54</v>
      </c>
      <c r="L166" s="134" t="str">
        <f>IF(AND('331-CT'!$E$7=TH!H166,OR(J166="331",K166="331")),"x","")</f>
        <v/>
      </c>
    </row>
    <row r="167" spans="1:12" s="109" customFormat="1">
      <c r="A167" s="72">
        <f t="shared" si="9"/>
        <v>2012</v>
      </c>
      <c r="B167" s="72">
        <f t="shared" si="10"/>
        <v>12</v>
      </c>
      <c r="C167" s="107">
        <v>41260</v>
      </c>
      <c r="D167" s="73" t="s">
        <v>17</v>
      </c>
      <c r="E167" s="73">
        <v>41260</v>
      </c>
      <c r="F167" s="76" t="s">
        <v>44</v>
      </c>
      <c r="G167" s="265"/>
      <c r="H167" s="122"/>
      <c r="I167" s="74">
        <v>2400</v>
      </c>
      <c r="J167" s="95" t="s">
        <v>242</v>
      </c>
      <c r="K167" s="75" t="s">
        <v>54</v>
      </c>
      <c r="L167" s="134" t="str">
        <f>IF(AND('331-CT'!$E$7=TH!H167,OR(J167="331",K167="331")),"x","")</f>
        <v/>
      </c>
    </row>
    <row r="168" spans="1:12" s="109" customFormat="1">
      <c r="A168" s="72">
        <f t="shared" si="9"/>
        <v>2012</v>
      </c>
      <c r="B168" s="72">
        <f t="shared" si="10"/>
        <v>12</v>
      </c>
      <c r="C168" s="107">
        <v>41260</v>
      </c>
      <c r="D168" s="73" t="s">
        <v>17</v>
      </c>
      <c r="E168" s="73">
        <v>41260</v>
      </c>
      <c r="F168" s="76" t="s">
        <v>48</v>
      </c>
      <c r="G168" s="265"/>
      <c r="H168" s="122"/>
      <c r="I168" s="74">
        <v>24000</v>
      </c>
      <c r="J168" s="75" t="s">
        <v>242</v>
      </c>
      <c r="K168" s="75" t="s">
        <v>54</v>
      </c>
      <c r="L168" s="134" t="str">
        <f>IF(AND('331-CT'!$E$7=TH!H168,OR(J168="331",K168="331")),"x","")</f>
        <v/>
      </c>
    </row>
    <row r="169" spans="1:12" s="109" customFormat="1">
      <c r="A169" s="72">
        <f t="shared" si="9"/>
        <v>2012</v>
      </c>
      <c r="B169" s="72">
        <f t="shared" si="10"/>
        <v>12</v>
      </c>
      <c r="C169" s="107">
        <v>41260</v>
      </c>
      <c r="D169" s="73" t="s">
        <v>17</v>
      </c>
      <c r="E169" s="73">
        <v>41260</v>
      </c>
      <c r="F169" s="76" t="s">
        <v>44</v>
      </c>
      <c r="G169" s="265"/>
      <c r="H169" s="122"/>
      <c r="I169" s="74">
        <v>2400</v>
      </c>
      <c r="J169" s="95" t="s">
        <v>242</v>
      </c>
      <c r="K169" s="75" t="s">
        <v>54</v>
      </c>
      <c r="L169" s="134" t="str">
        <f>IF(AND('331-CT'!$E$7=TH!H169,OR(J169="331",K169="331")),"x","")</f>
        <v/>
      </c>
    </row>
    <row r="170" spans="1:12" s="109" customFormat="1">
      <c r="A170" s="72">
        <f t="shared" si="9"/>
        <v>2012</v>
      </c>
      <c r="B170" s="72">
        <f t="shared" si="10"/>
        <v>12</v>
      </c>
      <c r="C170" s="73">
        <v>41260</v>
      </c>
      <c r="D170" s="73" t="s">
        <v>17</v>
      </c>
      <c r="E170" s="73">
        <v>41260</v>
      </c>
      <c r="F170" s="76" t="s">
        <v>47</v>
      </c>
      <c r="G170" s="265"/>
      <c r="H170" s="122"/>
      <c r="I170" s="74">
        <v>24000</v>
      </c>
      <c r="J170" s="75" t="s">
        <v>242</v>
      </c>
      <c r="K170" s="75" t="s">
        <v>54</v>
      </c>
      <c r="L170" s="134" t="str">
        <f>IF(AND('331-CT'!$E$7=TH!H170,OR(J170="331",K170="331")),"x","")</f>
        <v/>
      </c>
    </row>
    <row r="171" spans="1:12" s="109" customFormat="1">
      <c r="A171" s="72">
        <f t="shared" si="9"/>
        <v>2012</v>
      </c>
      <c r="B171" s="72">
        <f t="shared" si="10"/>
        <v>12</v>
      </c>
      <c r="C171" s="107">
        <v>41260</v>
      </c>
      <c r="D171" s="73" t="s">
        <v>17</v>
      </c>
      <c r="E171" s="73">
        <v>41260</v>
      </c>
      <c r="F171" s="76" t="s">
        <v>44</v>
      </c>
      <c r="G171" s="265"/>
      <c r="H171" s="122"/>
      <c r="I171" s="74">
        <v>2400</v>
      </c>
      <c r="J171" s="95" t="s">
        <v>242</v>
      </c>
      <c r="K171" s="75" t="s">
        <v>54</v>
      </c>
      <c r="L171" s="134" t="str">
        <f>IF(AND('331-CT'!$E$7=TH!H171,OR(J171="331",K171="331")),"x","")</f>
        <v/>
      </c>
    </row>
    <row r="172" spans="1:12" s="109" customFormat="1">
      <c r="A172" s="72">
        <f t="shared" si="9"/>
        <v>2013</v>
      </c>
      <c r="B172" s="72">
        <f t="shared" si="10"/>
        <v>1</v>
      </c>
      <c r="C172" s="73">
        <v>41302</v>
      </c>
      <c r="D172" s="73" t="s">
        <v>73</v>
      </c>
      <c r="E172" s="73">
        <f>C172</f>
        <v>41302</v>
      </c>
      <c r="F172" s="93" t="s">
        <v>576</v>
      </c>
      <c r="G172" s="265"/>
      <c r="H172" s="122" t="s">
        <v>515</v>
      </c>
      <c r="I172" s="74">
        <v>1500000</v>
      </c>
      <c r="J172" s="75" t="s">
        <v>54</v>
      </c>
      <c r="K172" s="75" t="s">
        <v>203</v>
      </c>
      <c r="L172" s="134" t="str">
        <f>IF(AND('331-CT'!$E$7=TH!H172,OR(J172="331",K172="331")),"x","")</f>
        <v/>
      </c>
    </row>
    <row r="173" spans="1:12" s="109" customFormat="1">
      <c r="A173" s="72">
        <f t="shared" si="9"/>
        <v>2013</v>
      </c>
      <c r="B173" s="72">
        <f t="shared" si="10"/>
        <v>1</v>
      </c>
      <c r="C173" s="73">
        <v>41302</v>
      </c>
      <c r="D173" s="73" t="s">
        <v>78</v>
      </c>
      <c r="E173" s="73">
        <v>41302</v>
      </c>
      <c r="F173" s="76" t="s">
        <v>3</v>
      </c>
      <c r="G173" s="265"/>
      <c r="H173" s="122"/>
      <c r="I173" s="74">
        <v>1500000</v>
      </c>
      <c r="J173" s="75" t="s">
        <v>242</v>
      </c>
      <c r="K173" s="75" t="s">
        <v>219</v>
      </c>
      <c r="L173" s="134" t="str">
        <f>IF(AND('331-CT'!$E$7=TH!H173,OR(J173="331",K173="331")),"x","")</f>
        <v/>
      </c>
    </row>
    <row r="174" spans="1:12" s="109" customFormat="1">
      <c r="A174" s="72">
        <f t="shared" si="9"/>
        <v>2013</v>
      </c>
      <c r="B174" s="72">
        <f t="shared" si="10"/>
        <v>1</v>
      </c>
      <c r="C174" s="107">
        <v>41302</v>
      </c>
      <c r="D174" s="73" t="s">
        <v>17</v>
      </c>
      <c r="E174" s="73">
        <v>41302</v>
      </c>
      <c r="F174" s="76" t="s">
        <v>3</v>
      </c>
      <c r="G174" s="265"/>
      <c r="H174" s="122"/>
      <c r="I174" s="74">
        <v>1500000</v>
      </c>
      <c r="J174" s="75" t="s">
        <v>212</v>
      </c>
      <c r="K174" s="75" t="s">
        <v>54</v>
      </c>
      <c r="L174" s="134" t="str">
        <f>IF(AND('331-CT'!$E$7=TH!H174,OR(J174="331",K174="331")),"x","")</f>
        <v/>
      </c>
    </row>
    <row r="175" spans="1:12" s="109" customFormat="1">
      <c r="A175" s="72">
        <f t="shared" si="9"/>
        <v>2013</v>
      </c>
      <c r="B175" s="72">
        <f t="shared" si="10"/>
        <v>1</v>
      </c>
      <c r="C175" s="107">
        <v>41302</v>
      </c>
      <c r="D175" s="73" t="s">
        <v>17</v>
      </c>
      <c r="E175" s="73">
        <v>41302</v>
      </c>
      <c r="F175" s="76" t="s">
        <v>34</v>
      </c>
      <c r="G175" s="265"/>
      <c r="H175" s="122"/>
      <c r="I175" s="74">
        <v>30000</v>
      </c>
      <c r="J175" s="75" t="s">
        <v>242</v>
      </c>
      <c r="K175" s="75" t="s">
        <v>54</v>
      </c>
      <c r="L175" s="134" t="str">
        <f>IF(AND('331-CT'!$E$7=TH!H175,OR(J175="331",K175="331")),"x","")</f>
        <v/>
      </c>
    </row>
    <row r="176" spans="1:12" s="109" customFormat="1">
      <c r="A176" s="72">
        <f t="shared" si="9"/>
        <v>2013</v>
      </c>
      <c r="B176" s="72">
        <f t="shared" si="10"/>
        <v>1</v>
      </c>
      <c r="C176" s="107">
        <v>41302</v>
      </c>
      <c r="D176" s="73" t="s">
        <v>17</v>
      </c>
      <c r="E176" s="73">
        <v>41302</v>
      </c>
      <c r="F176" s="76" t="s">
        <v>35</v>
      </c>
      <c r="G176" s="265"/>
      <c r="H176" s="122"/>
      <c r="I176" s="74">
        <v>3000</v>
      </c>
      <c r="J176" s="95" t="s">
        <v>242</v>
      </c>
      <c r="K176" s="75" t="s">
        <v>54</v>
      </c>
      <c r="L176" s="134" t="str">
        <f>IF(AND('331-CT'!$E$7=TH!H176,OR(J176="331",K176="331")),"x","")</f>
        <v/>
      </c>
    </row>
    <row r="177" spans="1:12" s="109" customFormat="1">
      <c r="A177" s="72">
        <f t="shared" si="9"/>
        <v>2013</v>
      </c>
      <c r="B177" s="72">
        <f t="shared" si="10"/>
        <v>2</v>
      </c>
      <c r="C177" s="73">
        <v>41311</v>
      </c>
      <c r="D177" s="73" t="s">
        <v>21</v>
      </c>
      <c r="E177" s="73">
        <f>C177</f>
        <v>41311</v>
      </c>
      <c r="F177" s="76" t="s">
        <v>3</v>
      </c>
      <c r="G177" s="265"/>
      <c r="H177" s="122"/>
      <c r="I177" s="74">
        <v>1500000</v>
      </c>
      <c r="J177" s="75" t="s">
        <v>54</v>
      </c>
      <c r="K177" s="75" t="s">
        <v>212</v>
      </c>
      <c r="L177" s="134" t="str">
        <f>IF(AND('331-CT'!$E$7=TH!H177,OR(J177="331",K177="331")),"x","")</f>
        <v/>
      </c>
    </row>
    <row r="178" spans="1:12" s="109" customFormat="1">
      <c r="A178" s="72">
        <f t="shared" si="9"/>
        <v>2013</v>
      </c>
      <c r="B178" s="72">
        <f t="shared" si="10"/>
        <v>2</v>
      </c>
      <c r="C178" s="107">
        <v>41311</v>
      </c>
      <c r="D178" s="73" t="s">
        <v>17</v>
      </c>
      <c r="E178" s="73">
        <v>41311</v>
      </c>
      <c r="F178" s="76" t="s">
        <v>3</v>
      </c>
      <c r="G178" s="265"/>
      <c r="H178" s="122"/>
      <c r="I178" s="74">
        <v>1500000</v>
      </c>
      <c r="J178" s="75" t="s">
        <v>219</v>
      </c>
      <c r="K178" s="75" t="s">
        <v>54</v>
      </c>
      <c r="L178" s="134" t="str">
        <f>IF(AND('331-CT'!$E$7=TH!H178,OR(J178="331",K178="331")),"x","")</f>
        <v/>
      </c>
    </row>
    <row r="179" spans="1:12" s="109" customFormat="1">
      <c r="A179" s="72">
        <f t="shared" si="9"/>
        <v>2013</v>
      </c>
      <c r="B179" s="72">
        <f t="shared" si="10"/>
        <v>2</v>
      </c>
      <c r="C179" s="107">
        <v>41311</v>
      </c>
      <c r="D179" s="73" t="s">
        <v>17</v>
      </c>
      <c r="E179" s="73">
        <v>41311</v>
      </c>
      <c r="F179" s="76" t="s">
        <v>34</v>
      </c>
      <c r="G179" s="265"/>
      <c r="H179" s="122"/>
      <c r="I179" s="74">
        <v>20000</v>
      </c>
      <c r="J179" s="75" t="s">
        <v>242</v>
      </c>
      <c r="K179" s="75" t="s">
        <v>54</v>
      </c>
      <c r="L179" s="134" t="str">
        <f>IF(AND('331-CT'!$E$7=TH!H179,OR(J179="331",K179="331")),"x","")</f>
        <v/>
      </c>
    </row>
    <row r="180" spans="1:12" s="109" customFormat="1">
      <c r="A180" s="72">
        <f t="shared" si="9"/>
        <v>2013</v>
      </c>
      <c r="B180" s="72">
        <f t="shared" si="10"/>
        <v>2</v>
      </c>
      <c r="C180" s="107">
        <v>41311</v>
      </c>
      <c r="D180" s="73" t="s">
        <v>17</v>
      </c>
      <c r="E180" s="73">
        <v>41311</v>
      </c>
      <c r="F180" s="76" t="s">
        <v>35</v>
      </c>
      <c r="G180" s="265"/>
      <c r="H180" s="122"/>
      <c r="I180" s="74">
        <v>2000</v>
      </c>
      <c r="J180" s="95" t="s">
        <v>242</v>
      </c>
      <c r="K180" s="75" t="s">
        <v>54</v>
      </c>
      <c r="L180" s="134" t="str">
        <f>IF(AND('331-CT'!$E$7=TH!H180,OR(J180="331",K180="331")),"x","")</f>
        <v/>
      </c>
    </row>
    <row r="181" spans="1:12" s="109" customFormat="1">
      <c r="A181" s="72">
        <f t="shared" si="9"/>
        <v>2013</v>
      </c>
      <c r="B181" s="72">
        <f t="shared" si="10"/>
        <v>3</v>
      </c>
      <c r="C181" s="73">
        <v>41351</v>
      </c>
      <c r="D181" s="73" t="s">
        <v>17</v>
      </c>
      <c r="E181" s="73">
        <v>41351</v>
      </c>
      <c r="F181" s="76" t="s">
        <v>49</v>
      </c>
      <c r="G181" s="265"/>
      <c r="H181" s="122"/>
      <c r="I181" s="74">
        <v>24000</v>
      </c>
      <c r="J181" s="75" t="s">
        <v>242</v>
      </c>
      <c r="K181" s="75" t="s">
        <v>54</v>
      </c>
      <c r="L181" s="134" t="str">
        <f>IF(AND('331-CT'!$E$7=TH!H181,OR(J181="331",K181="331")),"x","")</f>
        <v/>
      </c>
    </row>
    <row r="182" spans="1:12" s="109" customFormat="1">
      <c r="A182" s="72">
        <f t="shared" si="9"/>
        <v>2013</v>
      </c>
      <c r="B182" s="72">
        <f t="shared" si="10"/>
        <v>3</v>
      </c>
      <c r="C182" s="73">
        <v>41351</v>
      </c>
      <c r="D182" s="73" t="s">
        <v>17</v>
      </c>
      <c r="E182" s="73">
        <v>41351</v>
      </c>
      <c r="F182" s="76" t="s">
        <v>44</v>
      </c>
      <c r="G182" s="265"/>
      <c r="H182" s="122"/>
      <c r="I182" s="74">
        <v>2400</v>
      </c>
      <c r="J182" s="95" t="s">
        <v>242</v>
      </c>
      <c r="K182" s="75" t="s">
        <v>54</v>
      </c>
      <c r="L182" s="134" t="str">
        <f>IF(AND('331-CT'!$E$7=TH!H182,OR(J182="331",K182="331")),"x","")</f>
        <v/>
      </c>
    </row>
    <row r="183" spans="1:12" s="109" customFormat="1">
      <c r="A183" s="72">
        <f t="shared" si="9"/>
        <v>2013</v>
      </c>
      <c r="B183" s="72">
        <f t="shared" si="10"/>
        <v>3</v>
      </c>
      <c r="C183" s="73">
        <v>41351</v>
      </c>
      <c r="D183" s="73" t="s">
        <v>17</v>
      </c>
      <c r="E183" s="73">
        <v>41351</v>
      </c>
      <c r="F183" s="76" t="s">
        <v>48</v>
      </c>
      <c r="G183" s="265"/>
      <c r="H183" s="122"/>
      <c r="I183" s="74">
        <v>24000</v>
      </c>
      <c r="J183" s="75" t="s">
        <v>242</v>
      </c>
      <c r="K183" s="75" t="s">
        <v>54</v>
      </c>
      <c r="L183" s="134" t="str">
        <f>IF(AND('331-CT'!$E$7=TH!H183,OR(J183="331",K183="331")),"x","")</f>
        <v/>
      </c>
    </row>
    <row r="184" spans="1:12" s="109" customFormat="1">
      <c r="A184" s="72">
        <f t="shared" si="9"/>
        <v>2013</v>
      </c>
      <c r="B184" s="72">
        <f t="shared" si="10"/>
        <v>3</v>
      </c>
      <c r="C184" s="73">
        <v>41351</v>
      </c>
      <c r="D184" s="73" t="s">
        <v>17</v>
      </c>
      <c r="E184" s="73">
        <v>41351</v>
      </c>
      <c r="F184" s="76" t="s">
        <v>44</v>
      </c>
      <c r="G184" s="265"/>
      <c r="H184" s="122"/>
      <c r="I184" s="74">
        <v>2400</v>
      </c>
      <c r="J184" s="95" t="s">
        <v>242</v>
      </c>
      <c r="K184" s="75" t="s">
        <v>54</v>
      </c>
      <c r="L184" s="134" t="str">
        <f>IF(AND('331-CT'!$E$7=TH!H184,OR(J184="331",K184="331")),"x","")</f>
        <v/>
      </c>
    </row>
    <row r="185" spans="1:12" s="109" customFormat="1">
      <c r="A185" s="72">
        <f t="shared" si="9"/>
        <v>2013</v>
      </c>
      <c r="B185" s="72">
        <f t="shared" si="10"/>
        <v>3</v>
      </c>
      <c r="C185" s="107">
        <v>41351</v>
      </c>
      <c r="D185" s="73" t="s">
        <v>17</v>
      </c>
      <c r="E185" s="73">
        <v>41351</v>
      </c>
      <c r="F185" s="76" t="s">
        <v>47</v>
      </c>
      <c r="G185" s="265"/>
      <c r="H185" s="122"/>
      <c r="I185" s="74">
        <v>24000</v>
      </c>
      <c r="J185" s="75" t="s">
        <v>242</v>
      </c>
      <c r="K185" s="75" t="s">
        <v>54</v>
      </c>
      <c r="L185" s="134" t="str">
        <f>IF(AND('331-CT'!$E$7=TH!H185,OR(J185="331",K185="331")),"x","")</f>
        <v/>
      </c>
    </row>
    <row r="186" spans="1:12" s="109" customFormat="1">
      <c r="A186" s="72">
        <f t="shared" si="9"/>
        <v>2013</v>
      </c>
      <c r="B186" s="72">
        <f t="shared" si="10"/>
        <v>3</v>
      </c>
      <c r="C186" s="73">
        <v>41351</v>
      </c>
      <c r="D186" s="73" t="s">
        <v>17</v>
      </c>
      <c r="E186" s="73">
        <v>41351</v>
      </c>
      <c r="F186" s="76" t="s">
        <v>44</v>
      </c>
      <c r="G186" s="265"/>
      <c r="H186" s="122"/>
      <c r="I186" s="74">
        <v>2400</v>
      </c>
      <c r="J186" s="95" t="s">
        <v>242</v>
      </c>
      <c r="K186" s="75" t="s">
        <v>54</v>
      </c>
      <c r="L186" s="134" t="str">
        <f>IF(AND('331-CT'!$E$7=TH!H186,OR(J186="331",K186="331")),"x","")</f>
        <v/>
      </c>
    </row>
    <row r="187" spans="1:12" s="109" customFormat="1">
      <c r="A187" s="72">
        <f t="shared" si="9"/>
        <v>2013</v>
      </c>
      <c r="B187" s="72">
        <f t="shared" si="10"/>
        <v>6</v>
      </c>
      <c r="C187" s="73">
        <v>41443</v>
      </c>
      <c r="D187" s="73" t="s">
        <v>17</v>
      </c>
      <c r="E187" s="73">
        <v>41443</v>
      </c>
      <c r="F187" s="76" t="s">
        <v>49</v>
      </c>
      <c r="G187" s="265"/>
      <c r="H187" s="122"/>
      <c r="I187" s="74">
        <v>30000</v>
      </c>
      <c r="J187" s="75" t="s">
        <v>242</v>
      </c>
      <c r="K187" s="75" t="s">
        <v>54</v>
      </c>
      <c r="L187" s="134" t="str">
        <f>IF(AND('331-CT'!$E$7=TH!H187,OR(J187="331",K187="331")),"x","")</f>
        <v/>
      </c>
    </row>
    <row r="188" spans="1:12" s="109" customFormat="1">
      <c r="A188" s="72">
        <f t="shared" si="9"/>
        <v>2013</v>
      </c>
      <c r="B188" s="72">
        <f t="shared" si="10"/>
        <v>6</v>
      </c>
      <c r="C188" s="73">
        <v>41443</v>
      </c>
      <c r="D188" s="73" t="s">
        <v>17</v>
      </c>
      <c r="E188" s="73">
        <v>41443</v>
      </c>
      <c r="F188" s="76" t="s">
        <v>44</v>
      </c>
      <c r="G188" s="265"/>
      <c r="H188" s="122"/>
      <c r="I188" s="74">
        <v>3000</v>
      </c>
      <c r="J188" s="95" t="s">
        <v>242</v>
      </c>
      <c r="K188" s="75" t="s">
        <v>54</v>
      </c>
      <c r="L188" s="134" t="str">
        <f>IF(AND('331-CT'!$E$7=TH!H188,OR(J188="331",K188="331")),"x","")</f>
        <v/>
      </c>
    </row>
    <row r="189" spans="1:12" s="109" customFormat="1">
      <c r="A189" s="72">
        <f t="shared" si="9"/>
        <v>2013</v>
      </c>
      <c r="B189" s="72">
        <f t="shared" si="10"/>
        <v>6</v>
      </c>
      <c r="C189" s="73">
        <v>41443</v>
      </c>
      <c r="D189" s="73" t="s">
        <v>17</v>
      </c>
      <c r="E189" s="73">
        <v>41443</v>
      </c>
      <c r="F189" s="76" t="s">
        <v>48</v>
      </c>
      <c r="G189" s="265"/>
      <c r="H189" s="122"/>
      <c r="I189" s="74">
        <v>30000</v>
      </c>
      <c r="J189" s="75" t="s">
        <v>242</v>
      </c>
      <c r="K189" s="75" t="s">
        <v>54</v>
      </c>
      <c r="L189" s="134" t="str">
        <f>IF(AND('331-CT'!$E$7=TH!H189,OR(J189="331",K189="331")),"x","")</f>
        <v/>
      </c>
    </row>
    <row r="190" spans="1:12" s="109" customFormat="1">
      <c r="A190" s="72">
        <f t="shared" si="9"/>
        <v>2013</v>
      </c>
      <c r="B190" s="72">
        <f t="shared" si="10"/>
        <v>6</v>
      </c>
      <c r="C190" s="73">
        <v>41443</v>
      </c>
      <c r="D190" s="73" t="s">
        <v>17</v>
      </c>
      <c r="E190" s="73">
        <v>41443</v>
      </c>
      <c r="F190" s="76" t="s">
        <v>44</v>
      </c>
      <c r="G190" s="265"/>
      <c r="H190" s="122"/>
      <c r="I190" s="74">
        <v>3000</v>
      </c>
      <c r="J190" s="95" t="s">
        <v>242</v>
      </c>
      <c r="K190" s="75" t="s">
        <v>54</v>
      </c>
      <c r="L190" s="134" t="str">
        <f>IF(AND('331-CT'!$E$7=TH!H190,OR(J190="331",K190="331")),"x","")</f>
        <v/>
      </c>
    </row>
    <row r="191" spans="1:12" s="109" customFormat="1">
      <c r="A191" s="72">
        <f t="shared" si="9"/>
        <v>2013</v>
      </c>
      <c r="B191" s="72">
        <f t="shared" si="10"/>
        <v>6</v>
      </c>
      <c r="C191" s="73">
        <v>41443</v>
      </c>
      <c r="D191" s="73" t="s">
        <v>17</v>
      </c>
      <c r="E191" s="73">
        <v>41443</v>
      </c>
      <c r="F191" s="76" t="s">
        <v>47</v>
      </c>
      <c r="G191" s="265"/>
      <c r="H191" s="122"/>
      <c r="I191" s="74">
        <v>30000</v>
      </c>
      <c r="J191" s="75" t="s">
        <v>242</v>
      </c>
      <c r="K191" s="75" t="s">
        <v>54</v>
      </c>
      <c r="L191" s="134" t="str">
        <f>IF(AND('331-CT'!$E$7=TH!H191,OR(J191="331",K191="331")),"x","")</f>
        <v/>
      </c>
    </row>
    <row r="192" spans="1:12" s="109" customFormat="1">
      <c r="A192" s="72">
        <f t="shared" si="9"/>
        <v>2013</v>
      </c>
      <c r="B192" s="72">
        <f t="shared" si="10"/>
        <v>6</v>
      </c>
      <c r="C192" s="73">
        <v>41443</v>
      </c>
      <c r="D192" s="73" t="s">
        <v>17</v>
      </c>
      <c r="E192" s="73">
        <v>41443</v>
      </c>
      <c r="F192" s="76" t="s">
        <v>44</v>
      </c>
      <c r="G192" s="265"/>
      <c r="H192" s="122"/>
      <c r="I192" s="74">
        <v>3000</v>
      </c>
      <c r="J192" s="95" t="s">
        <v>242</v>
      </c>
      <c r="K192" s="75" t="s">
        <v>54</v>
      </c>
      <c r="L192" s="134" t="str">
        <f>IF(AND('331-CT'!$E$7=TH!H192,OR(J192="331",K192="331")),"x","")</f>
        <v/>
      </c>
    </row>
    <row r="193" spans="1:12" s="109" customFormat="1">
      <c r="A193" s="72">
        <f t="shared" si="9"/>
        <v>2013</v>
      </c>
      <c r="B193" s="72">
        <f t="shared" si="10"/>
        <v>7</v>
      </c>
      <c r="C193" s="73">
        <v>41456</v>
      </c>
      <c r="D193" s="73" t="s">
        <v>17</v>
      </c>
      <c r="E193" s="73">
        <v>41456</v>
      </c>
      <c r="F193" s="76" t="s">
        <v>41</v>
      </c>
      <c r="G193" s="265"/>
      <c r="H193" s="122"/>
      <c r="I193" s="74">
        <v>100000</v>
      </c>
      <c r="J193" s="75" t="s">
        <v>242</v>
      </c>
      <c r="K193" s="75" t="s">
        <v>54</v>
      </c>
      <c r="L193" s="134" t="str">
        <f>IF(AND('331-CT'!$E$7=TH!H193,OR(J193="331",K193="331")),"x","")</f>
        <v/>
      </c>
    </row>
    <row r="194" spans="1:12" s="109" customFormat="1">
      <c r="A194" s="72">
        <f t="shared" si="9"/>
        <v>2013</v>
      </c>
      <c r="B194" s="72">
        <f t="shared" si="10"/>
        <v>7</v>
      </c>
      <c r="C194" s="73">
        <v>41456</v>
      </c>
      <c r="D194" s="73" t="s">
        <v>17</v>
      </c>
      <c r="E194" s="73">
        <v>41456</v>
      </c>
      <c r="F194" s="76" t="s">
        <v>46</v>
      </c>
      <c r="G194" s="265"/>
      <c r="H194" s="122"/>
      <c r="I194" s="74">
        <v>10000</v>
      </c>
      <c r="J194" s="95" t="s">
        <v>242</v>
      </c>
      <c r="K194" s="75" t="s">
        <v>54</v>
      </c>
      <c r="L194" s="134" t="str">
        <f>IF(AND('331-CT'!$E$7=TH!H194,OR(J194="331",K194="331")),"x","")</f>
        <v/>
      </c>
    </row>
    <row r="195" spans="1:12" s="109" customFormat="1">
      <c r="A195" s="72">
        <f t="shared" si="9"/>
        <v>2013</v>
      </c>
      <c r="B195" s="72">
        <f t="shared" si="10"/>
        <v>9</v>
      </c>
      <c r="C195" s="107">
        <v>41535</v>
      </c>
      <c r="D195" s="73" t="s">
        <v>17</v>
      </c>
      <c r="E195" s="73">
        <v>41535</v>
      </c>
      <c r="F195" s="76" t="s">
        <v>49</v>
      </c>
      <c r="G195" s="265"/>
      <c r="H195" s="122"/>
      <c r="I195" s="74">
        <v>30000</v>
      </c>
      <c r="J195" s="75" t="s">
        <v>242</v>
      </c>
      <c r="K195" s="75" t="s">
        <v>54</v>
      </c>
      <c r="L195" s="134" t="str">
        <f>IF(AND('331-CT'!$E$7=TH!H195,OR(J195="331",K195="331")),"x","")</f>
        <v/>
      </c>
    </row>
    <row r="196" spans="1:12" s="109" customFormat="1">
      <c r="A196" s="72">
        <f t="shared" si="9"/>
        <v>2013</v>
      </c>
      <c r="B196" s="72">
        <f t="shared" si="10"/>
        <v>9</v>
      </c>
      <c r="C196" s="73">
        <v>41535</v>
      </c>
      <c r="D196" s="73" t="s">
        <v>17</v>
      </c>
      <c r="E196" s="73">
        <v>41535</v>
      </c>
      <c r="F196" s="76" t="s">
        <v>44</v>
      </c>
      <c r="G196" s="265"/>
      <c r="H196" s="122"/>
      <c r="I196" s="74">
        <v>3000</v>
      </c>
      <c r="J196" s="95" t="s">
        <v>242</v>
      </c>
      <c r="K196" s="75" t="s">
        <v>54</v>
      </c>
      <c r="L196" s="134" t="str">
        <f>IF(AND('331-CT'!$E$7=TH!H196,OR(J196="331",K196="331")),"x","")</f>
        <v/>
      </c>
    </row>
    <row r="197" spans="1:12" s="109" customFormat="1">
      <c r="A197" s="72">
        <f t="shared" si="9"/>
        <v>2013</v>
      </c>
      <c r="B197" s="72">
        <f t="shared" si="10"/>
        <v>9</v>
      </c>
      <c r="C197" s="73">
        <v>41535</v>
      </c>
      <c r="D197" s="73" t="s">
        <v>17</v>
      </c>
      <c r="E197" s="73">
        <v>41535</v>
      </c>
      <c r="F197" s="76" t="s">
        <v>48</v>
      </c>
      <c r="G197" s="265"/>
      <c r="H197" s="122"/>
      <c r="I197" s="74">
        <v>30000</v>
      </c>
      <c r="J197" s="75" t="s">
        <v>242</v>
      </c>
      <c r="K197" s="75" t="s">
        <v>54</v>
      </c>
      <c r="L197" s="134" t="str">
        <f>IF(AND('331-CT'!$E$7=TH!H197,OR(J197="331",K197="331")),"x","")</f>
        <v/>
      </c>
    </row>
    <row r="198" spans="1:12" s="109" customFormat="1">
      <c r="A198" s="72">
        <f t="shared" si="9"/>
        <v>2013</v>
      </c>
      <c r="B198" s="72">
        <f t="shared" si="10"/>
        <v>9</v>
      </c>
      <c r="C198" s="73">
        <v>41535</v>
      </c>
      <c r="D198" s="73" t="s">
        <v>17</v>
      </c>
      <c r="E198" s="73">
        <v>41535</v>
      </c>
      <c r="F198" s="76" t="s">
        <v>44</v>
      </c>
      <c r="G198" s="265"/>
      <c r="H198" s="122"/>
      <c r="I198" s="74">
        <v>3000</v>
      </c>
      <c r="J198" s="95" t="s">
        <v>242</v>
      </c>
      <c r="K198" s="75" t="s">
        <v>54</v>
      </c>
      <c r="L198" s="134" t="str">
        <f>IF(AND('331-CT'!$E$7=TH!H198,OR(J198="331",K198="331")),"x","")</f>
        <v/>
      </c>
    </row>
    <row r="199" spans="1:12" s="109" customFormat="1">
      <c r="A199" s="72">
        <f t="shared" si="9"/>
        <v>2013</v>
      </c>
      <c r="B199" s="72">
        <f t="shared" si="10"/>
        <v>9</v>
      </c>
      <c r="C199" s="73">
        <v>41535</v>
      </c>
      <c r="D199" s="73" t="s">
        <v>17</v>
      </c>
      <c r="E199" s="73">
        <v>41535</v>
      </c>
      <c r="F199" s="76" t="s">
        <v>47</v>
      </c>
      <c r="G199" s="265"/>
      <c r="H199" s="122"/>
      <c r="I199" s="74">
        <v>30000</v>
      </c>
      <c r="J199" s="75" t="s">
        <v>242</v>
      </c>
      <c r="K199" s="75" t="s">
        <v>54</v>
      </c>
      <c r="L199" s="134" t="str">
        <f>IF(AND('331-CT'!$E$7=TH!H199,OR(J199="331",K199="331")),"x","")</f>
        <v/>
      </c>
    </row>
    <row r="200" spans="1:12" s="109" customFormat="1">
      <c r="A200" s="72">
        <f t="shared" si="9"/>
        <v>2013</v>
      </c>
      <c r="B200" s="72">
        <f t="shared" si="10"/>
        <v>9</v>
      </c>
      <c r="C200" s="107">
        <v>41535</v>
      </c>
      <c r="D200" s="73" t="s">
        <v>17</v>
      </c>
      <c r="E200" s="73">
        <v>41535</v>
      </c>
      <c r="F200" s="76" t="s">
        <v>44</v>
      </c>
      <c r="G200" s="265"/>
      <c r="H200" s="122"/>
      <c r="I200" s="74">
        <v>3000</v>
      </c>
      <c r="J200" s="95" t="s">
        <v>242</v>
      </c>
      <c r="K200" s="75" t="s">
        <v>54</v>
      </c>
      <c r="L200" s="134" t="str">
        <f>IF(AND('331-CT'!$E$7=TH!H200,OR(J200="331",K200="331")),"x","")</f>
        <v/>
      </c>
    </row>
    <row r="201" spans="1:12" s="109" customFormat="1">
      <c r="A201" s="72">
        <f t="shared" si="9"/>
        <v>2013</v>
      </c>
      <c r="B201" s="72">
        <f t="shared" si="10"/>
        <v>12</v>
      </c>
      <c r="C201" s="107">
        <v>41626</v>
      </c>
      <c r="D201" s="73" t="s">
        <v>17</v>
      </c>
      <c r="E201" s="73">
        <v>41626</v>
      </c>
      <c r="F201" s="76" t="s">
        <v>49</v>
      </c>
      <c r="G201" s="265"/>
      <c r="H201" s="122"/>
      <c r="I201" s="74">
        <v>30000</v>
      </c>
      <c r="J201" s="75" t="s">
        <v>242</v>
      </c>
      <c r="K201" s="75" t="s">
        <v>54</v>
      </c>
      <c r="L201" s="134" t="str">
        <f>IF(AND('331-CT'!$E$7=TH!H201,OR(J201="331",K201="331")),"x","")</f>
        <v/>
      </c>
    </row>
    <row r="202" spans="1:12" s="109" customFormat="1">
      <c r="A202" s="72">
        <f t="shared" si="9"/>
        <v>2013</v>
      </c>
      <c r="B202" s="72">
        <f t="shared" si="10"/>
        <v>12</v>
      </c>
      <c r="C202" s="107">
        <v>41626</v>
      </c>
      <c r="D202" s="73" t="s">
        <v>17</v>
      </c>
      <c r="E202" s="73">
        <v>41626</v>
      </c>
      <c r="F202" s="76" t="s">
        <v>44</v>
      </c>
      <c r="G202" s="265"/>
      <c r="H202" s="122"/>
      <c r="I202" s="74">
        <v>3000</v>
      </c>
      <c r="J202" s="95" t="s">
        <v>242</v>
      </c>
      <c r="K202" s="75" t="s">
        <v>54</v>
      </c>
      <c r="L202" s="134" t="str">
        <f>IF(AND('331-CT'!$E$7=TH!H202,OR(J202="331",K202="331")),"x","")</f>
        <v/>
      </c>
    </row>
    <row r="203" spans="1:12" s="109" customFormat="1">
      <c r="A203" s="72">
        <f t="shared" si="9"/>
        <v>2013</v>
      </c>
      <c r="B203" s="72">
        <f t="shared" si="10"/>
        <v>12</v>
      </c>
      <c r="C203" s="107">
        <v>41626</v>
      </c>
      <c r="D203" s="73" t="s">
        <v>17</v>
      </c>
      <c r="E203" s="73">
        <v>41626</v>
      </c>
      <c r="F203" s="76" t="s">
        <v>48</v>
      </c>
      <c r="G203" s="265"/>
      <c r="H203" s="122"/>
      <c r="I203" s="74">
        <v>30000</v>
      </c>
      <c r="J203" s="75" t="s">
        <v>242</v>
      </c>
      <c r="K203" s="75" t="s">
        <v>54</v>
      </c>
      <c r="L203" s="134" t="str">
        <f>IF(AND('331-CT'!$E$7=TH!H203,OR(J203="331",K203="331")),"x","")</f>
        <v/>
      </c>
    </row>
    <row r="204" spans="1:12" s="109" customFormat="1">
      <c r="A204" s="72">
        <f t="shared" ref="A204:A267" si="11">IF(C204&lt;&gt;"",YEAR(C204),"")</f>
        <v>2013</v>
      </c>
      <c r="B204" s="72">
        <f t="shared" ref="B204:B267" si="12">IF(C204&lt;&gt;"",MONTH(C204),"")</f>
        <v>12</v>
      </c>
      <c r="C204" s="107">
        <v>41626</v>
      </c>
      <c r="D204" s="73" t="s">
        <v>17</v>
      </c>
      <c r="E204" s="73">
        <v>41626</v>
      </c>
      <c r="F204" s="76" t="s">
        <v>44</v>
      </c>
      <c r="G204" s="265"/>
      <c r="H204" s="122"/>
      <c r="I204" s="74">
        <v>3000</v>
      </c>
      <c r="J204" s="95" t="s">
        <v>242</v>
      </c>
      <c r="K204" s="75" t="s">
        <v>54</v>
      </c>
      <c r="L204" s="134" t="str">
        <f>IF(AND('331-CT'!$E$7=TH!H204,OR(J204="331",K204="331")),"x","")</f>
        <v/>
      </c>
    </row>
    <row r="205" spans="1:12" s="109" customFormat="1">
      <c r="A205" s="72">
        <f t="shared" si="11"/>
        <v>2013</v>
      </c>
      <c r="B205" s="72">
        <f t="shared" si="12"/>
        <v>12</v>
      </c>
      <c r="C205" s="107">
        <v>41626</v>
      </c>
      <c r="D205" s="73" t="s">
        <v>17</v>
      </c>
      <c r="E205" s="73">
        <v>41626</v>
      </c>
      <c r="F205" s="76" t="s">
        <v>47</v>
      </c>
      <c r="G205" s="265"/>
      <c r="H205" s="122"/>
      <c r="I205" s="74">
        <v>30000</v>
      </c>
      <c r="J205" s="75" t="s">
        <v>242</v>
      </c>
      <c r="K205" s="75" t="s">
        <v>54</v>
      </c>
      <c r="L205" s="134" t="str">
        <f>IF(AND('331-CT'!$E$7=TH!H205,OR(J205="331",K205="331")),"x","")</f>
        <v/>
      </c>
    </row>
    <row r="206" spans="1:12" s="109" customFormat="1">
      <c r="A206" s="72">
        <f t="shared" si="11"/>
        <v>2013</v>
      </c>
      <c r="B206" s="72">
        <f t="shared" si="12"/>
        <v>12</v>
      </c>
      <c r="C206" s="107">
        <v>41626</v>
      </c>
      <c r="D206" s="73" t="s">
        <v>17</v>
      </c>
      <c r="E206" s="73">
        <v>41626</v>
      </c>
      <c r="F206" s="76" t="s">
        <v>44</v>
      </c>
      <c r="G206" s="265"/>
      <c r="H206" s="122"/>
      <c r="I206" s="74">
        <v>3000</v>
      </c>
      <c r="J206" s="95" t="s">
        <v>242</v>
      </c>
      <c r="K206" s="75" t="s">
        <v>54</v>
      </c>
      <c r="L206" s="134" t="str">
        <f>IF(AND('331-CT'!$E$7=TH!H206,OR(J206="331",K206="331")),"x","")</f>
        <v/>
      </c>
    </row>
    <row r="207" spans="1:12" s="109" customFormat="1">
      <c r="A207" s="72">
        <f t="shared" si="11"/>
        <v>2014</v>
      </c>
      <c r="B207" s="72">
        <f t="shared" si="12"/>
        <v>1</v>
      </c>
      <c r="C207" s="107">
        <v>41641</v>
      </c>
      <c r="D207" s="73" t="s">
        <v>73</v>
      </c>
      <c r="E207" s="73">
        <v>41641</v>
      </c>
      <c r="F207" s="76" t="s">
        <v>577</v>
      </c>
      <c r="G207" s="265"/>
      <c r="H207" s="122" t="s">
        <v>267</v>
      </c>
      <c r="I207" s="74">
        <v>58000000</v>
      </c>
      <c r="J207" s="78" t="s">
        <v>39</v>
      </c>
      <c r="K207" s="75" t="s">
        <v>203</v>
      </c>
      <c r="L207" s="134" t="str">
        <f>IF(AND('331-CT'!$E$7=TH!H207,OR(J207="331",K207="331")),"x","")</f>
        <v/>
      </c>
    </row>
    <row r="208" spans="1:12" s="109" customFormat="1">
      <c r="A208" s="72">
        <f t="shared" si="11"/>
        <v>2014</v>
      </c>
      <c r="B208" s="72">
        <f t="shared" si="12"/>
        <v>1</v>
      </c>
      <c r="C208" s="73">
        <v>41641</v>
      </c>
      <c r="D208" s="73" t="s">
        <v>21</v>
      </c>
      <c r="E208" s="73">
        <v>41641</v>
      </c>
      <c r="F208" s="76" t="s">
        <v>45</v>
      </c>
      <c r="G208" s="265"/>
      <c r="H208" s="122" t="s">
        <v>267</v>
      </c>
      <c r="I208" s="74">
        <v>58000000</v>
      </c>
      <c r="J208" s="75" t="s">
        <v>54</v>
      </c>
      <c r="K208" s="75" t="s">
        <v>39</v>
      </c>
      <c r="L208" s="134" t="str">
        <f>IF(AND('331-CT'!$E$7=TH!H208,OR(J208="331",K208="331")),"x","")</f>
        <v/>
      </c>
    </row>
    <row r="209" spans="1:12" s="109" customFormat="1">
      <c r="A209" s="72">
        <f t="shared" si="11"/>
        <v>2014</v>
      </c>
      <c r="B209" s="72">
        <f t="shared" si="12"/>
        <v>1</v>
      </c>
      <c r="C209" s="73">
        <v>41641</v>
      </c>
      <c r="D209" s="73" t="s">
        <v>17</v>
      </c>
      <c r="E209" s="73">
        <v>41641</v>
      </c>
      <c r="F209" s="76" t="s">
        <v>8</v>
      </c>
      <c r="G209" s="265"/>
      <c r="H209" s="122" t="s">
        <v>86</v>
      </c>
      <c r="I209" s="74">
        <v>27500000</v>
      </c>
      <c r="J209" s="75" t="s">
        <v>18</v>
      </c>
      <c r="K209" s="75" t="s">
        <v>54</v>
      </c>
      <c r="L209" s="134" t="str">
        <f>IF(AND('331-CT'!$E$7=TH!H209,OR(J209="331",K209="331")),"x","")</f>
        <v/>
      </c>
    </row>
    <row r="210" spans="1:12" s="109" customFormat="1">
      <c r="A210" s="72">
        <f t="shared" si="11"/>
        <v>2014</v>
      </c>
      <c r="B210" s="72">
        <f t="shared" si="12"/>
        <v>1</v>
      </c>
      <c r="C210" s="73">
        <v>41641</v>
      </c>
      <c r="D210" s="73" t="s">
        <v>17</v>
      </c>
      <c r="E210" s="73">
        <v>41641</v>
      </c>
      <c r="F210" s="93" t="s">
        <v>34</v>
      </c>
      <c r="G210" s="265"/>
      <c r="H210" s="120"/>
      <c r="I210" s="74">
        <v>20000</v>
      </c>
      <c r="J210" s="75" t="s">
        <v>242</v>
      </c>
      <c r="K210" s="75" t="s">
        <v>54</v>
      </c>
      <c r="L210" s="134" t="str">
        <f>IF(AND('331-CT'!$E$7=TH!H210,OR(J210="331",K210="331")),"x","")</f>
        <v/>
      </c>
    </row>
    <row r="211" spans="1:12" s="109" customFormat="1">
      <c r="A211" s="72">
        <f t="shared" si="11"/>
        <v>2014</v>
      </c>
      <c r="B211" s="72">
        <f t="shared" si="12"/>
        <v>1</v>
      </c>
      <c r="C211" s="107">
        <v>41641</v>
      </c>
      <c r="D211" s="73" t="s">
        <v>17</v>
      </c>
      <c r="E211" s="73">
        <v>41641</v>
      </c>
      <c r="F211" s="76" t="s">
        <v>35</v>
      </c>
      <c r="G211" s="265"/>
      <c r="H211" s="120"/>
      <c r="I211" s="74">
        <v>2000</v>
      </c>
      <c r="J211" s="75" t="s">
        <v>19</v>
      </c>
      <c r="K211" s="75" t="s">
        <v>54</v>
      </c>
      <c r="L211" s="134" t="str">
        <f>IF(AND('331-CT'!$E$7=TH!H211,OR(J211="331",K211="331")),"x","")</f>
        <v/>
      </c>
    </row>
    <row r="212" spans="1:12" s="109" customFormat="1">
      <c r="A212" s="72">
        <f t="shared" si="11"/>
        <v>2014</v>
      </c>
      <c r="B212" s="72">
        <f t="shared" si="12"/>
        <v>1</v>
      </c>
      <c r="C212" s="73">
        <v>41641</v>
      </c>
      <c r="D212" s="73" t="s">
        <v>17</v>
      </c>
      <c r="E212" s="73">
        <v>41641</v>
      </c>
      <c r="F212" s="76" t="s">
        <v>114</v>
      </c>
      <c r="G212" s="265"/>
      <c r="H212" s="122" t="s">
        <v>83</v>
      </c>
      <c r="I212" s="74">
        <v>29920000</v>
      </c>
      <c r="J212" s="75" t="s">
        <v>246</v>
      </c>
      <c r="K212" s="75" t="s">
        <v>54</v>
      </c>
      <c r="L212" s="134" t="str">
        <f>IF(AND('331-CT'!$E$7=TH!H212,OR(J212="331",K212="331")),"x","")</f>
        <v/>
      </c>
    </row>
    <row r="213" spans="1:12" s="109" customFormat="1">
      <c r="A213" s="72">
        <f t="shared" si="11"/>
        <v>2014</v>
      </c>
      <c r="B213" s="72">
        <f t="shared" si="12"/>
        <v>1</v>
      </c>
      <c r="C213" s="73">
        <v>41641</v>
      </c>
      <c r="D213" s="73" t="s">
        <v>17</v>
      </c>
      <c r="E213" s="73">
        <v>41641</v>
      </c>
      <c r="F213" s="76" t="s">
        <v>34</v>
      </c>
      <c r="G213" s="265"/>
      <c r="H213" s="122"/>
      <c r="I213" s="74">
        <v>20000</v>
      </c>
      <c r="J213" s="75" t="s">
        <v>242</v>
      </c>
      <c r="K213" s="75" t="s">
        <v>54</v>
      </c>
      <c r="L213" s="134" t="str">
        <f>IF(AND('331-CT'!$E$7=TH!H213,OR(J213="331",K213="331")),"x","")</f>
        <v/>
      </c>
    </row>
    <row r="214" spans="1:12" s="109" customFormat="1">
      <c r="A214" s="72">
        <f t="shared" si="11"/>
        <v>2014</v>
      </c>
      <c r="B214" s="72">
        <f t="shared" si="12"/>
        <v>1</v>
      </c>
      <c r="C214" s="73">
        <v>41641</v>
      </c>
      <c r="D214" s="73" t="s">
        <v>17</v>
      </c>
      <c r="E214" s="73">
        <v>41641</v>
      </c>
      <c r="F214" s="76" t="s">
        <v>35</v>
      </c>
      <c r="G214" s="265"/>
      <c r="H214" s="122"/>
      <c r="I214" s="74">
        <v>2000</v>
      </c>
      <c r="J214" s="75" t="s">
        <v>19</v>
      </c>
      <c r="K214" s="75" t="s">
        <v>54</v>
      </c>
      <c r="L214" s="134" t="str">
        <f>IF(AND('331-CT'!$E$7=TH!H214,OR(J214="331",K214="331")),"x","")</f>
        <v/>
      </c>
    </row>
    <row r="215" spans="1:12" s="109" customFormat="1">
      <c r="A215" s="72">
        <f t="shared" si="11"/>
        <v>2014</v>
      </c>
      <c r="B215" s="72">
        <f t="shared" si="12"/>
        <v>1</v>
      </c>
      <c r="C215" s="73">
        <v>41653</v>
      </c>
      <c r="D215" s="73" t="s">
        <v>92</v>
      </c>
      <c r="E215" s="73">
        <v>41653</v>
      </c>
      <c r="F215" s="76" t="s">
        <v>577</v>
      </c>
      <c r="G215" s="265"/>
      <c r="H215" s="122" t="s">
        <v>267</v>
      </c>
      <c r="I215" s="74">
        <v>379000000</v>
      </c>
      <c r="J215" s="75" t="s">
        <v>39</v>
      </c>
      <c r="K215" s="75" t="s">
        <v>203</v>
      </c>
      <c r="L215" s="134" t="str">
        <f>IF(AND('331-CT'!$E$7=TH!H215,OR(J215="331",K215="331")),"x","")</f>
        <v/>
      </c>
    </row>
    <row r="216" spans="1:12" s="109" customFormat="1">
      <c r="A216" s="72">
        <f t="shared" si="11"/>
        <v>2014</v>
      </c>
      <c r="B216" s="72">
        <f t="shared" si="12"/>
        <v>1</v>
      </c>
      <c r="C216" s="73">
        <v>41653</v>
      </c>
      <c r="D216" s="73" t="s">
        <v>21</v>
      </c>
      <c r="E216" s="73">
        <v>41653</v>
      </c>
      <c r="F216" s="93" t="s">
        <v>45</v>
      </c>
      <c r="G216" s="265"/>
      <c r="H216" s="122" t="s">
        <v>267</v>
      </c>
      <c r="I216" s="74">
        <v>379000000</v>
      </c>
      <c r="J216" s="75" t="s">
        <v>54</v>
      </c>
      <c r="K216" s="75" t="s">
        <v>39</v>
      </c>
      <c r="L216" s="134" t="str">
        <f>IF(AND('331-CT'!$E$7=TH!H216,OR(J216="331",K216="331")),"x","")</f>
        <v/>
      </c>
    </row>
    <row r="217" spans="1:12" s="109" customFormat="1">
      <c r="A217" s="72">
        <f t="shared" si="11"/>
        <v>2014</v>
      </c>
      <c r="B217" s="72">
        <f t="shared" si="12"/>
        <v>1</v>
      </c>
      <c r="C217" s="73">
        <v>41653</v>
      </c>
      <c r="D217" s="73" t="s">
        <v>17</v>
      </c>
      <c r="E217" s="73">
        <v>41653</v>
      </c>
      <c r="F217" s="76" t="s">
        <v>34</v>
      </c>
      <c r="G217" s="265"/>
      <c r="H217" s="122"/>
      <c r="I217" s="74">
        <v>113634</v>
      </c>
      <c r="J217" s="75" t="s">
        <v>242</v>
      </c>
      <c r="K217" s="75" t="s">
        <v>54</v>
      </c>
      <c r="L217" s="134" t="str">
        <f>IF(AND('331-CT'!$E$7=TH!H217,OR(J217="331",K217="331")),"x","")</f>
        <v/>
      </c>
    </row>
    <row r="218" spans="1:12" s="109" customFormat="1">
      <c r="A218" s="72">
        <f t="shared" si="11"/>
        <v>2014</v>
      </c>
      <c r="B218" s="72">
        <f t="shared" si="12"/>
        <v>1</v>
      </c>
      <c r="C218" s="73">
        <v>41653</v>
      </c>
      <c r="D218" s="73" t="s">
        <v>17</v>
      </c>
      <c r="E218" s="73">
        <v>41653</v>
      </c>
      <c r="F218" s="76" t="s">
        <v>35</v>
      </c>
      <c r="G218" s="265"/>
      <c r="H218" s="122"/>
      <c r="I218" s="74">
        <v>11363</v>
      </c>
      <c r="J218" s="75" t="s">
        <v>19</v>
      </c>
      <c r="K218" s="75" t="s">
        <v>54</v>
      </c>
      <c r="L218" s="134" t="str">
        <f>IF(AND('331-CT'!$E$7=TH!H218,OR(J218="331",K218="331")),"x","")</f>
        <v/>
      </c>
    </row>
    <row r="219" spans="1:12" s="109" customFormat="1">
      <c r="A219" s="72">
        <f t="shared" si="11"/>
        <v>2014</v>
      </c>
      <c r="B219" s="72">
        <f t="shared" si="12"/>
        <v>1</v>
      </c>
      <c r="C219" s="73">
        <v>41653</v>
      </c>
      <c r="D219" s="73" t="s">
        <v>78</v>
      </c>
      <c r="E219" s="73">
        <v>41653</v>
      </c>
      <c r="F219" s="76" t="s">
        <v>117</v>
      </c>
      <c r="G219" s="265" t="s">
        <v>562</v>
      </c>
      <c r="H219" s="122" t="s">
        <v>83</v>
      </c>
      <c r="I219" s="74">
        <v>27200000</v>
      </c>
      <c r="J219" s="75" t="s">
        <v>242</v>
      </c>
      <c r="K219" s="75" t="s">
        <v>18</v>
      </c>
      <c r="L219" s="134" t="str">
        <f>IF(AND('331-CT'!$E$7=TH!H219,OR(J219="331",K219="331")),"x","")</f>
        <v/>
      </c>
    </row>
    <row r="220" spans="1:12" s="109" customFormat="1">
      <c r="A220" s="72">
        <f t="shared" si="11"/>
        <v>2014</v>
      </c>
      <c r="B220" s="72">
        <f t="shared" si="12"/>
        <v>1</v>
      </c>
      <c r="C220" s="73">
        <v>41653</v>
      </c>
      <c r="D220" s="73" t="s">
        <v>78</v>
      </c>
      <c r="E220" s="73">
        <v>41653</v>
      </c>
      <c r="F220" s="76" t="s">
        <v>84</v>
      </c>
      <c r="G220" s="265" t="s">
        <v>562</v>
      </c>
      <c r="H220" s="122" t="s">
        <v>83</v>
      </c>
      <c r="I220" s="74">
        <v>2720000</v>
      </c>
      <c r="J220" s="75" t="s">
        <v>19</v>
      </c>
      <c r="K220" s="75" t="s">
        <v>18</v>
      </c>
      <c r="L220" s="134" t="str">
        <f>IF(AND('331-CT'!$E$7=TH!H220,OR(J220="331",K220="331")),"x","")</f>
        <v/>
      </c>
    </row>
    <row r="221" spans="1:12" s="109" customFormat="1">
      <c r="A221" s="72">
        <f t="shared" si="11"/>
        <v>2014</v>
      </c>
      <c r="B221" s="72">
        <f t="shared" si="12"/>
        <v>1</v>
      </c>
      <c r="C221" s="73">
        <v>41660</v>
      </c>
      <c r="D221" s="73" t="s">
        <v>93</v>
      </c>
      <c r="E221" s="73">
        <v>41660</v>
      </c>
      <c r="F221" s="76" t="s">
        <v>577</v>
      </c>
      <c r="G221" s="265"/>
      <c r="H221" s="122" t="s">
        <v>267</v>
      </c>
      <c r="I221" s="74">
        <v>1500000</v>
      </c>
      <c r="J221" s="75" t="s">
        <v>39</v>
      </c>
      <c r="K221" s="75" t="s">
        <v>203</v>
      </c>
      <c r="L221" s="134" t="str">
        <f>IF(AND('331-CT'!$E$7=TH!H221,OR(J221="331",K221="331")),"x","")</f>
        <v/>
      </c>
    </row>
    <row r="222" spans="1:12" s="109" customFormat="1">
      <c r="A222" s="72">
        <f t="shared" si="11"/>
        <v>2014</v>
      </c>
      <c r="B222" s="72">
        <f t="shared" si="12"/>
        <v>1</v>
      </c>
      <c r="C222" s="107">
        <v>41660</v>
      </c>
      <c r="D222" s="73" t="s">
        <v>21</v>
      </c>
      <c r="E222" s="73">
        <v>41660</v>
      </c>
      <c r="F222" s="76" t="s">
        <v>45</v>
      </c>
      <c r="G222" s="265"/>
      <c r="H222" s="122" t="s">
        <v>267</v>
      </c>
      <c r="I222" s="74">
        <v>1500000</v>
      </c>
      <c r="J222" s="75" t="s">
        <v>54</v>
      </c>
      <c r="K222" s="75" t="s">
        <v>39</v>
      </c>
      <c r="L222" s="134" t="str">
        <f>IF(AND('331-CT'!$E$7=TH!H222,OR(J222="331",K222="331")),"x","")</f>
        <v/>
      </c>
    </row>
    <row r="223" spans="1:12" s="109" customFormat="1">
      <c r="A223" s="72">
        <f t="shared" si="11"/>
        <v>2014</v>
      </c>
      <c r="B223" s="72">
        <f t="shared" si="12"/>
        <v>1</v>
      </c>
      <c r="C223" s="107">
        <v>41660</v>
      </c>
      <c r="D223" s="73" t="s">
        <v>78</v>
      </c>
      <c r="E223" s="73">
        <v>41660</v>
      </c>
      <c r="F223" s="76" t="s">
        <v>7</v>
      </c>
      <c r="G223" s="265"/>
      <c r="H223" s="122"/>
      <c r="I223" s="74">
        <v>1500000</v>
      </c>
      <c r="J223" s="75" t="s">
        <v>242</v>
      </c>
      <c r="K223" s="75" t="s">
        <v>219</v>
      </c>
      <c r="L223" s="134" t="str">
        <f>IF(AND('331-CT'!$E$7=TH!H223,OR(J223="331",K223="331")),"x","")</f>
        <v/>
      </c>
    </row>
    <row r="224" spans="1:12" s="109" customFormat="1">
      <c r="A224" s="72">
        <f t="shared" si="11"/>
        <v>2014</v>
      </c>
      <c r="B224" s="72">
        <f t="shared" si="12"/>
        <v>1</v>
      </c>
      <c r="C224" s="107">
        <v>41660</v>
      </c>
      <c r="D224" s="73" t="s">
        <v>17</v>
      </c>
      <c r="E224" s="73">
        <v>41660</v>
      </c>
      <c r="F224" s="76" t="s">
        <v>7</v>
      </c>
      <c r="G224" s="265"/>
      <c r="H224" s="122"/>
      <c r="I224" s="74">
        <v>1500000</v>
      </c>
      <c r="J224" s="75" t="s">
        <v>219</v>
      </c>
      <c r="K224" s="75" t="s">
        <v>54</v>
      </c>
      <c r="L224" s="134" t="str">
        <f>IF(AND('331-CT'!$E$7=TH!H224,OR(J224="331",K224="331")),"x","")</f>
        <v/>
      </c>
    </row>
    <row r="225" spans="1:12" s="109" customFormat="1">
      <c r="A225" s="72">
        <f t="shared" si="11"/>
        <v>2014</v>
      </c>
      <c r="B225" s="72">
        <f t="shared" si="12"/>
        <v>1</v>
      </c>
      <c r="C225" s="73">
        <v>41660</v>
      </c>
      <c r="D225" s="73" t="s">
        <v>17</v>
      </c>
      <c r="E225" s="73">
        <v>41660</v>
      </c>
      <c r="F225" s="76" t="s">
        <v>34</v>
      </c>
      <c r="G225" s="265"/>
      <c r="H225" s="122"/>
      <c r="I225" s="74">
        <v>20000</v>
      </c>
      <c r="J225" s="75" t="s">
        <v>242</v>
      </c>
      <c r="K225" s="75" t="s">
        <v>54</v>
      </c>
      <c r="L225" s="134" t="str">
        <f>IF(AND('331-CT'!$E$7=TH!H225,OR(J225="331",K225="331")),"x","")</f>
        <v/>
      </c>
    </row>
    <row r="226" spans="1:12" s="109" customFormat="1">
      <c r="A226" s="72">
        <f t="shared" si="11"/>
        <v>2014</v>
      </c>
      <c r="B226" s="72">
        <f t="shared" si="12"/>
        <v>1</v>
      </c>
      <c r="C226" s="73">
        <v>41660</v>
      </c>
      <c r="D226" s="73" t="s">
        <v>17</v>
      </c>
      <c r="E226" s="73">
        <v>41660</v>
      </c>
      <c r="F226" s="76" t="s">
        <v>35</v>
      </c>
      <c r="G226" s="265"/>
      <c r="H226" s="122"/>
      <c r="I226" s="74">
        <v>2000</v>
      </c>
      <c r="J226" s="75" t="s">
        <v>19</v>
      </c>
      <c r="K226" s="75" t="s">
        <v>54</v>
      </c>
      <c r="L226" s="134" t="str">
        <f>IF(AND('331-CT'!$E$7=TH!H226,OR(J226="331",K226="331")),"x","")</f>
        <v/>
      </c>
    </row>
    <row r="227" spans="1:12" s="109" customFormat="1">
      <c r="A227" s="72">
        <f t="shared" si="11"/>
        <v>2014</v>
      </c>
      <c r="B227" s="72">
        <f t="shared" si="12"/>
        <v>1</v>
      </c>
      <c r="C227" s="107">
        <v>41664</v>
      </c>
      <c r="D227" s="73" t="s">
        <v>72</v>
      </c>
      <c r="E227" s="73">
        <v>41664</v>
      </c>
      <c r="F227" s="76" t="s">
        <v>576</v>
      </c>
      <c r="G227" s="265"/>
      <c r="H227" s="122" t="s">
        <v>574</v>
      </c>
      <c r="I227" s="74">
        <v>64000000</v>
      </c>
      <c r="J227" s="78" t="s">
        <v>54</v>
      </c>
      <c r="K227" s="75" t="s">
        <v>203</v>
      </c>
      <c r="L227" s="134" t="str">
        <f>IF(AND('331-CT'!$E$7=TH!H227,OR(J227="331",K227="331")),"x","")</f>
        <v/>
      </c>
    </row>
    <row r="228" spans="1:12" s="109" customFormat="1">
      <c r="A228" s="72">
        <f t="shared" si="11"/>
        <v>2014</v>
      </c>
      <c r="B228" s="72">
        <f t="shared" si="12"/>
        <v>1</v>
      </c>
      <c r="C228" s="73">
        <v>41664</v>
      </c>
      <c r="D228" s="73" t="s">
        <v>17</v>
      </c>
      <c r="E228" s="73">
        <v>41664</v>
      </c>
      <c r="F228" s="76" t="s">
        <v>6</v>
      </c>
      <c r="G228" s="265"/>
      <c r="H228" s="122" t="s">
        <v>89</v>
      </c>
      <c r="I228" s="74">
        <v>43824000</v>
      </c>
      <c r="J228" s="75" t="s">
        <v>18</v>
      </c>
      <c r="K228" s="75" t="s">
        <v>54</v>
      </c>
      <c r="L228" s="134" t="str">
        <f>IF(AND('331-CT'!$E$7=TH!H228,OR(J228="331",K228="331")),"x","")</f>
        <v/>
      </c>
    </row>
    <row r="229" spans="1:12" s="109" customFormat="1">
      <c r="A229" s="72">
        <f t="shared" si="11"/>
        <v>2014</v>
      </c>
      <c r="B229" s="72">
        <f t="shared" si="12"/>
        <v>1</v>
      </c>
      <c r="C229" s="73">
        <v>41664</v>
      </c>
      <c r="D229" s="73" t="s">
        <v>17</v>
      </c>
      <c r="E229" s="73">
        <v>41664</v>
      </c>
      <c r="F229" s="76" t="s">
        <v>34</v>
      </c>
      <c r="G229" s="265"/>
      <c r="H229" s="122"/>
      <c r="I229" s="74">
        <v>30000</v>
      </c>
      <c r="J229" s="75" t="s">
        <v>242</v>
      </c>
      <c r="K229" s="75" t="s">
        <v>54</v>
      </c>
      <c r="L229" s="134" t="str">
        <f>IF(AND('331-CT'!$E$7=TH!H229,OR(J229="331",K229="331")),"x","")</f>
        <v/>
      </c>
    </row>
    <row r="230" spans="1:12" s="109" customFormat="1">
      <c r="A230" s="72">
        <f t="shared" si="11"/>
        <v>2014</v>
      </c>
      <c r="B230" s="72">
        <f t="shared" si="12"/>
        <v>1</v>
      </c>
      <c r="C230" s="107">
        <v>41664</v>
      </c>
      <c r="D230" s="73" t="s">
        <v>17</v>
      </c>
      <c r="E230" s="73">
        <v>41664</v>
      </c>
      <c r="F230" s="76" t="s">
        <v>35</v>
      </c>
      <c r="G230" s="265"/>
      <c r="H230" s="122"/>
      <c r="I230" s="74">
        <v>3000</v>
      </c>
      <c r="J230" s="78" t="s">
        <v>19</v>
      </c>
      <c r="K230" s="75" t="s">
        <v>54</v>
      </c>
      <c r="L230" s="134" t="str">
        <f>IF(AND('331-CT'!$E$7=TH!H230,OR(J230="331",K230="331")),"x","")</f>
        <v/>
      </c>
    </row>
    <row r="231" spans="1:12" s="109" customFormat="1">
      <c r="A231" s="72">
        <f t="shared" si="11"/>
        <v>2014</v>
      </c>
      <c r="B231" s="72">
        <f t="shared" si="12"/>
        <v>1</v>
      </c>
      <c r="C231" s="73">
        <v>41664</v>
      </c>
      <c r="D231" s="73" t="s">
        <v>17</v>
      </c>
      <c r="E231" s="73">
        <v>41664</v>
      </c>
      <c r="F231" s="76" t="s">
        <v>5</v>
      </c>
      <c r="G231" s="265"/>
      <c r="H231" s="122" t="s">
        <v>91</v>
      </c>
      <c r="I231" s="74">
        <v>20000000</v>
      </c>
      <c r="J231" s="75" t="s">
        <v>18</v>
      </c>
      <c r="K231" s="75" t="s">
        <v>54</v>
      </c>
      <c r="L231" s="134" t="str">
        <f>IF(AND('331-CT'!$E$7=TH!H231,OR(J231="331",K231="331")),"x","")</f>
        <v/>
      </c>
    </row>
    <row r="232" spans="1:12" s="109" customFormat="1">
      <c r="A232" s="72">
        <f t="shared" si="11"/>
        <v>2014</v>
      </c>
      <c r="B232" s="72">
        <f t="shared" si="12"/>
        <v>1</v>
      </c>
      <c r="C232" s="73">
        <v>41664</v>
      </c>
      <c r="D232" s="73" t="s">
        <v>17</v>
      </c>
      <c r="E232" s="73">
        <v>41664</v>
      </c>
      <c r="F232" s="76" t="s">
        <v>34</v>
      </c>
      <c r="G232" s="265"/>
      <c r="H232" s="122"/>
      <c r="I232" s="74">
        <v>22804</v>
      </c>
      <c r="J232" s="75" t="s">
        <v>242</v>
      </c>
      <c r="K232" s="75" t="s">
        <v>54</v>
      </c>
      <c r="L232" s="134" t="str">
        <f>IF(AND('331-CT'!$E$7=TH!H232,OR(J232="331",K232="331")),"x","")</f>
        <v/>
      </c>
    </row>
    <row r="233" spans="1:12" s="109" customFormat="1">
      <c r="A233" s="72">
        <f t="shared" si="11"/>
        <v>2014</v>
      </c>
      <c r="B233" s="72">
        <f t="shared" si="12"/>
        <v>1</v>
      </c>
      <c r="C233" s="107">
        <v>41664</v>
      </c>
      <c r="D233" s="73" t="s">
        <v>17</v>
      </c>
      <c r="E233" s="73">
        <v>41664</v>
      </c>
      <c r="F233" s="76" t="s">
        <v>35</v>
      </c>
      <c r="G233" s="265"/>
      <c r="H233" s="122"/>
      <c r="I233" s="74">
        <v>2280</v>
      </c>
      <c r="J233" s="75" t="s">
        <v>19</v>
      </c>
      <c r="K233" s="75" t="s">
        <v>54</v>
      </c>
      <c r="L233" s="134" t="str">
        <f>IF(AND('331-CT'!$E$7=TH!H233,OR(J233="331",K233="331")),"x","")</f>
        <v/>
      </c>
    </row>
    <row r="234" spans="1:12" s="109" customFormat="1">
      <c r="A234" s="72">
        <f t="shared" si="11"/>
        <v>2014</v>
      </c>
      <c r="B234" s="72">
        <f t="shared" si="12"/>
        <v>3</v>
      </c>
      <c r="C234" s="73">
        <v>41699</v>
      </c>
      <c r="D234" s="73" t="s">
        <v>71</v>
      </c>
      <c r="E234" s="73">
        <v>41699</v>
      </c>
      <c r="F234" s="93" t="s">
        <v>576</v>
      </c>
      <c r="G234" s="265"/>
      <c r="H234" s="120" t="s">
        <v>575</v>
      </c>
      <c r="I234" s="74">
        <v>76500000</v>
      </c>
      <c r="J234" s="75" t="s">
        <v>54</v>
      </c>
      <c r="K234" s="75" t="s">
        <v>203</v>
      </c>
      <c r="L234" s="134" t="str">
        <f>IF(AND('331-CT'!$E$7=TH!H234,OR(J234="331",K234="331")),"x","")</f>
        <v/>
      </c>
    </row>
    <row r="235" spans="1:12" s="109" customFormat="1">
      <c r="A235" s="72">
        <f t="shared" si="11"/>
        <v>2014</v>
      </c>
      <c r="B235" s="72">
        <f t="shared" si="12"/>
        <v>3</v>
      </c>
      <c r="C235" s="107">
        <v>41699</v>
      </c>
      <c r="D235" s="73" t="s">
        <v>17</v>
      </c>
      <c r="E235" s="73">
        <v>41699</v>
      </c>
      <c r="F235" s="76" t="s">
        <v>6</v>
      </c>
      <c r="G235" s="265"/>
      <c r="H235" s="120" t="s">
        <v>89</v>
      </c>
      <c r="I235" s="74">
        <v>76462320</v>
      </c>
      <c r="J235" s="75" t="s">
        <v>18</v>
      </c>
      <c r="K235" s="75" t="s">
        <v>54</v>
      </c>
      <c r="L235" s="134" t="str">
        <f>IF(AND('331-CT'!$E$7=TH!H235,OR(J235="331",K235="331")),"x","")</f>
        <v/>
      </c>
    </row>
    <row r="236" spans="1:12" s="109" customFormat="1">
      <c r="A236" s="72">
        <f t="shared" si="11"/>
        <v>2014</v>
      </c>
      <c r="B236" s="72">
        <f t="shared" si="12"/>
        <v>3</v>
      </c>
      <c r="C236" s="73">
        <v>41699</v>
      </c>
      <c r="D236" s="73" t="s">
        <v>17</v>
      </c>
      <c r="E236" s="73">
        <v>41699</v>
      </c>
      <c r="F236" s="76" t="s">
        <v>34</v>
      </c>
      <c r="G236" s="265"/>
      <c r="H236" s="122"/>
      <c r="I236" s="74">
        <v>32561</v>
      </c>
      <c r="J236" s="75" t="s">
        <v>242</v>
      </c>
      <c r="K236" s="75" t="s">
        <v>54</v>
      </c>
      <c r="L236" s="134" t="str">
        <f>IF(AND('331-CT'!$E$7=TH!H236,OR(J236="331",K236="331")),"x","")</f>
        <v/>
      </c>
    </row>
    <row r="237" spans="1:12" s="109" customFormat="1">
      <c r="A237" s="72">
        <f t="shared" si="11"/>
        <v>2014</v>
      </c>
      <c r="B237" s="72">
        <f t="shared" si="12"/>
        <v>3</v>
      </c>
      <c r="C237" s="73">
        <v>41699</v>
      </c>
      <c r="D237" s="73" t="s">
        <v>17</v>
      </c>
      <c r="E237" s="73">
        <v>41699</v>
      </c>
      <c r="F237" s="76" t="s">
        <v>35</v>
      </c>
      <c r="G237" s="265"/>
      <c r="H237" s="122"/>
      <c r="I237" s="74">
        <v>3256</v>
      </c>
      <c r="J237" s="75" t="s">
        <v>19</v>
      </c>
      <c r="K237" s="75" t="s">
        <v>54</v>
      </c>
      <c r="L237" s="134" t="str">
        <f>IF(AND('331-CT'!$E$7=TH!H237,OR(J237="331",K237="331")),"x","")</f>
        <v/>
      </c>
    </row>
    <row r="238" spans="1:12" s="109" customFormat="1">
      <c r="A238" s="72">
        <f t="shared" si="11"/>
        <v>2014</v>
      </c>
      <c r="B238" s="72">
        <f t="shared" si="12"/>
        <v>3</v>
      </c>
      <c r="C238" s="73">
        <v>41717</v>
      </c>
      <c r="D238" s="73" t="s">
        <v>17</v>
      </c>
      <c r="E238" s="73">
        <v>41717</v>
      </c>
      <c r="F238" s="76" t="s">
        <v>49</v>
      </c>
      <c r="G238" s="265"/>
      <c r="H238" s="122"/>
      <c r="I238" s="74">
        <v>30000</v>
      </c>
      <c r="J238" s="75" t="s">
        <v>242</v>
      </c>
      <c r="K238" s="75" t="s">
        <v>54</v>
      </c>
      <c r="L238" s="134" t="str">
        <f>IF(AND('331-CT'!$E$7=TH!H238,OR(J238="331",K238="331")),"x","")</f>
        <v/>
      </c>
    </row>
    <row r="239" spans="1:12" s="109" customFormat="1">
      <c r="A239" s="72">
        <f t="shared" si="11"/>
        <v>2014</v>
      </c>
      <c r="B239" s="72">
        <f t="shared" si="12"/>
        <v>3</v>
      </c>
      <c r="C239" s="73">
        <v>41717</v>
      </c>
      <c r="D239" s="73" t="s">
        <v>17</v>
      </c>
      <c r="E239" s="73">
        <v>41717</v>
      </c>
      <c r="F239" s="76" t="s">
        <v>44</v>
      </c>
      <c r="G239" s="265"/>
      <c r="H239" s="122"/>
      <c r="I239" s="74">
        <v>3000</v>
      </c>
      <c r="J239" s="75" t="s">
        <v>19</v>
      </c>
      <c r="K239" s="75" t="s">
        <v>54</v>
      </c>
      <c r="L239" s="134" t="str">
        <f>IF(AND('331-CT'!$E$7=TH!H239,OR(J239="331",K239="331")),"x","")</f>
        <v/>
      </c>
    </row>
    <row r="240" spans="1:12" s="109" customFormat="1">
      <c r="A240" s="72">
        <f t="shared" si="11"/>
        <v>2014</v>
      </c>
      <c r="B240" s="72">
        <f t="shared" si="12"/>
        <v>3</v>
      </c>
      <c r="C240" s="73">
        <v>41717</v>
      </c>
      <c r="D240" s="73" t="s">
        <v>17</v>
      </c>
      <c r="E240" s="73">
        <v>41717</v>
      </c>
      <c r="F240" s="76" t="s">
        <v>48</v>
      </c>
      <c r="G240" s="265"/>
      <c r="H240" s="122"/>
      <c r="I240" s="74">
        <v>30000</v>
      </c>
      <c r="J240" s="75" t="s">
        <v>242</v>
      </c>
      <c r="K240" s="75" t="s">
        <v>54</v>
      </c>
      <c r="L240" s="134" t="str">
        <f>IF(AND('331-CT'!$E$7=TH!H240,OR(J240="331",K240="331")),"x","")</f>
        <v/>
      </c>
    </row>
    <row r="241" spans="1:12" s="109" customFormat="1">
      <c r="A241" s="72">
        <f t="shared" si="11"/>
        <v>2014</v>
      </c>
      <c r="B241" s="72">
        <f t="shared" si="12"/>
        <v>3</v>
      </c>
      <c r="C241" s="73">
        <v>41717</v>
      </c>
      <c r="D241" s="73" t="s">
        <v>17</v>
      </c>
      <c r="E241" s="73">
        <v>41717</v>
      </c>
      <c r="F241" s="93" t="s">
        <v>44</v>
      </c>
      <c r="G241" s="265"/>
      <c r="H241" s="120"/>
      <c r="I241" s="74">
        <v>3000</v>
      </c>
      <c r="J241" s="75" t="s">
        <v>19</v>
      </c>
      <c r="K241" s="75" t="s">
        <v>54</v>
      </c>
      <c r="L241" s="134" t="str">
        <f>IF(AND('331-CT'!$E$7=TH!H241,OR(J241="331",K241="331")),"x","")</f>
        <v/>
      </c>
    </row>
    <row r="242" spans="1:12" s="109" customFormat="1">
      <c r="A242" s="72">
        <f t="shared" si="11"/>
        <v>2014</v>
      </c>
      <c r="B242" s="72">
        <f t="shared" si="12"/>
        <v>3</v>
      </c>
      <c r="C242" s="107">
        <v>41717</v>
      </c>
      <c r="D242" s="73" t="s">
        <v>17</v>
      </c>
      <c r="E242" s="73">
        <v>41717</v>
      </c>
      <c r="F242" s="76" t="s">
        <v>47</v>
      </c>
      <c r="G242" s="265"/>
      <c r="H242" s="120"/>
      <c r="I242" s="74">
        <v>30000</v>
      </c>
      <c r="J242" s="75" t="s">
        <v>242</v>
      </c>
      <c r="K242" s="75" t="s">
        <v>54</v>
      </c>
      <c r="L242" s="134" t="str">
        <f>IF(AND('331-CT'!$E$7=TH!H242,OR(J242="331",K242="331")),"x","")</f>
        <v/>
      </c>
    </row>
    <row r="243" spans="1:12" s="109" customFormat="1">
      <c r="A243" s="72">
        <f t="shared" si="11"/>
        <v>2014</v>
      </c>
      <c r="B243" s="72">
        <f t="shared" si="12"/>
        <v>3</v>
      </c>
      <c r="C243" s="73">
        <v>41717</v>
      </c>
      <c r="D243" s="73" t="s">
        <v>17</v>
      </c>
      <c r="E243" s="73">
        <v>41717</v>
      </c>
      <c r="F243" s="76" t="s">
        <v>44</v>
      </c>
      <c r="G243" s="265"/>
      <c r="H243" s="122"/>
      <c r="I243" s="74">
        <v>3000</v>
      </c>
      <c r="J243" s="75" t="s">
        <v>19</v>
      </c>
      <c r="K243" s="75" t="s">
        <v>54</v>
      </c>
      <c r="L243" s="134" t="str">
        <f>IF(AND('331-CT'!$E$7=TH!H243,OR(J243="331",K243="331")),"x","")</f>
        <v/>
      </c>
    </row>
    <row r="244" spans="1:12" s="109" customFormat="1">
      <c r="A244" s="72">
        <f t="shared" si="11"/>
        <v>2014</v>
      </c>
      <c r="B244" s="72">
        <f t="shared" si="12"/>
        <v>3</v>
      </c>
      <c r="C244" s="73">
        <v>41718</v>
      </c>
      <c r="D244" s="73" t="s">
        <v>133</v>
      </c>
      <c r="E244" s="73">
        <v>41718</v>
      </c>
      <c r="F244" s="76" t="s">
        <v>576</v>
      </c>
      <c r="G244" s="265"/>
      <c r="H244" s="122" t="s">
        <v>272</v>
      </c>
      <c r="I244" s="74">
        <v>133200000</v>
      </c>
      <c r="J244" s="75" t="s">
        <v>54</v>
      </c>
      <c r="K244" s="75" t="s">
        <v>203</v>
      </c>
      <c r="L244" s="134" t="str">
        <f>IF(AND('331-CT'!$E$7=TH!H244,OR(J244="331",K244="331")),"x","")</f>
        <v/>
      </c>
    </row>
    <row r="245" spans="1:12" s="109" customFormat="1">
      <c r="A245" s="72">
        <f t="shared" si="11"/>
        <v>2014</v>
      </c>
      <c r="B245" s="72">
        <f t="shared" si="12"/>
        <v>3</v>
      </c>
      <c r="C245" s="73">
        <v>41718</v>
      </c>
      <c r="D245" s="73" t="s">
        <v>17</v>
      </c>
      <c r="E245" s="73">
        <v>41718</v>
      </c>
      <c r="F245" s="76" t="s">
        <v>6</v>
      </c>
      <c r="G245" s="265"/>
      <c r="H245" s="122" t="s">
        <v>89</v>
      </c>
      <c r="I245" s="74">
        <v>133147080</v>
      </c>
      <c r="J245" s="75" t="s">
        <v>18</v>
      </c>
      <c r="K245" s="75" t="s">
        <v>54</v>
      </c>
      <c r="L245" s="134" t="str">
        <f>IF(AND('331-CT'!$E$7=TH!H245,OR(J245="331",K245="331")),"x","")</f>
        <v/>
      </c>
    </row>
    <row r="246" spans="1:12" s="109" customFormat="1">
      <c r="A246" s="72">
        <f t="shared" si="11"/>
        <v>2014</v>
      </c>
      <c r="B246" s="72">
        <f t="shared" si="12"/>
        <v>3</v>
      </c>
      <c r="C246" s="73">
        <v>41718</v>
      </c>
      <c r="D246" s="73" t="s">
        <v>17</v>
      </c>
      <c r="E246" s="73">
        <v>41718</v>
      </c>
      <c r="F246" s="76" t="s">
        <v>34</v>
      </c>
      <c r="G246" s="265"/>
      <c r="H246" s="122"/>
      <c r="I246" s="74">
        <v>52911</v>
      </c>
      <c r="J246" s="75" t="s">
        <v>242</v>
      </c>
      <c r="K246" s="75" t="s">
        <v>54</v>
      </c>
      <c r="L246" s="134" t="str">
        <f>IF(AND('331-CT'!$E$7=TH!H246,OR(J246="331",K246="331")),"x","")</f>
        <v/>
      </c>
    </row>
    <row r="247" spans="1:12" s="109" customFormat="1">
      <c r="A247" s="72">
        <f t="shared" si="11"/>
        <v>2014</v>
      </c>
      <c r="B247" s="72">
        <f t="shared" si="12"/>
        <v>3</v>
      </c>
      <c r="C247" s="73">
        <v>41718</v>
      </c>
      <c r="D247" s="73" t="s">
        <v>17</v>
      </c>
      <c r="E247" s="73">
        <v>41718</v>
      </c>
      <c r="F247" s="76" t="s">
        <v>35</v>
      </c>
      <c r="G247" s="265"/>
      <c r="H247" s="122"/>
      <c r="I247" s="74">
        <v>5291</v>
      </c>
      <c r="J247" s="75" t="s">
        <v>19</v>
      </c>
      <c r="K247" s="75" t="s">
        <v>54</v>
      </c>
      <c r="L247" s="134" t="str">
        <f>IF(AND('331-CT'!$E$7=TH!H247,OR(J247="331",K247="331")),"x","")</f>
        <v/>
      </c>
    </row>
    <row r="248" spans="1:12" s="109" customFormat="1">
      <c r="A248" s="72">
        <f t="shared" si="11"/>
        <v>2014</v>
      </c>
      <c r="B248" s="72">
        <f t="shared" si="12"/>
        <v>3</v>
      </c>
      <c r="C248" s="73">
        <v>41722</v>
      </c>
      <c r="D248" s="73" t="s">
        <v>134</v>
      </c>
      <c r="E248" s="73">
        <v>41722</v>
      </c>
      <c r="F248" s="76" t="s">
        <v>576</v>
      </c>
      <c r="G248" s="265"/>
      <c r="H248" s="122" t="s">
        <v>272</v>
      </c>
      <c r="I248" s="74">
        <v>30000000</v>
      </c>
      <c r="J248" s="75" t="s">
        <v>54</v>
      </c>
      <c r="K248" s="75" t="s">
        <v>203</v>
      </c>
      <c r="L248" s="134" t="str">
        <f>IF(AND('331-CT'!$E$7=TH!H248,OR(J248="331",K248="331")),"x","")</f>
        <v/>
      </c>
    </row>
    <row r="249" spans="1:12" s="109" customFormat="1">
      <c r="A249" s="72">
        <f t="shared" si="11"/>
        <v>2014</v>
      </c>
      <c r="B249" s="72">
        <f t="shared" si="12"/>
        <v>3</v>
      </c>
      <c r="C249" s="73">
        <v>41723</v>
      </c>
      <c r="D249" s="73" t="s">
        <v>17</v>
      </c>
      <c r="E249" s="73">
        <v>41723</v>
      </c>
      <c r="F249" s="76" t="s">
        <v>9</v>
      </c>
      <c r="G249" s="265"/>
      <c r="H249" s="122" t="s">
        <v>90</v>
      </c>
      <c r="I249" s="74">
        <v>30000000</v>
      </c>
      <c r="J249" s="75" t="s">
        <v>18</v>
      </c>
      <c r="K249" s="75" t="s">
        <v>54</v>
      </c>
      <c r="L249" s="134" t="str">
        <f>IF(AND('331-CT'!$E$7=TH!H249,OR(J249="331",K249="331")),"x","")</f>
        <v/>
      </c>
    </row>
    <row r="250" spans="1:12" s="109" customFormat="1">
      <c r="A250" s="72">
        <f t="shared" si="11"/>
        <v>2014</v>
      </c>
      <c r="B250" s="72">
        <f t="shared" si="12"/>
        <v>3</v>
      </c>
      <c r="C250" s="73">
        <v>41723</v>
      </c>
      <c r="D250" s="73" t="s">
        <v>17</v>
      </c>
      <c r="E250" s="73">
        <v>41723</v>
      </c>
      <c r="F250" s="76" t="s">
        <v>34</v>
      </c>
      <c r="G250" s="265"/>
      <c r="H250" s="122"/>
      <c r="I250" s="74">
        <v>20000</v>
      </c>
      <c r="J250" s="75" t="s">
        <v>242</v>
      </c>
      <c r="K250" s="75" t="s">
        <v>54</v>
      </c>
      <c r="L250" s="134" t="str">
        <f>IF(AND('331-CT'!$E$7=TH!H250,OR(J250="331",K250="331")),"x","")</f>
        <v/>
      </c>
    </row>
    <row r="251" spans="1:12" s="109" customFormat="1">
      <c r="A251" s="72">
        <f t="shared" si="11"/>
        <v>2014</v>
      </c>
      <c r="B251" s="72">
        <f t="shared" si="12"/>
        <v>3</v>
      </c>
      <c r="C251" s="73">
        <v>41723</v>
      </c>
      <c r="D251" s="73" t="s">
        <v>17</v>
      </c>
      <c r="E251" s="73">
        <v>41723</v>
      </c>
      <c r="F251" s="76" t="s">
        <v>35</v>
      </c>
      <c r="G251" s="265"/>
      <c r="H251" s="122"/>
      <c r="I251" s="74">
        <v>2000</v>
      </c>
      <c r="J251" s="75" t="s">
        <v>19</v>
      </c>
      <c r="K251" s="75" t="s">
        <v>54</v>
      </c>
      <c r="L251" s="134" t="str">
        <f>IF(AND('331-CT'!$E$7=TH!H251,OR(J251="331",K251="331")),"x","")</f>
        <v/>
      </c>
    </row>
    <row r="252" spans="1:12" s="109" customFormat="1">
      <c r="A252" s="72">
        <f t="shared" si="11"/>
        <v>2014</v>
      </c>
      <c r="B252" s="72">
        <f t="shared" si="12"/>
        <v>4</v>
      </c>
      <c r="C252" s="73">
        <v>41743</v>
      </c>
      <c r="D252" s="73" t="s">
        <v>78</v>
      </c>
      <c r="E252" s="73">
        <v>41743</v>
      </c>
      <c r="F252" s="76" t="s">
        <v>87</v>
      </c>
      <c r="G252" s="265" t="s">
        <v>563</v>
      </c>
      <c r="H252" s="122" t="s">
        <v>86</v>
      </c>
      <c r="I252" s="74">
        <v>55000000</v>
      </c>
      <c r="J252" s="75" t="s">
        <v>655</v>
      </c>
      <c r="K252" s="75" t="s">
        <v>18</v>
      </c>
      <c r="L252" s="134" t="str">
        <f>IF(AND('331-CT'!$E$7=TH!H252,OR(J252="331",K252="331")),"x","")</f>
        <v/>
      </c>
    </row>
    <row r="253" spans="1:12" s="109" customFormat="1">
      <c r="A253" s="72">
        <f t="shared" si="11"/>
        <v>2014</v>
      </c>
      <c r="B253" s="72">
        <f t="shared" si="12"/>
        <v>4</v>
      </c>
      <c r="C253" s="107">
        <v>41743</v>
      </c>
      <c r="D253" s="73" t="s">
        <v>78</v>
      </c>
      <c r="E253" s="73">
        <v>41743</v>
      </c>
      <c r="F253" s="76" t="s">
        <v>88</v>
      </c>
      <c r="G253" s="265" t="s">
        <v>563</v>
      </c>
      <c r="H253" s="122" t="s">
        <v>86</v>
      </c>
      <c r="I253" s="74">
        <v>5500000</v>
      </c>
      <c r="J253" s="75" t="s">
        <v>19</v>
      </c>
      <c r="K253" s="75" t="s">
        <v>18</v>
      </c>
      <c r="L253" s="134" t="str">
        <f>IF(AND('331-CT'!$E$7=TH!H253,OR(J253="331",K253="331")),"x","")</f>
        <v/>
      </c>
    </row>
    <row r="254" spans="1:12" s="109" customFormat="1">
      <c r="A254" s="72">
        <f t="shared" si="11"/>
        <v>2014</v>
      </c>
      <c r="B254" s="72">
        <f t="shared" si="12"/>
        <v>5</v>
      </c>
      <c r="C254" s="107">
        <v>41775</v>
      </c>
      <c r="D254" s="73" t="s">
        <v>135</v>
      </c>
      <c r="E254" s="73">
        <v>41775</v>
      </c>
      <c r="F254" s="76" t="s">
        <v>577</v>
      </c>
      <c r="G254" s="265"/>
      <c r="H254" s="122" t="s">
        <v>267</v>
      </c>
      <c r="I254" s="74">
        <v>33000000</v>
      </c>
      <c r="J254" s="75" t="s">
        <v>39</v>
      </c>
      <c r="K254" s="75" t="s">
        <v>203</v>
      </c>
      <c r="L254" s="134" t="str">
        <f>IF(AND('331-CT'!$E$7=TH!H254,OR(J254="331",K254="331")),"x","")</f>
        <v/>
      </c>
    </row>
    <row r="255" spans="1:12" s="109" customFormat="1">
      <c r="A255" s="72">
        <f t="shared" si="11"/>
        <v>2014</v>
      </c>
      <c r="B255" s="72">
        <f t="shared" si="12"/>
        <v>5</v>
      </c>
      <c r="C255" s="107">
        <v>41775</v>
      </c>
      <c r="D255" s="73" t="s">
        <v>21</v>
      </c>
      <c r="E255" s="73">
        <v>41775</v>
      </c>
      <c r="F255" s="76" t="s">
        <v>45</v>
      </c>
      <c r="G255" s="265"/>
      <c r="H255" s="122" t="s">
        <v>267</v>
      </c>
      <c r="I255" s="74">
        <v>33000000</v>
      </c>
      <c r="J255" s="77" t="s">
        <v>54</v>
      </c>
      <c r="K255" s="75" t="s">
        <v>39</v>
      </c>
      <c r="L255" s="134" t="str">
        <f>IF(AND('331-CT'!$E$7=TH!H255,OR(J255="331",K255="331")),"x","")</f>
        <v/>
      </c>
    </row>
    <row r="256" spans="1:12" s="109" customFormat="1">
      <c r="A256" s="72">
        <f t="shared" si="11"/>
        <v>2014</v>
      </c>
      <c r="B256" s="72">
        <f t="shared" si="12"/>
        <v>5</v>
      </c>
      <c r="C256" s="73">
        <v>41775</v>
      </c>
      <c r="D256" s="73" t="s">
        <v>17</v>
      </c>
      <c r="E256" s="73">
        <v>41775</v>
      </c>
      <c r="F256" s="76" t="s">
        <v>180</v>
      </c>
      <c r="G256" s="265"/>
      <c r="H256" s="122" t="s">
        <v>86</v>
      </c>
      <c r="I256" s="74">
        <v>33000000</v>
      </c>
      <c r="J256" s="75" t="s">
        <v>212</v>
      </c>
      <c r="K256" s="75" t="s">
        <v>54</v>
      </c>
      <c r="L256" s="134" t="str">
        <f>IF(AND('331-CT'!$E$7=TH!H256,OR(J256="331",K256="331")),"x","")</f>
        <v/>
      </c>
    </row>
    <row r="257" spans="1:12" s="109" customFormat="1">
      <c r="A257" s="72">
        <f t="shared" si="11"/>
        <v>2014</v>
      </c>
      <c r="B257" s="72">
        <f t="shared" si="12"/>
        <v>5</v>
      </c>
      <c r="C257" s="73">
        <v>41775</v>
      </c>
      <c r="D257" s="73" t="s">
        <v>17</v>
      </c>
      <c r="E257" s="73">
        <v>41775</v>
      </c>
      <c r="F257" s="76" t="s">
        <v>34</v>
      </c>
      <c r="G257" s="265"/>
      <c r="H257" s="122"/>
      <c r="I257" s="74">
        <v>25000</v>
      </c>
      <c r="J257" s="75" t="s">
        <v>242</v>
      </c>
      <c r="K257" s="75" t="s">
        <v>54</v>
      </c>
      <c r="L257" s="134" t="str">
        <f>IF(AND('331-CT'!$E$7=TH!H257,OR(J257="331",K257="331")),"x","")</f>
        <v/>
      </c>
    </row>
    <row r="258" spans="1:12" s="109" customFormat="1">
      <c r="A258" s="72">
        <f t="shared" si="11"/>
        <v>2014</v>
      </c>
      <c r="B258" s="72">
        <f t="shared" si="12"/>
        <v>5</v>
      </c>
      <c r="C258" s="107">
        <v>41775</v>
      </c>
      <c r="D258" s="73" t="s">
        <v>17</v>
      </c>
      <c r="E258" s="73">
        <v>41775</v>
      </c>
      <c r="F258" s="76" t="s">
        <v>35</v>
      </c>
      <c r="G258" s="265"/>
      <c r="H258" s="122"/>
      <c r="I258" s="74">
        <v>2500</v>
      </c>
      <c r="J258" s="77" t="s">
        <v>19</v>
      </c>
      <c r="K258" s="75" t="s">
        <v>54</v>
      </c>
      <c r="L258" s="134" t="str">
        <f>IF(AND('331-CT'!$E$7=TH!H258,OR(J258="331",K258="331")),"x","")</f>
        <v/>
      </c>
    </row>
    <row r="259" spans="1:12" s="109" customFormat="1">
      <c r="A259" s="72">
        <f t="shared" si="11"/>
        <v>2014</v>
      </c>
      <c r="B259" s="72">
        <f t="shared" si="12"/>
        <v>5</v>
      </c>
      <c r="C259" s="107">
        <v>41779</v>
      </c>
      <c r="D259" s="73" t="s">
        <v>154</v>
      </c>
      <c r="E259" s="73">
        <v>41779</v>
      </c>
      <c r="F259" s="76" t="s">
        <v>576</v>
      </c>
      <c r="G259" s="265"/>
      <c r="H259" s="122" t="s">
        <v>272</v>
      </c>
      <c r="I259" s="74">
        <v>36500000</v>
      </c>
      <c r="J259" s="77" t="s">
        <v>54</v>
      </c>
      <c r="K259" s="75" t="s">
        <v>203</v>
      </c>
      <c r="L259" s="134" t="str">
        <f>IF(AND('331-CT'!$E$7=TH!H259,OR(J259="331",K259="331")),"x","")</f>
        <v/>
      </c>
    </row>
    <row r="260" spans="1:12" s="109" customFormat="1">
      <c r="A260" s="72">
        <f t="shared" si="11"/>
        <v>2014</v>
      </c>
      <c r="B260" s="72">
        <f t="shared" si="12"/>
        <v>5</v>
      </c>
      <c r="C260" s="73">
        <v>41779</v>
      </c>
      <c r="D260" s="73" t="s">
        <v>21</v>
      </c>
      <c r="E260" s="73">
        <v>41779</v>
      </c>
      <c r="F260" s="76" t="s">
        <v>180</v>
      </c>
      <c r="G260" s="265"/>
      <c r="H260" s="122" t="s">
        <v>86</v>
      </c>
      <c r="I260" s="74">
        <v>33000000</v>
      </c>
      <c r="J260" s="75" t="s">
        <v>54</v>
      </c>
      <c r="K260" s="75" t="s">
        <v>212</v>
      </c>
      <c r="L260" s="134" t="str">
        <f>IF(AND('331-CT'!$E$7=TH!H260,OR(J260="331",K260="331")),"x","")</f>
        <v/>
      </c>
    </row>
    <row r="261" spans="1:12" s="109" customFormat="1">
      <c r="A261" s="72">
        <f t="shared" si="11"/>
        <v>2014</v>
      </c>
      <c r="B261" s="72">
        <f t="shared" si="12"/>
        <v>5</v>
      </c>
      <c r="C261" s="73">
        <v>41779</v>
      </c>
      <c r="D261" s="73" t="s">
        <v>17</v>
      </c>
      <c r="E261" s="73">
        <v>41779</v>
      </c>
      <c r="F261" s="76" t="s">
        <v>8</v>
      </c>
      <c r="G261" s="265"/>
      <c r="H261" s="122" t="s">
        <v>86</v>
      </c>
      <c r="I261" s="74">
        <v>33000000</v>
      </c>
      <c r="J261" s="75" t="s">
        <v>18</v>
      </c>
      <c r="K261" s="75" t="s">
        <v>54</v>
      </c>
      <c r="L261" s="134" t="str">
        <f>IF(AND('331-CT'!$E$7=TH!H261,OR(J261="331",K261="331")),"x","")</f>
        <v/>
      </c>
    </row>
    <row r="262" spans="1:12" s="109" customFormat="1">
      <c r="A262" s="72">
        <f t="shared" si="11"/>
        <v>2014</v>
      </c>
      <c r="B262" s="72">
        <f t="shared" si="12"/>
        <v>5</v>
      </c>
      <c r="C262" s="73">
        <v>41779</v>
      </c>
      <c r="D262" s="73" t="s">
        <v>17</v>
      </c>
      <c r="E262" s="73">
        <v>41779</v>
      </c>
      <c r="F262" s="76" t="s">
        <v>34</v>
      </c>
      <c r="G262" s="270"/>
      <c r="H262" s="122"/>
      <c r="I262" s="74">
        <v>25000</v>
      </c>
      <c r="J262" s="75" t="s">
        <v>242</v>
      </c>
      <c r="K262" s="75" t="s">
        <v>54</v>
      </c>
      <c r="L262" s="134" t="str">
        <f>IF(AND('331-CT'!$E$7=TH!H262,OR(J262="331",K262="331")),"x","")</f>
        <v/>
      </c>
    </row>
    <row r="263" spans="1:12" s="109" customFormat="1">
      <c r="A263" s="72">
        <f t="shared" si="11"/>
        <v>2014</v>
      </c>
      <c r="B263" s="72">
        <f t="shared" si="12"/>
        <v>5</v>
      </c>
      <c r="C263" s="73">
        <v>41779</v>
      </c>
      <c r="D263" s="73" t="s">
        <v>17</v>
      </c>
      <c r="E263" s="73">
        <v>41779</v>
      </c>
      <c r="F263" s="76" t="s">
        <v>35</v>
      </c>
      <c r="G263" s="270"/>
      <c r="H263" s="122"/>
      <c r="I263" s="74">
        <v>2500</v>
      </c>
      <c r="J263" s="75" t="s">
        <v>19</v>
      </c>
      <c r="K263" s="75" t="s">
        <v>54</v>
      </c>
      <c r="L263" s="134" t="str">
        <f>IF(AND('331-CT'!$E$7=TH!H263,OR(J263="331",K263="331")),"x","")</f>
        <v/>
      </c>
    </row>
    <row r="264" spans="1:12" s="109" customFormat="1">
      <c r="A264" s="72">
        <f t="shared" si="11"/>
        <v>2014</v>
      </c>
      <c r="B264" s="72">
        <f t="shared" si="12"/>
        <v>5</v>
      </c>
      <c r="C264" s="107">
        <v>41780</v>
      </c>
      <c r="D264" s="73" t="s">
        <v>17</v>
      </c>
      <c r="E264" s="73">
        <v>41780</v>
      </c>
      <c r="F264" s="76" t="s">
        <v>114</v>
      </c>
      <c r="G264" s="265"/>
      <c r="H264" s="122" t="s">
        <v>83</v>
      </c>
      <c r="I264" s="74">
        <v>36432000</v>
      </c>
      <c r="J264" s="77" t="s">
        <v>18</v>
      </c>
      <c r="K264" s="75" t="s">
        <v>54</v>
      </c>
      <c r="L264" s="134" t="str">
        <f>IF(AND('331-CT'!$E$7=TH!H264,OR(J264="331",K264="331")),"x","")</f>
        <v/>
      </c>
    </row>
    <row r="265" spans="1:12" s="109" customFormat="1">
      <c r="A265" s="72">
        <f t="shared" si="11"/>
        <v>2014</v>
      </c>
      <c r="B265" s="72">
        <f t="shared" si="12"/>
        <v>5</v>
      </c>
      <c r="C265" s="73">
        <v>41780</v>
      </c>
      <c r="D265" s="73" t="s">
        <v>17</v>
      </c>
      <c r="E265" s="73">
        <v>41780</v>
      </c>
      <c r="F265" s="76" t="s">
        <v>34</v>
      </c>
      <c r="G265" s="265"/>
      <c r="H265" s="122"/>
      <c r="I265" s="74">
        <v>45000</v>
      </c>
      <c r="J265" s="75" t="s">
        <v>242</v>
      </c>
      <c r="K265" s="75" t="s">
        <v>54</v>
      </c>
      <c r="L265" s="134" t="str">
        <f>IF(AND('331-CT'!$E$7=TH!H265,OR(J265="331",K265="331")),"x","")</f>
        <v/>
      </c>
    </row>
    <row r="266" spans="1:12" s="109" customFormat="1">
      <c r="A266" s="72">
        <f t="shared" si="11"/>
        <v>2014</v>
      </c>
      <c r="B266" s="72">
        <f t="shared" si="12"/>
        <v>5</v>
      </c>
      <c r="C266" s="73">
        <v>41780</v>
      </c>
      <c r="D266" s="73" t="s">
        <v>17</v>
      </c>
      <c r="E266" s="73">
        <v>41780</v>
      </c>
      <c r="F266" s="76" t="s">
        <v>35</v>
      </c>
      <c r="G266" s="265"/>
      <c r="H266" s="122"/>
      <c r="I266" s="74">
        <v>4500</v>
      </c>
      <c r="J266" s="75" t="s">
        <v>19</v>
      </c>
      <c r="K266" s="75" t="s">
        <v>54</v>
      </c>
      <c r="L266" s="134" t="str">
        <f>IF(AND('331-CT'!$E$7=TH!H266,OR(J266="331",K266="331")),"x","")</f>
        <v/>
      </c>
    </row>
    <row r="267" spans="1:12" s="109" customFormat="1">
      <c r="A267" s="72">
        <f t="shared" si="11"/>
        <v>2014</v>
      </c>
      <c r="B267" s="72">
        <f t="shared" si="12"/>
        <v>5</v>
      </c>
      <c r="C267" s="73">
        <v>41785</v>
      </c>
      <c r="D267" s="73" t="s">
        <v>78</v>
      </c>
      <c r="E267" s="73">
        <v>41785</v>
      </c>
      <c r="F267" s="76" t="s">
        <v>189</v>
      </c>
      <c r="G267" s="270" t="s">
        <v>564</v>
      </c>
      <c r="H267" s="122" t="s">
        <v>83</v>
      </c>
      <c r="I267" s="74">
        <v>33120000</v>
      </c>
      <c r="J267" s="75" t="s">
        <v>242</v>
      </c>
      <c r="K267" s="75" t="s">
        <v>18</v>
      </c>
      <c r="L267" s="134" t="str">
        <f>IF(AND('331-CT'!$E$7=TH!H267,OR(J267="331",K267="331")),"x","")</f>
        <v/>
      </c>
    </row>
    <row r="268" spans="1:12" s="109" customFormat="1">
      <c r="A268" s="72">
        <f t="shared" ref="A268:A331" si="13">IF(C268&lt;&gt;"",YEAR(C268),"")</f>
        <v>2014</v>
      </c>
      <c r="B268" s="72">
        <f t="shared" ref="B268:B331" si="14">IF(C268&lt;&gt;"",MONTH(C268),"")</f>
        <v>5</v>
      </c>
      <c r="C268" s="73">
        <v>41785</v>
      </c>
      <c r="D268" s="73" t="s">
        <v>78</v>
      </c>
      <c r="E268" s="73">
        <v>41785</v>
      </c>
      <c r="F268" s="76" t="s">
        <v>84</v>
      </c>
      <c r="G268" s="270" t="s">
        <v>564</v>
      </c>
      <c r="H268" s="122" t="s">
        <v>83</v>
      </c>
      <c r="I268" s="74">
        <v>3312000</v>
      </c>
      <c r="J268" s="75" t="s">
        <v>19</v>
      </c>
      <c r="K268" s="75" t="s">
        <v>18</v>
      </c>
      <c r="L268" s="134" t="str">
        <f>IF(AND('331-CT'!$E$7=TH!H268,OR(J268="331",K268="331")),"x","")</f>
        <v/>
      </c>
    </row>
    <row r="269" spans="1:12" s="109" customFormat="1">
      <c r="A269" s="72">
        <f t="shared" si="13"/>
        <v>2014</v>
      </c>
      <c r="B269" s="72">
        <f t="shared" si="14"/>
        <v>6</v>
      </c>
      <c r="C269" s="73">
        <v>41810</v>
      </c>
      <c r="D269" s="73" t="s">
        <v>157</v>
      </c>
      <c r="E269" s="73">
        <v>41810</v>
      </c>
      <c r="F269" s="76" t="s">
        <v>576</v>
      </c>
      <c r="G269" s="270"/>
      <c r="H269" s="122" t="s">
        <v>272</v>
      </c>
      <c r="I269" s="74">
        <v>30000000</v>
      </c>
      <c r="J269" s="75" t="s">
        <v>54</v>
      </c>
      <c r="K269" s="75" t="s">
        <v>203</v>
      </c>
      <c r="L269" s="134" t="str">
        <f>IF(AND('331-CT'!$E$7=TH!H269,OR(J269="331",K269="331")),"x","")</f>
        <v/>
      </c>
    </row>
    <row r="270" spans="1:12" s="109" customFormat="1">
      <c r="A270" s="72">
        <f t="shared" si="13"/>
        <v>2014</v>
      </c>
      <c r="B270" s="72">
        <f t="shared" si="14"/>
        <v>6</v>
      </c>
      <c r="C270" s="73">
        <v>41810</v>
      </c>
      <c r="D270" s="73" t="s">
        <v>17</v>
      </c>
      <c r="E270" s="73">
        <v>41810</v>
      </c>
      <c r="F270" s="76" t="s">
        <v>49</v>
      </c>
      <c r="G270" s="270"/>
      <c r="H270" s="122"/>
      <c r="I270" s="74">
        <v>50000</v>
      </c>
      <c r="J270" s="75" t="s">
        <v>242</v>
      </c>
      <c r="K270" s="75" t="s">
        <v>54</v>
      </c>
      <c r="L270" s="134" t="str">
        <f>IF(AND('331-CT'!$E$7=TH!H270,OR(J270="331",K270="331")),"x","")</f>
        <v/>
      </c>
    </row>
    <row r="271" spans="1:12" s="109" customFormat="1">
      <c r="A271" s="72">
        <f t="shared" si="13"/>
        <v>2014</v>
      </c>
      <c r="B271" s="72">
        <f t="shared" si="14"/>
        <v>6</v>
      </c>
      <c r="C271" s="107">
        <v>41810</v>
      </c>
      <c r="D271" s="73" t="s">
        <v>17</v>
      </c>
      <c r="E271" s="73">
        <v>41810</v>
      </c>
      <c r="F271" s="76" t="s">
        <v>44</v>
      </c>
      <c r="G271" s="265"/>
      <c r="H271" s="122"/>
      <c r="I271" s="74">
        <v>5000</v>
      </c>
      <c r="J271" s="77" t="s">
        <v>19</v>
      </c>
      <c r="K271" s="75" t="s">
        <v>54</v>
      </c>
      <c r="L271" s="134" t="str">
        <f>IF(AND('331-CT'!$E$7=TH!H271,OR(J271="331",K271="331")),"x","")</f>
        <v/>
      </c>
    </row>
    <row r="272" spans="1:12" s="109" customFormat="1">
      <c r="A272" s="72">
        <f t="shared" si="13"/>
        <v>2014</v>
      </c>
      <c r="B272" s="72">
        <f t="shared" si="14"/>
        <v>6</v>
      </c>
      <c r="C272" s="73">
        <v>41810</v>
      </c>
      <c r="D272" s="73" t="s">
        <v>17</v>
      </c>
      <c r="E272" s="73">
        <v>41810</v>
      </c>
      <c r="F272" s="76" t="s">
        <v>48</v>
      </c>
      <c r="G272" s="265"/>
      <c r="H272" s="122"/>
      <c r="I272" s="74">
        <v>50000</v>
      </c>
      <c r="J272" s="75" t="s">
        <v>242</v>
      </c>
      <c r="K272" s="75" t="s">
        <v>54</v>
      </c>
      <c r="L272" s="134" t="str">
        <f>IF(AND('331-CT'!$E$7=TH!H272,OR(J272="331",K272="331")),"x","")</f>
        <v/>
      </c>
    </row>
    <row r="273" spans="1:12" s="109" customFormat="1">
      <c r="A273" s="72">
        <f t="shared" si="13"/>
        <v>2014</v>
      </c>
      <c r="B273" s="72">
        <f t="shared" si="14"/>
        <v>6</v>
      </c>
      <c r="C273" s="73">
        <v>41810</v>
      </c>
      <c r="D273" s="73" t="s">
        <v>17</v>
      </c>
      <c r="E273" s="73">
        <v>41810</v>
      </c>
      <c r="F273" s="76" t="s">
        <v>44</v>
      </c>
      <c r="G273" s="265"/>
      <c r="H273" s="122"/>
      <c r="I273" s="74">
        <v>5000</v>
      </c>
      <c r="J273" s="75" t="s">
        <v>19</v>
      </c>
      <c r="K273" s="75" t="s">
        <v>54</v>
      </c>
      <c r="L273" s="134" t="str">
        <f>IF(AND('331-CT'!$E$7=TH!H273,OR(J273="331",K273="331")),"x","")</f>
        <v/>
      </c>
    </row>
    <row r="274" spans="1:12" s="109" customFormat="1">
      <c r="A274" s="72">
        <f t="shared" si="13"/>
        <v>2014</v>
      </c>
      <c r="B274" s="72">
        <f t="shared" si="14"/>
        <v>6</v>
      </c>
      <c r="C274" s="73">
        <v>41810</v>
      </c>
      <c r="D274" s="73" t="s">
        <v>17</v>
      </c>
      <c r="E274" s="73">
        <v>41810</v>
      </c>
      <c r="F274" s="76" t="s">
        <v>47</v>
      </c>
      <c r="G274" s="270"/>
      <c r="H274" s="122"/>
      <c r="I274" s="74">
        <v>50000</v>
      </c>
      <c r="J274" s="75" t="s">
        <v>242</v>
      </c>
      <c r="K274" s="75" t="s">
        <v>54</v>
      </c>
      <c r="L274" s="134" t="str">
        <f>IF(AND('331-CT'!$E$7=TH!H274,OR(J274="331",K274="331")),"x","")</f>
        <v/>
      </c>
    </row>
    <row r="275" spans="1:12" s="109" customFormat="1">
      <c r="A275" s="72">
        <f t="shared" si="13"/>
        <v>2014</v>
      </c>
      <c r="B275" s="72">
        <f t="shared" si="14"/>
        <v>6</v>
      </c>
      <c r="C275" s="73">
        <v>41810</v>
      </c>
      <c r="D275" s="73" t="s">
        <v>17</v>
      </c>
      <c r="E275" s="73">
        <v>41810</v>
      </c>
      <c r="F275" s="76" t="s">
        <v>44</v>
      </c>
      <c r="G275" s="270"/>
      <c r="H275" s="122"/>
      <c r="I275" s="74">
        <v>5000</v>
      </c>
      <c r="J275" s="75" t="s">
        <v>19</v>
      </c>
      <c r="K275" s="75" t="s">
        <v>54</v>
      </c>
      <c r="L275" s="134" t="str">
        <f>IF(AND('331-CT'!$E$7=TH!H275,OR(J275="331",K275="331")),"x","")</f>
        <v/>
      </c>
    </row>
    <row r="276" spans="1:12" s="109" customFormat="1">
      <c r="A276" s="72">
        <f t="shared" si="13"/>
        <v>2014</v>
      </c>
      <c r="B276" s="72">
        <f t="shared" si="14"/>
        <v>6</v>
      </c>
      <c r="C276" s="73">
        <v>41813</v>
      </c>
      <c r="D276" s="73" t="s">
        <v>17</v>
      </c>
      <c r="E276" s="73">
        <v>41813</v>
      </c>
      <c r="F276" s="76" t="s">
        <v>9</v>
      </c>
      <c r="G276" s="265"/>
      <c r="H276" s="122" t="s">
        <v>90</v>
      </c>
      <c r="I276" s="74">
        <v>30000000</v>
      </c>
      <c r="J276" s="75" t="s">
        <v>18</v>
      </c>
      <c r="K276" s="75" t="s">
        <v>54</v>
      </c>
      <c r="L276" s="134" t="str">
        <f>IF(AND('331-CT'!$E$7=TH!H276,OR(J276="331",K276="331")),"x","")</f>
        <v/>
      </c>
    </row>
    <row r="277" spans="1:12" s="109" customFormat="1">
      <c r="A277" s="72">
        <f t="shared" si="13"/>
        <v>2014</v>
      </c>
      <c r="B277" s="72">
        <f t="shared" si="14"/>
        <v>6</v>
      </c>
      <c r="C277" s="73">
        <v>41813</v>
      </c>
      <c r="D277" s="73" t="s">
        <v>17</v>
      </c>
      <c r="E277" s="73">
        <v>41813</v>
      </c>
      <c r="F277" s="76" t="s">
        <v>34</v>
      </c>
      <c r="G277" s="265"/>
      <c r="H277" s="122"/>
      <c r="I277" s="74">
        <v>20000</v>
      </c>
      <c r="J277" s="75" t="s">
        <v>242</v>
      </c>
      <c r="K277" s="75" t="s">
        <v>54</v>
      </c>
      <c r="L277" s="134" t="str">
        <f>IF(AND('331-CT'!$E$7=TH!H277,OR(J277="331",K277="331")),"x","")</f>
        <v/>
      </c>
    </row>
    <row r="278" spans="1:12" s="109" customFormat="1">
      <c r="A278" s="72">
        <f t="shared" si="13"/>
        <v>2014</v>
      </c>
      <c r="B278" s="72">
        <f t="shared" si="14"/>
        <v>6</v>
      </c>
      <c r="C278" s="73">
        <v>41813</v>
      </c>
      <c r="D278" s="73" t="s">
        <v>17</v>
      </c>
      <c r="E278" s="73">
        <v>41813</v>
      </c>
      <c r="F278" s="76" t="s">
        <v>35</v>
      </c>
      <c r="G278" s="265"/>
      <c r="H278" s="122"/>
      <c r="I278" s="74">
        <v>2000</v>
      </c>
      <c r="J278" s="75" t="s">
        <v>19</v>
      </c>
      <c r="K278" s="75" t="s">
        <v>54</v>
      </c>
      <c r="L278" s="134" t="str">
        <f>IF(AND('331-CT'!$E$7=TH!H278,OR(J278="331",K278="331")),"x","")</f>
        <v/>
      </c>
    </row>
    <row r="279" spans="1:12" s="109" customFormat="1">
      <c r="A279" s="72">
        <f t="shared" si="13"/>
        <v>2014</v>
      </c>
      <c r="B279" s="72">
        <f t="shared" si="14"/>
        <v>7</v>
      </c>
      <c r="C279" s="73">
        <v>41821</v>
      </c>
      <c r="D279" s="73" t="s">
        <v>17</v>
      </c>
      <c r="E279" s="73">
        <v>41821</v>
      </c>
      <c r="F279" s="76" t="s">
        <v>95</v>
      </c>
      <c r="G279" s="265"/>
      <c r="H279" s="122"/>
      <c r="I279" s="74">
        <v>100000</v>
      </c>
      <c r="J279" s="75" t="s">
        <v>242</v>
      </c>
      <c r="K279" s="75" t="s">
        <v>54</v>
      </c>
      <c r="L279" s="134" t="str">
        <f>IF(AND('331-CT'!$E$7=TH!H279,OR(J279="331",K279="331")),"x","")</f>
        <v/>
      </c>
    </row>
    <row r="280" spans="1:12" s="109" customFormat="1">
      <c r="A280" s="72">
        <f t="shared" si="13"/>
        <v>2014</v>
      </c>
      <c r="B280" s="72">
        <f t="shared" si="14"/>
        <v>7</v>
      </c>
      <c r="C280" s="73">
        <v>41821</v>
      </c>
      <c r="D280" s="73" t="s">
        <v>17</v>
      </c>
      <c r="E280" s="73">
        <v>41821</v>
      </c>
      <c r="F280" s="76" t="s">
        <v>96</v>
      </c>
      <c r="G280" s="265"/>
      <c r="H280" s="122"/>
      <c r="I280" s="74">
        <v>10000</v>
      </c>
      <c r="J280" s="75" t="s">
        <v>19</v>
      </c>
      <c r="K280" s="75" t="s">
        <v>54</v>
      </c>
      <c r="L280" s="134" t="str">
        <f>IF(AND('331-CT'!$E$7=TH!H280,OR(J280="331",K280="331")),"x","")</f>
        <v/>
      </c>
    </row>
    <row r="281" spans="1:12" s="109" customFormat="1">
      <c r="A281" s="72">
        <f t="shared" si="13"/>
        <v>2014</v>
      </c>
      <c r="B281" s="72">
        <f t="shared" si="14"/>
        <v>7</v>
      </c>
      <c r="C281" s="73">
        <v>41834</v>
      </c>
      <c r="D281" s="73" t="s">
        <v>17</v>
      </c>
      <c r="E281" s="73">
        <v>41834</v>
      </c>
      <c r="F281" s="76" t="s">
        <v>6</v>
      </c>
      <c r="G281" s="265"/>
      <c r="H281" s="122" t="s">
        <v>89</v>
      </c>
      <c r="I281" s="74">
        <v>378779940</v>
      </c>
      <c r="J281" s="75" t="s">
        <v>18</v>
      </c>
      <c r="K281" s="75" t="s">
        <v>54</v>
      </c>
      <c r="L281" s="134" t="str">
        <f>IF(AND('331-CT'!$E$7=TH!H281,OR(J281="331",K281="331")),"x","")</f>
        <v/>
      </c>
    </row>
    <row r="282" spans="1:12" s="109" customFormat="1">
      <c r="A282" s="72">
        <f t="shared" si="13"/>
        <v>2014</v>
      </c>
      <c r="B282" s="72">
        <f t="shared" si="14"/>
        <v>7</v>
      </c>
      <c r="C282" s="73">
        <v>41843</v>
      </c>
      <c r="D282" s="73" t="s">
        <v>158</v>
      </c>
      <c r="E282" s="73">
        <v>41843</v>
      </c>
      <c r="F282" s="93" t="s">
        <v>576</v>
      </c>
      <c r="G282" s="265"/>
      <c r="H282" s="122" t="s">
        <v>272</v>
      </c>
      <c r="I282" s="74">
        <v>20000000</v>
      </c>
      <c r="J282" s="78" t="s">
        <v>54</v>
      </c>
      <c r="K282" s="75" t="s">
        <v>203</v>
      </c>
      <c r="L282" s="134" t="str">
        <f>IF(AND('331-CT'!$E$7=TH!H282,OR(J282="331",K282="331")),"x","")</f>
        <v/>
      </c>
    </row>
    <row r="283" spans="1:12" s="109" customFormat="1">
      <c r="A283" s="72">
        <f t="shared" si="13"/>
        <v>2014</v>
      </c>
      <c r="B283" s="72">
        <f t="shared" si="14"/>
        <v>7</v>
      </c>
      <c r="C283" s="107">
        <v>41843</v>
      </c>
      <c r="D283" s="73" t="s">
        <v>17</v>
      </c>
      <c r="E283" s="73">
        <v>41843</v>
      </c>
      <c r="F283" s="76" t="s">
        <v>5</v>
      </c>
      <c r="G283" s="265"/>
      <c r="H283" s="122" t="s">
        <v>91</v>
      </c>
      <c r="I283" s="74">
        <v>20000000</v>
      </c>
      <c r="J283" s="75" t="s">
        <v>18</v>
      </c>
      <c r="K283" s="75" t="s">
        <v>54</v>
      </c>
      <c r="L283" s="134" t="str">
        <f>IF(AND('331-CT'!$E$7=TH!H283,OR(J283="331",K283="331")),"x","")</f>
        <v/>
      </c>
    </row>
    <row r="284" spans="1:12" s="109" customFormat="1">
      <c r="A284" s="72">
        <f t="shared" si="13"/>
        <v>2014</v>
      </c>
      <c r="B284" s="72">
        <f t="shared" si="14"/>
        <v>7</v>
      </c>
      <c r="C284" s="130">
        <v>41843</v>
      </c>
      <c r="D284" s="130" t="s">
        <v>17</v>
      </c>
      <c r="E284" s="130">
        <v>41843</v>
      </c>
      <c r="F284" s="131" t="s">
        <v>34</v>
      </c>
      <c r="G284" s="271"/>
      <c r="H284" s="132"/>
      <c r="I284" s="133">
        <v>45000</v>
      </c>
      <c r="J284" s="134" t="s">
        <v>242</v>
      </c>
      <c r="K284" s="134" t="s">
        <v>54</v>
      </c>
      <c r="L284" s="134" t="str">
        <f>IF(AND('331-CT'!$E$7=TH!H284,OR(J284="331",K284="331")),"x","")</f>
        <v/>
      </c>
    </row>
    <row r="285" spans="1:12" s="109" customFormat="1">
      <c r="A285" s="72">
        <f t="shared" si="13"/>
        <v>2014</v>
      </c>
      <c r="B285" s="72">
        <f t="shared" si="14"/>
        <v>7</v>
      </c>
      <c r="C285" s="130">
        <v>41843</v>
      </c>
      <c r="D285" s="130" t="s">
        <v>17</v>
      </c>
      <c r="E285" s="130">
        <v>41843</v>
      </c>
      <c r="F285" s="131" t="s">
        <v>35</v>
      </c>
      <c r="G285" s="271"/>
      <c r="H285" s="132"/>
      <c r="I285" s="133">
        <v>4500</v>
      </c>
      <c r="J285" s="134" t="s">
        <v>19</v>
      </c>
      <c r="K285" s="134" t="s">
        <v>54</v>
      </c>
      <c r="L285" s="134" t="str">
        <f>IF(AND('331-CT'!$E$7=TH!H285,OR(J285="331",K285="331")),"x","")</f>
        <v/>
      </c>
    </row>
    <row r="286" spans="1:12" s="109" customFormat="1">
      <c r="A286" s="72">
        <f t="shared" si="13"/>
        <v>2014</v>
      </c>
      <c r="B286" s="72">
        <f t="shared" si="14"/>
        <v>7</v>
      </c>
      <c r="C286" s="107">
        <v>41851</v>
      </c>
      <c r="D286" s="73" t="s">
        <v>163</v>
      </c>
      <c r="E286" s="73">
        <v>41851</v>
      </c>
      <c r="F286" s="76" t="s">
        <v>577</v>
      </c>
      <c r="G286" s="265"/>
      <c r="H286" s="122" t="s">
        <v>267</v>
      </c>
      <c r="I286" s="74">
        <v>50000000</v>
      </c>
      <c r="J286" s="75" t="s">
        <v>39</v>
      </c>
      <c r="K286" s="75" t="s">
        <v>203</v>
      </c>
      <c r="L286" s="134" t="str">
        <f>IF(AND('331-CT'!$E$7=TH!H286,OR(J286="331",K286="331")),"x","")</f>
        <v/>
      </c>
    </row>
    <row r="287" spans="1:12" s="109" customFormat="1">
      <c r="A287" s="72">
        <f t="shared" si="13"/>
        <v>2014</v>
      </c>
      <c r="B287" s="72">
        <f t="shared" si="14"/>
        <v>7</v>
      </c>
      <c r="C287" s="73">
        <v>41851</v>
      </c>
      <c r="D287" s="73" t="s">
        <v>21</v>
      </c>
      <c r="E287" s="73">
        <v>41851</v>
      </c>
      <c r="F287" s="76" t="s">
        <v>45</v>
      </c>
      <c r="G287" s="265"/>
      <c r="H287" s="122" t="s">
        <v>267</v>
      </c>
      <c r="I287" s="74">
        <v>50000000</v>
      </c>
      <c r="J287" s="75" t="s">
        <v>54</v>
      </c>
      <c r="K287" s="75" t="s">
        <v>39</v>
      </c>
      <c r="L287" s="134" t="str">
        <f>IF(AND('331-CT'!$E$7=TH!H287,OR(J287="331",K287="331")),"x","")</f>
        <v/>
      </c>
    </row>
    <row r="288" spans="1:12" s="109" customFormat="1">
      <c r="A288" s="72">
        <f t="shared" si="13"/>
        <v>2014</v>
      </c>
      <c r="B288" s="72">
        <f t="shared" si="14"/>
        <v>7</v>
      </c>
      <c r="C288" s="107">
        <v>41851</v>
      </c>
      <c r="D288" s="73" t="s">
        <v>17</v>
      </c>
      <c r="E288" s="73">
        <v>41851</v>
      </c>
      <c r="F288" s="76" t="s">
        <v>5</v>
      </c>
      <c r="G288" s="265"/>
      <c r="H288" s="122" t="s">
        <v>91</v>
      </c>
      <c r="I288" s="74">
        <v>50000000</v>
      </c>
      <c r="J288" s="75" t="s">
        <v>18</v>
      </c>
      <c r="K288" s="75" t="s">
        <v>54</v>
      </c>
      <c r="L288" s="134" t="str">
        <f>IF(AND('331-CT'!$E$7=TH!H288,OR(J288="331",K288="331")),"x","")</f>
        <v/>
      </c>
    </row>
    <row r="289" spans="1:12" s="109" customFormat="1">
      <c r="A289" s="72">
        <f t="shared" si="13"/>
        <v>2014</v>
      </c>
      <c r="B289" s="72">
        <f t="shared" si="14"/>
        <v>7</v>
      </c>
      <c r="C289" s="73">
        <v>41851</v>
      </c>
      <c r="D289" s="73" t="s">
        <v>17</v>
      </c>
      <c r="E289" s="73">
        <v>41851</v>
      </c>
      <c r="F289" s="76" t="s">
        <v>34</v>
      </c>
      <c r="G289" s="265"/>
      <c r="H289" s="122"/>
      <c r="I289" s="74">
        <v>25000</v>
      </c>
      <c r="J289" s="75" t="s">
        <v>242</v>
      </c>
      <c r="K289" s="75" t="s">
        <v>54</v>
      </c>
      <c r="L289" s="134" t="str">
        <f>IF(AND('331-CT'!$E$7=TH!H289,OR(J289="331",K289="331")),"x","")</f>
        <v/>
      </c>
    </row>
    <row r="290" spans="1:12" s="109" customFormat="1">
      <c r="A290" s="72">
        <f t="shared" si="13"/>
        <v>2014</v>
      </c>
      <c r="B290" s="72">
        <f t="shared" si="14"/>
        <v>7</v>
      </c>
      <c r="C290" s="73">
        <v>41851</v>
      </c>
      <c r="D290" s="73" t="s">
        <v>17</v>
      </c>
      <c r="E290" s="73">
        <v>41851</v>
      </c>
      <c r="F290" s="76" t="s">
        <v>35</v>
      </c>
      <c r="G290" s="265"/>
      <c r="H290" s="124"/>
      <c r="I290" s="74">
        <v>2500</v>
      </c>
      <c r="J290" s="75" t="s">
        <v>19</v>
      </c>
      <c r="K290" s="75" t="s">
        <v>54</v>
      </c>
      <c r="L290" s="134" t="str">
        <f>IF(AND('331-CT'!$E$7=TH!H290,OR(J290="331",K290="331")),"x","")</f>
        <v/>
      </c>
    </row>
    <row r="291" spans="1:12" s="109" customFormat="1">
      <c r="A291" s="72">
        <f t="shared" si="13"/>
        <v>2014</v>
      </c>
      <c r="B291" s="72">
        <f t="shared" si="14"/>
        <v>8</v>
      </c>
      <c r="C291" s="73">
        <v>41857</v>
      </c>
      <c r="D291" s="73" t="s">
        <v>164</v>
      </c>
      <c r="E291" s="73">
        <v>41857</v>
      </c>
      <c r="F291" s="76" t="s">
        <v>577</v>
      </c>
      <c r="G291" s="265"/>
      <c r="H291" s="124" t="s">
        <v>267</v>
      </c>
      <c r="I291" s="74">
        <v>50000000</v>
      </c>
      <c r="J291" s="75" t="s">
        <v>39</v>
      </c>
      <c r="K291" s="75" t="s">
        <v>203</v>
      </c>
      <c r="L291" s="134" t="str">
        <f>IF(AND('331-CT'!$E$7=TH!H291,OR(J291="331",K291="331")),"x","")</f>
        <v/>
      </c>
    </row>
    <row r="292" spans="1:12" s="109" customFormat="1">
      <c r="A292" s="72">
        <f t="shared" si="13"/>
        <v>2014</v>
      </c>
      <c r="B292" s="72">
        <f t="shared" si="14"/>
        <v>8</v>
      </c>
      <c r="C292" s="107">
        <v>41857</v>
      </c>
      <c r="D292" s="73" t="s">
        <v>21</v>
      </c>
      <c r="E292" s="73">
        <v>41857</v>
      </c>
      <c r="F292" s="76" t="s">
        <v>45</v>
      </c>
      <c r="G292" s="265"/>
      <c r="H292" s="122" t="s">
        <v>267</v>
      </c>
      <c r="I292" s="74">
        <v>50000000</v>
      </c>
      <c r="J292" s="75" t="s">
        <v>54</v>
      </c>
      <c r="K292" s="75" t="s">
        <v>39</v>
      </c>
      <c r="L292" s="134" t="str">
        <f>IF(AND('331-CT'!$E$7=TH!H292,OR(J292="331",K292="331")),"x","")</f>
        <v/>
      </c>
    </row>
    <row r="293" spans="1:12" s="109" customFormat="1">
      <c r="A293" s="72">
        <f t="shared" si="13"/>
        <v>2014</v>
      </c>
      <c r="B293" s="72">
        <f t="shared" si="14"/>
        <v>8</v>
      </c>
      <c r="C293" s="107">
        <v>41857</v>
      </c>
      <c r="D293" s="73" t="s">
        <v>17</v>
      </c>
      <c r="E293" s="73">
        <v>41857</v>
      </c>
      <c r="F293" s="76" t="s">
        <v>5</v>
      </c>
      <c r="G293" s="265"/>
      <c r="H293" s="124" t="s">
        <v>91</v>
      </c>
      <c r="I293" s="74">
        <v>50000000</v>
      </c>
      <c r="J293" s="75" t="s">
        <v>18</v>
      </c>
      <c r="K293" s="75" t="s">
        <v>54</v>
      </c>
      <c r="L293" s="134" t="str">
        <f>IF(AND('331-CT'!$E$7=TH!H293,OR(J293="331",K293="331")),"x","")</f>
        <v/>
      </c>
    </row>
    <row r="294" spans="1:12" s="109" customFormat="1">
      <c r="A294" s="72">
        <f t="shared" si="13"/>
        <v>2014</v>
      </c>
      <c r="B294" s="72">
        <f t="shared" si="14"/>
        <v>8</v>
      </c>
      <c r="C294" s="73">
        <v>41857</v>
      </c>
      <c r="D294" s="73" t="s">
        <v>17</v>
      </c>
      <c r="E294" s="73">
        <v>41857</v>
      </c>
      <c r="F294" s="76" t="s">
        <v>34</v>
      </c>
      <c r="G294" s="265"/>
      <c r="H294" s="122"/>
      <c r="I294" s="74">
        <v>25000</v>
      </c>
      <c r="J294" s="75" t="s">
        <v>242</v>
      </c>
      <c r="K294" s="75" t="s">
        <v>54</v>
      </c>
      <c r="L294" s="134" t="str">
        <f>IF(AND('331-CT'!$E$7=TH!H294,OR(J294="331",K294="331")),"x","")</f>
        <v/>
      </c>
    </row>
    <row r="295" spans="1:12" s="109" customFormat="1">
      <c r="A295" s="72">
        <f t="shared" si="13"/>
        <v>2014</v>
      </c>
      <c r="B295" s="72">
        <f t="shared" si="14"/>
        <v>8</v>
      </c>
      <c r="C295" s="73">
        <v>41857</v>
      </c>
      <c r="D295" s="73" t="s">
        <v>17</v>
      </c>
      <c r="E295" s="73">
        <v>41857</v>
      </c>
      <c r="F295" s="76" t="s">
        <v>35</v>
      </c>
      <c r="G295" s="265"/>
      <c r="H295" s="122"/>
      <c r="I295" s="74">
        <v>2500</v>
      </c>
      <c r="J295" s="75" t="s">
        <v>19</v>
      </c>
      <c r="K295" s="75" t="s">
        <v>54</v>
      </c>
      <c r="L295" s="134" t="str">
        <f>IF(AND('331-CT'!$E$7=TH!H295,OR(J295="331",K295="331")),"x","")</f>
        <v/>
      </c>
    </row>
    <row r="296" spans="1:12" s="109" customFormat="1">
      <c r="A296" s="72">
        <f t="shared" si="13"/>
        <v>2014</v>
      </c>
      <c r="B296" s="72">
        <f t="shared" si="14"/>
        <v>8</v>
      </c>
      <c r="C296" s="107">
        <v>41865</v>
      </c>
      <c r="D296" s="73" t="s">
        <v>165</v>
      </c>
      <c r="E296" s="73">
        <v>41865</v>
      </c>
      <c r="F296" s="76" t="s">
        <v>576</v>
      </c>
      <c r="G296" s="265"/>
      <c r="H296" s="124" t="s">
        <v>272</v>
      </c>
      <c r="I296" s="74">
        <v>253000000</v>
      </c>
      <c r="J296" s="75" t="s">
        <v>54</v>
      </c>
      <c r="K296" s="75" t="s">
        <v>203</v>
      </c>
      <c r="L296" s="134" t="str">
        <f>IF(AND('331-CT'!$E$7=TH!H296,OR(J296="331",K296="331")),"x","")</f>
        <v/>
      </c>
    </row>
    <row r="297" spans="1:12" s="109" customFormat="1">
      <c r="A297" s="72">
        <f t="shared" si="13"/>
        <v>2014</v>
      </c>
      <c r="B297" s="72">
        <f t="shared" si="14"/>
        <v>8</v>
      </c>
      <c r="C297" s="73">
        <v>41865</v>
      </c>
      <c r="D297" s="73" t="s">
        <v>17</v>
      </c>
      <c r="E297" s="73">
        <v>41865</v>
      </c>
      <c r="F297" s="76" t="s">
        <v>6</v>
      </c>
      <c r="G297" s="265"/>
      <c r="H297" s="124" t="s">
        <v>89</v>
      </c>
      <c r="I297" s="74">
        <v>252519960</v>
      </c>
      <c r="J297" s="75" t="s">
        <v>18</v>
      </c>
      <c r="K297" s="75" t="s">
        <v>54</v>
      </c>
      <c r="L297" s="134" t="str">
        <f>IF(AND('331-CT'!$E$7=TH!H297,OR(J297="331",K297="331")),"x","")</f>
        <v/>
      </c>
    </row>
    <row r="298" spans="1:12" s="109" customFormat="1">
      <c r="A298" s="72">
        <f t="shared" si="13"/>
        <v>2014</v>
      </c>
      <c r="B298" s="72">
        <f t="shared" si="14"/>
        <v>8</v>
      </c>
      <c r="C298" s="73">
        <v>41865</v>
      </c>
      <c r="D298" s="73" t="s">
        <v>17</v>
      </c>
      <c r="E298" s="73">
        <v>41865</v>
      </c>
      <c r="F298" s="76" t="s">
        <v>34</v>
      </c>
      <c r="G298" s="265"/>
      <c r="H298" s="124"/>
      <c r="I298" s="74">
        <v>151275</v>
      </c>
      <c r="J298" s="75" t="s">
        <v>242</v>
      </c>
      <c r="K298" s="75" t="s">
        <v>54</v>
      </c>
      <c r="L298" s="134" t="str">
        <f>IF(AND('331-CT'!$E$7=TH!H298,OR(J298="331",K298="331")),"x","")</f>
        <v/>
      </c>
    </row>
    <row r="299" spans="1:12" s="109" customFormat="1">
      <c r="A299" s="72">
        <f t="shared" si="13"/>
        <v>2014</v>
      </c>
      <c r="B299" s="72">
        <f t="shared" si="14"/>
        <v>8</v>
      </c>
      <c r="C299" s="73">
        <v>41865</v>
      </c>
      <c r="D299" s="73" t="s">
        <v>17</v>
      </c>
      <c r="E299" s="73">
        <v>41865</v>
      </c>
      <c r="F299" s="76" t="s">
        <v>35</v>
      </c>
      <c r="G299" s="270"/>
      <c r="H299" s="7"/>
      <c r="I299" s="74">
        <v>15127</v>
      </c>
      <c r="J299" s="136" t="s">
        <v>19</v>
      </c>
      <c r="K299" s="136" t="s">
        <v>54</v>
      </c>
      <c r="L299" s="134" t="str">
        <f>IF(AND('331-CT'!$E$7=TH!H299,OR(J299="331",K299="331")),"x","")</f>
        <v/>
      </c>
    </row>
    <row r="300" spans="1:12" s="109" customFormat="1">
      <c r="A300" s="72">
        <f t="shared" si="13"/>
        <v>2014</v>
      </c>
      <c r="B300" s="72">
        <f t="shared" si="14"/>
        <v>8</v>
      </c>
      <c r="C300" s="107">
        <v>41870</v>
      </c>
      <c r="D300" s="73" t="s">
        <v>21</v>
      </c>
      <c r="E300" s="73">
        <v>41870</v>
      </c>
      <c r="F300" s="76" t="s">
        <v>118</v>
      </c>
      <c r="G300" s="265"/>
      <c r="H300" s="122" t="s">
        <v>314</v>
      </c>
      <c r="I300" s="74">
        <v>1000000000</v>
      </c>
      <c r="J300" s="75" t="s">
        <v>54</v>
      </c>
      <c r="K300" s="75" t="s">
        <v>227</v>
      </c>
      <c r="L300" s="134" t="str">
        <f>IF(AND('331-CT'!$E$7=TH!H300,OR(J300="331",K300="331")),"x","")</f>
        <v/>
      </c>
    </row>
    <row r="301" spans="1:12" s="109" customFormat="1">
      <c r="A301" s="72">
        <f t="shared" si="13"/>
        <v>2014</v>
      </c>
      <c r="B301" s="72">
        <f t="shared" si="14"/>
        <v>8</v>
      </c>
      <c r="C301" s="73">
        <v>41871</v>
      </c>
      <c r="D301" s="73" t="s">
        <v>17</v>
      </c>
      <c r="E301" s="73">
        <v>41871</v>
      </c>
      <c r="F301" s="76" t="s">
        <v>110</v>
      </c>
      <c r="G301" s="265"/>
      <c r="H301" s="122" t="s">
        <v>109</v>
      </c>
      <c r="I301" s="74">
        <v>50000000</v>
      </c>
      <c r="J301" s="75" t="s">
        <v>18</v>
      </c>
      <c r="K301" s="75" t="s">
        <v>54</v>
      </c>
      <c r="L301" s="134" t="str">
        <f>IF(AND('331-CT'!$E$7=TH!H301,OR(J301="331",K301="331")),"x","")</f>
        <v/>
      </c>
    </row>
    <row r="302" spans="1:12" s="109" customFormat="1">
      <c r="A302" s="72">
        <f t="shared" si="13"/>
        <v>2014</v>
      </c>
      <c r="B302" s="72">
        <f t="shared" si="14"/>
        <v>8</v>
      </c>
      <c r="C302" s="73">
        <v>41871</v>
      </c>
      <c r="D302" s="73" t="s">
        <v>17</v>
      </c>
      <c r="E302" s="73">
        <v>41871</v>
      </c>
      <c r="F302" s="76" t="s">
        <v>34</v>
      </c>
      <c r="G302" s="265"/>
      <c r="H302" s="122"/>
      <c r="I302" s="74">
        <v>25000</v>
      </c>
      <c r="J302" s="75" t="s">
        <v>242</v>
      </c>
      <c r="K302" s="75" t="s">
        <v>54</v>
      </c>
      <c r="L302" s="134" t="str">
        <f>IF(AND('331-CT'!$E$7=TH!H302,OR(J302="331",K302="331")),"x","")</f>
        <v/>
      </c>
    </row>
    <row r="303" spans="1:12" s="109" customFormat="1">
      <c r="A303" s="72">
        <f t="shared" si="13"/>
        <v>2014</v>
      </c>
      <c r="B303" s="72">
        <f t="shared" si="14"/>
        <v>8</v>
      </c>
      <c r="C303" s="107">
        <v>41871</v>
      </c>
      <c r="D303" s="73" t="s">
        <v>17</v>
      </c>
      <c r="E303" s="73">
        <v>41871</v>
      </c>
      <c r="F303" s="76" t="s">
        <v>35</v>
      </c>
      <c r="G303" s="265"/>
      <c r="H303" s="122"/>
      <c r="I303" s="74">
        <v>2500</v>
      </c>
      <c r="J303" s="75" t="s">
        <v>19</v>
      </c>
      <c r="K303" s="75" t="s">
        <v>54</v>
      </c>
      <c r="L303" s="134" t="str">
        <f>IF(AND('331-CT'!$E$7=TH!H303,OR(J303="331",K303="331")),"x","")</f>
        <v/>
      </c>
    </row>
    <row r="304" spans="1:12" s="109" customFormat="1">
      <c r="A304" s="72">
        <f t="shared" si="13"/>
        <v>2014</v>
      </c>
      <c r="B304" s="72">
        <f t="shared" si="14"/>
        <v>8</v>
      </c>
      <c r="C304" s="107">
        <v>41871</v>
      </c>
      <c r="D304" s="73" t="s">
        <v>17</v>
      </c>
      <c r="E304" s="73">
        <v>41871</v>
      </c>
      <c r="F304" s="76" t="s">
        <v>107</v>
      </c>
      <c r="G304" s="265"/>
      <c r="H304" s="122" t="s">
        <v>108</v>
      </c>
      <c r="I304" s="74">
        <v>80000000</v>
      </c>
      <c r="J304" s="75" t="s">
        <v>18</v>
      </c>
      <c r="K304" s="75" t="s">
        <v>54</v>
      </c>
      <c r="L304" s="134" t="str">
        <f>IF(AND('331-CT'!$E$7=TH!H304,OR(J304="331",K304="331")),"x","")</f>
        <v/>
      </c>
    </row>
    <row r="305" spans="1:12" s="109" customFormat="1">
      <c r="A305" s="72">
        <f t="shared" si="13"/>
        <v>2014</v>
      </c>
      <c r="B305" s="72">
        <f t="shared" si="14"/>
        <v>8</v>
      </c>
      <c r="C305" s="73">
        <v>41871</v>
      </c>
      <c r="D305" s="73" t="s">
        <v>17</v>
      </c>
      <c r="E305" s="73">
        <v>41871</v>
      </c>
      <c r="F305" s="76" t="s">
        <v>34</v>
      </c>
      <c r="G305" s="265"/>
      <c r="H305" s="122"/>
      <c r="I305" s="74">
        <v>24000</v>
      </c>
      <c r="J305" s="75" t="s">
        <v>242</v>
      </c>
      <c r="K305" s="75" t="s">
        <v>54</v>
      </c>
      <c r="L305" s="134" t="str">
        <f>IF(AND('331-CT'!$E$7=TH!H305,OR(J305="331",K305="331")),"x","")</f>
        <v/>
      </c>
    </row>
    <row r="306" spans="1:12" s="109" customFormat="1">
      <c r="A306" s="72">
        <f t="shared" si="13"/>
        <v>2014</v>
      </c>
      <c r="B306" s="72">
        <f t="shared" si="14"/>
        <v>8</v>
      </c>
      <c r="C306" s="73">
        <v>41871</v>
      </c>
      <c r="D306" s="73" t="s">
        <v>17</v>
      </c>
      <c r="E306" s="73">
        <v>41871</v>
      </c>
      <c r="F306" s="76" t="s">
        <v>35</v>
      </c>
      <c r="G306" s="265"/>
      <c r="H306" s="122"/>
      <c r="I306" s="74">
        <v>2400</v>
      </c>
      <c r="J306" s="75" t="s">
        <v>19</v>
      </c>
      <c r="K306" s="75" t="s">
        <v>54</v>
      </c>
      <c r="L306" s="134" t="str">
        <f>IF(AND('331-CT'!$E$7=TH!H306,OR(J306="331",K306="331")),"x","")</f>
        <v/>
      </c>
    </row>
    <row r="307" spans="1:12" s="109" customFormat="1">
      <c r="A307" s="72">
        <f t="shared" si="13"/>
        <v>2014</v>
      </c>
      <c r="B307" s="72">
        <f t="shared" si="14"/>
        <v>8</v>
      </c>
      <c r="C307" s="107">
        <v>41871</v>
      </c>
      <c r="D307" s="73" t="s">
        <v>17</v>
      </c>
      <c r="E307" s="73">
        <v>41871</v>
      </c>
      <c r="F307" s="76" t="s">
        <v>5</v>
      </c>
      <c r="G307" s="265"/>
      <c r="H307" s="122" t="s">
        <v>91</v>
      </c>
      <c r="I307" s="74">
        <v>50000000</v>
      </c>
      <c r="J307" s="75" t="s">
        <v>18</v>
      </c>
      <c r="K307" s="75" t="s">
        <v>54</v>
      </c>
      <c r="L307" s="134" t="str">
        <f>IF(AND('331-CT'!$E$7=TH!H307,OR(J307="331",K307="331")),"x","")</f>
        <v/>
      </c>
    </row>
    <row r="308" spans="1:12" s="109" customFormat="1">
      <c r="A308" s="72">
        <f t="shared" si="13"/>
        <v>2014</v>
      </c>
      <c r="B308" s="72">
        <f t="shared" si="14"/>
        <v>8</v>
      </c>
      <c r="C308" s="107">
        <v>41871</v>
      </c>
      <c r="D308" s="73" t="s">
        <v>17</v>
      </c>
      <c r="E308" s="73">
        <v>41871</v>
      </c>
      <c r="F308" s="76" t="s">
        <v>34</v>
      </c>
      <c r="G308" s="265"/>
      <c r="H308" s="122"/>
      <c r="I308" s="74">
        <v>25000</v>
      </c>
      <c r="J308" s="78" t="s">
        <v>242</v>
      </c>
      <c r="K308" s="75" t="s">
        <v>54</v>
      </c>
      <c r="L308" s="134" t="str">
        <f>IF(AND('331-CT'!$E$7=TH!H308,OR(J308="331",K308="331")),"x","")</f>
        <v/>
      </c>
    </row>
    <row r="309" spans="1:12" s="109" customFormat="1">
      <c r="A309" s="72">
        <f t="shared" si="13"/>
        <v>2014</v>
      </c>
      <c r="B309" s="72">
        <f t="shared" si="14"/>
        <v>8</v>
      </c>
      <c r="C309" s="73">
        <v>41871</v>
      </c>
      <c r="D309" s="73" t="s">
        <v>17</v>
      </c>
      <c r="E309" s="73">
        <v>41871</v>
      </c>
      <c r="F309" s="76" t="s">
        <v>35</v>
      </c>
      <c r="G309" s="265"/>
      <c r="H309" s="122"/>
      <c r="I309" s="74">
        <v>2500</v>
      </c>
      <c r="J309" s="75" t="s">
        <v>19</v>
      </c>
      <c r="K309" s="75" t="s">
        <v>54</v>
      </c>
      <c r="L309" s="134" t="str">
        <f>IF(AND('331-CT'!$E$7=TH!H309,OR(J309="331",K309="331")),"x","")</f>
        <v/>
      </c>
    </row>
    <row r="310" spans="1:12" s="109" customFormat="1">
      <c r="A310" s="72">
        <f t="shared" si="13"/>
        <v>2014</v>
      </c>
      <c r="B310" s="72">
        <f t="shared" si="14"/>
        <v>8</v>
      </c>
      <c r="C310" s="73">
        <v>41871</v>
      </c>
      <c r="D310" s="73" t="s">
        <v>17</v>
      </c>
      <c r="E310" s="73">
        <v>41871</v>
      </c>
      <c r="F310" s="76" t="s">
        <v>6</v>
      </c>
      <c r="G310" s="265"/>
      <c r="H310" s="122" t="s">
        <v>89</v>
      </c>
      <c r="I310" s="74">
        <v>378779940</v>
      </c>
      <c r="J310" s="75" t="s">
        <v>18</v>
      </c>
      <c r="K310" s="75" t="s">
        <v>54</v>
      </c>
      <c r="L310" s="134" t="str">
        <f>IF(AND('331-CT'!$E$7=TH!H310,OR(J310="331",K310="331")),"x","")</f>
        <v/>
      </c>
    </row>
    <row r="311" spans="1:12" s="109" customFormat="1">
      <c r="A311" s="72">
        <f t="shared" si="13"/>
        <v>2014</v>
      </c>
      <c r="B311" s="72">
        <f t="shared" si="14"/>
        <v>8</v>
      </c>
      <c r="C311" s="107">
        <v>41871</v>
      </c>
      <c r="D311" s="73" t="s">
        <v>17</v>
      </c>
      <c r="E311" s="73">
        <v>41871</v>
      </c>
      <c r="F311" s="76" t="s">
        <v>34</v>
      </c>
      <c r="G311" s="265"/>
      <c r="H311" s="122"/>
      <c r="I311" s="74">
        <v>113634</v>
      </c>
      <c r="J311" s="75" t="s">
        <v>242</v>
      </c>
      <c r="K311" s="75" t="s">
        <v>54</v>
      </c>
      <c r="L311" s="134" t="str">
        <f>IF(AND('331-CT'!$E$7=TH!H311,OR(J311="331",K311="331")),"x","")</f>
        <v/>
      </c>
    </row>
    <row r="312" spans="1:12" s="109" customFormat="1">
      <c r="A312" s="72">
        <f t="shared" si="13"/>
        <v>2014</v>
      </c>
      <c r="B312" s="72">
        <f t="shared" si="14"/>
        <v>8</v>
      </c>
      <c r="C312" s="73">
        <v>41871</v>
      </c>
      <c r="D312" s="73" t="s">
        <v>17</v>
      </c>
      <c r="E312" s="73">
        <v>41871</v>
      </c>
      <c r="F312" s="76" t="s">
        <v>35</v>
      </c>
      <c r="G312" s="265"/>
      <c r="H312" s="122"/>
      <c r="I312" s="74">
        <v>11363</v>
      </c>
      <c r="J312" s="75" t="s">
        <v>19</v>
      </c>
      <c r="K312" s="75" t="s">
        <v>54</v>
      </c>
      <c r="L312" s="134" t="str">
        <f>IF(AND('331-CT'!$E$7=TH!H312,OR(J312="331",K312="331")),"x","")</f>
        <v/>
      </c>
    </row>
    <row r="313" spans="1:12" s="109" customFormat="1">
      <c r="A313" s="72">
        <f t="shared" si="13"/>
        <v>2014</v>
      </c>
      <c r="B313" s="72">
        <f t="shared" si="14"/>
        <v>8</v>
      </c>
      <c r="C313" s="73">
        <v>41871</v>
      </c>
      <c r="D313" s="73" t="s">
        <v>17</v>
      </c>
      <c r="E313" s="73">
        <v>41871</v>
      </c>
      <c r="F313" s="76" t="s">
        <v>23</v>
      </c>
      <c r="G313" s="265"/>
      <c r="H313" s="122"/>
      <c r="I313" s="74">
        <v>40000</v>
      </c>
      <c r="J313" s="75" t="s">
        <v>242</v>
      </c>
      <c r="K313" s="75" t="s">
        <v>54</v>
      </c>
      <c r="L313" s="134" t="str">
        <f>IF(AND('331-CT'!$E$7=TH!H313,OR(J313="331",K313="331")),"x","")</f>
        <v/>
      </c>
    </row>
    <row r="314" spans="1:12" s="109" customFormat="1">
      <c r="A314" s="72">
        <f t="shared" si="13"/>
        <v>2014</v>
      </c>
      <c r="B314" s="72">
        <f t="shared" si="14"/>
        <v>8</v>
      </c>
      <c r="C314" s="73">
        <v>41871</v>
      </c>
      <c r="D314" s="73" t="s">
        <v>17</v>
      </c>
      <c r="E314" s="73">
        <v>41871</v>
      </c>
      <c r="F314" s="93" t="s">
        <v>24</v>
      </c>
      <c r="G314" s="265"/>
      <c r="H314" s="122"/>
      <c r="I314" s="74">
        <v>4000</v>
      </c>
      <c r="J314" s="78" t="s">
        <v>19</v>
      </c>
      <c r="K314" s="75" t="s">
        <v>54</v>
      </c>
      <c r="L314" s="134" t="str">
        <f>IF(AND('331-CT'!$E$7=TH!H314,OR(J314="331",K314="331")),"x","")</f>
        <v/>
      </c>
    </row>
    <row r="315" spans="1:12" s="109" customFormat="1">
      <c r="A315" s="72">
        <f t="shared" si="13"/>
        <v>2014</v>
      </c>
      <c r="B315" s="72">
        <f t="shared" si="14"/>
        <v>8</v>
      </c>
      <c r="C315" s="73">
        <v>41872</v>
      </c>
      <c r="D315" s="73" t="s">
        <v>78</v>
      </c>
      <c r="E315" s="73">
        <v>41872</v>
      </c>
      <c r="F315" s="76" t="s">
        <v>105</v>
      </c>
      <c r="G315" s="265" t="s">
        <v>565</v>
      </c>
      <c r="H315" s="123" t="s">
        <v>108</v>
      </c>
      <c r="I315" s="74">
        <v>72727273</v>
      </c>
      <c r="J315" s="75" t="s">
        <v>655</v>
      </c>
      <c r="K315" s="75" t="s">
        <v>18</v>
      </c>
      <c r="L315" s="134" t="str">
        <f>IF(AND('331-CT'!$E$7=TH!H315,OR(J315="331",K315="331")),"x","")</f>
        <v/>
      </c>
    </row>
    <row r="316" spans="1:12" s="109" customFormat="1">
      <c r="A316" s="72">
        <f t="shared" si="13"/>
        <v>2014</v>
      </c>
      <c r="B316" s="72">
        <f t="shared" si="14"/>
        <v>8</v>
      </c>
      <c r="C316" s="73">
        <v>41872</v>
      </c>
      <c r="D316" s="73" t="s">
        <v>78</v>
      </c>
      <c r="E316" s="73">
        <v>41872</v>
      </c>
      <c r="F316" s="76" t="s">
        <v>106</v>
      </c>
      <c r="G316" s="265" t="s">
        <v>565</v>
      </c>
      <c r="H316" s="122" t="s">
        <v>108</v>
      </c>
      <c r="I316" s="74">
        <v>7272727</v>
      </c>
      <c r="J316" s="75" t="s">
        <v>19</v>
      </c>
      <c r="K316" s="75" t="s">
        <v>18</v>
      </c>
      <c r="L316" s="134" t="str">
        <f>IF(AND('331-CT'!$E$7=TH!H316,OR(J316="331",K316="331")),"x","")</f>
        <v/>
      </c>
    </row>
    <row r="317" spans="1:12" s="109" customFormat="1">
      <c r="A317" s="72">
        <f t="shared" si="13"/>
        <v>2014</v>
      </c>
      <c r="B317" s="72">
        <f t="shared" si="14"/>
        <v>8</v>
      </c>
      <c r="C317" s="73">
        <v>41876</v>
      </c>
      <c r="D317" s="73" t="s">
        <v>21</v>
      </c>
      <c r="E317" s="73">
        <v>41876</v>
      </c>
      <c r="F317" s="76" t="s">
        <v>98</v>
      </c>
      <c r="G317" s="265"/>
      <c r="H317" s="122"/>
      <c r="I317" s="74">
        <v>38769</v>
      </c>
      <c r="J317" s="75" t="s">
        <v>54</v>
      </c>
      <c r="K317" s="75" t="s">
        <v>99</v>
      </c>
      <c r="L317" s="134" t="str">
        <f>IF(AND('331-CT'!$E$7=TH!H317,OR(J317="331",K317="331")),"x","")</f>
        <v/>
      </c>
    </row>
    <row r="318" spans="1:12" s="109" customFormat="1">
      <c r="A318" s="72">
        <f t="shared" si="13"/>
        <v>2014</v>
      </c>
      <c r="B318" s="72">
        <f t="shared" si="14"/>
        <v>8</v>
      </c>
      <c r="C318" s="73">
        <v>41877</v>
      </c>
      <c r="D318" s="73" t="s">
        <v>78</v>
      </c>
      <c r="E318" s="73">
        <v>41877</v>
      </c>
      <c r="F318" s="252" t="s">
        <v>100</v>
      </c>
      <c r="G318" s="272" t="s">
        <v>566</v>
      </c>
      <c r="H318" s="123" t="s">
        <v>89</v>
      </c>
      <c r="I318" s="74">
        <v>1443034000</v>
      </c>
      <c r="J318" s="75" t="s">
        <v>655</v>
      </c>
      <c r="K318" s="75" t="s">
        <v>18</v>
      </c>
      <c r="L318" s="134" t="str">
        <f>IF(AND('331-CT'!$E$7=TH!H318,OR(J318="331",K318="331")),"x","")</f>
        <v/>
      </c>
    </row>
    <row r="319" spans="1:12" s="109" customFormat="1">
      <c r="A319" s="72">
        <f t="shared" si="13"/>
        <v>2014</v>
      </c>
      <c r="B319" s="72">
        <f t="shared" si="14"/>
        <v>8</v>
      </c>
      <c r="C319" s="73">
        <v>41877</v>
      </c>
      <c r="D319" s="73" t="s">
        <v>78</v>
      </c>
      <c r="E319" s="73">
        <v>41877</v>
      </c>
      <c r="F319" s="76" t="s">
        <v>101</v>
      </c>
      <c r="G319" s="265" t="s">
        <v>566</v>
      </c>
      <c r="H319" s="122" t="s">
        <v>89</v>
      </c>
      <c r="I319" s="74">
        <v>144303400</v>
      </c>
      <c r="J319" s="75" t="s">
        <v>19</v>
      </c>
      <c r="K319" s="75" t="s">
        <v>18</v>
      </c>
      <c r="L319" s="134" t="str">
        <f>IF(AND('331-CT'!$E$7=TH!H319,OR(J319="331",K319="331")),"x","")</f>
        <v/>
      </c>
    </row>
    <row r="320" spans="1:12" s="109" customFormat="1">
      <c r="A320" s="72">
        <f t="shared" si="13"/>
        <v>2014</v>
      </c>
      <c r="B320" s="72">
        <f t="shared" si="14"/>
        <v>9</v>
      </c>
      <c r="C320" s="73">
        <v>41894</v>
      </c>
      <c r="D320" s="73" t="s">
        <v>17</v>
      </c>
      <c r="E320" s="73">
        <v>41894</v>
      </c>
      <c r="F320" s="76" t="s">
        <v>5</v>
      </c>
      <c r="G320" s="265"/>
      <c r="H320" s="122" t="s">
        <v>91</v>
      </c>
      <c r="I320" s="74">
        <v>50000000</v>
      </c>
      <c r="J320" s="75" t="s">
        <v>18</v>
      </c>
      <c r="K320" s="75" t="s">
        <v>54</v>
      </c>
      <c r="L320" s="134" t="str">
        <f>IF(AND('331-CT'!$E$7=TH!H320,OR(J320="331",K320="331")),"x","")</f>
        <v/>
      </c>
    </row>
    <row r="321" spans="1:12" s="109" customFormat="1">
      <c r="A321" s="72">
        <f t="shared" si="13"/>
        <v>2014</v>
      </c>
      <c r="B321" s="72">
        <f t="shared" si="14"/>
        <v>9</v>
      </c>
      <c r="C321" s="73">
        <v>41894</v>
      </c>
      <c r="D321" s="73" t="s">
        <v>17</v>
      </c>
      <c r="E321" s="73">
        <v>41894</v>
      </c>
      <c r="F321" s="76" t="s">
        <v>34</v>
      </c>
      <c r="G321" s="265"/>
      <c r="H321" s="122"/>
      <c r="I321" s="74">
        <v>25000</v>
      </c>
      <c r="J321" s="75" t="s">
        <v>242</v>
      </c>
      <c r="K321" s="75" t="s">
        <v>54</v>
      </c>
      <c r="L321" s="134" t="str">
        <f>IF(AND('331-CT'!$E$7=TH!H321,OR(J321="331",K321="331")),"x","")</f>
        <v/>
      </c>
    </row>
    <row r="322" spans="1:12" s="109" customFormat="1">
      <c r="A322" s="72">
        <f t="shared" si="13"/>
        <v>2014</v>
      </c>
      <c r="B322" s="72">
        <f t="shared" si="14"/>
        <v>9</v>
      </c>
      <c r="C322" s="73">
        <v>41894</v>
      </c>
      <c r="D322" s="73" t="s">
        <v>17</v>
      </c>
      <c r="E322" s="73">
        <v>41894</v>
      </c>
      <c r="F322" s="76" t="s">
        <v>35</v>
      </c>
      <c r="G322" s="265"/>
      <c r="H322" s="122"/>
      <c r="I322" s="74">
        <v>2500</v>
      </c>
      <c r="J322" s="75" t="s">
        <v>19</v>
      </c>
      <c r="K322" s="75" t="s">
        <v>54</v>
      </c>
      <c r="L322" s="134" t="str">
        <f>IF(AND('331-CT'!$E$7=TH!H322,OR(J322="331",K322="331")),"x","")</f>
        <v/>
      </c>
    </row>
    <row r="323" spans="1:12" s="109" customFormat="1">
      <c r="A323" s="72">
        <f t="shared" si="13"/>
        <v>2014</v>
      </c>
      <c r="B323" s="72">
        <f t="shared" si="14"/>
        <v>9</v>
      </c>
      <c r="C323" s="73">
        <v>41905</v>
      </c>
      <c r="D323" s="73" t="s">
        <v>166</v>
      </c>
      <c r="E323" s="73">
        <v>41905</v>
      </c>
      <c r="F323" s="76" t="s">
        <v>577</v>
      </c>
      <c r="G323" s="265"/>
      <c r="H323" s="122" t="s">
        <v>267</v>
      </c>
      <c r="I323" s="74">
        <v>9000000</v>
      </c>
      <c r="J323" s="75" t="s">
        <v>39</v>
      </c>
      <c r="K323" s="75" t="s">
        <v>203</v>
      </c>
      <c r="L323" s="134" t="str">
        <f>IF(AND('331-CT'!$E$7=TH!H323,OR(J323="331",K323="331")),"x","")</f>
        <v/>
      </c>
    </row>
    <row r="324" spans="1:12" s="109" customFormat="1">
      <c r="A324" s="72">
        <f t="shared" si="13"/>
        <v>2014</v>
      </c>
      <c r="B324" s="72">
        <f t="shared" si="14"/>
        <v>9</v>
      </c>
      <c r="C324" s="73">
        <v>41905</v>
      </c>
      <c r="D324" s="73" t="s">
        <v>21</v>
      </c>
      <c r="E324" s="73">
        <v>41905</v>
      </c>
      <c r="F324" s="76" t="s">
        <v>45</v>
      </c>
      <c r="G324" s="265"/>
      <c r="H324" s="122" t="s">
        <v>267</v>
      </c>
      <c r="I324" s="74">
        <v>9000000</v>
      </c>
      <c r="J324" s="75" t="s">
        <v>54</v>
      </c>
      <c r="K324" s="75" t="s">
        <v>39</v>
      </c>
      <c r="L324" s="134" t="str">
        <f>IF(AND('331-CT'!$E$7=TH!H324,OR(J324="331",K324="331")),"x","")</f>
        <v/>
      </c>
    </row>
    <row r="325" spans="1:12" s="109" customFormat="1">
      <c r="A325" s="72">
        <f t="shared" si="13"/>
        <v>2014</v>
      </c>
      <c r="B325" s="72">
        <f t="shared" si="14"/>
        <v>9</v>
      </c>
      <c r="C325" s="73">
        <v>41905</v>
      </c>
      <c r="D325" s="73" t="s">
        <v>17</v>
      </c>
      <c r="E325" s="73">
        <v>41905</v>
      </c>
      <c r="F325" s="253" t="s">
        <v>119</v>
      </c>
      <c r="G325" s="273"/>
      <c r="H325" s="9" t="s">
        <v>314</v>
      </c>
      <c r="I325" s="74">
        <v>8625463</v>
      </c>
      <c r="J325" s="75" t="s">
        <v>240</v>
      </c>
      <c r="K325" s="75" t="s">
        <v>54</v>
      </c>
      <c r="L325" s="134" t="str">
        <f>IF(AND('331-CT'!$E$7=TH!H325,OR(J325="331",K325="331")),"x","")</f>
        <v/>
      </c>
    </row>
    <row r="326" spans="1:12" s="109" customFormat="1">
      <c r="A326" s="72">
        <f t="shared" si="13"/>
        <v>2014</v>
      </c>
      <c r="B326" s="72">
        <f t="shared" si="14"/>
        <v>9</v>
      </c>
      <c r="C326" s="73">
        <v>41905</v>
      </c>
      <c r="D326" s="73" t="s">
        <v>17</v>
      </c>
      <c r="E326" s="73">
        <v>41905</v>
      </c>
      <c r="F326" s="76" t="s">
        <v>113</v>
      </c>
      <c r="G326" s="265"/>
      <c r="H326" s="122" t="s">
        <v>111</v>
      </c>
      <c r="I326" s="74">
        <v>752610000</v>
      </c>
      <c r="J326" s="75" t="s">
        <v>18</v>
      </c>
      <c r="K326" s="75" t="s">
        <v>54</v>
      </c>
      <c r="L326" s="134" t="str">
        <f>IF(AND('331-CT'!$E$7=TH!H326,OR(J326="331",K326="331")),"x","")</f>
        <v/>
      </c>
    </row>
    <row r="327" spans="1:12" s="109" customFormat="1">
      <c r="A327" s="72">
        <f t="shared" si="13"/>
        <v>2014</v>
      </c>
      <c r="B327" s="72">
        <f t="shared" si="14"/>
        <v>9</v>
      </c>
      <c r="C327" s="73">
        <v>41905</v>
      </c>
      <c r="D327" s="73" t="s">
        <v>17</v>
      </c>
      <c r="E327" s="73">
        <v>41905</v>
      </c>
      <c r="F327" s="76" t="s">
        <v>34</v>
      </c>
      <c r="G327" s="265"/>
      <c r="H327" s="122"/>
      <c r="I327" s="74">
        <v>225783</v>
      </c>
      <c r="J327" s="75" t="s">
        <v>242</v>
      </c>
      <c r="K327" s="75" t="s">
        <v>54</v>
      </c>
      <c r="L327" s="134" t="str">
        <f>IF(AND('331-CT'!$E$7=TH!H327,OR(J327="331",K327="331")),"x","")</f>
        <v/>
      </c>
    </row>
    <row r="328" spans="1:12" s="109" customFormat="1">
      <c r="A328" s="72">
        <f t="shared" si="13"/>
        <v>2014</v>
      </c>
      <c r="B328" s="72">
        <f t="shared" si="14"/>
        <v>9</v>
      </c>
      <c r="C328" s="73">
        <v>41905</v>
      </c>
      <c r="D328" s="73" t="s">
        <v>17</v>
      </c>
      <c r="E328" s="73">
        <v>41905</v>
      </c>
      <c r="F328" s="76" t="s">
        <v>35</v>
      </c>
      <c r="G328" s="265"/>
      <c r="H328" s="9"/>
      <c r="I328" s="74">
        <v>22578</v>
      </c>
      <c r="J328" s="75" t="s">
        <v>19</v>
      </c>
      <c r="K328" s="75" t="s">
        <v>54</v>
      </c>
      <c r="L328" s="134" t="str">
        <f>IF(AND('331-CT'!$E$7=TH!H328,OR(J328="331",K328="331")),"x","")</f>
        <v/>
      </c>
    </row>
    <row r="329" spans="1:12" s="109" customFormat="1">
      <c r="A329" s="72">
        <f t="shared" si="13"/>
        <v>2014</v>
      </c>
      <c r="B329" s="72">
        <f t="shared" si="14"/>
        <v>9</v>
      </c>
      <c r="C329" s="73">
        <v>41905</v>
      </c>
      <c r="D329" s="73" t="s">
        <v>17</v>
      </c>
      <c r="E329" s="73">
        <v>41905</v>
      </c>
      <c r="F329" s="76" t="s">
        <v>112</v>
      </c>
      <c r="G329" s="265"/>
      <c r="H329" s="122" t="s">
        <v>85</v>
      </c>
      <c r="I329" s="74">
        <v>800000000</v>
      </c>
      <c r="J329" s="75" t="s">
        <v>18</v>
      </c>
      <c r="K329" s="75" t="s">
        <v>54</v>
      </c>
      <c r="L329" s="134" t="str">
        <f>IF(AND('331-CT'!$E$7=TH!H329,OR(J329="331",K329="331")),"x","")</f>
        <v/>
      </c>
    </row>
    <row r="330" spans="1:12" s="109" customFormat="1">
      <c r="A330" s="72">
        <f t="shared" si="13"/>
        <v>2014</v>
      </c>
      <c r="B330" s="72">
        <f t="shared" si="14"/>
        <v>9</v>
      </c>
      <c r="C330" s="73">
        <v>41905</v>
      </c>
      <c r="D330" s="73" t="s">
        <v>17</v>
      </c>
      <c r="E330" s="73">
        <v>41905</v>
      </c>
      <c r="F330" s="76" t="s">
        <v>34</v>
      </c>
      <c r="G330" s="265"/>
      <c r="H330" s="122"/>
      <c r="I330" s="74">
        <v>400000</v>
      </c>
      <c r="J330" s="75" t="s">
        <v>242</v>
      </c>
      <c r="K330" s="75" t="s">
        <v>54</v>
      </c>
      <c r="L330" s="134" t="str">
        <f>IF(AND('331-CT'!$E$7=TH!H330,OR(J330="331",K330="331")),"x","")</f>
        <v/>
      </c>
    </row>
    <row r="331" spans="1:12" s="109" customFormat="1">
      <c r="A331" s="72">
        <f t="shared" si="13"/>
        <v>2014</v>
      </c>
      <c r="B331" s="72">
        <f t="shared" si="14"/>
        <v>9</v>
      </c>
      <c r="C331" s="130">
        <v>41905</v>
      </c>
      <c r="D331" s="130" t="s">
        <v>17</v>
      </c>
      <c r="E331" s="130">
        <v>41905</v>
      </c>
      <c r="F331" s="131" t="s">
        <v>35</v>
      </c>
      <c r="G331" s="271"/>
      <c r="H331" s="132"/>
      <c r="I331" s="133">
        <v>40000</v>
      </c>
      <c r="J331" s="134" t="s">
        <v>19</v>
      </c>
      <c r="K331" s="134" t="s">
        <v>54</v>
      </c>
      <c r="L331" s="134" t="str">
        <f>IF(AND('331-CT'!$E$7=TH!H331,OR(J331="331",K331="331")),"x","")</f>
        <v/>
      </c>
    </row>
    <row r="332" spans="1:12" s="109" customFormat="1">
      <c r="A332" s="72">
        <f t="shared" ref="A332:A395" si="15">IF(C332&lt;&gt;"",YEAR(C332),"")</f>
        <v>2014</v>
      </c>
      <c r="B332" s="72">
        <f t="shared" ref="B332:B395" si="16">IF(C332&lt;&gt;"",MONTH(C332),"")</f>
        <v>9</v>
      </c>
      <c r="C332" s="130">
        <v>41905</v>
      </c>
      <c r="D332" s="130" t="s">
        <v>21</v>
      </c>
      <c r="E332" s="130">
        <v>41905</v>
      </c>
      <c r="F332" s="131" t="s">
        <v>313</v>
      </c>
      <c r="G332" s="271"/>
      <c r="H332" s="132" t="s">
        <v>315</v>
      </c>
      <c r="I332" s="133">
        <v>2000000000</v>
      </c>
      <c r="J332" s="134" t="s">
        <v>54</v>
      </c>
      <c r="K332" s="134" t="s">
        <v>227</v>
      </c>
      <c r="L332" s="134" t="str">
        <f>IF(AND('331-CT'!$E$7=TH!H332,OR(J332="331",K332="331")),"x","")</f>
        <v/>
      </c>
    </row>
    <row r="333" spans="1:12" s="109" customFormat="1">
      <c r="A333" s="72">
        <f t="shared" si="15"/>
        <v>2014</v>
      </c>
      <c r="B333" s="72">
        <f t="shared" si="16"/>
        <v>9</v>
      </c>
      <c r="C333" s="73">
        <v>41906</v>
      </c>
      <c r="D333" s="73" t="s">
        <v>17</v>
      </c>
      <c r="E333" s="73">
        <v>41906</v>
      </c>
      <c r="F333" s="76" t="s">
        <v>120</v>
      </c>
      <c r="G333" s="265"/>
      <c r="H333" s="122"/>
      <c r="I333" s="74">
        <v>20000</v>
      </c>
      <c r="J333" s="75" t="s">
        <v>242</v>
      </c>
      <c r="K333" s="75" t="s">
        <v>54</v>
      </c>
      <c r="L333" s="134" t="str">
        <f>IF(AND('331-CT'!$E$7=TH!H333,OR(J333="331",K333="331")),"x","")</f>
        <v/>
      </c>
    </row>
    <row r="334" spans="1:12" s="109" customFormat="1">
      <c r="A334" s="72">
        <f t="shared" si="15"/>
        <v>2014</v>
      </c>
      <c r="B334" s="72">
        <f t="shared" si="16"/>
        <v>9</v>
      </c>
      <c r="C334" s="73">
        <v>41906</v>
      </c>
      <c r="D334" s="73" t="s">
        <v>17</v>
      </c>
      <c r="E334" s="73">
        <v>41906</v>
      </c>
      <c r="F334" s="76" t="s">
        <v>121</v>
      </c>
      <c r="G334" s="270"/>
      <c r="H334" s="122"/>
      <c r="I334" s="74">
        <v>2000</v>
      </c>
      <c r="J334" s="75" t="s">
        <v>19</v>
      </c>
      <c r="K334" s="75" t="s">
        <v>54</v>
      </c>
      <c r="L334" s="134" t="str">
        <f>IF(AND('331-CT'!$E$7=TH!H334,OR(J334="331",K334="331")),"x","")</f>
        <v/>
      </c>
    </row>
    <row r="335" spans="1:12" s="109" customFormat="1">
      <c r="A335" s="72">
        <f t="shared" si="15"/>
        <v>2014</v>
      </c>
      <c r="B335" s="72">
        <f t="shared" si="16"/>
        <v>9</v>
      </c>
      <c r="C335" s="73">
        <v>41907</v>
      </c>
      <c r="D335" s="73" t="s">
        <v>21</v>
      </c>
      <c r="E335" s="73">
        <v>41907</v>
      </c>
      <c r="F335" s="76" t="s">
        <v>98</v>
      </c>
      <c r="G335" s="265"/>
      <c r="H335" s="122"/>
      <c r="I335" s="74">
        <v>199881</v>
      </c>
      <c r="J335" s="75" t="s">
        <v>54</v>
      </c>
      <c r="K335" s="75" t="s">
        <v>99</v>
      </c>
      <c r="L335" s="134" t="str">
        <f>IF(AND('331-CT'!$E$7=TH!H335,OR(J335="331",K335="331")),"x","")</f>
        <v/>
      </c>
    </row>
    <row r="336" spans="1:12" s="109" customFormat="1">
      <c r="A336" s="72">
        <f t="shared" si="15"/>
        <v>2014</v>
      </c>
      <c r="B336" s="72">
        <f t="shared" si="16"/>
        <v>9</v>
      </c>
      <c r="C336" s="73">
        <v>41907</v>
      </c>
      <c r="D336" s="73" t="s">
        <v>17</v>
      </c>
      <c r="E336" s="73">
        <v>41907</v>
      </c>
      <c r="F336" s="76" t="s">
        <v>120</v>
      </c>
      <c r="G336" s="265"/>
      <c r="H336" s="122"/>
      <c r="I336" s="74">
        <v>20000</v>
      </c>
      <c r="J336" s="75" t="s">
        <v>242</v>
      </c>
      <c r="K336" s="75" t="s">
        <v>54</v>
      </c>
      <c r="L336" s="134" t="str">
        <f>IF(AND('331-CT'!$E$7=TH!H336,OR(J336="331",K336="331")),"x","")</f>
        <v/>
      </c>
    </row>
    <row r="337" spans="1:12" s="109" customFormat="1">
      <c r="A337" s="72">
        <f t="shared" si="15"/>
        <v>2014</v>
      </c>
      <c r="B337" s="72">
        <f t="shared" si="16"/>
        <v>9</v>
      </c>
      <c r="C337" s="73">
        <v>41907</v>
      </c>
      <c r="D337" s="73" t="s">
        <v>17</v>
      </c>
      <c r="E337" s="73">
        <v>41907</v>
      </c>
      <c r="F337" s="76" t="s">
        <v>121</v>
      </c>
      <c r="G337" s="265"/>
      <c r="H337" s="122"/>
      <c r="I337" s="74">
        <v>2000</v>
      </c>
      <c r="J337" s="75" t="s">
        <v>19</v>
      </c>
      <c r="K337" s="75" t="s">
        <v>54</v>
      </c>
      <c r="L337" s="134" t="str">
        <f>IF(AND('331-CT'!$E$7=TH!H337,OR(J337="331",K337="331")),"x","")</f>
        <v/>
      </c>
    </row>
    <row r="338" spans="1:12" s="109" customFormat="1">
      <c r="A338" s="72">
        <f t="shared" si="15"/>
        <v>2014</v>
      </c>
      <c r="B338" s="72">
        <f t="shared" si="16"/>
        <v>9</v>
      </c>
      <c r="C338" s="73">
        <v>41907</v>
      </c>
      <c r="D338" s="73" t="s">
        <v>17</v>
      </c>
      <c r="E338" s="73">
        <v>41907</v>
      </c>
      <c r="F338" s="76" t="s">
        <v>49</v>
      </c>
      <c r="G338" s="265"/>
      <c r="H338" s="7"/>
      <c r="I338" s="74">
        <v>50000</v>
      </c>
      <c r="J338" s="75" t="s">
        <v>242</v>
      </c>
      <c r="K338" s="75" t="s">
        <v>54</v>
      </c>
      <c r="L338" s="134" t="str">
        <f>IF(AND('331-CT'!$E$7=TH!H338,OR(J338="331",K338="331")),"x","")</f>
        <v/>
      </c>
    </row>
    <row r="339" spans="1:12" s="109" customFormat="1">
      <c r="A339" s="72">
        <f t="shared" si="15"/>
        <v>2014</v>
      </c>
      <c r="B339" s="72">
        <f t="shared" si="16"/>
        <v>9</v>
      </c>
      <c r="C339" s="73">
        <v>41907</v>
      </c>
      <c r="D339" s="73" t="s">
        <v>17</v>
      </c>
      <c r="E339" s="73">
        <v>41907</v>
      </c>
      <c r="F339" s="76" t="s">
        <v>44</v>
      </c>
      <c r="G339" s="265"/>
      <c r="H339" s="122"/>
      <c r="I339" s="74">
        <v>5000</v>
      </c>
      <c r="J339" s="75" t="s">
        <v>19</v>
      </c>
      <c r="K339" s="75" t="s">
        <v>54</v>
      </c>
      <c r="L339" s="134" t="str">
        <f>IF(AND('331-CT'!$E$7=TH!H339,OR(J339="331",K339="331")),"x","")</f>
        <v/>
      </c>
    </row>
    <row r="340" spans="1:12" s="109" customFormat="1">
      <c r="A340" s="72">
        <f t="shared" si="15"/>
        <v>2014</v>
      </c>
      <c r="B340" s="72">
        <f t="shared" si="16"/>
        <v>9</v>
      </c>
      <c r="C340" s="73">
        <v>41907</v>
      </c>
      <c r="D340" s="73" t="s">
        <v>17</v>
      </c>
      <c r="E340" s="73">
        <v>41907</v>
      </c>
      <c r="F340" s="76" t="s">
        <v>48</v>
      </c>
      <c r="G340" s="265"/>
      <c r="H340" s="122"/>
      <c r="I340" s="74">
        <v>50000</v>
      </c>
      <c r="J340" s="75" t="s">
        <v>242</v>
      </c>
      <c r="K340" s="75" t="s">
        <v>54</v>
      </c>
      <c r="L340" s="134" t="str">
        <f>IF(AND('331-CT'!$E$7=TH!H340,OR(J340="331",K340="331")),"x","")</f>
        <v/>
      </c>
    </row>
    <row r="341" spans="1:12" s="109" customFormat="1">
      <c r="A341" s="72">
        <f t="shared" si="15"/>
        <v>2014</v>
      </c>
      <c r="B341" s="72">
        <f t="shared" si="16"/>
        <v>9</v>
      </c>
      <c r="C341" s="73">
        <v>41907</v>
      </c>
      <c r="D341" s="73" t="s">
        <v>17</v>
      </c>
      <c r="E341" s="73">
        <v>41907</v>
      </c>
      <c r="F341" s="76" t="s">
        <v>44</v>
      </c>
      <c r="G341" s="265"/>
      <c r="H341" s="122"/>
      <c r="I341" s="74">
        <v>5000</v>
      </c>
      <c r="J341" s="75" t="s">
        <v>19</v>
      </c>
      <c r="K341" s="75" t="s">
        <v>54</v>
      </c>
      <c r="L341" s="134" t="str">
        <f>IF(AND('331-CT'!$E$7=TH!H341,OR(J341="331",K341="331")),"x","")</f>
        <v/>
      </c>
    </row>
    <row r="342" spans="1:12" s="109" customFormat="1">
      <c r="A342" s="72">
        <f t="shared" si="15"/>
        <v>2014</v>
      </c>
      <c r="B342" s="72">
        <f t="shared" si="16"/>
        <v>9</v>
      </c>
      <c r="C342" s="73">
        <v>41907</v>
      </c>
      <c r="D342" s="73" t="s">
        <v>17</v>
      </c>
      <c r="E342" s="73">
        <v>41907</v>
      </c>
      <c r="F342" s="76" t="s">
        <v>47</v>
      </c>
      <c r="G342" s="270"/>
      <c r="H342" s="122"/>
      <c r="I342" s="74">
        <v>50000</v>
      </c>
      <c r="J342" s="75" t="s">
        <v>242</v>
      </c>
      <c r="K342" s="75" t="s">
        <v>54</v>
      </c>
      <c r="L342" s="134" t="str">
        <f>IF(AND('331-CT'!$E$7=TH!H342,OR(J342="331",K342="331")),"x","")</f>
        <v/>
      </c>
    </row>
    <row r="343" spans="1:12" s="109" customFormat="1">
      <c r="A343" s="72">
        <f t="shared" si="15"/>
        <v>2014</v>
      </c>
      <c r="B343" s="72">
        <f t="shared" si="16"/>
        <v>9</v>
      </c>
      <c r="C343" s="73">
        <v>41907</v>
      </c>
      <c r="D343" s="73" t="s">
        <v>17</v>
      </c>
      <c r="E343" s="73">
        <v>41907</v>
      </c>
      <c r="F343" s="76" t="s">
        <v>44</v>
      </c>
      <c r="G343" s="270"/>
      <c r="H343" s="122"/>
      <c r="I343" s="74">
        <v>5000</v>
      </c>
      <c r="J343" s="75" t="s">
        <v>19</v>
      </c>
      <c r="K343" s="75" t="s">
        <v>54</v>
      </c>
      <c r="L343" s="134" t="str">
        <f>IF(AND('331-CT'!$E$7=TH!H343,OR(J343="331",K343="331")),"x","")</f>
        <v/>
      </c>
    </row>
    <row r="344" spans="1:12" s="109" customFormat="1">
      <c r="A344" s="72">
        <f t="shared" si="15"/>
        <v>2014</v>
      </c>
      <c r="B344" s="72">
        <f t="shared" si="16"/>
        <v>10</v>
      </c>
      <c r="C344" s="73">
        <v>41915</v>
      </c>
      <c r="D344" s="73" t="s">
        <v>17</v>
      </c>
      <c r="E344" s="73">
        <v>41915</v>
      </c>
      <c r="F344" s="76" t="s">
        <v>125</v>
      </c>
      <c r="G344" s="270"/>
      <c r="H344" s="7" t="s">
        <v>129</v>
      </c>
      <c r="I344" s="74">
        <v>16327199</v>
      </c>
      <c r="J344" s="75" t="s">
        <v>18</v>
      </c>
      <c r="K344" s="75" t="s">
        <v>54</v>
      </c>
      <c r="L344" s="134" t="str">
        <f>IF(AND('331-CT'!$E$7=TH!H344,OR(J344="331",K344="331")),"x","")</f>
        <v/>
      </c>
    </row>
    <row r="345" spans="1:12" s="109" customFormat="1">
      <c r="A345" s="72">
        <f t="shared" si="15"/>
        <v>2014</v>
      </c>
      <c r="B345" s="72">
        <f t="shared" si="16"/>
        <v>10</v>
      </c>
      <c r="C345" s="73">
        <v>41915</v>
      </c>
      <c r="D345" s="73" t="s">
        <v>17</v>
      </c>
      <c r="E345" s="73">
        <v>41915</v>
      </c>
      <c r="F345" s="76" t="s">
        <v>34</v>
      </c>
      <c r="G345" s="270"/>
      <c r="H345" s="7"/>
      <c r="I345" s="74">
        <v>25000</v>
      </c>
      <c r="J345" s="75" t="s">
        <v>242</v>
      </c>
      <c r="K345" s="75" t="s">
        <v>54</v>
      </c>
      <c r="L345" s="134" t="str">
        <f>IF(AND('331-CT'!$E$7=TH!H345,OR(J345="331",K345="331")),"x","")</f>
        <v/>
      </c>
    </row>
    <row r="346" spans="1:12" s="109" customFormat="1">
      <c r="A346" s="72">
        <f t="shared" si="15"/>
        <v>2014</v>
      </c>
      <c r="B346" s="72">
        <f t="shared" si="16"/>
        <v>10</v>
      </c>
      <c r="C346" s="73">
        <v>41915</v>
      </c>
      <c r="D346" s="73" t="s">
        <v>17</v>
      </c>
      <c r="E346" s="73">
        <v>41915</v>
      </c>
      <c r="F346" s="76" t="s">
        <v>35</v>
      </c>
      <c r="G346" s="265"/>
      <c r="H346" s="124"/>
      <c r="I346" s="74">
        <v>2500</v>
      </c>
      <c r="J346" s="75" t="s">
        <v>19</v>
      </c>
      <c r="K346" s="75" t="s">
        <v>54</v>
      </c>
      <c r="L346" s="134" t="str">
        <f>IF(AND('331-CT'!$E$7=TH!H346,OR(J346="331",K346="331")),"x","")</f>
        <v/>
      </c>
    </row>
    <row r="347" spans="1:12" s="109" customFormat="1">
      <c r="A347" s="72">
        <f t="shared" si="15"/>
        <v>2014</v>
      </c>
      <c r="B347" s="72">
        <f t="shared" si="16"/>
        <v>10</v>
      </c>
      <c r="C347" s="73">
        <v>41918</v>
      </c>
      <c r="D347" s="73" t="s">
        <v>17</v>
      </c>
      <c r="E347" s="73">
        <v>41918</v>
      </c>
      <c r="F347" s="76" t="s">
        <v>126</v>
      </c>
      <c r="G347" s="265"/>
      <c r="H347" s="122" t="s">
        <v>83</v>
      </c>
      <c r="I347" s="74">
        <v>34408000</v>
      </c>
      <c r="J347" s="75" t="s">
        <v>18</v>
      </c>
      <c r="K347" s="75" t="s">
        <v>54</v>
      </c>
      <c r="L347" s="134" t="str">
        <f>IF(AND('331-CT'!$E$7=TH!H347,OR(J347="331",K347="331")),"x","")</f>
        <v/>
      </c>
    </row>
    <row r="348" spans="1:12" s="109" customFormat="1">
      <c r="A348" s="72">
        <f t="shared" si="15"/>
        <v>2014</v>
      </c>
      <c r="B348" s="72">
        <f t="shared" si="16"/>
        <v>10</v>
      </c>
      <c r="C348" s="73">
        <v>41918</v>
      </c>
      <c r="D348" s="73" t="s">
        <v>17</v>
      </c>
      <c r="E348" s="73">
        <v>41918</v>
      </c>
      <c r="F348" s="76" t="s">
        <v>34</v>
      </c>
      <c r="G348" s="265"/>
      <c r="H348" s="122"/>
      <c r="I348" s="74">
        <v>25000</v>
      </c>
      <c r="J348" s="75" t="s">
        <v>242</v>
      </c>
      <c r="K348" s="75" t="s">
        <v>54</v>
      </c>
      <c r="L348" s="134" t="str">
        <f>IF(AND('331-CT'!$E$7=TH!H348,OR(J348="331",K348="331")),"x","")</f>
        <v/>
      </c>
    </row>
    <row r="349" spans="1:12" s="109" customFormat="1">
      <c r="A349" s="72">
        <f t="shared" si="15"/>
        <v>2014</v>
      </c>
      <c r="B349" s="72">
        <f t="shared" si="16"/>
        <v>10</v>
      </c>
      <c r="C349" s="73">
        <v>41918</v>
      </c>
      <c r="D349" s="73" t="s">
        <v>17</v>
      </c>
      <c r="E349" s="73">
        <v>41918</v>
      </c>
      <c r="F349" s="76" t="s">
        <v>35</v>
      </c>
      <c r="G349" s="265"/>
      <c r="H349" s="122"/>
      <c r="I349" s="74">
        <v>2500</v>
      </c>
      <c r="J349" s="75" t="s">
        <v>19</v>
      </c>
      <c r="K349" s="75" t="s">
        <v>54</v>
      </c>
      <c r="L349" s="134" t="str">
        <f>IF(AND('331-CT'!$E$7=TH!H349,OR(J349="331",K349="331")),"x","")</f>
        <v/>
      </c>
    </row>
    <row r="350" spans="1:12" s="109" customFormat="1">
      <c r="A350" s="72">
        <f t="shared" si="15"/>
        <v>2014</v>
      </c>
      <c r="B350" s="72">
        <f t="shared" si="16"/>
        <v>10</v>
      </c>
      <c r="C350" s="73">
        <v>41927</v>
      </c>
      <c r="D350" s="73" t="s">
        <v>78</v>
      </c>
      <c r="E350" s="73">
        <v>41927</v>
      </c>
      <c r="F350" s="76" t="s">
        <v>130</v>
      </c>
      <c r="G350" s="265" t="s">
        <v>567</v>
      </c>
      <c r="H350" s="122" t="s">
        <v>132</v>
      </c>
      <c r="I350" s="74">
        <v>28000005</v>
      </c>
      <c r="J350" s="75" t="s">
        <v>655</v>
      </c>
      <c r="K350" s="75" t="s">
        <v>18</v>
      </c>
      <c r="L350" s="134" t="str">
        <f>IF(AND('331-CT'!$E$7=TH!H350,OR(J350="331",K350="331")),"x","")</f>
        <v/>
      </c>
    </row>
    <row r="351" spans="1:12" s="109" customFormat="1">
      <c r="A351" s="72">
        <f t="shared" si="15"/>
        <v>2014</v>
      </c>
      <c r="B351" s="72">
        <f t="shared" si="16"/>
        <v>10</v>
      </c>
      <c r="C351" s="73">
        <v>41927</v>
      </c>
      <c r="D351" s="73" t="s">
        <v>78</v>
      </c>
      <c r="E351" s="73">
        <v>41927</v>
      </c>
      <c r="F351" s="76" t="s">
        <v>131</v>
      </c>
      <c r="G351" s="265" t="s">
        <v>567</v>
      </c>
      <c r="H351" s="122" t="s">
        <v>132</v>
      </c>
      <c r="I351" s="74">
        <v>2800000</v>
      </c>
      <c r="J351" s="75" t="s">
        <v>19</v>
      </c>
      <c r="K351" s="75" t="s">
        <v>18</v>
      </c>
      <c r="L351" s="134" t="str">
        <f>IF(AND('331-CT'!$E$7=TH!H351,OR(J351="331",K351="331")),"x","")</f>
        <v/>
      </c>
    </row>
    <row r="352" spans="1:12" s="109" customFormat="1">
      <c r="A352" s="72">
        <f t="shared" si="15"/>
        <v>2014</v>
      </c>
      <c r="B352" s="72">
        <f t="shared" si="16"/>
        <v>10</v>
      </c>
      <c r="C352" s="73">
        <v>41928</v>
      </c>
      <c r="D352" s="73" t="s">
        <v>17</v>
      </c>
      <c r="E352" s="73">
        <v>41928</v>
      </c>
      <c r="F352" s="76" t="s">
        <v>6</v>
      </c>
      <c r="G352" s="265"/>
      <c r="H352" s="123" t="s">
        <v>89</v>
      </c>
      <c r="I352" s="74">
        <v>323824160</v>
      </c>
      <c r="J352" s="75" t="s">
        <v>18</v>
      </c>
      <c r="K352" s="75" t="s">
        <v>54</v>
      </c>
      <c r="L352" s="134" t="str">
        <f>IF(AND('331-CT'!$E$7=TH!H352,OR(J352="331",K352="331")),"x","")</f>
        <v/>
      </c>
    </row>
    <row r="353" spans="1:12" s="109" customFormat="1">
      <c r="A353" s="72">
        <f t="shared" si="15"/>
        <v>2014</v>
      </c>
      <c r="B353" s="72">
        <f t="shared" si="16"/>
        <v>10</v>
      </c>
      <c r="C353" s="73">
        <v>41928</v>
      </c>
      <c r="D353" s="73" t="s">
        <v>17</v>
      </c>
      <c r="E353" s="73">
        <v>41928</v>
      </c>
      <c r="F353" s="76" t="s">
        <v>34</v>
      </c>
      <c r="G353" s="265"/>
      <c r="H353" s="9"/>
      <c r="I353" s="74">
        <v>97147</v>
      </c>
      <c r="J353" s="75" t="s">
        <v>242</v>
      </c>
      <c r="K353" s="75" t="s">
        <v>54</v>
      </c>
      <c r="L353" s="134" t="str">
        <f>IF(AND('331-CT'!$E$7=TH!H353,OR(J353="331",K353="331")),"x","")</f>
        <v/>
      </c>
    </row>
    <row r="354" spans="1:12" s="109" customFormat="1">
      <c r="A354" s="72">
        <f t="shared" si="15"/>
        <v>2014</v>
      </c>
      <c r="B354" s="72">
        <f t="shared" si="16"/>
        <v>10</v>
      </c>
      <c r="C354" s="73">
        <v>41928</v>
      </c>
      <c r="D354" s="73" t="s">
        <v>17</v>
      </c>
      <c r="E354" s="73">
        <v>41928</v>
      </c>
      <c r="F354" s="76" t="s">
        <v>35</v>
      </c>
      <c r="G354" s="265"/>
      <c r="H354" s="122"/>
      <c r="I354" s="74">
        <v>9715</v>
      </c>
      <c r="J354" s="75" t="s">
        <v>19</v>
      </c>
      <c r="K354" s="75" t="s">
        <v>54</v>
      </c>
      <c r="L354" s="134" t="str">
        <f>IF(AND('331-CT'!$E$7=TH!H354,OR(J354="331",K354="331")),"x","")</f>
        <v/>
      </c>
    </row>
    <row r="355" spans="1:12" s="109" customFormat="1">
      <c r="A355" s="72">
        <f t="shared" si="15"/>
        <v>2014</v>
      </c>
      <c r="B355" s="72">
        <f t="shared" si="16"/>
        <v>10</v>
      </c>
      <c r="C355" s="73">
        <v>41929</v>
      </c>
      <c r="D355" s="73" t="s">
        <v>167</v>
      </c>
      <c r="E355" s="73">
        <v>41929</v>
      </c>
      <c r="F355" s="76" t="s">
        <v>577</v>
      </c>
      <c r="G355" s="265"/>
      <c r="H355" s="122" t="s">
        <v>267</v>
      </c>
      <c r="I355" s="74">
        <v>25000000</v>
      </c>
      <c r="J355" s="75" t="s">
        <v>39</v>
      </c>
      <c r="K355" s="75" t="s">
        <v>203</v>
      </c>
      <c r="L355" s="134" t="str">
        <f>IF(AND('331-CT'!$E$7=TH!H355,OR(J355="331",K355="331")),"x","")</f>
        <v/>
      </c>
    </row>
    <row r="356" spans="1:12" s="109" customFormat="1">
      <c r="A356" s="72">
        <f t="shared" si="15"/>
        <v>2014</v>
      </c>
      <c r="B356" s="72">
        <f t="shared" si="16"/>
        <v>10</v>
      </c>
      <c r="C356" s="73">
        <v>41929</v>
      </c>
      <c r="D356" s="73" t="s">
        <v>21</v>
      </c>
      <c r="E356" s="73">
        <v>41929</v>
      </c>
      <c r="F356" s="76" t="s">
        <v>45</v>
      </c>
      <c r="G356" s="265"/>
      <c r="H356" s="122" t="s">
        <v>267</v>
      </c>
      <c r="I356" s="74">
        <v>25000000</v>
      </c>
      <c r="J356" s="75" t="s">
        <v>54</v>
      </c>
      <c r="K356" s="75" t="s">
        <v>39</v>
      </c>
      <c r="L356" s="134" t="str">
        <f>IF(AND('331-CT'!$E$7=TH!H356,OR(J356="331",K356="331")),"x","")</f>
        <v/>
      </c>
    </row>
    <row r="357" spans="1:12" s="109" customFormat="1">
      <c r="A357" s="72">
        <f t="shared" si="15"/>
        <v>2014</v>
      </c>
      <c r="B357" s="72">
        <f t="shared" si="16"/>
        <v>10</v>
      </c>
      <c r="C357" s="73">
        <v>41932</v>
      </c>
      <c r="D357" s="73" t="s">
        <v>17</v>
      </c>
      <c r="E357" s="73">
        <v>41932</v>
      </c>
      <c r="F357" s="76" t="s">
        <v>119</v>
      </c>
      <c r="G357" s="265"/>
      <c r="H357" s="122" t="s">
        <v>314</v>
      </c>
      <c r="I357" s="74">
        <v>8333333</v>
      </c>
      <c r="J357" s="75" t="s">
        <v>240</v>
      </c>
      <c r="K357" s="75" t="s">
        <v>54</v>
      </c>
      <c r="L357" s="134" t="str">
        <f>IF(AND('331-CT'!$E$7=TH!H357,OR(J357="331",K357="331")),"x","")</f>
        <v/>
      </c>
    </row>
    <row r="358" spans="1:12" s="109" customFormat="1">
      <c r="A358" s="72">
        <f t="shared" si="15"/>
        <v>2014</v>
      </c>
      <c r="B358" s="72">
        <f t="shared" si="16"/>
        <v>10</v>
      </c>
      <c r="C358" s="73">
        <v>41933</v>
      </c>
      <c r="D358" s="73" t="s">
        <v>78</v>
      </c>
      <c r="E358" s="73">
        <v>41933</v>
      </c>
      <c r="F358" s="76" t="s">
        <v>122</v>
      </c>
      <c r="G358" s="265" t="s">
        <v>568</v>
      </c>
      <c r="H358" s="122" t="s">
        <v>91</v>
      </c>
      <c r="I358" s="74">
        <v>262727273</v>
      </c>
      <c r="J358" s="75" t="s">
        <v>655</v>
      </c>
      <c r="K358" s="75" t="s">
        <v>18</v>
      </c>
      <c r="L358" s="134" t="str">
        <f>IF(AND('331-CT'!$E$7=TH!H358,OR(J358="331",K358="331")),"x","")</f>
        <v/>
      </c>
    </row>
    <row r="359" spans="1:12" s="109" customFormat="1">
      <c r="A359" s="72">
        <f t="shared" si="15"/>
        <v>2014</v>
      </c>
      <c r="B359" s="72">
        <f t="shared" si="16"/>
        <v>10</v>
      </c>
      <c r="C359" s="73">
        <v>41933</v>
      </c>
      <c r="D359" s="73" t="s">
        <v>78</v>
      </c>
      <c r="E359" s="73">
        <v>41933</v>
      </c>
      <c r="F359" s="76" t="s">
        <v>123</v>
      </c>
      <c r="G359" s="265" t="s">
        <v>568</v>
      </c>
      <c r="H359" s="9" t="s">
        <v>91</v>
      </c>
      <c r="I359" s="74">
        <v>26272727</v>
      </c>
      <c r="J359" s="75" t="s">
        <v>19</v>
      </c>
      <c r="K359" s="75" t="s">
        <v>18</v>
      </c>
      <c r="L359" s="134" t="str">
        <f>IF(AND('331-CT'!$E$7=TH!H359,OR(J359="331",K359="331")),"x","")</f>
        <v/>
      </c>
    </row>
    <row r="360" spans="1:12" s="109" customFormat="1">
      <c r="A360" s="72">
        <f t="shared" si="15"/>
        <v>2014</v>
      </c>
      <c r="B360" s="72">
        <f t="shared" si="16"/>
        <v>10</v>
      </c>
      <c r="C360" s="73">
        <v>41934</v>
      </c>
      <c r="D360" s="73" t="s">
        <v>78</v>
      </c>
      <c r="E360" s="73">
        <v>41934</v>
      </c>
      <c r="F360" s="76" t="s">
        <v>124</v>
      </c>
      <c r="G360" s="265" t="s">
        <v>569</v>
      </c>
      <c r="H360" s="122" t="s">
        <v>83</v>
      </c>
      <c r="I360" s="74">
        <v>31280000</v>
      </c>
      <c r="J360" s="75" t="s">
        <v>242</v>
      </c>
      <c r="K360" s="75" t="s">
        <v>18</v>
      </c>
      <c r="L360" s="134" t="str">
        <f>IF(AND('331-CT'!$E$7=TH!H360,OR(J360="331",K360="331")),"x","")</f>
        <v/>
      </c>
    </row>
    <row r="361" spans="1:12" s="109" customFormat="1">
      <c r="A361" s="72">
        <f t="shared" si="15"/>
        <v>2014</v>
      </c>
      <c r="B361" s="72">
        <f t="shared" si="16"/>
        <v>10</v>
      </c>
      <c r="C361" s="73">
        <v>41934</v>
      </c>
      <c r="D361" s="73" t="s">
        <v>78</v>
      </c>
      <c r="E361" s="73">
        <v>41934</v>
      </c>
      <c r="F361" s="76" t="s">
        <v>84</v>
      </c>
      <c r="G361" s="265" t="s">
        <v>569</v>
      </c>
      <c r="H361" s="122" t="s">
        <v>83</v>
      </c>
      <c r="I361" s="74">
        <v>3128000</v>
      </c>
      <c r="J361" s="75" t="s">
        <v>19</v>
      </c>
      <c r="K361" s="75" t="s">
        <v>18</v>
      </c>
      <c r="L361" s="134" t="str">
        <f>IF(AND('331-CT'!$E$7=TH!H361,OR(J361="331",K361="331")),"x","")</f>
        <v/>
      </c>
    </row>
    <row r="362" spans="1:12" s="109" customFormat="1">
      <c r="A362" s="72">
        <f t="shared" si="15"/>
        <v>2014</v>
      </c>
      <c r="B362" s="72">
        <f t="shared" si="16"/>
        <v>10</v>
      </c>
      <c r="C362" s="73">
        <v>41934</v>
      </c>
      <c r="D362" s="73" t="s">
        <v>21</v>
      </c>
      <c r="E362" s="73">
        <v>41934</v>
      </c>
      <c r="F362" s="76" t="s">
        <v>127</v>
      </c>
      <c r="G362" s="265"/>
      <c r="H362" s="9" t="s">
        <v>317</v>
      </c>
      <c r="I362" s="74">
        <v>1600000000</v>
      </c>
      <c r="J362" s="75" t="s">
        <v>54</v>
      </c>
      <c r="K362" s="75" t="s">
        <v>227</v>
      </c>
      <c r="L362" s="134" t="str">
        <f>IF(AND('331-CT'!$E$7=TH!H362,OR(J362="331",K362="331")),"x","")</f>
        <v/>
      </c>
    </row>
    <row r="363" spans="1:12" s="109" customFormat="1">
      <c r="A363" s="72">
        <f t="shared" si="15"/>
        <v>2014</v>
      </c>
      <c r="B363" s="72">
        <f t="shared" si="16"/>
        <v>10</v>
      </c>
      <c r="C363" s="73">
        <v>41935</v>
      </c>
      <c r="D363" s="73" t="s">
        <v>17</v>
      </c>
      <c r="E363" s="73">
        <v>41935</v>
      </c>
      <c r="F363" s="76" t="s">
        <v>112</v>
      </c>
      <c r="G363" s="265"/>
      <c r="H363" s="122" t="s">
        <v>85</v>
      </c>
      <c r="I363" s="74">
        <v>1500000000</v>
      </c>
      <c r="J363" s="75" t="s">
        <v>18</v>
      </c>
      <c r="K363" s="75" t="s">
        <v>54</v>
      </c>
      <c r="L363" s="134" t="str">
        <f>IF(AND('331-CT'!$E$7=TH!H363,OR(J363="331",K363="331")),"x","")</f>
        <v/>
      </c>
    </row>
    <row r="364" spans="1:12" s="109" customFormat="1">
      <c r="A364" s="72">
        <f t="shared" si="15"/>
        <v>2014</v>
      </c>
      <c r="B364" s="72">
        <f t="shared" si="16"/>
        <v>10</v>
      </c>
      <c r="C364" s="73">
        <v>41935</v>
      </c>
      <c r="D364" s="73" t="s">
        <v>17</v>
      </c>
      <c r="E364" s="73">
        <v>41935</v>
      </c>
      <c r="F364" s="76" t="s">
        <v>34</v>
      </c>
      <c r="G364" s="265"/>
      <c r="H364" s="122"/>
      <c r="I364" s="74">
        <v>750000</v>
      </c>
      <c r="J364" s="75" t="s">
        <v>242</v>
      </c>
      <c r="K364" s="75" t="s">
        <v>54</v>
      </c>
      <c r="L364" s="134" t="str">
        <f>IF(AND('331-CT'!$E$7=TH!H364,OR(J364="331",K364="331")),"x","")</f>
        <v/>
      </c>
    </row>
    <row r="365" spans="1:12" s="109" customFormat="1">
      <c r="A365" s="72">
        <f t="shared" si="15"/>
        <v>2014</v>
      </c>
      <c r="B365" s="72">
        <f t="shared" si="16"/>
        <v>10</v>
      </c>
      <c r="C365" s="73">
        <v>41935</v>
      </c>
      <c r="D365" s="73" t="s">
        <v>17</v>
      </c>
      <c r="E365" s="73">
        <v>41935</v>
      </c>
      <c r="F365" s="76" t="s">
        <v>35</v>
      </c>
      <c r="G365" s="265"/>
      <c r="H365" s="9"/>
      <c r="I365" s="74">
        <v>75000</v>
      </c>
      <c r="J365" s="75" t="s">
        <v>19</v>
      </c>
      <c r="K365" s="75" t="s">
        <v>54</v>
      </c>
      <c r="L365" s="134" t="str">
        <f>IF(AND('331-CT'!$E$7=TH!H365,OR(J365="331",K365="331")),"x","")</f>
        <v/>
      </c>
    </row>
    <row r="366" spans="1:12" s="109" customFormat="1">
      <c r="A366" s="72">
        <f t="shared" si="15"/>
        <v>2014</v>
      </c>
      <c r="B366" s="72">
        <f t="shared" si="16"/>
        <v>10</v>
      </c>
      <c r="C366" s="73">
        <v>41936</v>
      </c>
      <c r="D366" s="73" t="s">
        <v>21</v>
      </c>
      <c r="E366" s="73">
        <v>41936</v>
      </c>
      <c r="F366" s="76" t="s">
        <v>98</v>
      </c>
      <c r="G366" s="265"/>
      <c r="H366" s="122"/>
      <c r="I366" s="74">
        <v>322248</v>
      </c>
      <c r="J366" s="75" t="s">
        <v>54</v>
      </c>
      <c r="K366" s="75" t="s">
        <v>99</v>
      </c>
      <c r="L366" s="134" t="str">
        <f>IF(AND('331-CT'!$E$7=TH!H366,OR(J366="331",K366="331")),"x","")</f>
        <v/>
      </c>
    </row>
    <row r="367" spans="1:12" s="109" customFormat="1">
      <c r="A367" s="72">
        <f t="shared" si="15"/>
        <v>2014</v>
      </c>
      <c r="B367" s="72">
        <f t="shared" si="16"/>
        <v>10</v>
      </c>
      <c r="C367" s="73">
        <v>41942</v>
      </c>
      <c r="D367" s="73" t="s">
        <v>17</v>
      </c>
      <c r="E367" s="73">
        <v>41942</v>
      </c>
      <c r="F367" s="76" t="s">
        <v>128</v>
      </c>
      <c r="G367" s="265"/>
      <c r="H367" s="122" t="s">
        <v>132</v>
      </c>
      <c r="I367" s="74">
        <v>30800005</v>
      </c>
      <c r="J367" s="75" t="s">
        <v>18</v>
      </c>
      <c r="K367" s="75" t="s">
        <v>54</v>
      </c>
      <c r="L367" s="134" t="str">
        <f>IF(AND('331-CT'!$E$7=TH!H367,OR(J367="331",K367="331")),"x","")</f>
        <v/>
      </c>
    </row>
    <row r="368" spans="1:12" s="109" customFormat="1">
      <c r="A368" s="72">
        <f t="shared" si="15"/>
        <v>2014</v>
      </c>
      <c r="B368" s="72">
        <f t="shared" si="16"/>
        <v>10</v>
      </c>
      <c r="C368" s="73">
        <v>41942</v>
      </c>
      <c r="D368" s="73" t="s">
        <v>17</v>
      </c>
      <c r="E368" s="73">
        <v>41942</v>
      </c>
      <c r="F368" s="76" t="s">
        <v>34</v>
      </c>
      <c r="G368" s="265"/>
      <c r="H368" s="9"/>
      <c r="I368" s="74">
        <v>25000</v>
      </c>
      <c r="J368" s="75" t="s">
        <v>242</v>
      </c>
      <c r="K368" s="75" t="s">
        <v>54</v>
      </c>
      <c r="L368" s="134" t="str">
        <f>IF(AND('331-CT'!$E$7=TH!H368,OR(J368="331",K368="331")),"x","")</f>
        <v/>
      </c>
    </row>
    <row r="369" spans="1:12" s="109" customFormat="1">
      <c r="A369" s="72">
        <f t="shared" si="15"/>
        <v>2014</v>
      </c>
      <c r="B369" s="72">
        <f t="shared" si="16"/>
        <v>10</v>
      </c>
      <c r="C369" s="73">
        <v>41942</v>
      </c>
      <c r="D369" s="73" t="s">
        <v>17</v>
      </c>
      <c r="E369" s="73">
        <v>41942</v>
      </c>
      <c r="F369" s="76" t="s">
        <v>35</v>
      </c>
      <c r="G369" s="265"/>
      <c r="H369" s="122"/>
      <c r="I369" s="74">
        <v>2500</v>
      </c>
      <c r="J369" s="75" t="s">
        <v>19</v>
      </c>
      <c r="K369" s="75" t="s">
        <v>54</v>
      </c>
      <c r="L369" s="134" t="str">
        <f>IF(AND('331-CT'!$E$7=TH!H369,OR(J369="331",K369="331")),"x","")</f>
        <v/>
      </c>
    </row>
    <row r="370" spans="1:12" s="109" customFormat="1">
      <c r="A370" s="72">
        <f t="shared" si="15"/>
        <v>2014</v>
      </c>
      <c r="B370" s="72">
        <f t="shared" si="16"/>
        <v>10</v>
      </c>
      <c r="C370" s="73">
        <v>41942</v>
      </c>
      <c r="D370" s="73" t="s">
        <v>17</v>
      </c>
      <c r="E370" s="73">
        <v>41942</v>
      </c>
      <c r="F370" s="76" t="s">
        <v>5</v>
      </c>
      <c r="G370" s="265"/>
      <c r="H370" s="123" t="s">
        <v>91</v>
      </c>
      <c r="I370" s="74">
        <v>49000000</v>
      </c>
      <c r="J370" s="75" t="s">
        <v>18</v>
      </c>
      <c r="K370" s="75" t="s">
        <v>54</v>
      </c>
      <c r="L370" s="134" t="str">
        <f>IF(AND('331-CT'!$E$7=TH!H370,OR(J370="331",K370="331")),"x","")</f>
        <v/>
      </c>
    </row>
    <row r="371" spans="1:12" s="109" customFormat="1">
      <c r="A371" s="72">
        <f t="shared" si="15"/>
        <v>2014</v>
      </c>
      <c r="B371" s="72">
        <f t="shared" si="16"/>
        <v>10</v>
      </c>
      <c r="C371" s="73">
        <v>41942</v>
      </c>
      <c r="D371" s="73" t="s">
        <v>17</v>
      </c>
      <c r="E371" s="73">
        <v>41942</v>
      </c>
      <c r="F371" s="76" t="s">
        <v>34</v>
      </c>
      <c r="G371" s="265"/>
      <c r="H371" s="122"/>
      <c r="I371" s="74">
        <v>25000</v>
      </c>
      <c r="J371" s="75" t="s">
        <v>242</v>
      </c>
      <c r="K371" s="75" t="s">
        <v>54</v>
      </c>
      <c r="L371" s="134" t="str">
        <f>IF(AND('331-CT'!$E$7=TH!H371,OR(J371="331",K371="331")),"x","")</f>
        <v/>
      </c>
    </row>
    <row r="372" spans="1:12" s="109" customFormat="1">
      <c r="A372" s="72">
        <f t="shared" si="15"/>
        <v>2014</v>
      </c>
      <c r="B372" s="72">
        <f t="shared" si="16"/>
        <v>10</v>
      </c>
      <c r="C372" s="73">
        <v>41942</v>
      </c>
      <c r="D372" s="73" t="s">
        <v>17</v>
      </c>
      <c r="E372" s="73">
        <v>41942</v>
      </c>
      <c r="F372" s="76" t="s">
        <v>35</v>
      </c>
      <c r="G372" s="265"/>
      <c r="H372" s="122"/>
      <c r="I372" s="74">
        <v>2500</v>
      </c>
      <c r="J372" s="75" t="s">
        <v>19</v>
      </c>
      <c r="K372" s="75" t="s">
        <v>54</v>
      </c>
      <c r="L372" s="134" t="str">
        <f>IF(AND('331-CT'!$E$7=TH!H372,OR(J372="331",K372="331")),"x","")</f>
        <v/>
      </c>
    </row>
    <row r="373" spans="1:12" s="109" customFormat="1">
      <c r="A373" s="72">
        <f t="shared" si="15"/>
        <v>2014</v>
      </c>
      <c r="B373" s="72">
        <f t="shared" si="16"/>
        <v>10</v>
      </c>
      <c r="C373" s="73">
        <v>41942</v>
      </c>
      <c r="D373" s="73" t="s">
        <v>17</v>
      </c>
      <c r="E373" s="73">
        <v>41942</v>
      </c>
      <c r="F373" s="76" t="s">
        <v>113</v>
      </c>
      <c r="G373" s="265"/>
      <c r="H373" s="123" t="s">
        <v>111</v>
      </c>
      <c r="I373" s="74">
        <v>500000000</v>
      </c>
      <c r="J373" s="75" t="s">
        <v>18</v>
      </c>
      <c r="K373" s="75" t="s">
        <v>54</v>
      </c>
      <c r="L373" s="134" t="str">
        <f>IF(AND('331-CT'!$E$7=TH!H373,OR(J373="331",K373="331")),"x","")</f>
        <v/>
      </c>
    </row>
    <row r="374" spans="1:12" s="109" customFormat="1">
      <c r="A374" s="72">
        <f t="shared" si="15"/>
        <v>2014</v>
      </c>
      <c r="B374" s="72">
        <f t="shared" si="16"/>
        <v>10</v>
      </c>
      <c r="C374" s="73">
        <v>41942</v>
      </c>
      <c r="D374" s="73" t="s">
        <v>17</v>
      </c>
      <c r="E374" s="73">
        <v>41942</v>
      </c>
      <c r="F374" s="76" t="s">
        <v>34</v>
      </c>
      <c r="G374" s="265"/>
      <c r="H374" s="122"/>
      <c r="I374" s="74">
        <v>150000</v>
      </c>
      <c r="J374" s="75" t="s">
        <v>242</v>
      </c>
      <c r="K374" s="75" t="s">
        <v>54</v>
      </c>
      <c r="L374" s="134" t="str">
        <f>IF(AND('331-CT'!$E$7=TH!H374,OR(J374="331",K374="331")),"x","")</f>
        <v/>
      </c>
    </row>
    <row r="375" spans="1:12" s="109" customFormat="1">
      <c r="A375" s="72">
        <f t="shared" si="15"/>
        <v>2014</v>
      </c>
      <c r="B375" s="72">
        <f t="shared" si="16"/>
        <v>10</v>
      </c>
      <c r="C375" s="73">
        <v>41942</v>
      </c>
      <c r="D375" s="73" t="s">
        <v>17</v>
      </c>
      <c r="E375" s="73">
        <v>41942</v>
      </c>
      <c r="F375" s="93" t="s">
        <v>35</v>
      </c>
      <c r="G375" s="265"/>
      <c r="H375" s="122"/>
      <c r="I375" s="74">
        <v>15000</v>
      </c>
      <c r="J375" s="75" t="s">
        <v>19</v>
      </c>
      <c r="K375" s="75" t="s">
        <v>54</v>
      </c>
      <c r="L375" s="134" t="str">
        <f>IF(AND('331-CT'!$E$7=TH!H375,OR(J375="331",K375="331")),"x","")</f>
        <v/>
      </c>
    </row>
    <row r="376" spans="1:12" s="109" customFormat="1">
      <c r="A376" s="72">
        <f t="shared" si="15"/>
        <v>2014</v>
      </c>
      <c r="B376" s="72">
        <f t="shared" si="16"/>
        <v>10</v>
      </c>
      <c r="C376" s="73">
        <v>41943</v>
      </c>
      <c r="D376" s="73" t="s">
        <v>78</v>
      </c>
      <c r="E376" s="73">
        <v>41943</v>
      </c>
      <c r="F376" s="76" t="s">
        <v>136</v>
      </c>
      <c r="G376" s="265" t="s">
        <v>570</v>
      </c>
      <c r="H376" s="124" t="s">
        <v>129</v>
      </c>
      <c r="I376" s="74">
        <v>14842908</v>
      </c>
      <c r="J376" s="75" t="s">
        <v>655</v>
      </c>
      <c r="K376" s="75" t="s">
        <v>18</v>
      </c>
      <c r="L376" s="134" t="str">
        <f>IF(AND('331-CT'!$E$7=TH!H376,OR(J376="331",K376="331")),"x","")</f>
        <v/>
      </c>
    </row>
    <row r="377" spans="1:12" s="109" customFormat="1">
      <c r="A377" s="72">
        <f t="shared" si="15"/>
        <v>2014</v>
      </c>
      <c r="B377" s="72">
        <f t="shared" si="16"/>
        <v>10</v>
      </c>
      <c r="C377" s="73">
        <v>41943</v>
      </c>
      <c r="D377" s="73" t="s">
        <v>78</v>
      </c>
      <c r="E377" s="73">
        <v>41943</v>
      </c>
      <c r="F377" s="76" t="s">
        <v>137</v>
      </c>
      <c r="G377" s="265" t="s">
        <v>570</v>
      </c>
      <c r="H377" s="124" t="s">
        <v>129</v>
      </c>
      <c r="I377" s="74">
        <v>1484291</v>
      </c>
      <c r="J377" s="75" t="s">
        <v>19</v>
      </c>
      <c r="K377" s="75" t="s">
        <v>18</v>
      </c>
      <c r="L377" s="134" t="str">
        <f>IF(AND('331-CT'!$E$7=TH!H377,OR(J377="331",K377="331")),"x","")</f>
        <v/>
      </c>
    </row>
    <row r="378" spans="1:12" s="109" customFormat="1">
      <c r="A378" s="72">
        <f t="shared" si="15"/>
        <v>2014</v>
      </c>
      <c r="B378" s="72">
        <f t="shared" si="16"/>
        <v>11</v>
      </c>
      <c r="C378" s="73">
        <v>41949</v>
      </c>
      <c r="D378" s="73" t="s">
        <v>168</v>
      </c>
      <c r="E378" s="73">
        <v>41949</v>
      </c>
      <c r="F378" s="76" t="s">
        <v>155</v>
      </c>
      <c r="G378" s="265" t="s">
        <v>521</v>
      </c>
      <c r="H378" s="124" t="s">
        <v>523</v>
      </c>
      <c r="I378" s="74">
        <v>2160000</v>
      </c>
      <c r="J378" s="75" t="s">
        <v>242</v>
      </c>
      <c r="K378" s="75" t="s">
        <v>203</v>
      </c>
      <c r="L378" s="134" t="str">
        <f>IF(AND('331-CT'!$E$7=TH!H378,OR(J378="331",K378="331")),"x","")</f>
        <v/>
      </c>
    </row>
    <row r="379" spans="1:12" s="109" customFormat="1">
      <c r="A379" s="72">
        <f t="shared" si="15"/>
        <v>2014</v>
      </c>
      <c r="B379" s="72">
        <f t="shared" si="16"/>
        <v>11</v>
      </c>
      <c r="C379" s="73">
        <v>41949</v>
      </c>
      <c r="D379" s="73" t="s">
        <v>168</v>
      </c>
      <c r="E379" s="73">
        <v>41949</v>
      </c>
      <c r="F379" s="76" t="s">
        <v>156</v>
      </c>
      <c r="G379" s="265" t="s">
        <v>521</v>
      </c>
      <c r="H379" s="124" t="s">
        <v>523</v>
      </c>
      <c r="I379" s="74">
        <v>216000</v>
      </c>
      <c r="J379" s="75" t="s">
        <v>19</v>
      </c>
      <c r="K379" s="75" t="s">
        <v>203</v>
      </c>
      <c r="L379" s="134" t="str">
        <f>IF(AND('331-CT'!$E$7=TH!H379,OR(J379="331",K379="331")),"x","")</f>
        <v/>
      </c>
    </row>
    <row r="380" spans="1:12" s="109" customFormat="1">
      <c r="A380" s="72">
        <f t="shared" si="15"/>
        <v>2014</v>
      </c>
      <c r="B380" s="72">
        <f t="shared" si="16"/>
        <v>11</v>
      </c>
      <c r="C380" s="73">
        <v>41963</v>
      </c>
      <c r="D380" s="73" t="s">
        <v>169</v>
      </c>
      <c r="E380" s="73">
        <v>41963</v>
      </c>
      <c r="F380" s="76" t="s">
        <v>577</v>
      </c>
      <c r="G380" s="265"/>
      <c r="H380" s="124" t="s">
        <v>267</v>
      </c>
      <c r="I380" s="74">
        <v>40500000</v>
      </c>
      <c r="J380" s="136" t="s">
        <v>39</v>
      </c>
      <c r="K380" s="136" t="s">
        <v>203</v>
      </c>
      <c r="L380" s="134" t="str">
        <f>IF(AND('331-CT'!$E$7=TH!H380,OR(J380="331",K380="331")),"x","")</f>
        <v/>
      </c>
    </row>
    <row r="381" spans="1:12" s="109" customFormat="1">
      <c r="A381" s="72">
        <f t="shared" si="15"/>
        <v>2014</v>
      </c>
      <c r="B381" s="72">
        <f t="shared" si="16"/>
        <v>11</v>
      </c>
      <c r="C381" s="73">
        <v>41963</v>
      </c>
      <c r="D381" s="73" t="s">
        <v>21</v>
      </c>
      <c r="E381" s="73">
        <v>41963</v>
      </c>
      <c r="F381" s="76" t="s">
        <v>45</v>
      </c>
      <c r="G381" s="265"/>
      <c r="H381" s="124" t="s">
        <v>267</v>
      </c>
      <c r="I381" s="74">
        <v>40500000</v>
      </c>
      <c r="J381" s="136" t="s">
        <v>54</v>
      </c>
      <c r="K381" s="136" t="s">
        <v>39</v>
      </c>
      <c r="L381" s="134" t="str">
        <f>IF(AND('331-CT'!$E$7=TH!H381,OR(J381="331",K381="331")),"x","")</f>
        <v/>
      </c>
    </row>
    <row r="382" spans="1:12" s="109" customFormat="1">
      <c r="A382" s="72">
        <f t="shared" si="15"/>
        <v>2014</v>
      </c>
      <c r="B382" s="72">
        <f t="shared" si="16"/>
        <v>11</v>
      </c>
      <c r="C382" s="73">
        <v>41963</v>
      </c>
      <c r="D382" s="73" t="s">
        <v>17</v>
      </c>
      <c r="E382" s="73">
        <v>41963</v>
      </c>
      <c r="F382" s="76" t="s">
        <v>140</v>
      </c>
      <c r="G382" s="265"/>
      <c r="H382" s="122" t="s">
        <v>314</v>
      </c>
      <c r="I382" s="74">
        <v>8614699</v>
      </c>
      <c r="J382" s="75" t="s">
        <v>240</v>
      </c>
      <c r="K382" s="75" t="s">
        <v>54</v>
      </c>
      <c r="L382" s="134" t="str">
        <f>IF(AND('331-CT'!$E$7=TH!H382,OR(J382="331",K382="331")),"x","")</f>
        <v/>
      </c>
    </row>
    <row r="383" spans="1:12" s="109" customFormat="1">
      <c r="A383" s="72">
        <f t="shared" si="15"/>
        <v>2014</v>
      </c>
      <c r="B383" s="72">
        <f t="shared" si="16"/>
        <v>11</v>
      </c>
      <c r="C383" s="73">
        <v>41963</v>
      </c>
      <c r="D383" s="73" t="s">
        <v>17</v>
      </c>
      <c r="E383" s="73">
        <v>41963</v>
      </c>
      <c r="F383" s="76" t="s">
        <v>141</v>
      </c>
      <c r="G383" s="265"/>
      <c r="H383" s="122" t="s">
        <v>315</v>
      </c>
      <c r="I383" s="74">
        <v>31679861</v>
      </c>
      <c r="J383" s="75" t="s">
        <v>240</v>
      </c>
      <c r="K383" s="75" t="s">
        <v>54</v>
      </c>
      <c r="L383" s="134" t="str">
        <f>IF(AND('331-CT'!$E$7=TH!H383,OR(J383="331",K383="331")),"x","")</f>
        <v/>
      </c>
    </row>
    <row r="384" spans="1:12" s="109" customFormat="1">
      <c r="A384" s="72">
        <f t="shared" si="15"/>
        <v>2014</v>
      </c>
      <c r="B384" s="72">
        <f t="shared" si="16"/>
        <v>11</v>
      </c>
      <c r="C384" s="73">
        <v>41963</v>
      </c>
      <c r="D384" s="73" t="s">
        <v>17</v>
      </c>
      <c r="E384" s="73">
        <v>41963</v>
      </c>
      <c r="F384" s="76" t="s">
        <v>112</v>
      </c>
      <c r="G384" s="265"/>
      <c r="H384" s="122" t="s">
        <v>85</v>
      </c>
      <c r="I384" s="74">
        <v>1000000000</v>
      </c>
      <c r="J384" s="75" t="s">
        <v>18</v>
      </c>
      <c r="K384" s="75" t="s">
        <v>54</v>
      </c>
      <c r="L384" s="134" t="str">
        <f>IF(AND('331-CT'!$E$7=TH!H384,OR(J384="331",K384="331")),"x","")</f>
        <v/>
      </c>
    </row>
    <row r="385" spans="1:12" s="109" customFormat="1">
      <c r="A385" s="72">
        <f t="shared" si="15"/>
        <v>2014</v>
      </c>
      <c r="B385" s="72">
        <f t="shared" si="16"/>
        <v>11</v>
      </c>
      <c r="C385" s="73">
        <v>41963</v>
      </c>
      <c r="D385" s="73" t="s">
        <v>17</v>
      </c>
      <c r="E385" s="73">
        <v>41963</v>
      </c>
      <c r="F385" s="76" t="s">
        <v>34</v>
      </c>
      <c r="G385" s="265"/>
      <c r="H385" s="122"/>
      <c r="I385" s="74">
        <v>500000</v>
      </c>
      <c r="J385" s="75" t="s">
        <v>242</v>
      </c>
      <c r="K385" s="75" t="s">
        <v>54</v>
      </c>
      <c r="L385" s="134" t="str">
        <f>IF(AND('331-CT'!$E$7=TH!H385,OR(J385="331",K385="331")),"x","")</f>
        <v/>
      </c>
    </row>
    <row r="386" spans="1:12" s="109" customFormat="1">
      <c r="A386" s="72">
        <f t="shared" si="15"/>
        <v>2014</v>
      </c>
      <c r="B386" s="72">
        <f t="shared" si="16"/>
        <v>11</v>
      </c>
      <c r="C386" s="73">
        <v>41963</v>
      </c>
      <c r="D386" s="73" t="s">
        <v>17</v>
      </c>
      <c r="E386" s="73">
        <v>41963</v>
      </c>
      <c r="F386" s="76" t="s">
        <v>35</v>
      </c>
      <c r="G386" s="265"/>
      <c r="H386" s="122"/>
      <c r="I386" s="74">
        <v>50000</v>
      </c>
      <c r="J386" s="75" t="s">
        <v>19</v>
      </c>
      <c r="K386" s="75" t="s">
        <v>54</v>
      </c>
      <c r="L386" s="134" t="str">
        <f>IF(AND('331-CT'!$E$7=TH!H386,OR(J386="331",K386="331")),"x","")</f>
        <v/>
      </c>
    </row>
    <row r="387" spans="1:12" s="109" customFormat="1">
      <c r="A387" s="72">
        <f t="shared" si="15"/>
        <v>2014</v>
      </c>
      <c r="B387" s="72">
        <f t="shared" si="16"/>
        <v>11</v>
      </c>
      <c r="C387" s="73">
        <v>41963</v>
      </c>
      <c r="D387" s="73" t="s">
        <v>21</v>
      </c>
      <c r="E387" s="73">
        <v>41963</v>
      </c>
      <c r="F387" s="76" t="s">
        <v>139</v>
      </c>
      <c r="G387" s="265"/>
      <c r="H387" s="123" t="s">
        <v>316</v>
      </c>
      <c r="I387" s="74">
        <v>1500000000</v>
      </c>
      <c r="J387" s="75" t="s">
        <v>54</v>
      </c>
      <c r="K387" s="75" t="s">
        <v>227</v>
      </c>
      <c r="L387" s="134" t="str">
        <f>IF(AND('331-CT'!$E$7=TH!H387,OR(J387="331",K387="331")),"x","")</f>
        <v/>
      </c>
    </row>
    <row r="388" spans="1:12" s="109" customFormat="1">
      <c r="A388" s="72">
        <f t="shared" si="15"/>
        <v>2014</v>
      </c>
      <c r="B388" s="72">
        <f t="shared" si="16"/>
        <v>11</v>
      </c>
      <c r="C388" s="73">
        <v>41968</v>
      </c>
      <c r="D388" s="73" t="s">
        <v>21</v>
      </c>
      <c r="E388" s="73">
        <v>41968</v>
      </c>
      <c r="F388" s="76" t="s">
        <v>98</v>
      </c>
      <c r="G388" s="265"/>
      <c r="H388" s="122"/>
      <c r="I388" s="74">
        <v>61267</v>
      </c>
      <c r="J388" s="75" t="s">
        <v>54</v>
      </c>
      <c r="K388" s="75" t="s">
        <v>99</v>
      </c>
      <c r="L388" s="134" t="str">
        <f>IF(AND('331-CT'!$E$7=TH!H388,OR(J388="331",K388="331")),"x","")</f>
        <v/>
      </c>
    </row>
    <row r="389" spans="1:12" s="109" customFormat="1">
      <c r="A389" s="72">
        <f t="shared" si="15"/>
        <v>2014</v>
      </c>
      <c r="B389" s="72">
        <f t="shared" si="16"/>
        <v>12</v>
      </c>
      <c r="C389" s="73">
        <v>41984</v>
      </c>
      <c r="D389" s="73" t="s">
        <v>17</v>
      </c>
      <c r="E389" s="73">
        <v>41984</v>
      </c>
      <c r="F389" s="76" t="s">
        <v>112</v>
      </c>
      <c r="G389" s="265"/>
      <c r="H389" s="122" t="s">
        <v>85</v>
      </c>
      <c r="I389" s="74">
        <v>1000000000</v>
      </c>
      <c r="J389" s="75" t="s">
        <v>18</v>
      </c>
      <c r="K389" s="75" t="s">
        <v>54</v>
      </c>
      <c r="L389" s="134" t="str">
        <f>IF(AND('331-CT'!$E$7=TH!H389,OR(J389="331",K389="331")),"x","")</f>
        <v/>
      </c>
    </row>
    <row r="390" spans="1:12" s="109" customFormat="1">
      <c r="A390" s="72">
        <f t="shared" si="15"/>
        <v>2014</v>
      </c>
      <c r="B390" s="72">
        <f t="shared" si="16"/>
        <v>12</v>
      </c>
      <c r="C390" s="73">
        <v>41984</v>
      </c>
      <c r="D390" s="73" t="s">
        <v>21</v>
      </c>
      <c r="E390" s="73">
        <v>41984</v>
      </c>
      <c r="F390" s="76" t="s">
        <v>142</v>
      </c>
      <c r="G390" s="265"/>
      <c r="H390" s="122" t="s">
        <v>318</v>
      </c>
      <c r="I390" s="74">
        <v>1000000000</v>
      </c>
      <c r="J390" s="75" t="s">
        <v>54</v>
      </c>
      <c r="K390" s="75" t="s">
        <v>227</v>
      </c>
      <c r="L390" s="134" t="str">
        <f>IF(AND('331-CT'!$E$7=TH!H390,OR(J390="331",K390="331")),"x","")</f>
        <v/>
      </c>
    </row>
    <row r="391" spans="1:12" s="109" customFormat="1">
      <c r="A391" s="72">
        <f t="shared" si="15"/>
        <v>2014</v>
      </c>
      <c r="B391" s="72">
        <f t="shared" si="16"/>
        <v>12</v>
      </c>
      <c r="C391" s="73">
        <v>41993</v>
      </c>
      <c r="D391" s="73" t="s">
        <v>17</v>
      </c>
      <c r="E391" s="73">
        <v>41993</v>
      </c>
      <c r="F391" s="76" t="s">
        <v>119</v>
      </c>
      <c r="G391" s="270"/>
      <c r="H391" s="122" t="s">
        <v>314</v>
      </c>
      <c r="I391" s="74">
        <v>8336805</v>
      </c>
      <c r="J391" s="136" t="s">
        <v>240</v>
      </c>
      <c r="K391" s="75" t="s">
        <v>54</v>
      </c>
      <c r="L391" s="134" t="str">
        <f>IF(AND('331-CT'!$E$7=TH!H391,OR(J391="331",K391="331")),"x","")</f>
        <v/>
      </c>
    </row>
    <row r="392" spans="1:12" s="109" customFormat="1">
      <c r="A392" s="72">
        <f t="shared" si="15"/>
        <v>2014</v>
      </c>
      <c r="B392" s="72">
        <f t="shared" si="16"/>
        <v>12</v>
      </c>
      <c r="C392" s="73">
        <v>41993</v>
      </c>
      <c r="D392" s="73" t="s">
        <v>17</v>
      </c>
      <c r="E392" s="73">
        <v>41993</v>
      </c>
      <c r="F392" s="76" t="s">
        <v>141</v>
      </c>
      <c r="G392" s="270"/>
      <c r="H392" s="122" t="s">
        <v>315</v>
      </c>
      <c r="I392" s="74">
        <v>16673611</v>
      </c>
      <c r="J392" s="136" t="s">
        <v>240</v>
      </c>
      <c r="K392" s="75" t="s">
        <v>54</v>
      </c>
      <c r="L392" s="134" t="str">
        <f>IF(AND('331-CT'!$E$7=TH!H392,OR(J392="331",K392="331")),"x","")</f>
        <v/>
      </c>
    </row>
    <row r="393" spans="1:12" s="109" customFormat="1">
      <c r="A393" s="72">
        <f t="shared" si="15"/>
        <v>2014</v>
      </c>
      <c r="B393" s="72">
        <f t="shared" si="16"/>
        <v>12</v>
      </c>
      <c r="C393" s="73">
        <v>41993</v>
      </c>
      <c r="D393" s="73" t="s">
        <v>17</v>
      </c>
      <c r="E393" s="73">
        <v>41993</v>
      </c>
      <c r="F393" s="76" t="s">
        <v>143</v>
      </c>
      <c r="G393" s="265"/>
      <c r="H393" s="9" t="s">
        <v>317</v>
      </c>
      <c r="I393" s="74">
        <v>25788519</v>
      </c>
      <c r="J393" s="75" t="s">
        <v>240</v>
      </c>
      <c r="K393" s="75" t="s">
        <v>54</v>
      </c>
      <c r="L393" s="134" t="str">
        <f>IF(AND('331-CT'!$E$7=TH!H393,OR(J393="331",K393="331")),"x","")</f>
        <v/>
      </c>
    </row>
    <row r="394" spans="1:12" s="109" customFormat="1">
      <c r="A394" s="72">
        <f t="shared" si="15"/>
        <v>2014</v>
      </c>
      <c r="B394" s="72">
        <f t="shared" si="16"/>
        <v>12</v>
      </c>
      <c r="C394" s="73">
        <v>41993</v>
      </c>
      <c r="D394" s="73" t="s">
        <v>170</v>
      </c>
      <c r="E394" s="73">
        <v>41993</v>
      </c>
      <c r="F394" s="76" t="s">
        <v>576</v>
      </c>
      <c r="G394" s="265"/>
      <c r="H394" s="122" t="s">
        <v>272</v>
      </c>
      <c r="I394" s="74">
        <v>51000000</v>
      </c>
      <c r="J394" s="75" t="s">
        <v>54</v>
      </c>
      <c r="K394" s="75" t="s">
        <v>203</v>
      </c>
      <c r="L394" s="134" t="str">
        <f>IF(AND('331-CT'!$E$7=TH!H394,OR(J394="331",K394="331")),"x","")</f>
        <v/>
      </c>
    </row>
    <row r="395" spans="1:12" s="109" customFormat="1">
      <c r="A395" s="72">
        <f t="shared" si="15"/>
        <v>2014</v>
      </c>
      <c r="B395" s="72">
        <f t="shared" si="16"/>
        <v>12</v>
      </c>
      <c r="C395" s="73">
        <v>41996</v>
      </c>
      <c r="D395" s="73" t="s">
        <v>17</v>
      </c>
      <c r="E395" s="73">
        <v>41996</v>
      </c>
      <c r="F395" s="76" t="s">
        <v>49</v>
      </c>
      <c r="G395" s="265"/>
      <c r="H395" s="122"/>
      <c r="I395" s="74">
        <v>50000</v>
      </c>
      <c r="J395" s="75" t="s">
        <v>242</v>
      </c>
      <c r="K395" s="75" t="s">
        <v>54</v>
      </c>
      <c r="L395" s="134" t="str">
        <f>IF(AND('331-CT'!$E$7=TH!H395,OR(J395="331",K395="331")),"x","")</f>
        <v/>
      </c>
    </row>
    <row r="396" spans="1:12" s="109" customFormat="1">
      <c r="A396" s="72">
        <f t="shared" ref="A396:A404" si="17">IF(C396&lt;&gt;"",YEAR(C396),"")</f>
        <v>2014</v>
      </c>
      <c r="B396" s="72">
        <f t="shared" ref="B396:B404" si="18">IF(C396&lt;&gt;"",MONTH(C396),"")</f>
        <v>12</v>
      </c>
      <c r="C396" s="73">
        <v>41996</v>
      </c>
      <c r="D396" s="73" t="s">
        <v>17</v>
      </c>
      <c r="E396" s="73">
        <v>41996</v>
      </c>
      <c r="F396" s="76" t="s">
        <v>44</v>
      </c>
      <c r="G396" s="265"/>
      <c r="H396" s="9"/>
      <c r="I396" s="74">
        <v>5000</v>
      </c>
      <c r="J396" s="75" t="s">
        <v>19</v>
      </c>
      <c r="K396" s="75" t="s">
        <v>54</v>
      </c>
      <c r="L396" s="134" t="str">
        <f>IF(AND('331-CT'!$E$7=TH!H396,OR(J396="331",K396="331")),"x","")</f>
        <v/>
      </c>
    </row>
    <row r="397" spans="1:12" s="109" customFormat="1">
      <c r="A397" s="72">
        <f t="shared" si="17"/>
        <v>2014</v>
      </c>
      <c r="B397" s="72">
        <f t="shared" si="18"/>
        <v>12</v>
      </c>
      <c r="C397" s="73">
        <v>41996</v>
      </c>
      <c r="D397" s="73" t="s">
        <v>17</v>
      </c>
      <c r="E397" s="73">
        <v>41996</v>
      </c>
      <c r="F397" s="76" t="s">
        <v>48</v>
      </c>
      <c r="G397" s="265"/>
      <c r="H397" s="122"/>
      <c r="I397" s="74">
        <v>50000</v>
      </c>
      <c r="J397" s="75" t="s">
        <v>242</v>
      </c>
      <c r="K397" s="75" t="s">
        <v>54</v>
      </c>
      <c r="L397" s="134" t="str">
        <f>IF(AND('331-CT'!$E$7=TH!H397,OR(J397="331",K397="331")),"x","")</f>
        <v/>
      </c>
    </row>
    <row r="398" spans="1:12" s="109" customFormat="1">
      <c r="A398" s="72">
        <f t="shared" si="17"/>
        <v>2014</v>
      </c>
      <c r="B398" s="72">
        <f t="shared" si="18"/>
        <v>12</v>
      </c>
      <c r="C398" s="73">
        <v>41996</v>
      </c>
      <c r="D398" s="73" t="s">
        <v>17</v>
      </c>
      <c r="E398" s="73">
        <v>41996</v>
      </c>
      <c r="F398" s="76" t="s">
        <v>44</v>
      </c>
      <c r="G398" s="265"/>
      <c r="H398" s="122"/>
      <c r="I398" s="74">
        <v>5000</v>
      </c>
      <c r="J398" s="75" t="s">
        <v>19</v>
      </c>
      <c r="K398" s="75" t="s">
        <v>54</v>
      </c>
      <c r="L398" s="134" t="str">
        <f>IF(AND('331-CT'!$E$7=TH!H398,OR(J398="331",K398="331")),"x","")</f>
        <v/>
      </c>
    </row>
    <row r="399" spans="1:12" s="109" customFormat="1">
      <c r="A399" s="72">
        <f t="shared" si="17"/>
        <v>2014</v>
      </c>
      <c r="B399" s="72">
        <f t="shared" si="18"/>
        <v>12</v>
      </c>
      <c r="C399" s="73">
        <v>41996</v>
      </c>
      <c r="D399" s="73" t="s">
        <v>17</v>
      </c>
      <c r="E399" s="73">
        <v>41996</v>
      </c>
      <c r="F399" s="76" t="s">
        <v>47</v>
      </c>
      <c r="G399" s="270"/>
      <c r="H399" s="122"/>
      <c r="I399" s="74">
        <v>50000</v>
      </c>
      <c r="J399" s="75" t="s">
        <v>242</v>
      </c>
      <c r="K399" s="75" t="s">
        <v>54</v>
      </c>
      <c r="L399" s="134" t="str">
        <f>IF(AND('331-CT'!$E$7=TH!H399,OR(J399="331",K399="331")),"x","")</f>
        <v/>
      </c>
    </row>
    <row r="400" spans="1:12" s="109" customFormat="1">
      <c r="A400" s="72">
        <f t="shared" si="17"/>
        <v>2014</v>
      </c>
      <c r="B400" s="72">
        <f t="shared" si="18"/>
        <v>12</v>
      </c>
      <c r="C400" s="73">
        <v>41996</v>
      </c>
      <c r="D400" s="73" t="s">
        <v>17</v>
      </c>
      <c r="E400" s="73">
        <v>41996</v>
      </c>
      <c r="F400" s="76" t="s">
        <v>44</v>
      </c>
      <c r="G400" s="270"/>
      <c r="H400" s="122"/>
      <c r="I400" s="74">
        <v>5000</v>
      </c>
      <c r="J400" s="75" t="s">
        <v>19</v>
      </c>
      <c r="K400" s="75" t="s">
        <v>54</v>
      </c>
      <c r="L400" s="134" t="str">
        <f>IF(AND('331-CT'!$E$7=TH!H400,OR(J400="331",K400="331")),"x","")</f>
        <v/>
      </c>
    </row>
    <row r="401" spans="1:12" s="109" customFormat="1">
      <c r="A401" s="72">
        <f t="shared" si="17"/>
        <v>2014</v>
      </c>
      <c r="B401" s="72">
        <f t="shared" si="18"/>
        <v>12</v>
      </c>
      <c r="C401" s="73">
        <v>41998</v>
      </c>
      <c r="D401" s="73" t="s">
        <v>21</v>
      </c>
      <c r="E401" s="73">
        <v>41998</v>
      </c>
      <c r="F401" s="76" t="s">
        <v>98</v>
      </c>
      <c r="G401" s="270"/>
      <c r="H401" s="122"/>
      <c r="I401" s="74">
        <v>125079</v>
      </c>
      <c r="J401" s="75" t="s">
        <v>54</v>
      </c>
      <c r="K401" s="75" t="s">
        <v>99</v>
      </c>
      <c r="L401" s="134" t="str">
        <f>IF(AND('331-CT'!$E$7=TH!H401,OR(J401="331",K401="331")),"x","")</f>
        <v/>
      </c>
    </row>
    <row r="402" spans="1:12" s="109" customFormat="1">
      <c r="A402" s="72">
        <f t="shared" si="17"/>
        <v>2014</v>
      </c>
      <c r="B402" s="72">
        <f t="shared" si="18"/>
        <v>12</v>
      </c>
      <c r="C402" s="73">
        <v>42003</v>
      </c>
      <c r="D402" s="73" t="s">
        <v>171</v>
      </c>
      <c r="E402" s="73">
        <v>42003</v>
      </c>
      <c r="F402" s="76" t="s">
        <v>576</v>
      </c>
      <c r="G402" s="270"/>
      <c r="H402" s="122" t="s">
        <v>272</v>
      </c>
      <c r="I402" s="74">
        <v>1000000</v>
      </c>
      <c r="J402" s="75" t="s">
        <v>54</v>
      </c>
      <c r="K402" s="75" t="s">
        <v>203</v>
      </c>
      <c r="L402" s="134" t="str">
        <f>IF(AND('331-CT'!$E$7=TH!H402,OR(J402="331",K402="331")),"x","")</f>
        <v/>
      </c>
    </row>
    <row r="403" spans="1:12" s="109" customFormat="1">
      <c r="A403" s="72">
        <f t="shared" si="17"/>
        <v>2014</v>
      </c>
      <c r="B403" s="72">
        <f t="shared" si="18"/>
        <v>12</v>
      </c>
      <c r="C403" s="73">
        <v>42004</v>
      </c>
      <c r="D403" s="73" t="s">
        <v>17</v>
      </c>
      <c r="E403" s="73">
        <v>42004</v>
      </c>
      <c r="F403" s="76" t="s">
        <v>34</v>
      </c>
      <c r="G403" s="137"/>
      <c r="H403" s="9"/>
      <c r="I403" s="74">
        <v>500000</v>
      </c>
      <c r="J403" s="75" t="s">
        <v>242</v>
      </c>
      <c r="K403" s="75" t="s">
        <v>54</v>
      </c>
      <c r="L403" s="134" t="str">
        <f>IF(AND('331-CT'!$E$7=TH!H403,OR(J403="331",K403="331")),"x","")</f>
        <v/>
      </c>
    </row>
    <row r="404" spans="1:12" s="109" customFormat="1">
      <c r="A404" s="72">
        <f t="shared" si="17"/>
        <v>2014</v>
      </c>
      <c r="B404" s="72">
        <f t="shared" si="18"/>
        <v>12</v>
      </c>
      <c r="C404" s="73">
        <v>42004</v>
      </c>
      <c r="D404" s="73" t="s">
        <v>17</v>
      </c>
      <c r="E404" s="73">
        <v>42004</v>
      </c>
      <c r="F404" s="76" t="s">
        <v>35</v>
      </c>
      <c r="G404" s="137"/>
      <c r="H404" s="9"/>
      <c r="I404" s="74">
        <v>50000</v>
      </c>
      <c r="J404" s="75" t="s">
        <v>19</v>
      </c>
      <c r="K404" s="75" t="s">
        <v>54</v>
      </c>
      <c r="L404" s="134" t="str">
        <f>IF(AND('331-CT'!$E$7=TH!H404,OR(J404="331",K404="331")),"x","")</f>
        <v/>
      </c>
    </row>
    <row r="405" spans="1:12" s="109" customFormat="1">
      <c r="A405" s="72">
        <f t="shared" ref="A405:A468" si="19">IF(C405&lt;&gt;"",YEAR(C405),"")</f>
        <v>2015</v>
      </c>
      <c r="B405" s="72">
        <f t="shared" ref="B405:B468" si="20">IF(C405&lt;&gt;"",MONTH(C405),"")</f>
        <v>1</v>
      </c>
      <c r="C405" s="107">
        <v>42012</v>
      </c>
      <c r="D405" s="73" t="s">
        <v>17</v>
      </c>
      <c r="E405" s="73">
        <v>42012</v>
      </c>
      <c r="F405" s="76" t="s">
        <v>181</v>
      </c>
      <c r="G405" s="265"/>
      <c r="H405" s="122" t="s">
        <v>111</v>
      </c>
      <c r="I405" s="74">
        <v>500000000</v>
      </c>
      <c r="J405" s="78" t="s">
        <v>18</v>
      </c>
      <c r="K405" s="75" t="s">
        <v>54</v>
      </c>
      <c r="L405" s="134" t="str">
        <f>IF(AND('331-CT'!$E$7=TH!H405,OR(J405="331",K405="331")),"x","")</f>
        <v/>
      </c>
    </row>
    <row r="406" spans="1:12" s="109" customFormat="1">
      <c r="A406" s="72">
        <f t="shared" si="19"/>
        <v>2015</v>
      </c>
      <c r="B406" s="72">
        <f t="shared" si="20"/>
        <v>1</v>
      </c>
      <c r="C406" s="73">
        <v>42012</v>
      </c>
      <c r="D406" s="73" t="s">
        <v>17</v>
      </c>
      <c r="E406" s="73">
        <v>42012</v>
      </c>
      <c r="F406" s="76" t="s">
        <v>34</v>
      </c>
      <c r="G406" s="265"/>
      <c r="H406" s="122"/>
      <c r="I406" s="74">
        <v>150000</v>
      </c>
      <c r="J406" s="75" t="s">
        <v>242</v>
      </c>
      <c r="K406" s="75" t="s">
        <v>54</v>
      </c>
      <c r="L406" s="134" t="str">
        <f>IF(AND('331-CT'!$E$7=TH!H406,OR(J406="331",K406="331")),"x","")</f>
        <v/>
      </c>
    </row>
    <row r="407" spans="1:12" s="109" customFormat="1">
      <c r="A407" s="72">
        <f t="shared" si="19"/>
        <v>2015</v>
      </c>
      <c r="B407" s="72">
        <f t="shared" si="20"/>
        <v>1</v>
      </c>
      <c r="C407" s="73">
        <v>42012</v>
      </c>
      <c r="D407" s="73" t="s">
        <v>17</v>
      </c>
      <c r="E407" s="73">
        <v>42012</v>
      </c>
      <c r="F407" s="76" t="s">
        <v>35</v>
      </c>
      <c r="G407" s="265"/>
      <c r="H407" s="122"/>
      <c r="I407" s="74">
        <v>15000</v>
      </c>
      <c r="J407" s="75" t="s">
        <v>19</v>
      </c>
      <c r="K407" s="75" t="s">
        <v>54</v>
      </c>
      <c r="L407" s="134" t="str">
        <f>IF(AND('331-CT'!$E$7=TH!H407,OR(J407="331",K407="331")),"x","")</f>
        <v/>
      </c>
    </row>
    <row r="408" spans="1:12" s="109" customFormat="1">
      <c r="A408" s="72">
        <f t="shared" si="19"/>
        <v>2015</v>
      </c>
      <c r="B408" s="72">
        <f t="shared" si="20"/>
        <v>1</v>
      </c>
      <c r="C408" s="73">
        <v>42017</v>
      </c>
      <c r="D408" s="73" t="s">
        <v>73</v>
      </c>
      <c r="E408" s="73">
        <v>42017</v>
      </c>
      <c r="F408" s="93" t="s">
        <v>577</v>
      </c>
      <c r="G408" s="265"/>
      <c r="H408" s="120" t="s">
        <v>267</v>
      </c>
      <c r="I408" s="74">
        <v>1500000</v>
      </c>
      <c r="J408" s="75" t="s">
        <v>39</v>
      </c>
      <c r="K408" s="75" t="s">
        <v>203</v>
      </c>
      <c r="L408" s="134" t="str">
        <f>IF(AND('331-CT'!$E$7=TH!H408,OR(J408="331",K408="331")),"x","")</f>
        <v/>
      </c>
    </row>
    <row r="409" spans="1:12" s="109" customFormat="1">
      <c r="A409" s="72">
        <f t="shared" si="19"/>
        <v>2015</v>
      </c>
      <c r="B409" s="72">
        <f t="shared" si="20"/>
        <v>1</v>
      </c>
      <c r="C409" s="107">
        <v>42017</v>
      </c>
      <c r="D409" s="73" t="s">
        <v>21</v>
      </c>
      <c r="E409" s="73">
        <v>42017</v>
      </c>
      <c r="F409" s="76" t="s">
        <v>45</v>
      </c>
      <c r="G409" s="265"/>
      <c r="H409" s="120" t="s">
        <v>267</v>
      </c>
      <c r="I409" s="74">
        <v>1500000</v>
      </c>
      <c r="J409" s="75" t="s">
        <v>54</v>
      </c>
      <c r="K409" s="75" t="s">
        <v>39</v>
      </c>
      <c r="L409" s="134" t="str">
        <f>IF(AND('331-CT'!$E$7=TH!H409,OR(J409="331",K409="331")),"x","")</f>
        <v/>
      </c>
    </row>
    <row r="410" spans="1:12" s="109" customFormat="1">
      <c r="A410" s="72">
        <f t="shared" si="19"/>
        <v>2015</v>
      </c>
      <c r="B410" s="72">
        <f t="shared" si="20"/>
        <v>1</v>
      </c>
      <c r="C410" s="73">
        <v>42017</v>
      </c>
      <c r="D410" s="73" t="s">
        <v>78</v>
      </c>
      <c r="E410" s="73">
        <v>42017</v>
      </c>
      <c r="F410" s="76" t="s">
        <v>149</v>
      </c>
      <c r="G410" s="265"/>
      <c r="H410" s="122"/>
      <c r="I410" s="74">
        <v>1500000</v>
      </c>
      <c r="J410" s="75" t="s">
        <v>242</v>
      </c>
      <c r="K410" s="75" t="s">
        <v>219</v>
      </c>
      <c r="L410" s="134" t="str">
        <f>IF(AND('331-CT'!$E$7=TH!H410,OR(J410="331",K410="331")),"x","")</f>
        <v/>
      </c>
    </row>
    <row r="411" spans="1:12" s="109" customFormat="1">
      <c r="A411" s="72">
        <f t="shared" si="19"/>
        <v>2015</v>
      </c>
      <c r="B411" s="72">
        <f t="shared" si="20"/>
        <v>1</v>
      </c>
      <c r="C411" s="73">
        <v>42017</v>
      </c>
      <c r="D411" s="73" t="s">
        <v>17</v>
      </c>
      <c r="E411" s="73">
        <v>42017</v>
      </c>
      <c r="F411" s="76" t="s">
        <v>149</v>
      </c>
      <c r="G411" s="265"/>
      <c r="H411" s="122"/>
      <c r="I411" s="74">
        <v>1500000</v>
      </c>
      <c r="J411" s="75" t="s">
        <v>219</v>
      </c>
      <c r="K411" s="75" t="s">
        <v>54</v>
      </c>
      <c r="L411" s="134" t="str">
        <f>IF(AND('331-CT'!$E$7=TH!H411,OR(J411="331",K411="331")),"x","")</f>
        <v/>
      </c>
    </row>
    <row r="412" spans="1:12" s="109" customFormat="1">
      <c r="A412" s="72">
        <f t="shared" si="19"/>
        <v>2015</v>
      </c>
      <c r="B412" s="72">
        <f t="shared" si="20"/>
        <v>1</v>
      </c>
      <c r="C412" s="73">
        <v>42017</v>
      </c>
      <c r="D412" s="73" t="s">
        <v>17</v>
      </c>
      <c r="E412" s="73">
        <v>42017</v>
      </c>
      <c r="F412" s="76" t="s">
        <v>34</v>
      </c>
      <c r="G412" s="265"/>
      <c r="H412" s="122"/>
      <c r="I412" s="74">
        <v>25000</v>
      </c>
      <c r="J412" s="75" t="s">
        <v>242</v>
      </c>
      <c r="K412" s="75" t="s">
        <v>54</v>
      </c>
      <c r="L412" s="134" t="str">
        <f>IF(AND('331-CT'!$E$7=TH!H412,OR(J412="331",K412="331")),"x","")</f>
        <v/>
      </c>
    </row>
    <row r="413" spans="1:12" s="109" customFormat="1">
      <c r="A413" s="72">
        <f t="shared" si="19"/>
        <v>2015</v>
      </c>
      <c r="B413" s="72">
        <f t="shared" si="20"/>
        <v>1</v>
      </c>
      <c r="C413" s="73">
        <v>42017</v>
      </c>
      <c r="D413" s="73" t="s">
        <v>17</v>
      </c>
      <c r="E413" s="73">
        <v>42017</v>
      </c>
      <c r="F413" s="76" t="s">
        <v>35</v>
      </c>
      <c r="G413" s="265"/>
      <c r="H413" s="122"/>
      <c r="I413" s="74">
        <v>2500</v>
      </c>
      <c r="J413" s="75" t="s">
        <v>19</v>
      </c>
      <c r="K413" s="75" t="s">
        <v>54</v>
      </c>
      <c r="L413" s="134" t="str">
        <f>IF(AND('331-CT'!$E$7=TH!H413,OR(J413="331",K413="331")),"x","")</f>
        <v/>
      </c>
    </row>
    <row r="414" spans="1:12" s="109" customFormat="1">
      <c r="A414" s="72">
        <f t="shared" si="19"/>
        <v>2015</v>
      </c>
      <c r="B414" s="72">
        <f t="shared" si="20"/>
        <v>1</v>
      </c>
      <c r="C414" s="73">
        <v>42025</v>
      </c>
      <c r="D414" s="73" t="s">
        <v>92</v>
      </c>
      <c r="E414" s="73">
        <v>42025</v>
      </c>
      <c r="F414" s="93" t="s">
        <v>576</v>
      </c>
      <c r="G414" s="265"/>
      <c r="H414" s="122" t="s">
        <v>272</v>
      </c>
      <c r="I414" s="74">
        <v>73000000</v>
      </c>
      <c r="J414" s="75" t="s">
        <v>54</v>
      </c>
      <c r="K414" s="75" t="s">
        <v>203</v>
      </c>
      <c r="L414" s="134" t="str">
        <f>IF(AND('331-CT'!$E$7=TH!H414,OR(J414="331",K414="331")),"x","")</f>
        <v/>
      </c>
    </row>
    <row r="415" spans="1:12" s="109" customFormat="1">
      <c r="A415" s="72">
        <f t="shared" si="19"/>
        <v>2015</v>
      </c>
      <c r="B415" s="72">
        <f t="shared" si="20"/>
        <v>1</v>
      </c>
      <c r="C415" s="73">
        <v>42025</v>
      </c>
      <c r="D415" s="73" t="s">
        <v>17</v>
      </c>
      <c r="E415" s="73">
        <v>42025</v>
      </c>
      <c r="F415" s="76" t="s">
        <v>119</v>
      </c>
      <c r="G415" s="265"/>
      <c r="H415" s="122" t="s">
        <v>314</v>
      </c>
      <c r="I415" s="74">
        <v>8187032</v>
      </c>
      <c r="J415" s="75" t="s">
        <v>240</v>
      </c>
      <c r="K415" s="75" t="s">
        <v>54</v>
      </c>
      <c r="L415" s="134" t="str">
        <f>IF(AND('331-CT'!$E$7=TH!H415,OR(J415="331",K415="331")),"x","")</f>
        <v/>
      </c>
    </row>
    <row r="416" spans="1:12" s="109" customFormat="1">
      <c r="A416" s="72">
        <f t="shared" si="19"/>
        <v>2015</v>
      </c>
      <c r="B416" s="72">
        <f t="shared" si="20"/>
        <v>1</v>
      </c>
      <c r="C416" s="73">
        <v>42025</v>
      </c>
      <c r="D416" s="73" t="s">
        <v>17</v>
      </c>
      <c r="E416" s="73">
        <v>42025</v>
      </c>
      <c r="F416" s="76" t="s">
        <v>141</v>
      </c>
      <c r="G416" s="265"/>
      <c r="H416" s="122" t="s">
        <v>315</v>
      </c>
      <c r="I416" s="74">
        <v>16374064</v>
      </c>
      <c r="J416" s="75" t="s">
        <v>240</v>
      </c>
      <c r="K416" s="75" t="s">
        <v>54</v>
      </c>
      <c r="L416" s="134" t="str">
        <f>IF(AND('331-CT'!$E$7=TH!H416,OR(J416="331",K416="331")),"x","")</f>
        <v/>
      </c>
    </row>
    <row r="417" spans="1:12" s="109" customFormat="1">
      <c r="A417" s="72">
        <f t="shared" si="19"/>
        <v>2015</v>
      </c>
      <c r="B417" s="72">
        <f t="shared" si="20"/>
        <v>1</v>
      </c>
      <c r="C417" s="73">
        <v>42025</v>
      </c>
      <c r="D417" s="73" t="s">
        <v>17</v>
      </c>
      <c r="E417" s="73">
        <v>42025</v>
      </c>
      <c r="F417" s="76" t="s">
        <v>143</v>
      </c>
      <c r="G417" s="265"/>
      <c r="H417" s="122" t="s">
        <v>317</v>
      </c>
      <c r="I417" s="74">
        <v>13099251</v>
      </c>
      <c r="J417" s="75" t="s">
        <v>240</v>
      </c>
      <c r="K417" s="75" t="s">
        <v>54</v>
      </c>
      <c r="L417" s="134" t="str">
        <f>IF(AND('331-CT'!$E$7=TH!H417,OR(J417="331",K417="331")),"x","")</f>
        <v/>
      </c>
    </row>
    <row r="418" spans="1:12" s="109" customFormat="1">
      <c r="A418" s="72">
        <f t="shared" si="19"/>
        <v>2015</v>
      </c>
      <c r="B418" s="72">
        <f t="shared" si="20"/>
        <v>1</v>
      </c>
      <c r="C418" s="73">
        <v>42025</v>
      </c>
      <c r="D418" s="73" t="s">
        <v>17</v>
      </c>
      <c r="E418" s="73">
        <v>42025</v>
      </c>
      <c r="F418" s="76" t="s">
        <v>144</v>
      </c>
      <c r="G418" s="265"/>
      <c r="H418" s="122" t="s">
        <v>316</v>
      </c>
      <c r="I418" s="74">
        <v>24310897</v>
      </c>
      <c r="J418" s="75" t="s">
        <v>240</v>
      </c>
      <c r="K418" s="75" t="s">
        <v>54</v>
      </c>
      <c r="L418" s="134" t="str">
        <f>IF(AND('331-CT'!$E$7=TH!H418,OR(J418="331",K418="331")),"x","")</f>
        <v/>
      </c>
    </row>
    <row r="419" spans="1:12" s="109" customFormat="1">
      <c r="A419" s="72">
        <f t="shared" si="19"/>
        <v>2015</v>
      </c>
      <c r="B419" s="72">
        <f t="shared" si="20"/>
        <v>1</v>
      </c>
      <c r="C419" s="73">
        <v>42025</v>
      </c>
      <c r="D419" s="73" t="s">
        <v>17</v>
      </c>
      <c r="E419" s="73">
        <v>42025</v>
      </c>
      <c r="F419" s="76" t="s">
        <v>145</v>
      </c>
      <c r="G419" s="265"/>
      <c r="H419" s="122" t="s">
        <v>318</v>
      </c>
      <c r="I419" s="74">
        <v>10299815</v>
      </c>
      <c r="J419" s="75" t="s">
        <v>240</v>
      </c>
      <c r="K419" s="75" t="s">
        <v>54</v>
      </c>
      <c r="L419" s="134" t="str">
        <f>IF(AND('331-CT'!$E$7=TH!H419,OR(J419="331",K419="331")),"x","")</f>
        <v/>
      </c>
    </row>
    <row r="420" spans="1:12" s="109" customFormat="1">
      <c r="A420" s="72">
        <f t="shared" si="19"/>
        <v>2015</v>
      </c>
      <c r="B420" s="72">
        <f t="shared" si="20"/>
        <v>1</v>
      </c>
      <c r="C420" s="107">
        <v>42028</v>
      </c>
      <c r="D420" s="73" t="s">
        <v>21</v>
      </c>
      <c r="E420" s="73">
        <v>42028</v>
      </c>
      <c r="F420" s="76" t="s">
        <v>98</v>
      </c>
      <c r="G420" s="265"/>
      <c r="H420" s="122"/>
      <c r="I420" s="74">
        <v>58551</v>
      </c>
      <c r="J420" s="75" t="s">
        <v>54</v>
      </c>
      <c r="K420" s="75" t="s">
        <v>99</v>
      </c>
      <c r="L420" s="134" t="str">
        <f>IF(AND('331-CT'!$E$7=TH!H420,OR(J420="331",K420="331")),"x","")</f>
        <v/>
      </c>
    </row>
    <row r="421" spans="1:12" s="109" customFormat="1">
      <c r="A421" s="72">
        <f t="shared" si="19"/>
        <v>2015</v>
      </c>
      <c r="B421" s="72">
        <f t="shared" si="20"/>
        <v>1</v>
      </c>
      <c r="C421" s="107">
        <v>42033</v>
      </c>
      <c r="D421" s="73" t="s">
        <v>21</v>
      </c>
      <c r="E421" s="73">
        <v>42033</v>
      </c>
      <c r="F421" s="76" t="s">
        <v>146</v>
      </c>
      <c r="G421" s="265"/>
      <c r="H421" s="122" t="s">
        <v>319</v>
      </c>
      <c r="I421" s="74">
        <v>1500000000</v>
      </c>
      <c r="J421" s="75" t="s">
        <v>54</v>
      </c>
      <c r="K421" s="75" t="s">
        <v>227</v>
      </c>
      <c r="L421" s="134" t="str">
        <f>IF(AND('331-CT'!$E$7=TH!H421,OR(J421="331",K421="331")),"x","")</f>
        <v/>
      </c>
    </row>
    <row r="422" spans="1:12" s="109" customFormat="1">
      <c r="A422" s="72">
        <f t="shared" si="19"/>
        <v>2015</v>
      </c>
      <c r="B422" s="72">
        <f t="shared" si="20"/>
        <v>1</v>
      </c>
      <c r="C422" s="107">
        <v>42034</v>
      </c>
      <c r="D422" s="73" t="s">
        <v>17</v>
      </c>
      <c r="E422" s="73">
        <v>42034</v>
      </c>
      <c r="F422" s="76" t="s">
        <v>113</v>
      </c>
      <c r="G422" s="265"/>
      <c r="H422" s="122" t="s">
        <v>138</v>
      </c>
      <c r="I422" s="74">
        <v>600000000</v>
      </c>
      <c r="J422" s="75" t="s">
        <v>18</v>
      </c>
      <c r="K422" s="75" t="s">
        <v>54</v>
      </c>
      <c r="L422" s="134" t="str">
        <f>IF(AND('331-CT'!$E$7=TH!H422,OR(J422="331",K422="331")),"x","")</f>
        <v/>
      </c>
    </row>
    <row r="423" spans="1:12" s="109" customFormat="1">
      <c r="A423" s="72">
        <f t="shared" si="19"/>
        <v>2015</v>
      </c>
      <c r="B423" s="72">
        <f t="shared" si="20"/>
        <v>1</v>
      </c>
      <c r="C423" s="73">
        <v>42034</v>
      </c>
      <c r="D423" s="73" t="s">
        <v>17</v>
      </c>
      <c r="E423" s="73">
        <v>42034</v>
      </c>
      <c r="F423" s="76" t="s">
        <v>34</v>
      </c>
      <c r="G423" s="265"/>
      <c r="H423" s="122"/>
      <c r="I423" s="74">
        <v>180000</v>
      </c>
      <c r="J423" s="75" t="s">
        <v>242</v>
      </c>
      <c r="K423" s="75" t="s">
        <v>54</v>
      </c>
      <c r="L423" s="134" t="str">
        <f>IF(AND('331-CT'!$E$7=TH!H423,OR(J423="331",K423="331")),"x","")</f>
        <v/>
      </c>
    </row>
    <row r="424" spans="1:12" s="109" customFormat="1">
      <c r="A424" s="72">
        <f t="shared" si="19"/>
        <v>2015</v>
      </c>
      <c r="B424" s="72">
        <f t="shared" si="20"/>
        <v>1</v>
      </c>
      <c r="C424" s="73">
        <v>42034</v>
      </c>
      <c r="D424" s="73" t="s">
        <v>17</v>
      </c>
      <c r="E424" s="73">
        <v>42034</v>
      </c>
      <c r="F424" s="76" t="s">
        <v>35</v>
      </c>
      <c r="G424" s="265"/>
      <c r="H424" s="122"/>
      <c r="I424" s="74">
        <v>18000</v>
      </c>
      <c r="J424" s="75" t="s">
        <v>19</v>
      </c>
      <c r="K424" s="75" t="s">
        <v>54</v>
      </c>
      <c r="L424" s="134" t="str">
        <f>IF(AND('331-CT'!$E$7=TH!H424,OR(J424="331",K424="331")),"x","")</f>
        <v/>
      </c>
    </row>
    <row r="425" spans="1:12" s="109" customFormat="1">
      <c r="A425" s="72">
        <f t="shared" si="19"/>
        <v>2015</v>
      </c>
      <c r="B425" s="72">
        <f t="shared" si="20"/>
        <v>1</v>
      </c>
      <c r="C425" s="107">
        <v>42034</v>
      </c>
      <c r="D425" s="73" t="s">
        <v>17</v>
      </c>
      <c r="E425" s="73">
        <v>42034</v>
      </c>
      <c r="F425" s="76" t="s">
        <v>179</v>
      </c>
      <c r="G425" s="265"/>
      <c r="H425" s="122" t="s">
        <v>109</v>
      </c>
      <c r="I425" s="74">
        <v>50000000</v>
      </c>
      <c r="J425" s="78" t="s">
        <v>18</v>
      </c>
      <c r="K425" s="75" t="s">
        <v>54</v>
      </c>
      <c r="L425" s="134" t="str">
        <f>IF(AND('331-CT'!$E$7=TH!H425,OR(J425="331",K425="331")),"x","")</f>
        <v/>
      </c>
    </row>
    <row r="426" spans="1:12" s="109" customFormat="1">
      <c r="A426" s="72">
        <f t="shared" si="19"/>
        <v>2015</v>
      </c>
      <c r="B426" s="72">
        <f t="shared" si="20"/>
        <v>1</v>
      </c>
      <c r="C426" s="73">
        <v>42034</v>
      </c>
      <c r="D426" s="73" t="s">
        <v>17</v>
      </c>
      <c r="E426" s="73">
        <v>42034</v>
      </c>
      <c r="F426" s="76" t="s">
        <v>34</v>
      </c>
      <c r="G426" s="265"/>
      <c r="H426" s="122"/>
      <c r="I426" s="74">
        <v>20000</v>
      </c>
      <c r="J426" s="75" t="s">
        <v>242</v>
      </c>
      <c r="K426" s="75" t="s">
        <v>54</v>
      </c>
      <c r="L426" s="134" t="str">
        <f>IF(AND('331-CT'!$E$7=TH!H426,OR(J426="331",K426="331")),"x","")</f>
        <v/>
      </c>
    </row>
    <row r="427" spans="1:12" s="109" customFormat="1">
      <c r="A427" s="72">
        <f t="shared" si="19"/>
        <v>2015</v>
      </c>
      <c r="B427" s="72">
        <f t="shared" si="20"/>
        <v>1</v>
      </c>
      <c r="C427" s="73">
        <v>42034</v>
      </c>
      <c r="D427" s="73" t="s">
        <v>17</v>
      </c>
      <c r="E427" s="73">
        <v>42034</v>
      </c>
      <c r="F427" s="76" t="s">
        <v>35</v>
      </c>
      <c r="G427" s="265"/>
      <c r="H427" s="122"/>
      <c r="I427" s="74">
        <v>2000</v>
      </c>
      <c r="J427" s="75" t="s">
        <v>19</v>
      </c>
      <c r="K427" s="75" t="s">
        <v>54</v>
      </c>
      <c r="L427" s="134" t="str">
        <f>IF(AND('331-CT'!$E$7=TH!H427,OR(J427="331",K427="331")),"x","")</f>
        <v/>
      </c>
    </row>
    <row r="428" spans="1:12" s="109" customFormat="1">
      <c r="A428" s="72">
        <f t="shared" si="19"/>
        <v>2015</v>
      </c>
      <c r="B428" s="72">
        <f t="shared" si="20"/>
        <v>1</v>
      </c>
      <c r="C428" s="107">
        <v>42034</v>
      </c>
      <c r="D428" s="73" t="s">
        <v>17</v>
      </c>
      <c r="E428" s="73">
        <v>42034</v>
      </c>
      <c r="F428" s="76" t="s">
        <v>113</v>
      </c>
      <c r="G428" s="265"/>
      <c r="H428" s="122" t="s">
        <v>85</v>
      </c>
      <c r="I428" s="74">
        <v>700000000</v>
      </c>
      <c r="J428" s="78" t="s">
        <v>18</v>
      </c>
      <c r="K428" s="75" t="s">
        <v>54</v>
      </c>
      <c r="L428" s="134" t="str">
        <f>IF(AND('331-CT'!$E$7=TH!H428,OR(J428="331",K428="331")),"x","")</f>
        <v/>
      </c>
    </row>
    <row r="429" spans="1:12" s="109" customFormat="1">
      <c r="A429" s="72">
        <f t="shared" si="19"/>
        <v>2015</v>
      </c>
      <c r="B429" s="72">
        <f t="shared" si="20"/>
        <v>1</v>
      </c>
      <c r="C429" s="73">
        <v>42034</v>
      </c>
      <c r="D429" s="73" t="s">
        <v>17</v>
      </c>
      <c r="E429" s="73">
        <v>42034</v>
      </c>
      <c r="F429" s="76" t="s">
        <v>34</v>
      </c>
      <c r="G429" s="265"/>
      <c r="H429" s="122"/>
      <c r="I429" s="74">
        <v>350000</v>
      </c>
      <c r="J429" s="75" t="s">
        <v>242</v>
      </c>
      <c r="K429" s="75" t="s">
        <v>54</v>
      </c>
      <c r="L429" s="134" t="str">
        <f>IF(AND('331-CT'!$E$7=TH!H429,OR(J429="331",K429="331")),"x","")</f>
        <v/>
      </c>
    </row>
    <row r="430" spans="1:12" s="109" customFormat="1">
      <c r="A430" s="72">
        <f t="shared" si="19"/>
        <v>2015</v>
      </c>
      <c r="B430" s="72">
        <f t="shared" si="20"/>
        <v>1</v>
      </c>
      <c r="C430" s="73">
        <v>42034</v>
      </c>
      <c r="D430" s="73" t="s">
        <v>17</v>
      </c>
      <c r="E430" s="73">
        <v>42034</v>
      </c>
      <c r="F430" s="76" t="s">
        <v>35</v>
      </c>
      <c r="G430" s="265"/>
      <c r="H430" s="122"/>
      <c r="I430" s="74">
        <v>35000</v>
      </c>
      <c r="J430" s="75" t="s">
        <v>19</v>
      </c>
      <c r="K430" s="75" t="s">
        <v>54</v>
      </c>
      <c r="L430" s="134" t="str">
        <f>IF(AND('331-CT'!$E$7=TH!H430,OR(J430="331",K430="331")),"x","")</f>
        <v/>
      </c>
    </row>
    <row r="431" spans="1:12" s="109" customFormat="1">
      <c r="A431" s="72">
        <f t="shared" si="19"/>
        <v>2015</v>
      </c>
      <c r="B431" s="72">
        <f t="shared" si="20"/>
        <v>2</v>
      </c>
      <c r="C431" s="107">
        <v>42059</v>
      </c>
      <c r="D431" s="73" t="s">
        <v>21</v>
      </c>
      <c r="E431" s="73">
        <v>42059</v>
      </c>
      <c r="F431" s="76" t="s">
        <v>98</v>
      </c>
      <c r="G431" s="265"/>
      <c r="H431" s="122"/>
      <c r="I431" s="74">
        <v>45256</v>
      </c>
      <c r="J431" s="75" t="s">
        <v>54</v>
      </c>
      <c r="K431" s="75" t="s">
        <v>99</v>
      </c>
      <c r="L431" s="134" t="str">
        <f>IF(AND('331-CT'!$E$7=TH!H431,OR(J431="331",K431="331")),"x","")</f>
        <v/>
      </c>
    </row>
    <row r="432" spans="1:12" s="109" customFormat="1">
      <c r="A432" s="72">
        <f t="shared" si="19"/>
        <v>2015</v>
      </c>
      <c r="B432" s="72">
        <f t="shared" si="20"/>
        <v>2</v>
      </c>
      <c r="C432" s="73">
        <v>42061</v>
      </c>
      <c r="D432" s="73" t="s">
        <v>93</v>
      </c>
      <c r="E432" s="73">
        <v>42061</v>
      </c>
      <c r="F432" s="93" t="s">
        <v>577</v>
      </c>
      <c r="G432" s="265"/>
      <c r="H432" s="120" t="s">
        <v>267</v>
      </c>
      <c r="I432" s="74">
        <v>60000000</v>
      </c>
      <c r="J432" s="75" t="s">
        <v>39</v>
      </c>
      <c r="K432" s="75" t="s">
        <v>203</v>
      </c>
      <c r="L432" s="134" t="str">
        <f>IF(AND('331-CT'!$E$7=TH!H432,OR(J432="331",K432="331")),"x","")</f>
        <v/>
      </c>
    </row>
    <row r="433" spans="1:12" s="109" customFormat="1">
      <c r="A433" s="72">
        <f t="shared" si="19"/>
        <v>2015</v>
      </c>
      <c r="B433" s="72">
        <f t="shared" si="20"/>
        <v>2</v>
      </c>
      <c r="C433" s="107">
        <v>42061</v>
      </c>
      <c r="D433" s="73" t="s">
        <v>21</v>
      </c>
      <c r="E433" s="73">
        <v>42061</v>
      </c>
      <c r="F433" s="76" t="s">
        <v>45</v>
      </c>
      <c r="G433" s="265"/>
      <c r="H433" s="120" t="s">
        <v>267</v>
      </c>
      <c r="I433" s="74">
        <v>60000000</v>
      </c>
      <c r="J433" s="75" t="s">
        <v>54</v>
      </c>
      <c r="K433" s="75" t="s">
        <v>39</v>
      </c>
      <c r="L433" s="134" t="str">
        <f>IF(AND('331-CT'!$E$7=TH!H433,OR(J433="331",K433="331")),"x","")</f>
        <v/>
      </c>
    </row>
    <row r="434" spans="1:12" s="109" customFormat="1">
      <c r="A434" s="72">
        <f t="shared" si="19"/>
        <v>2015</v>
      </c>
      <c r="B434" s="72">
        <f t="shared" si="20"/>
        <v>2</v>
      </c>
      <c r="C434" s="73">
        <v>42061</v>
      </c>
      <c r="D434" s="73" t="s">
        <v>17</v>
      </c>
      <c r="E434" s="73">
        <v>42061</v>
      </c>
      <c r="F434" s="76" t="s">
        <v>119</v>
      </c>
      <c r="G434" s="265"/>
      <c r="H434" s="122" t="s">
        <v>314</v>
      </c>
      <c r="I434" s="74">
        <v>8190270</v>
      </c>
      <c r="J434" s="75" t="s">
        <v>240</v>
      </c>
      <c r="K434" s="75" t="s">
        <v>54</v>
      </c>
      <c r="L434" s="134" t="str">
        <f>IF(AND('331-CT'!$E$7=TH!H434,OR(J434="331",K434="331")),"x","")</f>
        <v/>
      </c>
    </row>
    <row r="435" spans="1:12" s="109" customFormat="1">
      <c r="A435" s="72">
        <f t="shared" si="19"/>
        <v>2015</v>
      </c>
      <c r="B435" s="72">
        <f t="shared" si="20"/>
        <v>2</v>
      </c>
      <c r="C435" s="73">
        <v>42061</v>
      </c>
      <c r="D435" s="73" t="s">
        <v>17</v>
      </c>
      <c r="E435" s="73">
        <v>42061</v>
      </c>
      <c r="F435" s="76" t="s">
        <v>141</v>
      </c>
      <c r="G435" s="265"/>
      <c r="H435" s="122" t="s">
        <v>315</v>
      </c>
      <c r="I435" s="74">
        <v>16380540</v>
      </c>
      <c r="J435" s="75" t="s">
        <v>240</v>
      </c>
      <c r="K435" s="75" t="s">
        <v>54</v>
      </c>
      <c r="L435" s="134" t="str">
        <f>IF(AND('331-CT'!$E$7=TH!H435,OR(J435="331",K435="331")),"x","")</f>
        <v/>
      </c>
    </row>
    <row r="436" spans="1:12" s="109" customFormat="1">
      <c r="A436" s="72">
        <f t="shared" si="19"/>
        <v>2015</v>
      </c>
      <c r="B436" s="72">
        <f t="shared" si="20"/>
        <v>2</v>
      </c>
      <c r="C436" s="73">
        <v>42061</v>
      </c>
      <c r="D436" s="73" t="s">
        <v>17</v>
      </c>
      <c r="E436" s="73">
        <v>42061</v>
      </c>
      <c r="F436" s="76" t="s">
        <v>143</v>
      </c>
      <c r="G436" s="265"/>
      <c r="H436" s="122" t="s">
        <v>317</v>
      </c>
      <c r="I436" s="74">
        <v>13104432</v>
      </c>
      <c r="J436" s="75" t="s">
        <v>240</v>
      </c>
      <c r="K436" s="75" t="s">
        <v>54</v>
      </c>
      <c r="L436" s="134" t="str">
        <f>IF(AND('331-CT'!$E$7=TH!H436,OR(J436="331",K436="331")),"x","")</f>
        <v/>
      </c>
    </row>
    <row r="437" spans="1:12" s="109" customFormat="1">
      <c r="A437" s="72">
        <f t="shared" si="19"/>
        <v>2015</v>
      </c>
      <c r="B437" s="72">
        <f t="shared" si="20"/>
        <v>2</v>
      </c>
      <c r="C437" s="73">
        <v>42061</v>
      </c>
      <c r="D437" s="73" t="s">
        <v>17</v>
      </c>
      <c r="E437" s="73">
        <v>42061</v>
      </c>
      <c r="F437" s="76" t="s">
        <v>144</v>
      </c>
      <c r="G437" s="265"/>
      <c r="H437" s="122" t="s">
        <v>316</v>
      </c>
      <c r="I437" s="74">
        <v>12285405</v>
      </c>
      <c r="J437" s="75" t="s">
        <v>240</v>
      </c>
      <c r="K437" s="75" t="s">
        <v>54</v>
      </c>
      <c r="L437" s="134" t="str">
        <f>IF(AND('331-CT'!$E$7=TH!H437,OR(J437="331",K437="331")),"x","")</f>
        <v/>
      </c>
    </row>
    <row r="438" spans="1:12" s="109" customFormat="1">
      <c r="A438" s="72">
        <f t="shared" si="19"/>
        <v>2015</v>
      </c>
      <c r="B438" s="72">
        <f t="shared" si="20"/>
        <v>2</v>
      </c>
      <c r="C438" s="73">
        <v>42061</v>
      </c>
      <c r="D438" s="73" t="s">
        <v>17</v>
      </c>
      <c r="E438" s="73">
        <v>42061</v>
      </c>
      <c r="F438" s="76" t="s">
        <v>145</v>
      </c>
      <c r="G438" s="265"/>
      <c r="H438" s="122" t="s">
        <v>318</v>
      </c>
      <c r="I438" s="74">
        <v>8190270</v>
      </c>
      <c r="J438" s="75" t="s">
        <v>240</v>
      </c>
      <c r="K438" s="75" t="s">
        <v>54</v>
      </c>
      <c r="L438" s="134" t="str">
        <f>IF(AND('331-CT'!$E$7=TH!H438,OR(J438="331",K438="331")),"x","")</f>
        <v/>
      </c>
    </row>
    <row r="439" spans="1:12" s="109" customFormat="1">
      <c r="A439" s="72">
        <f t="shared" si="19"/>
        <v>2015</v>
      </c>
      <c r="B439" s="72">
        <f t="shared" si="20"/>
        <v>3</v>
      </c>
      <c r="C439" s="73">
        <v>42086</v>
      </c>
      <c r="D439" s="73" t="s">
        <v>72</v>
      </c>
      <c r="E439" s="73">
        <v>42086</v>
      </c>
      <c r="F439" s="93" t="s">
        <v>577</v>
      </c>
      <c r="G439" s="265"/>
      <c r="H439" s="120" t="s">
        <v>267</v>
      </c>
      <c r="I439" s="74">
        <v>72000000</v>
      </c>
      <c r="J439" s="75" t="s">
        <v>39</v>
      </c>
      <c r="K439" s="75" t="s">
        <v>203</v>
      </c>
      <c r="L439" s="134" t="str">
        <f>IF(AND('331-CT'!$E$7=TH!H439,OR(J439="331",K439="331")),"x","")</f>
        <v/>
      </c>
    </row>
    <row r="440" spans="1:12" s="109" customFormat="1">
      <c r="A440" s="72">
        <f t="shared" si="19"/>
        <v>2015</v>
      </c>
      <c r="B440" s="72">
        <f t="shared" si="20"/>
        <v>3</v>
      </c>
      <c r="C440" s="107">
        <v>42086</v>
      </c>
      <c r="D440" s="73" t="s">
        <v>21</v>
      </c>
      <c r="E440" s="73">
        <v>42086</v>
      </c>
      <c r="F440" s="76" t="s">
        <v>45</v>
      </c>
      <c r="G440" s="265"/>
      <c r="H440" s="120" t="s">
        <v>267</v>
      </c>
      <c r="I440" s="74">
        <v>72000000</v>
      </c>
      <c r="J440" s="75" t="s">
        <v>54</v>
      </c>
      <c r="K440" s="75" t="s">
        <v>39</v>
      </c>
      <c r="L440" s="134" t="str">
        <f>IF(AND('331-CT'!$E$7=TH!H440,OR(J440="331",K440="331")),"x","")</f>
        <v/>
      </c>
    </row>
    <row r="441" spans="1:12" s="109" customFormat="1">
      <c r="A441" s="72">
        <f t="shared" si="19"/>
        <v>2015</v>
      </c>
      <c r="B441" s="72">
        <f t="shared" si="20"/>
        <v>3</v>
      </c>
      <c r="C441" s="73">
        <v>42086</v>
      </c>
      <c r="D441" s="73" t="s">
        <v>17</v>
      </c>
      <c r="E441" s="73">
        <v>42086</v>
      </c>
      <c r="F441" s="76" t="s">
        <v>119</v>
      </c>
      <c r="G441" s="265"/>
      <c r="H441" s="122" t="s">
        <v>314</v>
      </c>
      <c r="I441" s="74">
        <v>7400588</v>
      </c>
      <c r="J441" s="75" t="s">
        <v>240</v>
      </c>
      <c r="K441" s="75" t="s">
        <v>54</v>
      </c>
      <c r="L441" s="134" t="str">
        <f>IF(AND('331-CT'!$E$7=TH!H441,OR(J441="331",K441="331")),"x","")</f>
        <v/>
      </c>
    </row>
    <row r="442" spans="1:12" s="109" customFormat="1">
      <c r="A442" s="72">
        <f t="shared" si="19"/>
        <v>2015</v>
      </c>
      <c r="B442" s="72">
        <f t="shared" si="20"/>
        <v>3</v>
      </c>
      <c r="C442" s="73">
        <v>42086</v>
      </c>
      <c r="D442" s="73" t="s">
        <v>17</v>
      </c>
      <c r="E442" s="73">
        <v>42086</v>
      </c>
      <c r="F442" s="76" t="s">
        <v>141</v>
      </c>
      <c r="G442" s="265"/>
      <c r="H442" s="122" t="s">
        <v>315</v>
      </c>
      <c r="I442" s="74">
        <v>14801176</v>
      </c>
      <c r="J442" s="75" t="s">
        <v>240</v>
      </c>
      <c r="K442" s="75" t="s">
        <v>54</v>
      </c>
      <c r="L442" s="134" t="str">
        <f>IF(AND('331-CT'!$E$7=TH!H442,OR(J442="331",K442="331")),"x","")</f>
        <v/>
      </c>
    </row>
    <row r="443" spans="1:12" s="109" customFormat="1">
      <c r="A443" s="72">
        <f t="shared" si="19"/>
        <v>2015</v>
      </c>
      <c r="B443" s="72">
        <f t="shared" si="20"/>
        <v>3</v>
      </c>
      <c r="C443" s="73">
        <v>42086</v>
      </c>
      <c r="D443" s="73" t="s">
        <v>17</v>
      </c>
      <c r="E443" s="73">
        <v>42086</v>
      </c>
      <c r="F443" s="76" t="s">
        <v>143</v>
      </c>
      <c r="G443" s="265"/>
      <c r="H443" s="122" t="s">
        <v>317</v>
      </c>
      <c r="I443" s="74">
        <v>11840941</v>
      </c>
      <c r="J443" s="75" t="s">
        <v>240</v>
      </c>
      <c r="K443" s="75" t="s">
        <v>54</v>
      </c>
      <c r="L443" s="134" t="str">
        <f>IF(AND('331-CT'!$E$7=TH!H443,OR(J443="331",K443="331")),"x","")</f>
        <v/>
      </c>
    </row>
    <row r="444" spans="1:12" s="109" customFormat="1">
      <c r="A444" s="72">
        <f t="shared" si="19"/>
        <v>2015</v>
      </c>
      <c r="B444" s="72">
        <f t="shared" si="20"/>
        <v>3</v>
      </c>
      <c r="C444" s="73">
        <v>42086</v>
      </c>
      <c r="D444" s="73" t="s">
        <v>17</v>
      </c>
      <c r="E444" s="73">
        <v>42086</v>
      </c>
      <c r="F444" s="76" t="s">
        <v>144</v>
      </c>
      <c r="G444" s="265"/>
      <c r="H444" s="122" t="s">
        <v>316</v>
      </c>
      <c r="I444" s="74">
        <v>11100882</v>
      </c>
      <c r="J444" s="75" t="s">
        <v>240</v>
      </c>
      <c r="K444" s="75" t="s">
        <v>54</v>
      </c>
      <c r="L444" s="134" t="str">
        <f>IF(AND('331-CT'!$E$7=TH!H444,OR(J444="331",K444="331")),"x","")</f>
        <v/>
      </c>
    </row>
    <row r="445" spans="1:12" s="109" customFormat="1">
      <c r="A445" s="72">
        <f t="shared" si="19"/>
        <v>2015</v>
      </c>
      <c r="B445" s="72">
        <f t="shared" si="20"/>
        <v>3</v>
      </c>
      <c r="C445" s="73">
        <v>42086</v>
      </c>
      <c r="D445" s="73" t="s">
        <v>17</v>
      </c>
      <c r="E445" s="73">
        <v>42086</v>
      </c>
      <c r="F445" s="76" t="s">
        <v>145</v>
      </c>
      <c r="G445" s="265"/>
      <c r="H445" s="122" t="s">
        <v>318</v>
      </c>
      <c r="I445" s="74">
        <v>7400588</v>
      </c>
      <c r="J445" s="75" t="s">
        <v>240</v>
      </c>
      <c r="K445" s="75" t="s">
        <v>54</v>
      </c>
      <c r="L445" s="134" t="str">
        <f>IF(AND('331-CT'!$E$7=TH!H445,OR(J445="331",K445="331")),"x","")</f>
        <v/>
      </c>
    </row>
    <row r="446" spans="1:12" s="109" customFormat="1">
      <c r="A446" s="72">
        <f t="shared" si="19"/>
        <v>2015</v>
      </c>
      <c r="B446" s="72">
        <f t="shared" si="20"/>
        <v>3</v>
      </c>
      <c r="C446" s="73">
        <v>42086</v>
      </c>
      <c r="D446" s="73" t="s">
        <v>17</v>
      </c>
      <c r="E446" s="73">
        <v>42086</v>
      </c>
      <c r="F446" s="76" t="s">
        <v>147</v>
      </c>
      <c r="G446" s="265"/>
      <c r="H446" s="122" t="s">
        <v>319</v>
      </c>
      <c r="I446" s="74">
        <v>19426543</v>
      </c>
      <c r="J446" s="75" t="s">
        <v>240</v>
      </c>
      <c r="K446" s="75" t="s">
        <v>54</v>
      </c>
      <c r="L446" s="134" t="str">
        <f>IF(AND('331-CT'!$E$7=TH!H446,OR(J446="331",K446="331")),"x","")</f>
        <v/>
      </c>
    </row>
    <row r="447" spans="1:12" s="109" customFormat="1">
      <c r="A447" s="72">
        <f t="shared" si="19"/>
        <v>2015</v>
      </c>
      <c r="B447" s="72">
        <f t="shared" si="20"/>
        <v>3</v>
      </c>
      <c r="C447" s="73">
        <v>42086</v>
      </c>
      <c r="D447" s="73" t="s">
        <v>17</v>
      </c>
      <c r="E447" s="73">
        <v>42086</v>
      </c>
      <c r="F447" s="76" t="s">
        <v>49</v>
      </c>
      <c r="G447" s="265"/>
      <c r="H447" s="122"/>
      <c r="I447" s="74">
        <v>50000</v>
      </c>
      <c r="J447" s="75" t="s">
        <v>242</v>
      </c>
      <c r="K447" s="75" t="s">
        <v>54</v>
      </c>
      <c r="L447" s="134" t="str">
        <f>IF(AND('331-CT'!$E$7=TH!H447,OR(J447="331",K447="331")),"x","")</f>
        <v/>
      </c>
    </row>
    <row r="448" spans="1:12" s="109" customFormat="1">
      <c r="A448" s="72">
        <f t="shared" si="19"/>
        <v>2015</v>
      </c>
      <c r="B448" s="72">
        <f t="shared" si="20"/>
        <v>3</v>
      </c>
      <c r="C448" s="73">
        <v>42086</v>
      </c>
      <c r="D448" s="73" t="s">
        <v>17</v>
      </c>
      <c r="E448" s="73">
        <v>42086</v>
      </c>
      <c r="F448" s="76" t="s">
        <v>44</v>
      </c>
      <c r="G448" s="265"/>
      <c r="H448" s="122"/>
      <c r="I448" s="74">
        <v>5000</v>
      </c>
      <c r="J448" s="75" t="s">
        <v>19</v>
      </c>
      <c r="K448" s="75" t="s">
        <v>54</v>
      </c>
      <c r="L448" s="134" t="str">
        <f>IF(AND('331-CT'!$E$7=TH!H448,OR(J448="331",K448="331")),"x","")</f>
        <v/>
      </c>
    </row>
    <row r="449" spans="1:12" s="109" customFormat="1">
      <c r="A449" s="72">
        <f t="shared" si="19"/>
        <v>2015</v>
      </c>
      <c r="B449" s="72">
        <f t="shared" si="20"/>
        <v>3</v>
      </c>
      <c r="C449" s="73">
        <v>42086</v>
      </c>
      <c r="D449" s="73" t="s">
        <v>17</v>
      </c>
      <c r="E449" s="73">
        <v>42086</v>
      </c>
      <c r="F449" s="76" t="s">
        <v>47</v>
      </c>
      <c r="G449" s="265"/>
      <c r="H449" s="122"/>
      <c r="I449" s="74">
        <v>50000</v>
      </c>
      <c r="J449" s="75" t="s">
        <v>242</v>
      </c>
      <c r="K449" s="75" t="s">
        <v>54</v>
      </c>
      <c r="L449" s="134" t="str">
        <f>IF(AND('331-CT'!$E$7=TH!H449,OR(J449="331",K449="331")),"x","")</f>
        <v/>
      </c>
    </row>
    <row r="450" spans="1:12" s="109" customFormat="1">
      <c r="A450" s="72">
        <f t="shared" si="19"/>
        <v>2015</v>
      </c>
      <c r="B450" s="72">
        <f t="shared" si="20"/>
        <v>3</v>
      </c>
      <c r="C450" s="73">
        <v>42086</v>
      </c>
      <c r="D450" s="73" t="s">
        <v>17</v>
      </c>
      <c r="E450" s="73">
        <v>42086</v>
      </c>
      <c r="F450" s="76" t="s">
        <v>44</v>
      </c>
      <c r="G450" s="265"/>
      <c r="H450" s="122"/>
      <c r="I450" s="74">
        <v>5000</v>
      </c>
      <c r="J450" s="75" t="s">
        <v>19</v>
      </c>
      <c r="K450" s="75" t="s">
        <v>54</v>
      </c>
      <c r="L450" s="134" t="str">
        <f>IF(AND('331-CT'!$E$7=TH!H450,OR(J450="331",K450="331")),"x","")</f>
        <v/>
      </c>
    </row>
    <row r="451" spans="1:12" s="109" customFormat="1">
      <c r="A451" s="72">
        <f t="shared" si="19"/>
        <v>2015</v>
      </c>
      <c r="B451" s="72">
        <f t="shared" si="20"/>
        <v>3</v>
      </c>
      <c r="C451" s="107">
        <v>42087</v>
      </c>
      <c r="D451" s="73" t="s">
        <v>21</v>
      </c>
      <c r="E451" s="73">
        <v>42087</v>
      </c>
      <c r="F451" s="76" t="s">
        <v>98</v>
      </c>
      <c r="G451" s="265"/>
      <c r="H451" s="122"/>
      <c r="I451" s="74">
        <v>35634</v>
      </c>
      <c r="J451" s="75" t="s">
        <v>54</v>
      </c>
      <c r="K451" s="75" t="s">
        <v>99</v>
      </c>
      <c r="L451" s="134" t="str">
        <f>IF(AND('331-CT'!$E$7=TH!H451,OR(J451="331",K451="331")),"x","")</f>
        <v/>
      </c>
    </row>
    <row r="452" spans="1:12" s="109" customFormat="1">
      <c r="A452" s="72">
        <f t="shared" si="19"/>
        <v>2015</v>
      </c>
      <c r="B452" s="72">
        <f t="shared" si="20"/>
        <v>3</v>
      </c>
      <c r="C452" s="107">
        <v>42088</v>
      </c>
      <c r="D452" s="73" t="s">
        <v>21</v>
      </c>
      <c r="E452" s="73">
        <v>42088</v>
      </c>
      <c r="F452" s="76" t="s">
        <v>148</v>
      </c>
      <c r="G452" s="265"/>
      <c r="H452" s="122" t="s">
        <v>320</v>
      </c>
      <c r="I452" s="74">
        <v>2000000000</v>
      </c>
      <c r="J452" s="75" t="s">
        <v>54</v>
      </c>
      <c r="K452" s="75" t="s">
        <v>227</v>
      </c>
      <c r="L452" s="134" t="str">
        <f>IF(AND('331-CT'!$E$7=TH!H452,OR(J452="331",K452="331")),"x","")</f>
        <v/>
      </c>
    </row>
    <row r="453" spans="1:12" s="109" customFormat="1">
      <c r="A453" s="72">
        <f t="shared" si="19"/>
        <v>2015</v>
      </c>
      <c r="B453" s="72">
        <f t="shared" si="20"/>
        <v>3</v>
      </c>
      <c r="C453" s="107">
        <v>42088</v>
      </c>
      <c r="D453" s="73" t="s">
        <v>17</v>
      </c>
      <c r="E453" s="73">
        <v>42088</v>
      </c>
      <c r="F453" s="76" t="s">
        <v>113</v>
      </c>
      <c r="G453" s="265"/>
      <c r="H453" s="122" t="s">
        <v>138</v>
      </c>
      <c r="I453" s="74">
        <v>600000000</v>
      </c>
      <c r="J453" s="77" t="s">
        <v>18</v>
      </c>
      <c r="K453" s="75" t="s">
        <v>54</v>
      </c>
      <c r="L453" s="134" t="str">
        <f>IF(AND('331-CT'!$E$7=TH!H453,OR(J453="331",K453="331")),"x","")</f>
        <v/>
      </c>
    </row>
    <row r="454" spans="1:12" s="109" customFormat="1">
      <c r="A454" s="72">
        <f t="shared" si="19"/>
        <v>2015</v>
      </c>
      <c r="B454" s="72">
        <f t="shared" si="20"/>
        <v>3</v>
      </c>
      <c r="C454" s="73">
        <v>42088</v>
      </c>
      <c r="D454" s="73" t="s">
        <v>17</v>
      </c>
      <c r="E454" s="73">
        <v>42088</v>
      </c>
      <c r="F454" s="76" t="s">
        <v>34</v>
      </c>
      <c r="G454" s="265"/>
      <c r="H454" s="122"/>
      <c r="I454" s="74">
        <v>180000</v>
      </c>
      <c r="J454" s="75" t="s">
        <v>242</v>
      </c>
      <c r="K454" s="75" t="s">
        <v>54</v>
      </c>
      <c r="L454" s="134" t="str">
        <f>IF(AND('331-CT'!$E$7=TH!H454,OR(J454="331",K454="331")),"x","")</f>
        <v/>
      </c>
    </row>
    <row r="455" spans="1:12" s="109" customFormat="1">
      <c r="A455" s="72">
        <f t="shared" si="19"/>
        <v>2015</v>
      </c>
      <c r="B455" s="72">
        <f t="shared" si="20"/>
        <v>3</v>
      </c>
      <c r="C455" s="73">
        <v>42088</v>
      </c>
      <c r="D455" s="73" t="s">
        <v>17</v>
      </c>
      <c r="E455" s="73">
        <v>42088</v>
      </c>
      <c r="F455" s="76" t="s">
        <v>35</v>
      </c>
      <c r="G455" s="265"/>
      <c r="H455" s="122"/>
      <c r="I455" s="74">
        <v>18000</v>
      </c>
      <c r="J455" s="75" t="s">
        <v>19</v>
      </c>
      <c r="K455" s="75" t="s">
        <v>54</v>
      </c>
      <c r="L455" s="134" t="str">
        <f>IF(AND('331-CT'!$E$7=TH!H455,OR(J455="331",K455="331")),"x","")</f>
        <v/>
      </c>
    </row>
    <row r="456" spans="1:12" s="109" customFormat="1">
      <c r="A456" s="72">
        <f t="shared" si="19"/>
        <v>2015</v>
      </c>
      <c r="B456" s="72">
        <f t="shared" si="20"/>
        <v>3</v>
      </c>
      <c r="C456" s="107">
        <v>42094</v>
      </c>
      <c r="D456" s="73" t="s">
        <v>17</v>
      </c>
      <c r="E456" s="73">
        <v>42094</v>
      </c>
      <c r="F456" s="76" t="s">
        <v>182</v>
      </c>
      <c r="G456" s="265"/>
      <c r="H456" s="122" t="s">
        <v>150</v>
      </c>
      <c r="I456" s="74">
        <v>360000000</v>
      </c>
      <c r="J456" s="77" t="s">
        <v>18</v>
      </c>
      <c r="K456" s="75" t="s">
        <v>54</v>
      </c>
      <c r="L456" s="134" t="str">
        <f>IF(AND('331-CT'!$E$7=TH!H456,OR(J456="331",K456="331")),"x","")</f>
        <v/>
      </c>
    </row>
    <row r="457" spans="1:12" s="109" customFormat="1">
      <c r="A457" s="72">
        <f t="shared" si="19"/>
        <v>2015</v>
      </c>
      <c r="B457" s="72">
        <f t="shared" si="20"/>
        <v>3</v>
      </c>
      <c r="C457" s="107">
        <v>42094</v>
      </c>
      <c r="D457" s="73" t="s">
        <v>17</v>
      </c>
      <c r="E457" s="73">
        <v>42094</v>
      </c>
      <c r="F457" s="76" t="s">
        <v>181</v>
      </c>
      <c r="G457" s="265"/>
      <c r="H457" s="122" t="s">
        <v>111</v>
      </c>
      <c r="I457" s="74">
        <v>251000000</v>
      </c>
      <c r="J457" s="77" t="s">
        <v>18</v>
      </c>
      <c r="K457" s="75" t="s">
        <v>54</v>
      </c>
      <c r="L457" s="134" t="str">
        <f>IF(AND('331-CT'!$E$7=TH!H457,OR(J457="331",K457="331")),"x","")</f>
        <v/>
      </c>
    </row>
    <row r="458" spans="1:12" s="109" customFormat="1">
      <c r="A458" s="72">
        <f t="shared" si="19"/>
        <v>2015</v>
      </c>
      <c r="B458" s="72">
        <f t="shared" si="20"/>
        <v>3</v>
      </c>
      <c r="C458" s="73">
        <v>42094</v>
      </c>
      <c r="D458" s="73" t="s">
        <v>17</v>
      </c>
      <c r="E458" s="73">
        <v>42094</v>
      </c>
      <c r="F458" s="76" t="s">
        <v>34</v>
      </c>
      <c r="G458" s="265"/>
      <c r="H458" s="122"/>
      <c r="I458" s="74">
        <v>75300</v>
      </c>
      <c r="J458" s="75" t="s">
        <v>242</v>
      </c>
      <c r="K458" s="75" t="s">
        <v>54</v>
      </c>
      <c r="L458" s="134" t="str">
        <f>IF(AND('331-CT'!$E$7=TH!H458,OR(J458="331",K458="331")),"x","")</f>
        <v/>
      </c>
    </row>
    <row r="459" spans="1:12" s="109" customFormat="1">
      <c r="A459" s="72">
        <f t="shared" si="19"/>
        <v>2015</v>
      </c>
      <c r="B459" s="72">
        <f t="shared" si="20"/>
        <v>3</v>
      </c>
      <c r="C459" s="73">
        <v>42094</v>
      </c>
      <c r="D459" s="73" t="s">
        <v>17</v>
      </c>
      <c r="E459" s="73">
        <v>42094</v>
      </c>
      <c r="F459" s="76" t="s">
        <v>35</v>
      </c>
      <c r="G459" s="265"/>
      <c r="H459" s="122"/>
      <c r="I459" s="74">
        <v>7530</v>
      </c>
      <c r="J459" s="75" t="s">
        <v>19</v>
      </c>
      <c r="K459" s="75" t="s">
        <v>54</v>
      </c>
      <c r="L459" s="134" t="str">
        <f>IF(AND('331-CT'!$E$7=TH!H459,OR(J459="331",K459="331")),"x","")</f>
        <v/>
      </c>
    </row>
    <row r="460" spans="1:12" s="109" customFormat="1">
      <c r="A460" s="72">
        <f t="shared" si="19"/>
        <v>2015</v>
      </c>
      <c r="B460" s="72">
        <f t="shared" si="20"/>
        <v>4</v>
      </c>
      <c r="C460" s="73">
        <v>42095</v>
      </c>
      <c r="D460" s="73" t="s">
        <v>73</v>
      </c>
      <c r="E460" s="73">
        <v>42095</v>
      </c>
      <c r="F460" s="76" t="s">
        <v>159</v>
      </c>
      <c r="G460" s="270" t="s">
        <v>524</v>
      </c>
      <c r="H460" s="122" t="s">
        <v>525</v>
      </c>
      <c r="I460" s="74">
        <v>17290000</v>
      </c>
      <c r="J460" s="75" t="s">
        <v>655</v>
      </c>
      <c r="K460" s="75" t="s">
        <v>203</v>
      </c>
      <c r="L460" s="134" t="str">
        <f>IF(AND('331-CT'!$E$7=TH!H460,OR(J460="331",K460="331")),"x","")</f>
        <v/>
      </c>
    </row>
    <row r="461" spans="1:12" s="109" customFormat="1">
      <c r="A461" s="72">
        <f t="shared" si="19"/>
        <v>2015</v>
      </c>
      <c r="B461" s="72">
        <f t="shared" si="20"/>
        <v>4</v>
      </c>
      <c r="C461" s="73">
        <v>42095</v>
      </c>
      <c r="D461" s="73" t="s">
        <v>73</v>
      </c>
      <c r="E461" s="73">
        <v>42095</v>
      </c>
      <c r="F461" s="76" t="s">
        <v>160</v>
      </c>
      <c r="G461" s="270" t="s">
        <v>524</v>
      </c>
      <c r="H461" s="122" t="s">
        <v>525</v>
      </c>
      <c r="I461" s="74">
        <v>1729000</v>
      </c>
      <c r="J461" s="75" t="s">
        <v>19</v>
      </c>
      <c r="K461" s="75" t="s">
        <v>203</v>
      </c>
      <c r="L461" s="134" t="str">
        <f>IF(AND('331-CT'!$E$7=TH!H461,OR(J461="331",K461="331")),"x","")</f>
        <v/>
      </c>
    </row>
    <row r="462" spans="1:12" s="109" customFormat="1">
      <c r="A462" s="72">
        <f t="shared" si="19"/>
        <v>2015</v>
      </c>
      <c r="B462" s="72">
        <f t="shared" si="20"/>
        <v>4</v>
      </c>
      <c r="C462" s="107">
        <v>42096</v>
      </c>
      <c r="D462" s="73" t="s">
        <v>17</v>
      </c>
      <c r="E462" s="73">
        <v>42096</v>
      </c>
      <c r="F462" s="76" t="s">
        <v>113</v>
      </c>
      <c r="G462" s="265"/>
      <c r="H462" s="122" t="s">
        <v>85</v>
      </c>
      <c r="I462" s="74">
        <v>500000000</v>
      </c>
      <c r="J462" s="77" t="s">
        <v>18</v>
      </c>
      <c r="K462" s="75" t="s">
        <v>54</v>
      </c>
      <c r="L462" s="134" t="str">
        <f>IF(AND('331-CT'!$E$7=TH!H462,OR(J462="331",K462="331")),"x","")</f>
        <v/>
      </c>
    </row>
    <row r="463" spans="1:12" s="109" customFormat="1">
      <c r="A463" s="72">
        <f t="shared" si="19"/>
        <v>2015</v>
      </c>
      <c r="B463" s="72">
        <f t="shared" si="20"/>
        <v>4</v>
      </c>
      <c r="C463" s="73">
        <v>42096</v>
      </c>
      <c r="D463" s="73" t="s">
        <v>17</v>
      </c>
      <c r="E463" s="73">
        <v>42096</v>
      </c>
      <c r="F463" s="76" t="s">
        <v>34</v>
      </c>
      <c r="G463" s="265"/>
      <c r="H463" s="122"/>
      <c r="I463" s="74">
        <v>250000</v>
      </c>
      <c r="J463" s="75" t="s">
        <v>242</v>
      </c>
      <c r="K463" s="75" t="s">
        <v>54</v>
      </c>
      <c r="L463" s="134" t="str">
        <f>IF(AND('331-CT'!$E$7=TH!H463,OR(J463="331",K463="331")),"x","")</f>
        <v/>
      </c>
    </row>
    <row r="464" spans="1:12" s="109" customFormat="1">
      <c r="A464" s="72">
        <f t="shared" si="19"/>
        <v>2015</v>
      </c>
      <c r="B464" s="72">
        <f t="shared" si="20"/>
        <v>4</v>
      </c>
      <c r="C464" s="73">
        <v>42096</v>
      </c>
      <c r="D464" s="73" t="s">
        <v>17</v>
      </c>
      <c r="E464" s="73">
        <v>42096</v>
      </c>
      <c r="F464" s="76" t="s">
        <v>35</v>
      </c>
      <c r="G464" s="265"/>
      <c r="H464" s="122"/>
      <c r="I464" s="74">
        <v>25000</v>
      </c>
      <c r="J464" s="75" t="s">
        <v>19</v>
      </c>
      <c r="K464" s="75" t="s">
        <v>54</v>
      </c>
      <c r="L464" s="134" t="str">
        <f>IF(AND('331-CT'!$E$7=TH!H464,OR(J464="331",K464="331")),"x","")</f>
        <v/>
      </c>
    </row>
    <row r="465" spans="1:12" s="109" customFormat="1">
      <c r="A465" s="72">
        <f t="shared" si="19"/>
        <v>2015</v>
      </c>
      <c r="B465" s="72">
        <f t="shared" si="20"/>
        <v>4</v>
      </c>
      <c r="C465" s="73">
        <v>42096</v>
      </c>
      <c r="D465" s="73" t="s">
        <v>92</v>
      </c>
      <c r="E465" s="73">
        <v>42096</v>
      </c>
      <c r="F465" s="76" t="s">
        <v>159</v>
      </c>
      <c r="G465" s="270" t="s">
        <v>526</v>
      </c>
      <c r="H465" s="122" t="s">
        <v>525</v>
      </c>
      <c r="I465" s="74">
        <v>8170000</v>
      </c>
      <c r="J465" s="75" t="s">
        <v>655</v>
      </c>
      <c r="K465" s="75" t="s">
        <v>203</v>
      </c>
      <c r="L465" s="134" t="str">
        <f>IF(AND('331-CT'!$E$7=TH!H465,OR(J465="331",K465="331")),"x","")</f>
        <v/>
      </c>
    </row>
    <row r="466" spans="1:12" s="109" customFormat="1">
      <c r="A466" s="72">
        <f t="shared" si="19"/>
        <v>2015</v>
      </c>
      <c r="B466" s="72">
        <f t="shared" si="20"/>
        <v>4</v>
      </c>
      <c r="C466" s="73">
        <v>42096</v>
      </c>
      <c r="D466" s="73" t="s">
        <v>92</v>
      </c>
      <c r="E466" s="73">
        <v>42096</v>
      </c>
      <c r="F466" s="76" t="s">
        <v>160</v>
      </c>
      <c r="G466" s="270" t="s">
        <v>526</v>
      </c>
      <c r="H466" s="122" t="s">
        <v>525</v>
      </c>
      <c r="I466" s="74">
        <v>817000</v>
      </c>
      <c r="J466" s="75" t="s">
        <v>19</v>
      </c>
      <c r="K466" s="75" t="s">
        <v>203</v>
      </c>
      <c r="L466" s="134" t="str">
        <f>IF(AND('331-CT'!$E$7=TH!H466,OR(J466="331",K466="331")),"x","")</f>
        <v/>
      </c>
    </row>
    <row r="467" spans="1:12" s="109" customFormat="1">
      <c r="A467" s="72">
        <f t="shared" si="19"/>
        <v>2015</v>
      </c>
      <c r="B467" s="72">
        <f t="shared" si="20"/>
        <v>4</v>
      </c>
      <c r="C467" s="73">
        <v>42100</v>
      </c>
      <c r="D467" s="73" t="s">
        <v>93</v>
      </c>
      <c r="E467" s="73">
        <v>42100</v>
      </c>
      <c r="F467" s="76" t="s">
        <v>161</v>
      </c>
      <c r="G467" s="270" t="s">
        <v>527</v>
      </c>
      <c r="H467" s="122" t="s">
        <v>529</v>
      </c>
      <c r="I467" s="74">
        <v>17726430</v>
      </c>
      <c r="J467" s="75" t="s">
        <v>655</v>
      </c>
      <c r="K467" s="75" t="s">
        <v>203</v>
      </c>
      <c r="L467" s="134" t="str">
        <f>IF(AND('331-CT'!$E$7=TH!H467,OR(J467="331",K467="331")),"x","")</f>
        <v/>
      </c>
    </row>
    <row r="468" spans="1:12" s="109" customFormat="1">
      <c r="A468" s="72">
        <f t="shared" si="19"/>
        <v>2015</v>
      </c>
      <c r="B468" s="72">
        <f t="shared" si="20"/>
        <v>4</v>
      </c>
      <c r="C468" s="73">
        <v>42100</v>
      </c>
      <c r="D468" s="73" t="s">
        <v>93</v>
      </c>
      <c r="E468" s="73">
        <v>42100</v>
      </c>
      <c r="F468" s="76" t="s">
        <v>162</v>
      </c>
      <c r="G468" s="270" t="s">
        <v>527</v>
      </c>
      <c r="H468" s="122" t="s">
        <v>529</v>
      </c>
      <c r="I468" s="74">
        <v>1772643</v>
      </c>
      <c r="J468" s="75" t="s">
        <v>19</v>
      </c>
      <c r="K468" s="75" t="s">
        <v>203</v>
      </c>
      <c r="L468" s="134" t="str">
        <f>IF(AND('331-CT'!$E$7=TH!H468,OR(J468="331",K468="331")),"x","")</f>
        <v/>
      </c>
    </row>
    <row r="469" spans="1:12" s="109" customFormat="1">
      <c r="A469" s="72">
        <f t="shared" ref="A469:A532" si="21">IF(C469&lt;&gt;"",YEAR(C469),"")</f>
        <v>2015</v>
      </c>
      <c r="B469" s="72">
        <f t="shared" ref="B469:B532" si="22">IF(C469&lt;&gt;"",MONTH(C469),"")</f>
        <v>4</v>
      </c>
      <c r="C469" s="107">
        <v>42103</v>
      </c>
      <c r="D469" s="73" t="s">
        <v>17</v>
      </c>
      <c r="E469" s="73">
        <v>42103</v>
      </c>
      <c r="F469" s="76" t="s">
        <v>173</v>
      </c>
      <c r="G469" s="265"/>
      <c r="H469" s="122" t="s">
        <v>151</v>
      </c>
      <c r="I469" s="74">
        <v>195195000</v>
      </c>
      <c r="J469" s="77" t="s">
        <v>18</v>
      </c>
      <c r="K469" s="75" t="s">
        <v>54</v>
      </c>
      <c r="L469" s="134" t="str">
        <f>IF(AND('331-CT'!$E$7=TH!H469,OR(J469="331",K469="331")),"x","")</f>
        <v/>
      </c>
    </row>
    <row r="470" spans="1:12" s="109" customFormat="1">
      <c r="A470" s="72">
        <f t="shared" si="21"/>
        <v>2015</v>
      </c>
      <c r="B470" s="72">
        <f t="shared" si="22"/>
        <v>4</v>
      </c>
      <c r="C470" s="73">
        <v>42103</v>
      </c>
      <c r="D470" s="73" t="s">
        <v>17</v>
      </c>
      <c r="E470" s="73">
        <v>42103</v>
      </c>
      <c r="F470" s="76" t="s">
        <v>34</v>
      </c>
      <c r="G470" s="265"/>
      <c r="H470" s="122"/>
      <c r="I470" s="74">
        <v>58559</v>
      </c>
      <c r="J470" s="75" t="s">
        <v>242</v>
      </c>
      <c r="K470" s="75" t="s">
        <v>54</v>
      </c>
      <c r="L470" s="134" t="str">
        <f>IF(AND('331-CT'!$E$7=TH!H470,OR(J470="331",K470="331")),"x","")</f>
        <v/>
      </c>
    </row>
    <row r="471" spans="1:12" s="109" customFormat="1">
      <c r="A471" s="72">
        <f t="shared" si="21"/>
        <v>2015</v>
      </c>
      <c r="B471" s="72">
        <f t="shared" si="22"/>
        <v>4</v>
      </c>
      <c r="C471" s="73">
        <v>42103</v>
      </c>
      <c r="D471" s="73" t="s">
        <v>17</v>
      </c>
      <c r="E471" s="73">
        <v>42103</v>
      </c>
      <c r="F471" s="76" t="s">
        <v>35</v>
      </c>
      <c r="G471" s="265"/>
      <c r="H471" s="122"/>
      <c r="I471" s="74">
        <v>5856</v>
      </c>
      <c r="J471" s="75" t="s">
        <v>19</v>
      </c>
      <c r="K471" s="75" t="s">
        <v>54</v>
      </c>
      <c r="L471" s="134" t="str">
        <f>IF(AND('331-CT'!$E$7=TH!H471,OR(J471="331",K471="331")),"x","")</f>
        <v/>
      </c>
    </row>
    <row r="472" spans="1:12" s="109" customFormat="1">
      <c r="A472" s="72">
        <f t="shared" si="21"/>
        <v>2015</v>
      </c>
      <c r="B472" s="72">
        <f t="shared" si="22"/>
        <v>4</v>
      </c>
      <c r="C472" s="73">
        <v>42110</v>
      </c>
      <c r="D472" s="73" t="s">
        <v>72</v>
      </c>
      <c r="E472" s="73">
        <v>42110</v>
      </c>
      <c r="F472" s="76" t="s">
        <v>161</v>
      </c>
      <c r="G472" s="270" t="s">
        <v>528</v>
      </c>
      <c r="H472" s="122" t="s">
        <v>529</v>
      </c>
      <c r="I472" s="74">
        <v>17424628</v>
      </c>
      <c r="J472" s="75" t="s">
        <v>655</v>
      </c>
      <c r="K472" s="75" t="s">
        <v>203</v>
      </c>
      <c r="L472" s="134" t="str">
        <f>IF(AND('331-CT'!$E$7=TH!H472,OR(J472="331",K472="331")),"x","")</f>
        <v/>
      </c>
    </row>
    <row r="473" spans="1:12" s="109" customFormat="1">
      <c r="A473" s="72">
        <f t="shared" si="21"/>
        <v>2015</v>
      </c>
      <c r="B473" s="72">
        <f t="shared" si="22"/>
        <v>4</v>
      </c>
      <c r="C473" s="73">
        <v>42110</v>
      </c>
      <c r="D473" s="73" t="s">
        <v>72</v>
      </c>
      <c r="E473" s="73">
        <v>42110</v>
      </c>
      <c r="F473" s="76" t="s">
        <v>162</v>
      </c>
      <c r="G473" s="270" t="s">
        <v>528</v>
      </c>
      <c r="H473" s="122" t="s">
        <v>529</v>
      </c>
      <c r="I473" s="74">
        <v>1742463</v>
      </c>
      <c r="J473" s="75" t="s">
        <v>19</v>
      </c>
      <c r="K473" s="75" t="s">
        <v>203</v>
      </c>
      <c r="L473" s="134" t="str">
        <f>IF(AND('331-CT'!$E$7=TH!H473,OR(J473="331",K473="331")),"x","")</f>
        <v/>
      </c>
    </row>
    <row r="474" spans="1:12" s="109" customFormat="1">
      <c r="A474" s="72">
        <f t="shared" si="21"/>
        <v>2015</v>
      </c>
      <c r="B474" s="72">
        <f t="shared" si="22"/>
        <v>4</v>
      </c>
      <c r="C474" s="73">
        <v>42114</v>
      </c>
      <c r="D474" s="73" t="s">
        <v>17</v>
      </c>
      <c r="E474" s="73">
        <v>42114</v>
      </c>
      <c r="F474" s="76" t="s">
        <v>119</v>
      </c>
      <c r="G474" s="265"/>
      <c r="H474" s="122" t="s">
        <v>314</v>
      </c>
      <c r="I474" s="74">
        <v>8180556</v>
      </c>
      <c r="J474" s="75" t="s">
        <v>240</v>
      </c>
      <c r="K474" s="75" t="s">
        <v>54</v>
      </c>
      <c r="L474" s="134" t="str">
        <f>IF(AND('331-CT'!$E$7=TH!H474,OR(J474="331",K474="331")),"x","")</f>
        <v/>
      </c>
    </row>
    <row r="475" spans="1:12" s="135" customFormat="1">
      <c r="A475" s="72">
        <f t="shared" si="21"/>
        <v>2015</v>
      </c>
      <c r="B475" s="72">
        <f t="shared" si="22"/>
        <v>4</v>
      </c>
      <c r="C475" s="73">
        <v>42114</v>
      </c>
      <c r="D475" s="73" t="s">
        <v>17</v>
      </c>
      <c r="E475" s="73">
        <v>42114</v>
      </c>
      <c r="F475" s="76" t="s">
        <v>141</v>
      </c>
      <c r="G475" s="265"/>
      <c r="H475" s="122" t="s">
        <v>315</v>
      </c>
      <c r="I475" s="74">
        <v>16361111</v>
      </c>
      <c r="J475" s="75" t="s">
        <v>240</v>
      </c>
      <c r="K475" s="75" t="s">
        <v>54</v>
      </c>
      <c r="L475" s="134" t="str">
        <f>IF(AND('331-CT'!$E$7=TH!H475,OR(J475="331",K475="331")),"x","")</f>
        <v/>
      </c>
    </row>
    <row r="476" spans="1:12" s="135" customFormat="1">
      <c r="A476" s="72">
        <f t="shared" si="21"/>
        <v>2015</v>
      </c>
      <c r="B476" s="72">
        <f t="shared" si="22"/>
        <v>4</v>
      </c>
      <c r="C476" s="73">
        <v>42114</v>
      </c>
      <c r="D476" s="73" t="s">
        <v>17</v>
      </c>
      <c r="E476" s="73">
        <v>42114</v>
      </c>
      <c r="F476" s="76" t="s">
        <v>143</v>
      </c>
      <c r="G476" s="265"/>
      <c r="H476" s="122" t="s">
        <v>317</v>
      </c>
      <c r="I476" s="74">
        <v>13088889</v>
      </c>
      <c r="J476" s="75" t="s">
        <v>240</v>
      </c>
      <c r="K476" s="75" t="s">
        <v>54</v>
      </c>
      <c r="L476" s="134" t="str">
        <f>IF(AND('331-CT'!$E$7=TH!H476,OR(J476="331",K476="331")),"x","")</f>
        <v/>
      </c>
    </row>
    <row r="477" spans="1:12" s="109" customFormat="1">
      <c r="A477" s="72">
        <f t="shared" si="21"/>
        <v>2015</v>
      </c>
      <c r="B477" s="72">
        <f t="shared" si="22"/>
        <v>4</v>
      </c>
      <c r="C477" s="73">
        <v>42114</v>
      </c>
      <c r="D477" s="73" t="s">
        <v>17</v>
      </c>
      <c r="E477" s="73">
        <v>42114</v>
      </c>
      <c r="F477" s="76" t="s">
        <v>144</v>
      </c>
      <c r="G477" s="265"/>
      <c r="H477" s="122" t="s">
        <v>316</v>
      </c>
      <c r="I477" s="74">
        <v>12270833</v>
      </c>
      <c r="J477" s="75" t="s">
        <v>240</v>
      </c>
      <c r="K477" s="75" t="s">
        <v>54</v>
      </c>
      <c r="L477" s="134" t="str">
        <f>IF(AND('331-CT'!$E$7=TH!H477,OR(J477="331",K477="331")),"x","")</f>
        <v/>
      </c>
    </row>
    <row r="478" spans="1:12" s="109" customFormat="1">
      <c r="A478" s="72">
        <f t="shared" si="21"/>
        <v>2015</v>
      </c>
      <c r="B478" s="72">
        <f t="shared" si="22"/>
        <v>4</v>
      </c>
      <c r="C478" s="73">
        <v>42114</v>
      </c>
      <c r="D478" s="73" t="s">
        <v>17</v>
      </c>
      <c r="E478" s="73">
        <v>42114</v>
      </c>
      <c r="F478" s="76" t="s">
        <v>145</v>
      </c>
      <c r="G478" s="265"/>
      <c r="H478" s="122" t="s">
        <v>318</v>
      </c>
      <c r="I478" s="74">
        <v>8180556</v>
      </c>
      <c r="J478" s="75" t="s">
        <v>240</v>
      </c>
      <c r="K478" s="75" t="s">
        <v>54</v>
      </c>
      <c r="L478" s="134" t="str">
        <f>IF(AND('331-CT'!$E$7=TH!H478,OR(J478="331",K478="331")),"x","")</f>
        <v/>
      </c>
    </row>
    <row r="479" spans="1:12" s="109" customFormat="1">
      <c r="A479" s="72">
        <f t="shared" si="21"/>
        <v>2015</v>
      </c>
      <c r="B479" s="72">
        <f t="shared" si="22"/>
        <v>4</v>
      </c>
      <c r="C479" s="73">
        <v>42114</v>
      </c>
      <c r="D479" s="73" t="s">
        <v>17</v>
      </c>
      <c r="E479" s="73">
        <v>42114</v>
      </c>
      <c r="F479" s="76" t="s">
        <v>147</v>
      </c>
      <c r="G479" s="265"/>
      <c r="H479" s="122" t="s">
        <v>319</v>
      </c>
      <c r="I479" s="74">
        <v>12270833</v>
      </c>
      <c r="J479" s="75" t="s">
        <v>240</v>
      </c>
      <c r="K479" s="75" t="s">
        <v>54</v>
      </c>
      <c r="L479" s="134" t="str">
        <f>IF(AND('331-CT'!$E$7=TH!H479,OR(J479="331",K479="331")),"x","")</f>
        <v/>
      </c>
    </row>
    <row r="480" spans="1:12" s="109" customFormat="1">
      <c r="A480" s="72">
        <f t="shared" si="21"/>
        <v>2015</v>
      </c>
      <c r="B480" s="72">
        <f t="shared" si="22"/>
        <v>4</v>
      </c>
      <c r="C480" s="73">
        <v>42114</v>
      </c>
      <c r="D480" s="73" t="s">
        <v>71</v>
      </c>
      <c r="E480" s="73">
        <v>42114</v>
      </c>
      <c r="F480" s="93" t="s">
        <v>576</v>
      </c>
      <c r="G480" s="265"/>
      <c r="H480" s="122" t="s">
        <v>272</v>
      </c>
      <c r="I480" s="74">
        <v>71000000</v>
      </c>
      <c r="J480" s="78" t="s">
        <v>54</v>
      </c>
      <c r="K480" s="75" t="s">
        <v>203</v>
      </c>
      <c r="L480" s="134" t="str">
        <f>IF(AND('331-CT'!$E$7=TH!H480,OR(J480="331",K480="331")),"x","")</f>
        <v/>
      </c>
    </row>
    <row r="481" spans="1:12" s="109" customFormat="1">
      <c r="A481" s="72">
        <f t="shared" si="21"/>
        <v>2015</v>
      </c>
      <c r="B481" s="72">
        <f t="shared" si="22"/>
        <v>4</v>
      </c>
      <c r="C481" s="107">
        <v>42114</v>
      </c>
      <c r="D481" s="73" t="s">
        <v>21</v>
      </c>
      <c r="E481" s="73">
        <v>42114</v>
      </c>
      <c r="F481" s="76" t="s">
        <v>174</v>
      </c>
      <c r="G481" s="265"/>
      <c r="H481" s="122" t="s">
        <v>321</v>
      </c>
      <c r="I481" s="74">
        <v>1400000000</v>
      </c>
      <c r="J481" s="75" t="s">
        <v>54</v>
      </c>
      <c r="K481" s="75" t="s">
        <v>227</v>
      </c>
      <c r="L481" s="134" t="str">
        <f>IF(AND('331-CT'!$E$7=TH!H481,OR(J481="331",K481="331")),"x","")</f>
        <v/>
      </c>
    </row>
    <row r="482" spans="1:12" s="109" customFormat="1">
      <c r="A482" s="129">
        <f t="shared" si="21"/>
        <v>2015</v>
      </c>
      <c r="B482" s="129">
        <f t="shared" si="22"/>
        <v>4</v>
      </c>
      <c r="C482" s="130">
        <v>42115</v>
      </c>
      <c r="D482" s="130" t="s">
        <v>133</v>
      </c>
      <c r="E482" s="130">
        <v>42115</v>
      </c>
      <c r="F482" s="131" t="s">
        <v>277</v>
      </c>
      <c r="G482" s="271" t="s">
        <v>530</v>
      </c>
      <c r="H482" s="132" t="s">
        <v>188</v>
      </c>
      <c r="I482" s="133">
        <v>3714800</v>
      </c>
      <c r="J482" s="134" t="s">
        <v>242</v>
      </c>
      <c r="K482" s="134" t="s">
        <v>203</v>
      </c>
      <c r="L482" s="134" t="str">
        <f>IF(AND('331-CT'!$E$7=TH!H482,OR(J482="331",K482="331")),"x","")</f>
        <v/>
      </c>
    </row>
    <row r="483" spans="1:12" s="109" customFormat="1">
      <c r="A483" s="129">
        <f t="shared" si="21"/>
        <v>2015</v>
      </c>
      <c r="B483" s="129">
        <f t="shared" si="22"/>
        <v>4</v>
      </c>
      <c r="C483" s="130">
        <v>42115</v>
      </c>
      <c r="D483" s="130" t="s">
        <v>133</v>
      </c>
      <c r="E483" s="130">
        <v>42115</v>
      </c>
      <c r="F483" s="131" t="s">
        <v>278</v>
      </c>
      <c r="G483" s="271" t="s">
        <v>530</v>
      </c>
      <c r="H483" s="132" t="s">
        <v>188</v>
      </c>
      <c r="I483" s="133">
        <v>185740</v>
      </c>
      <c r="J483" s="134" t="s">
        <v>19</v>
      </c>
      <c r="K483" s="134" t="s">
        <v>203</v>
      </c>
      <c r="L483" s="134" t="str">
        <f>IF(AND('331-CT'!$E$7=TH!H483,OR(J483="331",K483="331")),"x","")</f>
        <v/>
      </c>
    </row>
    <row r="484" spans="1:12" s="109" customFormat="1">
      <c r="A484" s="72">
        <f t="shared" si="21"/>
        <v>2015</v>
      </c>
      <c r="B484" s="72">
        <f t="shared" si="22"/>
        <v>4</v>
      </c>
      <c r="C484" s="107">
        <v>42116</v>
      </c>
      <c r="D484" s="73" t="s">
        <v>17</v>
      </c>
      <c r="E484" s="73">
        <v>42116</v>
      </c>
      <c r="F484" s="76" t="s">
        <v>113</v>
      </c>
      <c r="G484" s="265"/>
      <c r="H484" s="122" t="s">
        <v>85</v>
      </c>
      <c r="I484" s="74">
        <v>500000000</v>
      </c>
      <c r="J484" s="75" t="s">
        <v>18</v>
      </c>
      <c r="K484" s="75" t="s">
        <v>54</v>
      </c>
      <c r="L484" s="134" t="str">
        <f>IF(AND('331-CT'!$E$7=TH!H484,OR(J484="331",K484="331")),"x","")</f>
        <v/>
      </c>
    </row>
    <row r="485" spans="1:12" s="109" customFormat="1">
      <c r="A485" s="72">
        <f t="shared" si="21"/>
        <v>2015</v>
      </c>
      <c r="B485" s="72">
        <f t="shared" si="22"/>
        <v>4</v>
      </c>
      <c r="C485" s="73">
        <v>42116</v>
      </c>
      <c r="D485" s="73" t="s">
        <v>17</v>
      </c>
      <c r="E485" s="73">
        <v>42116</v>
      </c>
      <c r="F485" s="76" t="s">
        <v>34</v>
      </c>
      <c r="G485" s="265"/>
      <c r="H485" s="122"/>
      <c r="I485" s="74">
        <v>250000</v>
      </c>
      <c r="J485" s="75" t="s">
        <v>242</v>
      </c>
      <c r="K485" s="75" t="s">
        <v>54</v>
      </c>
      <c r="L485" s="134" t="str">
        <f>IF(AND('331-CT'!$E$7=TH!H485,OR(J485="331",K485="331")),"x","")</f>
        <v/>
      </c>
    </row>
    <row r="486" spans="1:12" s="109" customFormat="1">
      <c r="A486" s="72">
        <f t="shared" si="21"/>
        <v>2015</v>
      </c>
      <c r="B486" s="72">
        <f t="shared" si="22"/>
        <v>4</v>
      </c>
      <c r="C486" s="107">
        <v>42116</v>
      </c>
      <c r="D486" s="73" t="s">
        <v>17</v>
      </c>
      <c r="E486" s="73">
        <v>42116</v>
      </c>
      <c r="F486" s="76" t="s">
        <v>183</v>
      </c>
      <c r="G486" s="265"/>
      <c r="H486" s="122" t="s">
        <v>152</v>
      </c>
      <c r="I486" s="74">
        <v>100000000</v>
      </c>
      <c r="J486" s="75" t="s">
        <v>18</v>
      </c>
      <c r="K486" s="75" t="s">
        <v>54</v>
      </c>
      <c r="L486" s="134" t="str">
        <f>IF(AND('331-CT'!$E$7=TH!H486,OR(J486="331",K486="331")),"x","")</f>
        <v/>
      </c>
    </row>
    <row r="487" spans="1:12" s="109" customFormat="1">
      <c r="A487" s="72">
        <f t="shared" si="21"/>
        <v>2015</v>
      </c>
      <c r="B487" s="72">
        <f t="shared" si="22"/>
        <v>4</v>
      </c>
      <c r="C487" s="73">
        <v>42116</v>
      </c>
      <c r="D487" s="73" t="s">
        <v>17</v>
      </c>
      <c r="E487" s="73">
        <v>42116</v>
      </c>
      <c r="F487" s="76" t="s">
        <v>35</v>
      </c>
      <c r="G487" s="265"/>
      <c r="H487" s="122"/>
      <c r="I487" s="74">
        <v>25000</v>
      </c>
      <c r="J487" s="75" t="s">
        <v>19</v>
      </c>
      <c r="K487" s="75" t="s">
        <v>54</v>
      </c>
      <c r="L487" s="134" t="str">
        <f>IF(AND('331-CT'!$E$7=TH!H487,OR(J487="331",K487="331")),"x","")</f>
        <v/>
      </c>
    </row>
    <row r="488" spans="1:12" s="109" customFormat="1">
      <c r="A488" s="72">
        <f t="shared" si="21"/>
        <v>2015</v>
      </c>
      <c r="B488" s="72">
        <f t="shared" si="22"/>
        <v>4</v>
      </c>
      <c r="C488" s="73">
        <v>42116</v>
      </c>
      <c r="D488" s="73" t="s">
        <v>17</v>
      </c>
      <c r="E488" s="73">
        <v>42116</v>
      </c>
      <c r="F488" s="76" t="s">
        <v>34</v>
      </c>
      <c r="G488" s="265"/>
      <c r="H488" s="124"/>
      <c r="I488" s="74">
        <v>30000</v>
      </c>
      <c r="J488" s="75" t="s">
        <v>242</v>
      </c>
      <c r="K488" s="75" t="s">
        <v>54</v>
      </c>
      <c r="L488" s="134" t="str">
        <f>IF(AND('331-CT'!$E$7=TH!H488,OR(J488="331",K488="331")),"x","")</f>
        <v/>
      </c>
    </row>
    <row r="489" spans="1:12" s="109" customFormat="1">
      <c r="A489" s="72">
        <f t="shared" si="21"/>
        <v>2015</v>
      </c>
      <c r="B489" s="72">
        <f t="shared" si="22"/>
        <v>4</v>
      </c>
      <c r="C489" s="73">
        <v>42116</v>
      </c>
      <c r="D489" s="73" t="s">
        <v>17</v>
      </c>
      <c r="E489" s="73">
        <v>42116</v>
      </c>
      <c r="F489" s="76" t="s">
        <v>35</v>
      </c>
      <c r="G489" s="265"/>
      <c r="H489" s="124"/>
      <c r="I489" s="74">
        <v>3000</v>
      </c>
      <c r="J489" s="75" t="s">
        <v>19</v>
      </c>
      <c r="K489" s="75" t="s">
        <v>54</v>
      </c>
      <c r="L489" s="134" t="str">
        <f>IF(AND('331-CT'!$E$7=TH!H489,OR(J489="331",K489="331")),"x","")</f>
        <v/>
      </c>
    </row>
    <row r="490" spans="1:12" s="109" customFormat="1">
      <c r="A490" s="72">
        <f t="shared" si="21"/>
        <v>2015</v>
      </c>
      <c r="B490" s="72">
        <f t="shared" si="22"/>
        <v>4</v>
      </c>
      <c r="C490" s="107">
        <v>42118</v>
      </c>
      <c r="D490" s="73" t="s">
        <v>21</v>
      </c>
      <c r="E490" s="73">
        <v>42118</v>
      </c>
      <c r="F490" s="76" t="s">
        <v>98</v>
      </c>
      <c r="G490" s="265"/>
      <c r="H490" s="122"/>
      <c r="I490" s="74">
        <v>195198</v>
      </c>
      <c r="J490" s="75" t="s">
        <v>54</v>
      </c>
      <c r="K490" s="75" t="s">
        <v>99</v>
      </c>
      <c r="L490" s="134" t="str">
        <f>IF(AND('331-CT'!$E$7=TH!H490,OR(J490="331",K490="331")),"x","")</f>
        <v/>
      </c>
    </row>
    <row r="491" spans="1:12" s="109" customFormat="1">
      <c r="A491" s="72">
        <f t="shared" si="21"/>
        <v>2015</v>
      </c>
      <c r="B491" s="72">
        <f t="shared" si="22"/>
        <v>5</v>
      </c>
      <c r="C491" s="107">
        <v>42131</v>
      </c>
      <c r="D491" s="73" t="s">
        <v>17</v>
      </c>
      <c r="E491" s="73">
        <v>42131</v>
      </c>
      <c r="F491" s="76" t="s">
        <v>175</v>
      </c>
      <c r="G491" s="265"/>
      <c r="H491" s="124" t="s">
        <v>138</v>
      </c>
      <c r="I491" s="74">
        <v>500000000</v>
      </c>
      <c r="J491" s="75" t="s">
        <v>18</v>
      </c>
      <c r="K491" s="75" t="s">
        <v>54</v>
      </c>
      <c r="L491" s="134" t="str">
        <f>IF(AND('331-CT'!$E$7=TH!H491,OR(J491="331",K491="331")),"x","")</f>
        <v/>
      </c>
    </row>
    <row r="492" spans="1:12" s="109" customFormat="1">
      <c r="A492" s="72">
        <f t="shared" si="21"/>
        <v>2015</v>
      </c>
      <c r="B492" s="72">
        <f t="shared" si="22"/>
        <v>5</v>
      </c>
      <c r="C492" s="73">
        <v>42131</v>
      </c>
      <c r="D492" s="73" t="s">
        <v>17</v>
      </c>
      <c r="E492" s="73">
        <v>42131</v>
      </c>
      <c r="F492" s="76" t="s">
        <v>34</v>
      </c>
      <c r="G492" s="265"/>
      <c r="H492" s="122"/>
      <c r="I492" s="74">
        <v>150000</v>
      </c>
      <c r="J492" s="75" t="s">
        <v>242</v>
      </c>
      <c r="K492" s="75" t="s">
        <v>54</v>
      </c>
      <c r="L492" s="134" t="str">
        <f>IF(AND('331-CT'!$E$7=TH!H492,OR(J492="331",K492="331")),"x","")</f>
        <v/>
      </c>
    </row>
    <row r="493" spans="1:12" s="109" customFormat="1">
      <c r="A493" s="72">
        <f t="shared" si="21"/>
        <v>2015</v>
      </c>
      <c r="B493" s="72">
        <f t="shared" si="22"/>
        <v>5</v>
      </c>
      <c r="C493" s="73">
        <v>42131</v>
      </c>
      <c r="D493" s="73" t="s">
        <v>17</v>
      </c>
      <c r="E493" s="73">
        <v>42131</v>
      </c>
      <c r="F493" s="76" t="s">
        <v>35</v>
      </c>
      <c r="G493" s="265"/>
      <c r="H493" s="122"/>
      <c r="I493" s="74">
        <v>15000</v>
      </c>
      <c r="J493" s="75" t="s">
        <v>19</v>
      </c>
      <c r="K493" s="75" t="s">
        <v>54</v>
      </c>
      <c r="L493" s="134" t="str">
        <f>IF(AND('331-CT'!$E$7=TH!H493,OR(J493="331",K493="331")),"x","")</f>
        <v/>
      </c>
    </row>
    <row r="494" spans="1:12" s="109" customFormat="1">
      <c r="A494" s="72">
        <f t="shared" si="21"/>
        <v>2015</v>
      </c>
      <c r="B494" s="72">
        <f t="shared" si="22"/>
        <v>5</v>
      </c>
      <c r="C494" s="107">
        <v>42131</v>
      </c>
      <c r="D494" s="73" t="s">
        <v>17</v>
      </c>
      <c r="E494" s="73">
        <v>42131</v>
      </c>
      <c r="F494" s="76" t="s">
        <v>176</v>
      </c>
      <c r="G494" s="265"/>
      <c r="H494" s="124" t="s">
        <v>300</v>
      </c>
      <c r="I494" s="74">
        <v>100000000</v>
      </c>
      <c r="J494" s="75" t="s">
        <v>18</v>
      </c>
      <c r="K494" s="75" t="s">
        <v>54</v>
      </c>
      <c r="L494" s="134" t="str">
        <f>IF(AND('331-CT'!$E$7=TH!H494,OR(J494="331",K494="331")),"x","")</f>
        <v/>
      </c>
    </row>
    <row r="495" spans="1:12" s="109" customFormat="1">
      <c r="A495" s="72">
        <f t="shared" si="21"/>
        <v>2015</v>
      </c>
      <c r="B495" s="72">
        <f t="shared" si="22"/>
        <v>5</v>
      </c>
      <c r="C495" s="73">
        <v>42131</v>
      </c>
      <c r="D495" s="73" t="s">
        <v>17</v>
      </c>
      <c r="E495" s="73">
        <v>42131</v>
      </c>
      <c r="F495" s="76" t="s">
        <v>34</v>
      </c>
      <c r="G495" s="265"/>
      <c r="H495" s="124"/>
      <c r="I495" s="74">
        <v>30000</v>
      </c>
      <c r="J495" s="75" t="s">
        <v>242</v>
      </c>
      <c r="K495" s="75" t="s">
        <v>54</v>
      </c>
      <c r="L495" s="134" t="str">
        <f>IF(AND('331-CT'!$E$7=TH!H495,OR(J495="331",K495="331")),"x","")</f>
        <v/>
      </c>
    </row>
    <row r="496" spans="1:12" s="109" customFormat="1">
      <c r="A496" s="72">
        <f t="shared" si="21"/>
        <v>2015</v>
      </c>
      <c r="B496" s="72">
        <f t="shared" si="22"/>
        <v>5</v>
      </c>
      <c r="C496" s="73">
        <v>42131</v>
      </c>
      <c r="D496" s="73" t="s">
        <v>17</v>
      </c>
      <c r="E496" s="73">
        <v>42131</v>
      </c>
      <c r="F496" s="76" t="s">
        <v>35</v>
      </c>
      <c r="G496" s="265"/>
      <c r="H496" s="124"/>
      <c r="I496" s="74">
        <v>3000</v>
      </c>
      <c r="J496" s="75" t="s">
        <v>19</v>
      </c>
      <c r="K496" s="75" t="s">
        <v>54</v>
      </c>
      <c r="L496" s="134" t="str">
        <f>IF(AND('331-CT'!$E$7=TH!H496,OR(J496="331",K496="331")),"x","")</f>
        <v/>
      </c>
    </row>
    <row r="497" spans="1:12" s="109" customFormat="1">
      <c r="A497" s="72">
        <f t="shared" si="21"/>
        <v>2015</v>
      </c>
      <c r="B497" s="72">
        <f t="shared" si="22"/>
        <v>5</v>
      </c>
      <c r="C497" s="73">
        <v>42132</v>
      </c>
      <c r="D497" s="73" t="s">
        <v>78</v>
      </c>
      <c r="E497" s="73">
        <v>42132</v>
      </c>
      <c r="F497" s="76" t="s">
        <v>284</v>
      </c>
      <c r="G497" s="270" t="s">
        <v>571</v>
      </c>
      <c r="H497" s="7" t="s">
        <v>285</v>
      </c>
      <c r="I497" s="74">
        <v>30440000</v>
      </c>
      <c r="J497" s="136" t="s">
        <v>655</v>
      </c>
      <c r="K497" s="136" t="s">
        <v>18</v>
      </c>
      <c r="L497" s="134" t="str">
        <f>IF(AND('331-CT'!$E$7=TH!H497,OR(J497="331",K497="331")),"x","")</f>
        <v/>
      </c>
    </row>
    <row r="498" spans="1:12" s="109" customFormat="1">
      <c r="A498" s="72">
        <f t="shared" si="21"/>
        <v>2015</v>
      </c>
      <c r="B498" s="72">
        <f t="shared" si="22"/>
        <v>5</v>
      </c>
      <c r="C498" s="107">
        <v>42132</v>
      </c>
      <c r="D498" s="73" t="s">
        <v>17</v>
      </c>
      <c r="E498" s="73">
        <v>42132</v>
      </c>
      <c r="F498" s="76" t="s">
        <v>177</v>
      </c>
      <c r="G498" s="265"/>
      <c r="H498" s="122" t="s">
        <v>751</v>
      </c>
      <c r="I498" s="74">
        <v>150000000</v>
      </c>
      <c r="J498" s="75" t="s">
        <v>212</v>
      </c>
      <c r="K498" s="75" t="s">
        <v>54</v>
      </c>
      <c r="L498" s="134" t="str">
        <f>IF(AND('331-CT'!$E$7=TH!H498,OR(J498="331",K498="331")),"x","")</f>
        <v/>
      </c>
    </row>
    <row r="499" spans="1:12" s="109" customFormat="1">
      <c r="A499" s="72">
        <f t="shared" si="21"/>
        <v>2015</v>
      </c>
      <c r="B499" s="72">
        <f t="shared" si="22"/>
        <v>5</v>
      </c>
      <c r="C499" s="73">
        <v>42132</v>
      </c>
      <c r="D499" s="73" t="s">
        <v>17</v>
      </c>
      <c r="E499" s="73">
        <v>42132</v>
      </c>
      <c r="F499" s="76" t="s">
        <v>34</v>
      </c>
      <c r="G499" s="265"/>
      <c r="H499" s="122"/>
      <c r="I499" s="74">
        <v>75000</v>
      </c>
      <c r="J499" s="75" t="s">
        <v>242</v>
      </c>
      <c r="K499" s="75" t="s">
        <v>54</v>
      </c>
      <c r="L499" s="134" t="str">
        <f>IF(AND('331-CT'!$E$7=TH!H499,OR(J499="331",K499="331")),"x","")</f>
        <v/>
      </c>
    </row>
    <row r="500" spans="1:12" s="109" customFormat="1">
      <c r="A500" s="72">
        <f t="shared" si="21"/>
        <v>2015</v>
      </c>
      <c r="B500" s="72">
        <f t="shared" si="22"/>
        <v>5</v>
      </c>
      <c r="C500" s="73">
        <v>42132</v>
      </c>
      <c r="D500" s="73" t="s">
        <v>17</v>
      </c>
      <c r="E500" s="73">
        <v>42132</v>
      </c>
      <c r="F500" s="76" t="s">
        <v>35</v>
      </c>
      <c r="G500" s="265"/>
      <c r="H500" s="122"/>
      <c r="I500" s="74">
        <v>7500</v>
      </c>
      <c r="J500" s="75" t="s">
        <v>19</v>
      </c>
      <c r="K500" s="75" t="s">
        <v>54</v>
      </c>
      <c r="L500" s="134" t="str">
        <f>IF(AND('331-CT'!$E$7=TH!H500,OR(J500="331",K500="331")),"x","")</f>
        <v/>
      </c>
    </row>
    <row r="501" spans="1:12" s="109" customFormat="1">
      <c r="A501" s="72">
        <f t="shared" si="21"/>
        <v>2015</v>
      </c>
      <c r="B501" s="72">
        <f t="shared" si="22"/>
        <v>5</v>
      </c>
      <c r="C501" s="107">
        <v>42136</v>
      </c>
      <c r="D501" s="73" t="s">
        <v>21</v>
      </c>
      <c r="E501" s="73">
        <v>42136</v>
      </c>
      <c r="F501" s="76" t="s">
        <v>177</v>
      </c>
      <c r="G501" s="265"/>
      <c r="H501" s="122" t="s">
        <v>751</v>
      </c>
      <c r="I501" s="74">
        <v>150000000</v>
      </c>
      <c r="J501" s="75" t="s">
        <v>54</v>
      </c>
      <c r="K501" s="75" t="s">
        <v>212</v>
      </c>
      <c r="L501" s="134" t="str">
        <f>IF(AND('331-CT'!$E$7=TH!H501,OR(J501="331",K501="331")),"x","")</f>
        <v/>
      </c>
    </row>
    <row r="502" spans="1:12" s="109" customFormat="1">
      <c r="A502" s="72">
        <f t="shared" si="21"/>
        <v>2015</v>
      </c>
      <c r="B502" s="72">
        <f t="shared" si="22"/>
        <v>5</v>
      </c>
      <c r="C502" s="107">
        <v>42136</v>
      </c>
      <c r="D502" s="73" t="s">
        <v>17</v>
      </c>
      <c r="E502" s="73">
        <v>42136</v>
      </c>
      <c r="F502" s="76" t="s">
        <v>177</v>
      </c>
      <c r="G502" s="265"/>
      <c r="H502" s="122" t="s">
        <v>172</v>
      </c>
      <c r="I502" s="74">
        <v>150000000</v>
      </c>
      <c r="J502" s="75" t="s">
        <v>18</v>
      </c>
      <c r="K502" s="75" t="s">
        <v>54</v>
      </c>
      <c r="L502" s="134" t="str">
        <f>IF(AND('331-CT'!$E$7=TH!H502,OR(J502="331",K502="331")),"x","")</f>
        <v/>
      </c>
    </row>
    <row r="503" spans="1:12" s="109" customFormat="1">
      <c r="A503" s="72">
        <f t="shared" si="21"/>
        <v>2015</v>
      </c>
      <c r="B503" s="72">
        <f t="shared" si="22"/>
        <v>5</v>
      </c>
      <c r="C503" s="73">
        <v>42136</v>
      </c>
      <c r="D503" s="73" t="s">
        <v>17</v>
      </c>
      <c r="E503" s="73">
        <v>42136</v>
      </c>
      <c r="F503" s="76" t="s">
        <v>34</v>
      </c>
      <c r="G503" s="265"/>
      <c r="H503" s="122"/>
      <c r="I503" s="74">
        <v>75000</v>
      </c>
      <c r="J503" s="75" t="s">
        <v>242</v>
      </c>
      <c r="K503" s="75" t="s">
        <v>54</v>
      </c>
      <c r="L503" s="134" t="str">
        <f>IF(AND('331-CT'!$E$7=TH!H503,OR(J503="331",K503="331")),"x","")</f>
        <v/>
      </c>
    </row>
    <row r="504" spans="1:12" s="109" customFormat="1">
      <c r="A504" s="72">
        <f t="shared" si="21"/>
        <v>2015</v>
      </c>
      <c r="B504" s="72">
        <f t="shared" si="22"/>
        <v>5</v>
      </c>
      <c r="C504" s="73">
        <v>42136</v>
      </c>
      <c r="D504" s="73" t="s">
        <v>17</v>
      </c>
      <c r="E504" s="73">
        <v>42136</v>
      </c>
      <c r="F504" s="76" t="s">
        <v>35</v>
      </c>
      <c r="G504" s="265"/>
      <c r="H504" s="122"/>
      <c r="I504" s="74">
        <v>7500</v>
      </c>
      <c r="J504" s="75" t="s">
        <v>19</v>
      </c>
      <c r="K504" s="75" t="s">
        <v>54</v>
      </c>
      <c r="L504" s="134" t="str">
        <f>IF(AND('331-CT'!$E$7=TH!H504,OR(J504="331",K504="331")),"x","")</f>
        <v/>
      </c>
    </row>
    <row r="505" spans="1:12" s="109" customFormat="1">
      <c r="A505" s="72">
        <f t="shared" si="21"/>
        <v>2015</v>
      </c>
      <c r="B505" s="72">
        <f t="shared" si="22"/>
        <v>5</v>
      </c>
      <c r="C505" s="107">
        <v>42138</v>
      </c>
      <c r="D505" s="73" t="s">
        <v>21</v>
      </c>
      <c r="E505" s="73">
        <v>42138</v>
      </c>
      <c r="F505" s="76" t="s">
        <v>178</v>
      </c>
      <c r="G505" s="265"/>
      <c r="H505" s="122" t="s">
        <v>322</v>
      </c>
      <c r="I505" s="74">
        <v>1500000000</v>
      </c>
      <c r="J505" s="75" t="s">
        <v>54</v>
      </c>
      <c r="K505" s="75" t="s">
        <v>227</v>
      </c>
      <c r="L505" s="134" t="str">
        <f>IF(AND('331-CT'!$E$7=TH!H505,OR(J505="331",K505="331")),"x","")</f>
        <v/>
      </c>
    </row>
    <row r="506" spans="1:12" s="109" customFormat="1">
      <c r="A506" s="72">
        <f t="shared" si="21"/>
        <v>2015</v>
      </c>
      <c r="B506" s="72">
        <f t="shared" si="22"/>
        <v>5</v>
      </c>
      <c r="C506" s="107">
        <v>42138</v>
      </c>
      <c r="D506" s="73" t="s">
        <v>17</v>
      </c>
      <c r="E506" s="73">
        <v>42138</v>
      </c>
      <c r="F506" s="76" t="s">
        <v>113</v>
      </c>
      <c r="G506" s="265"/>
      <c r="H506" s="122" t="s">
        <v>85</v>
      </c>
      <c r="I506" s="74">
        <v>500000000</v>
      </c>
      <c r="J506" s="78" t="s">
        <v>18</v>
      </c>
      <c r="K506" s="75" t="s">
        <v>54</v>
      </c>
      <c r="L506" s="134" t="str">
        <f>IF(AND('331-CT'!$E$7=TH!H506,OR(J506="331",K506="331")),"x","")</f>
        <v/>
      </c>
    </row>
    <row r="507" spans="1:12" s="109" customFormat="1">
      <c r="A507" s="72">
        <f t="shared" si="21"/>
        <v>2015</v>
      </c>
      <c r="B507" s="72">
        <f t="shared" si="22"/>
        <v>5</v>
      </c>
      <c r="C507" s="73">
        <v>42138</v>
      </c>
      <c r="D507" s="73" t="s">
        <v>17</v>
      </c>
      <c r="E507" s="73">
        <v>42138</v>
      </c>
      <c r="F507" s="76" t="s">
        <v>34</v>
      </c>
      <c r="G507" s="265"/>
      <c r="H507" s="122"/>
      <c r="I507" s="74">
        <v>250000</v>
      </c>
      <c r="J507" s="75" t="s">
        <v>242</v>
      </c>
      <c r="K507" s="75" t="s">
        <v>54</v>
      </c>
      <c r="L507" s="134" t="str">
        <f>IF(AND('331-CT'!$E$7=TH!H507,OR(J507="331",K507="331")),"x","")</f>
        <v/>
      </c>
    </row>
    <row r="508" spans="1:12" s="109" customFormat="1">
      <c r="A508" s="72">
        <f t="shared" si="21"/>
        <v>2015</v>
      </c>
      <c r="B508" s="72">
        <f t="shared" si="22"/>
        <v>5</v>
      </c>
      <c r="C508" s="73">
        <v>42138</v>
      </c>
      <c r="D508" s="73" t="s">
        <v>17</v>
      </c>
      <c r="E508" s="73">
        <v>42138</v>
      </c>
      <c r="F508" s="76" t="s">
        <v>35</v>
      </c>
      <c r="G508" s="265"/>
      <c r="H508" s="122"/>
      <c r="I508" s="74">
        <v>25000</v>
      </c>
      <c r="J508" s="75" t="s">
        <v>19</v>
      </c>
      <c r="K508" s="75" t="s">
        <v>54</v>
      </c>
      <c r="L508" s="134" t="str">
        <f>IF(AND('331-CT'!$E$7=TH!H508,OR(J508="331",K508="331")),"x","")</f>
        <v/>
      </c>
    </row>
    <row r="509" spans="1:12" s="109" customFormat="1">
      <c r="A509" s="72">
        <f t="shared" si="21"/>
        <v>2015</v>
      </c>
      <c r="B509" s="72">
        <f t="shared" si="22"/>
        <v>5</v>
      </c>
      <c r="C509" s="107">
        <v>42142</v>
      </c>
      <c r="D509" s="73" t="s">
        <v>17</v>
      </c>
      <c r="E509" s="73">
        <v>42142</v>
      </c>
      <c r="F509" s="76" t="s">
        <v>175</v>
      </c>
      <c r="G509" s="265"/>
      <c r="H509" s="122" t="s">
        <v>138</v>
      </c>
      <c r="I509" s="74">
        <v>500000000</v>
      </c>
      <c r="J509" s="75" t="s">
        <v>18</v>
      </c>
      <c r="K509" s="75" t="s">
        <v>54</v>
      </c>
      <c r="L509" s="134" t="str">
        <f>IF(AND('331-CT'!$E$7=TH!H509,OR(J509="331",K509="331")),"x","")</f>
        <v/>
      </c>
    </row>
    <row r="510" spans="1:12" s="109" customFormat="1">
      <c r="A510" s="72">
        <f t="shared" si="21"/>
        <v>2015</v>
      </c>
      <c r="B510" s="72">
        <f t="shared" si="22"/>
        <v>5</v>
      </c>
      <c r="C510" s="73">
        <v>42142</v>
      </c>
      <c r="D510" s="73" t="s">
        <v>17</v>
      </c>
      <c r="E510" s="73">
        <v>42142</v>
      </c>
      <c r="F510" s="76" t="s">
        <v>34</v>
      </c>
      <c r="G510" s="265"/>
      <c r="H510" s="122"/>
      <c r="I510" s="74">
        <v>150000</v>
      </c>
      <c r="J510" s="75" t="s">
        <v>242</v>
      </c>
      <c r="K510" s="75" t="s">
        <v>54</v>
      </c>
      <c r="L510" s="134" t="str">
        <f>IF(AND('331-CT'!$E$7=TH!H510,OR(J510="331",K510="331")),"x","")</f>
        <v/>
      </c>
    </row>
    <row r="511" spans="1:12" s="109" customFormat="1">
      <c r="A511" s="72">
        <f t="shared" si="21"/>
        <v>2015</v>
      </c>
      <c r="B511" s="72">
        <f t="shared" si="22"/>
        <v>5</v>
      </c>
      <c r="C511" s="73">
        <v>42142</v>
      </c>
      <c r="D511" s="73" t="s">
        <v>17</v>
      </c>
      <c r="E511" s="73">
        <v>42142</v>
      </c>
      <c r="F511" s="76" t="s">
        <v>35</v>
      </c>
      <c r="G511" s="265"/>
      <c r="H511" s="122"/>
      <c r="I511" s="74">
        <v>15000</v>
      </c>
      <c r="J511" s="75" t="s">
        <v>19</v>
      </c>
      <c r="K511" s="75" t="s">
        <v>54</v>
      </c>
      <c r="L511" s="134" t="str">
        <f>IF(AND('331-CT'!$E$7=TH!H511,OR(J511="331",K511="331")),"x","")</f>
        <v/>
      </c>
    </row>
    <row r="512" spans="1:12" s="109" customFormat="1">
      <c r="A512" s="72">
        <f t="shared" si="21"/>
        <v>2015</v>
      </c>
      <c r="B512" s="72">
        <f t="shared" si="22"/>
        <v>5</v>
      </c>
      <c r="C512" s="73">
        <v>42143</v>
      </c>
      <c r="D512" s="73" t="s">
        <v>134</v>
      </c>
      <c r="E512" s="73">
        <v>42143</v>
      </c>
      <c r="F512" s="93" t="s">
        <v>576</v>
      </c>
      <c r="G512" s="265"/>
      <c r="H512" s="122" t="s">
        <v>272</v>
      </c>
      <c r="I512" s="74">
        <v>97000000</v>
      </c>
      <c r="J512" s="78" t="s">
        <v>54</v>
      </c>
      <c r="K512" s="75" t="s">
        <v>203</v>
      </c>
      <c r="L512" s="134" t="str">
        <f>IF(AND('331-CT'!$E$7=TH!H512,OR(J512="331",K512="331")),"x","")</f>
        <v/>
      </c>
    </row>
    <row r="513" spans="1:12" s="109" customFormat="1">
      <c r="A513" s="72">
        <f t="shared" si="21"/>
        <v>2015</v>
      </c>
      <c r="B513" s="72">
        <f t="shared" si="22"/>
        <v>5</v>
      </c>
      <c r="C513" s="73">
        <v>42144</v>
      </c>
      <c r="D513" s="73" t="s">
        <v>17</v>
      </c>
      <c r="E513" s="73">
        <v>42144</v>
      </c>
      <c r="F513" s="76" t="s">
        <v>119</v>
      </c>
      <c r="G513" s="265"/>
      <c r="H513" s="123" t="s">
        <v>314</v>
      </c>
      <c r="I513" s="74">
        <v>7916667</v>
      </c>
      <c r="J513" s="75" t="s">
        <v>240</v>
      </c>
      <c r="K513" s="75" t="s">
        <v>54</v>
      </c>
      <c r="L513" s="134" t="str">
        <f>IF(AND('331-CT'!$E$7=TH!H513,OR(J513="331",K513="331")),"x","")</f>
        <v/>
      </c>
    </row>
    <row r="514" spans="1:12" s="109" customFormat="1">
      <c r="A514" s="72">
        <f t="shared" si="21"/>
        <v>2015</v>
      </c>
      <c r="B514" s="72">
        <f t="shared" si="22"/>
        <v>5</v>
      </c>
      <c r="C514" s="73">
        <v>42144</v>
      </c>
      <c r="D514" s="73" t="s">
        <v>17</v>
      </c>
      <c r="E514" s="73">
        <v>42144</v>
      </c>
      <c r="F514" s="76" t="s">
        <v>141</v>
      </c>
      <c r="G514" s="265"/>
      <c r="H514" s="122" t="s">
        <v>315</v>
      </c>
      <c r="I514" s="74">
        <v>15833333</v>
      </c>
      <c r="J514" s="75" t="s">
        <v>240</v>
      </c>
      <c r="K514" s="75" t="s">
        <v>54</v>
      </c>
      <c r="L514" s="134" t="str">
        <f>IF(AND('331-CT'!$E$7=TH!H514,OR(J514="331",K514="331")),"x","")</f>
        <v/>
      </c>
    </row>
    <row r="515" spans="1:12" s="109" customFormat="1">
      <c r="A515" s="72">
        <f t="shared" si="21"/>
        <v>2015</v>
      </c>
      <c r="B515" s="72">
        <f t="shared" si="22"/>
        <v>5</v>
      </c>
      <c r="C515" s="73">
        <v>42144</v>
      </c>
      <c r="D515" s="73" t="s">
        <v>17</v>
      </c>
      <c r="E515" s="73">
        <v>42144</v>
      </c>
      <c r="F515" s="76" t="s">
        <v>143</v>
      </c>
      <c r="G515" s="265"/>
      <c r="H515" s="122" t="s">
        <v>317</v>
      </c>
      <c r="I515" s="74">
        <v>12666667</v>
      </c>
      <c r="J515" s="75" t="s">
        <v>240</v>
      </c>
      <c r="K515" s="75" t="s">
        <v>54</v>
      </c>
      <c r="L515" s="134" t="str">
        <f>IF(AND('331-CT'!$E$7=TH!H515,OR(J515="331",K515="331")),"x","")</f>
        <v/>
      </c>
    </row>
    <row r="516" spans="1:12" s="109" customFormat="1">
      <c r="A516" s="72">
        <f t="shared" si="21"/>
        <v>2015</v>
      </c>
      <c r="B516" s="72">
        <f t="shared" si="22"/>
        <v>5</v>
      </c>
      <c r="C516" s="73">
        <v>42144</v>
      </c>
      <c r="D516" s="73" t="s">
        <v>17</v>
      </c>
      <c r="E516" s="73">
        <v>42144</v>
      </c>
      <c r="F516" s="252" t="s">
        <v>144</v>
      </c>
      <c r="G516" s="272"/>
      <c r="H516" s="123" t="s">
        <v>316</v>
      </c>
      <c r="I516" s="74">
        <v>11879701</v>
      </c>
      <c r="J516" s="75" t="s">
        <v>240</v>
      </c>
      <c r="K516" s="75" t="s">
        <v>54</v>
      </c>
      <c r="L516" s="134" t="str">
        <f>IF(AND('331-CT'!$E$7=TH!H516,OR(J516="331",K516="331")),"x","")</f>
        <v/>
      </c>
    </row>
    <row r="517" spans="1:12" s="109" customFormat="1">
      <c r="A517" s="72">
        <f t="shared" si="21"/>
        <v>2015</v>
      </c>
      <c r="B517" s="72">
        <f t="shared" si="22"/>
        <v>5</v>
      </c>
      <c r="C517" s="73">
        <v>42144</v>
      </c>
      <c r="D517" s="73" t="s">
        <v>17</v>
      </c>
      <c r="E517" s="73">
        <v>42144</v>
      </c>
      <c r="F517" s="76" t="s">
        <v>145</v>
      </c>
      <c r="G517" s="265"/>
      <c r="H517" s="122" t="s">
        <v>318</v>
      </c>
      <c r="I517" s="74">
        <v>7916667</v>
      </c>
      <c r="J517" s="75" t="s">
        <v>240</v>
      </c>
      <c r="K517" s="75" t="s">
        <v>54</v>
      </c>
      <c r="L517" s="134" t="str">
        <f>IF(AND('331-CT'!$E$7=TH!H517,OR(J517="331",K517="331")),"x","")</f>
        <v/>
      </c>
    </row>
    <row r="518" spans="1:12" s="109" customFormat="1">
      <c r="A518" s="72">
        <f t="shared" si="21"/>
        <v>2015</v>
      </c>
      <c r="B518" s="72">
        <f t="shared" si="22"/>
        <v>5</v>
      </c>
      <c r="C518" s="73">
        <v>42144</v>
      </c>
      <c r="D518" s="73" t="s">
        <v>17</v>
      </c>
      <c r="E518" s="73">
        <v>42144</v>
      </c>
      <c r="F518" s="76" t="s">
        <v>147</v>
      </c>
      <c r="G518" s="265"/>
      <c r="H518" s="122" t="s">
        <v>319</v>
      </c>
      <c r="I518" s="74">
        <v>11875000</v>
      </c>
      <c r="J518" s="75" t="s">
        <v>240</v>
      </c>
      <c r="K518" s="75" t="s">
        <v>54</v>
      </c>
      <c r="L518" s="134" t="str">
        <f>IF(AND('331-CT'!$E$7=TH!H518,OR(J518="331",K518="331")),"x","")</f>
        <v/>
      </c>
    </row>
    <row r="519" spans="1:12" s="109" customFormat="1">
      <c r="A519" s="72">
        <f t="shared" si="21"/>
        <v>2015</v>
      </c>
      <c r="B519" s="72">
        <f t="shared" si="22"/>
        <v>5</v>
      </c>
      <c r="C519" s="73">
        <v>42144</v>
      </c>
      <c r="D519" s="73" t="s">
        <v>17</v>
      </c>
      <c r="E519" s="73">
        <v>42144</v>
      </c>
      <c r="F519" s="76" t="s">
        <v>273</v>
      </c>
      <c r="G519" s="265"/>
      <c r="H519" s="122" t="s">
        <v>320</v>
      </c>
      <c r="I519" s="74">
        <v>29027778</v>
      </c>
      <c r="J519" s="75" t="s">
        <v>240</v>
      </c>
      <c r="K519" s="75" t="s">
        <v>54</v>
      </c>
      <c r="L519" s="134" t="str">
        <f>IF(AND('331-CT'!$E$7=TH!H519,OR(J519="331",K519="331")),"x","")</f>
        <v/>
      </c>
    </row>
    <row r="520" spans="1:12" s="109" customFormat="1">
      <c r="A520" s="72">
        <f t="shared" si="21"/>
        <v>2015</v>
      </c>
      <c r="B520" s="72">
        <f t="shared" si="22"/>
        <v>5</v>
      </c>
      <c r="C520" s="73">
        <v>42144</v>
      </c>
      <c r="D520" s="73" t="s">
        <v>17</v>
      </c>
      <c r="E520" s="73">
        <v>42144</v>
      </c>
      <c r="F520" s="76" t="s">
        <v>177</v>
      </c>
      <c r="G520" s="265"/>
      <c r="H520" s="122" t="s">
        <v>172</v>
      </c>
      <c r="I520" s="74">
        <v>150000000</v>
      </c>
      <c r="J520" s="75" t="s">
        <v>18</v>
      </c>
      <c r="K520" s="75" t="s">
        <v>54</v>
      </c>
      <c r="L520" s="134" t="str">
        <f>IF(AND('331-CT'!$E$7=TH!H520,OR(J520="331",K520="331")),"x","")</f>
        <v/>
      </c>
    </row>
    <row r="521" spans="1:12" s="109" customFormat="1">
      <c r="A521" s="72">
        <f t="shared" si="21"/>
        <v>2015</v>
      </c>
      <c r="B521" s="72">
        <f t="shared" si="22"/>
        <v>5</v>
      </c>
      <c r="C521" s="73">
        <v>42144</v>
      </c>
      <c r="D521" s="73" t="s">
        <v>17</v>
      </c>
      <c r="E521" s="73">
        <v>42144</v>
      </c>
      <c r="F521" s="76" t="s">
        <v>34</v>
      </c>
      <c r="G521" s="265"/>
      <c r="H521" s="122"/>
      <c r="I521" s="74">
        <v>75000</v>
      </c>
      <c r="J521" s="75" t="s">
        <v>242</v>
      </c>
      <c r="K521" s="75" t="s">
        <v>54</v>
      </c>
      <c r="L521" s="134" t="str">
        <f>IF(AND('331-CT'!$E$7=TH!H521,OR(J521="331",K521="331")),"x","")</f>
        <v/>
      </c>
    </row>
    <row r="522" spans="1:12" s="109" customFormat="1">
      <c r="A522" s="72">
        <f t="shared" si="21"/>
        <v>2015</v>
      </c>
      <c r="B522" s="72">
        <f t="shared" si="22"/>
        <v>5</v>
      </c>
      <c r="C522" s="73">
        <v>42144</v>
      </c>
      <c r="D522" s="73" t="s">
        <v>17</v>
      </c>
      <c r="E522" s="73">
        <v>42144</v>
      </c>
      <c r="F522" s="76" t="s">
        <v>35</v>
      </c>
      <c r="G522" s="265"/>
      <c r="H522" s="122"/>
      <c r="I522" s="74">
        <v>7500</v>
      </c>
      <c r="J522" s="75" t="s">
        <v>19</v>
      </c>
      <c r="K522" s="75" t="s">
        <v>54</v>
      </c>
      <c r="L522" s="134" t="str">
        <f>IF(AND('331-CT'!$E$7=TH!H522,OR(J522="331",K522="331")),"x","")</f>
        <v/>
      </c>
    </row>
    <row r="523" spans="1:12" s="109" customFormat="1">
      <c r="A523" s="72">
        <f t="shared" si="21"/>
        <v>2015</v>
      </c>
      <c r="B523" s="72">
        <f t="shared" si="22"/>
        <v>5</v>
      </c>
      <c r="C523" s="73">
        <v>42144</v>
      </c>
      <c r="D523" s="73" t="s">
        <v>17</v>
      </c>
      <c r="E523" s="73">
        <v>42144</v>
      </c>
      <c r="F523" s="253" t="s">
        <v>110</v>
      </c>
      <c r="G523" s="273"/>
      <c r="H523" s="9" t="s">
        <v>109</v>
      </c>
      <c r="I523" s="74">
        <v>50000000</v>
      </c>
      <c r="J523" s="75" t="s">
        <v>18</v>
      </c>
      <c r="K523" s="75" t="s">
        <v>54</v>
      </c>
      <c r="L523" s="134" t="str">
        <f>IF(AND('331-CT'!$E$7=TH!H523,OR(J523="331",K523="331")),"x","")</f>
        <v/>
      </c>
    </row>
    <row r="524" spans="1:12" s="109" customFormat="1">
      <c r="A524" s="72">
        <f t="shared" si="21"/>
        <v>2015</v>
      </c>
      <c r="B524" s="72">
        <f t="shared" si="22"/>
        <v>5</v>
      </c>
      <c r="C524" s="73">
        <v>42144</v>
      </c>
      <c r="D524" s="73" t="s">
        <v>17</v>
      </c>
      <c r="E524" s="73">
        <v>42144</v>
      </c>
      <c r="F524" s="76" t="s">
        <v>34</v>
      </c>
      <c r="G524" s="265"/>
      <c r="H524" s="122"/>
      <c r="I524" s="74">
        <v>25000</v>
      </c>
      <c r="J524" s="75" t="s">
        <v>242</v>
      </c>
      <c r="K524" s="75" t="s">
        <v>54</v>
      </c>
      <c r="L524" s="134" t="str">
        <f>IF(AND('331-CT'!$E$7=TH!H524,OR(J524="331",K524="331")),"x","")</f>
        <v/>
      </c>
    </row>
    <row r="525" spans="1:12" s="109" customFormat="1">
      <c r="A525" s="72">
        <f t="shared" si="21"/>
        <v>2015</v>
      </c>
      <c r="B525" s="72">
        <f t="shared" si="22"/>
        <v>5</v>
      </c>
      <c r="C525" s="73">
        <v>42144</v>
      </c>
      <c r="D525" s="73" t="s">
        <v>17</v>
      </c>
      <c r="E525" s="73">
        <v>42144</v>
      </c>
      <c r="F525" s="76" t="s">
        <v>35</v>
      </c>
      <c r="G525" s="265"/>
      <c r="H525" s="122"/>
      <c r="I525" s="74">
        <v>2500</v>
      </c>
      <c r="J525" s="75" t="s">
        <v>19</v>
      </c>
      <c r="K525" s="75" t="s">
        <v>54</v>
      </c>
      <c r="L525" s="134" t="str">
        <f>IF(AND('331-CT'!$E$7=TH!H525,OR(J525="331",K525="331")),"x","")</f>
        <v/>
      </c>
    </row>
    <row r="526" spans="1:12" s="109" customFormat="1">
      <c r="A526" s="72">
        <f t="shared" si="21"/>
        <v>2015</v>
      </c>
      <c r="B526" s="72">
        <f t="shared" si="22"/>
        <v>5</v>
      </c>
      <c r="C526" s="73">
        <v>42144</v>
      </c>
      <c r="D526" s="73" t="s">
        <v>17</v>
      </c>
      <c r="E526" s="73">
        <v>42144</v>
      </c>
      <c r="F526" s="76" t="s">
        <v>276</v>
      </c>
      <c r="G526" s="265"/>
      <c r="H526" s="9" t="s">
        <v>190</v>
      </c>
      <c r="I526" s="74">
        <v>200000000</v>
      </c>
      <c r="J526" s="75" t="s">
        <v>18</v>
      </c>
      <c r="K526" s="75" t="s">
        <v>54</v>
      </c>
      <c r="L526" s="134" t="str">
        <f>IF(AND('331-CT'!$E$7=TH!H526,OR(J526="331",K526="331")),"x","")</f>
        <v>x</v>
      </c>
    </row>
    <row r="527" spans="1:12" s="109" customFormat="1">
      <c r="A527" s="72">
        <f t="shared" si="21"/>
        <v>2015</v>
      </c>
      <c r="B527" s="72">
        <f t="shared" si="22"/>
        <v>5</v>
      </c>
      <c r="C527" s="73">
        <v>42144</v>
      </c>
      <c r="D527" s="73" t="s">
        <v>17</v>
      </c>
      <c r="E527" s="73">
        <v>42144</v>
      </c>
      <c r="F527" s="76" t="s">
        <v>34</v>
      </c>
      <c r="G527" s="265"/>
      <c r="H527" s="122"/>
      <c r="I527" s="74">
        <v>100000</v>
      </c>
      <c r="J527" s="75" t="s">
        <v>242</v>
      </c>
      <c r="K527" s="75" t="s">
        <v>54</v>
      </c>
      <c r="L527" s="134" t="str">
        <f>IF(AND('331-CT'!$E$7=TH!H527,OR(J527="331",K527="331")),"x","")</f>
        <v/>
      </c>
    </row>
    <row r="528" spans="1:12" s="109" customFormat="1">
      <c r="A528" s="72">
        <f t="shared" si="21"/>
        <v>2015</v>
      </c>
      <c r="B528" s="72">
        <f t="shared" si="22"/>
        <v>5</v>
      </c>
      <c r="C528" s="73">
        <v>42144</v>
      </c>
      <c r="D528" s="73" t="s">
        <v>17</v>
      </c>
      <c r="E528" s="73">
        <v>42144</v>
      </c>
      <c r="F528" s="76" t="s">
        <v>35</v>
      </c>
      <c r="G528" s="265"/>
      <c r="H528" s="122"/>
      <c r="I528" s="74">
        <v>10000</v>
      </c>
      <c r="J528" s="75" t="s">
        <v>19</v>
      </c>
      <c r="K528" s="75" t="s">
        <v>54</v>
      </c>
      <c r="L528" s="134" t="str">
        <f>IF(AND('331-CT'!$E$7=TH!H528,OR(J528="331",K528="331")),"x","")</f>
        <v/>
      </c>
    </row>
    <row r="529" spans="1:12" s="109" customFormat="1">
      <c r="A529" s="129">
        <f t="shared" si="21"/>
        <v>2015</v>
      </c>
      <c r="B529" s="129">
        <f t="shared" si="22"/>
        <v>5</v>
      </c>
      <c r="C529" s="130">
        <v>42145</v>
      </c>
      <c r="D529" s="130" t="s">
        <v>135</v>
      </c>
      <c r="E529" s="130">
        <v>42145</v>
      </c>
      <c r="F529" s="131" t="s">
        <v>287</v>
      </c>
      <c r="G529" s="271" t="s">
        <v>531</v>
      </c>
      <c r="H529" s="132" t="s">
        <v>188</v>
      </c>
      <c r="I529" s="133">
        <v>2020200</v>
      </c>
      <c r="J529" s="134" t="s">
        <v>242</v>
      </c>
      <c r="K529" s="134" t="s">
        <v>203</v>
      </c>
      <c r="L529" s="134" t="str">
        <f>IF(AND('331-CT'!$E$7=TH!H529,OR(J529="331",K529="331")),"x","")</f>
        <v/>
      </c>
    </row>
    <row r="530" spans="1:12" s="109" customFormat="1">
      <c r="A530" s="129">
        <f t="shared" si="21"/>
        <v>2015</v>
      </c>
      <c r="B530" s="129">
        <f t="shared" si="22"/>
        <v>5</v>
      </c>
      <c r="C530" s="130">
        <v>42145</v>
      </c>
      <c r="D530" s="130" t="s">
        <v>135</v>
      </c>
      <c r="E530" s="130">
        <v>42145</v>
      </c>
      <c r="F530" s="131" t="s">
        <v>288</v>
      </c>
      <c r="G530" s="271" t="s">
        <v>531</v>
      </c>
      <c r="H530" s="132" t="s">
        <v>188</v>
      </c>
      <c r="I530" s="133">
        <v>101010</v>
      </c>
      <c r="J530" s="134" t="s">
        <v>19</v>
      </c>
      <c r="K530" s="134" t="s">
        <v>203</v>
      </c>
      <c r="L530" s="134" t="str">
        <f>IF(AND('331-CT'!$E$7=TH!H530,OR(J530="331",K530="331")),"x","")</f>
        <v/>
      </c>
    </row>
    <row r="531" spans="1:12" s="109" customFormat="1">
      <c r="A531" s="72">
        <f t="shared" si="21"/>
        <v>2015</v>
      </c>
      <c r="B531" s="72">
        <f t="shared" si="22"/>
        <v>5</v>
      </c>
      <c r="C531" s="73">
        <v>42147</v>
      </c>
      <c r="D531" s="73" t="s">
        <v>21</v>
      </c>
      <c r="E531" s="73">
        <v>42147</v>
      </c>
      <c r="F531" s="76" t="s">
        <v>98</v>
      </c>
      <c r="G531" s="265"/>
      <c r="H531" s="122"/>
      <c r="I531" s="74">
        <v>192904</v>
      </c>
      <c r="J531" s="75" t="s">
        <v>54</v>
      </c>
      <c r="K531" s="75" t="s">
        <v>99</v>
      </c>
      <c r="L531" s="134" t="str">
        <f>IF(AND('331-CT'!$E$7=TH!H531,OR(J531="331",K531="331")),"x","")</f>
        <v/>
      </c>
    </row>
    <row r="532" spans="1:12" s="109" customFormat="1">
      <c r="A532" s="72">
        <f t="shared" si="21"/>
        <v>2015</v>
      </c>
      <c r="B532" s="72">
        <f t="shared" si="22"/>
        <v>5</v>
      </c>
      <c r="C532" s="73">
        <v>42150</v>
      </c>
      <c r="D532" s="73" t="s">
        <v>154</v>
      </c>
      <c r="E532" s="73">
        <v>42150</v>
      </c>
      <c r="F532" s="76" t="s">
        <v>270</v>
      </c>
      <c r="G532" s="270" t="s">
        <v>532</v>
      </c>
      <c r="H532" s="122" t="s">
        <v>271</v>
      </c>
      <c r="I532" s="74">
        <v>27530000</v>
      </c>
      <c r="J532" s="75" t="s">
        <v>655</v>
      </c>
      <c r="K532" s="75" t="s">
        <v>203</v>
      </c>
      <c r="L532" s="134" t="str">
        <f>IF(AND('331-CT'!$E$7=TH!H532,OR(J532="331",K532="331")),"x","")</f>
        <v/>
      </c>
    </row>
    <row r="533" spans="1:12" s="109" customFormat="1">
      <c r="A533" s="72">
        <f t="shared" ref="A533:A596" si="23">IF(C533&lt;&gt;"",YEAR(C533),"")</f>
        <v>2015</v>
      </c>
      <c r="B533" s="72">
        <f t="shared" ref="B533:B596" si="24">IF(C533&lt;&gt;"",MONTH(C533),"")</f>
        <v>5</v>
      </c>
      <c r="C533" s="73">
        <v>42150</v>
      </c>
      <c r="D533" s="73" t="s">
        <v>17</v>
      </c>
      <c r="E533" s="73">
        <v>42150</v>
      </c>
      <c r="F533" s="76" t="s">
        <v>274</v>
      </c>
      <c r="G533" s="265"/>
      <c r="H533" s="122" t="s">
        <v>269</v>
      </c>
      <c r="I533" s="74">
        <v>200000000</v>
      </c>
      <c r="J533" s="75" t="s">
        <v>18</v>
      </c>
      <c r="K533" s="75" t="s">
        <v>54</v>
      </c>
      <c r="L533" s="134" t="str">
        <f>IF(AND('331-CT'!$E$7=TH!H533,OR(J533="331",K533="331")),"x","")</f>
        <v/>
      </c>
    </row>
    <row r="534" spans="1:12" s="109" customFormat="1">
      <c r="A534" s="72">
        <f t="shared" si="23"/>
        <v>2015</v>
      </c>
      <c r="B534" s="72">
        <f t="shared" si="24"/>
        <v>5</v>
      </c>
      <c r="C534" s="73">
        <v>42150</v>
      </c>
      <c r="D534" s="73" t="s">
        <v>17</v>
      </c>
      <c r="E534" s="73">
        <v>42150</v>
      </c>
      <c r="F534" s="76" t="s">
        <v>34</v>
      </c>
      <c r="G534" s="265"/>
      <c r="H534" s="122"/>
      <c r="I534" s="74">
        <v>100000</v>
      </c>
      <c r="J534" s="75" t="s">
        <v>242</v>
      </c>
      <c r="K534" s="75" t="s">
        <v>54</v>
      </c>
      <c r="L534" s="134" t="str">
        <f>IF(AND('331-CT'!$E$7=TH!H534,OR(J534="331",K534="331")),"x","")</f>
        <v/>
      </c>
    </row>
    <row r="535" spans="1:12" s="109" customFormat="1">
      <c r="A535" s="72">
        <f t="shared" si="23"/>
        <v>2015</v>
      </c>
      <c r="B535" s="72">
        <f t="shared" si="24"/>
        <v>5</v>
      </c>
      <c r="C535" s="73">
        <v>42150</v>
      </c>
      <c r="D535" s="73" t="s">
        <v>17</v>
      </c>
      <c r="E535" s="73">
        <v>42150</v>
      </c>
      <c r="F535" s="76" t="s">
        <v>35</v>
      </c>
      <c r="G535" s="265"/>
      <c r="H535" s="122"/>
      <c r="I535" s="74">
        <v>10000</v>
      </c>
      <c r="J535" s="75" t="s">
        <v>19</v>
      </c>
      <c r="K535" s="75" t="s">
        <v>54</v>
      </c>
      <c r="L535" s="134" t="str">
        <f>IF(AND('331-CT'!$E$7=TH!H535,OR(J535="331",K535="331")),"x","")</f>
        <v/>
      </c>
    </row>
    <row r="536" spans="1:12" s="135" customFormat="1">
      <c r="A536" s="72">
        <f t="shared" si="23"/>
        <v>2015</v>
      </c>
      <c r="B536" s="72">
        <f t="shared" si="24"/>
        <v>5</v>
      </c>
      <c r="C536" s="73">
        <v>42152</v>
      </c>
      <c r="D536" s="73" t="s">
        <v>17</v>
      </c>
      <c r="E536" s="73">
        <v>42152</v>
      </c>
      <c r="F536" s="76" t="s">
        <v>283</v>
      </c>
      <c r="G536" s="265"/>
      <c r="H536" s="7" t="s">
        <v>83</v>
      </c>
      <c r="I536" s="74">
        <v>36432000</v>
      </c>
      <c r="J536" s="75" t="s">
        <v>18</v>
      </c>
      <c r="K536" s="75" t="s">
        <v>54</v>
      </c>
      <c r="L536" s="134" t="str">
        <f>IF(AND('331-CT'!$E$7=TH!H536,OR(J536="331",K536="331")),"x","")</f>
        <v/>
      </c>
    </row>
    <row r="537" spans="1:12" s="135" customFormat="1">
      <c r="A537" s="72">
        <f t="shared" si="23"/>
        <v>2015</v>
      </c>
      <c r="B537" s="72">
        <f t="shared" si="24"/>
        <v>5</v>
      </c>
      <c r="C537" s="73">
        <v>42152</v>
      </c>
      <c r="D537" s="73" t="s">
        <v>17</v>
      </c>
      <c r="E537" s="73">
        <v>42152</v>
      </c>
      <c r="F537" s="76" t="s">
        <v>34</v>
      </c>
      <c r="G537" s="265"/>
      <c r="H537" s="122"/>
      <c r="I537" s="74">
        <v>25000</v>
      </c>
      <c r="J537" s="75" t="s">
        <v>242</v>
      </c>
      <c r="K537" s="75" t="s">
        <v>54</v>
      </c>
      <c r="L537" s="134" t="str">
        <f>IF(AND('331-CT'!$E$7=TH!H537,OR(J537="331",K537="331")),"x","")</f>
        <v/>
      </c>
    </row>
    <row r="538" spans="1:12" s="109" customFormat="1">
      <c r="A538" s="72">
        <f t="shared" si="23"/>
        <v>2015</v>
      </c>
      <c r="B538" s="72">
        <f t="shared" si="24"/>
        <v>5</v>
      </c>
      <c r="C538" s="73">
        <v>42152</v>
      </c>
      <c r="D538" s="73" t="s">
        <v>17</v>
      </c>
      <c r="E538" s="73">
        <v>42152</v>
      </c>
      <c r="F538" s="76" t="s">
        <v>35</v>
      </c>
      <c r="G538" s="265"/>
      <c r="H538" s="122"/>
      <c r="I538" s="74">
        <v>2500</v>
      </c>
      <c r="J538" s="75" t="s">
        <v>19</v>
      </c>
      <c r="K538" s="75" t="s">
        <v>54</v>
      </c>
      <c r="L538" s="134" t="str">
        <f>IF(AND('331-CT'!$E$7=TH!H538,OR(J538="331",K538="331")),"x","")</f>
        <v/>
      </c>
    </row>
    <row r="539" spans="1:12" s="109" customFormat="1">
      <c r="A539" s="72">
        <f t="shared" si="23"/>
        <v>2015</v>
      </c>
      <c r="B539" s="72">
        <f t="shared" si="24"/>
        <v>5</v>
      </c>
      <c r="C539" s="73">
        <v>42153</v>
      </c>
      <c r="D539" s="73" t="s">
        <v>157</v>
      </c>
      <c r="E539" s="73">
        <v>42153</v>
      </c>
      <c r="F539" s="76" t="s">
        <v>279</v>
      </c>
      <c r="G539" s="265" t="s">
        <v>533</v>
      </c>
      <c r="H539" s="122" t="s">
        <v>280</v>
      </c>
      <c r="I539" s="74">
        <v>1000000</v>
      </c>
      <c r="J539" s="75" t="s">
        <v>242</v>
      </c>
      <c r="K539" s="75" t="s">
        <v>203</v>
      </c>
      <c r="L539" s="134" t="str">
        <f>IF(AND('331-CT'!$E$7=TH!H539,OR(J539="331",K539="331")),"x","")</f>
        <v/>
      </c>
    </row>
    <row r="540" spans="1:12" s="109" customFormat="1">
      <c r="A540" s="72">
        <f t="shared" si="23"/>
        <v>2015</v>
      </c>
      <c r="B540" s="72">
        <f t="shared" si="24"/>
        <v>5</v>
      </c>
      <c r="C540" s="73">
        <v>42153</v>
      </c>
      <c r="D540" s="73" t="s">
        <v>158</v>
      </c>
      <c r="E540" s="73">
        <v>42153</v>
      </c>
      <c r="F540" s="76" t="s">
        <v>281</v>
      </c>
      <c r="G540" s="270" t="s">
        <v>534</v>
      </c>
      <c r="H540" s="122" t="s">
        <v>280</v>
      </c>
      <c r="I540" s="74">
        <v>45455</v>
      </c>
      <c r="J540" s="75" t="s">
        <v>242</v>
      </c>
      <c r="K540" s="75" t="s">
        <v>203</v>
      </c>
      <c r="L540" s="134" t="str">
        <f>IF(AND('331-CT'!$E$7=TH!H540,OR(J540="331",K540="331")),"x","")</f>
        <v/>
      </c>
    </row>
    <row r="541" spans="1:12" s="109" customFormat="1">
      <c r="A541" s="72">
        <f t="shared" si="23"/>
        <v>2015</v>
      </c>
      <c r="B541" s="72">
        <f t="shared" si="24"/>
        <v>5</v>
      </c>
      <c r="C541" s="73">
        <v>42153</v>
      </c>
      <c r="D541" s="73" t="s">
        <v>158</v>
      </c>
      <c r="E541" s="73">
        <v>42153</v>
      </c>
      <c r="F541" s="76" t="s">
        <v>282</v>
      </c>
      <c r="G541" s="270" t="s">
        <v>534</v>
      </c>
      <c r="H541" s="122" t="s">
        <v>280</v>
      </c>
      <c r="I541" s="74">
        <v>4545</v>
      </c>
      <c r="J541" s="75" t="s">
        <v>19</v>
      </c>
      <c r="K541" s="75" t="s">
        <v>203</v>
      </c>
      <c r="L541" s="134" t="str">
        <f>IF(AND('331-CT'!$E$7=TH!H541,OR(J541="331",K541="331")),"x","")</f>
        <v/>
      </c>
    </row>
    <row r="542" spans="1:12" s="109" customFormat="1">
      <c r="A542" s="72">
        <f t="shared" si="23"/>
        <v>2015</v>
      </c>
      <c r="B542" s="72">
        <f t="shared" si="24"/>
        <v>5</v>
      </c>
      <c r="C542" s="73">
        <v>42153</v>
      </c>
      <c r="D542" s="73" t="s">
        <v>78</v>
      </c>
      <c r="E542" s="73">
        <v>42153</v>
      </c>
      <c r="F542" s="76" t="s">
        <v>275</v>
      </c>
      <c r="G542" s="270" t="s">
        <v>572</v>
      </c>
      <c r="H542" s="7" t="s">
        <v>83</v>
      </c>
      <c r="I542" s="74">
        <v>33120000</v>
      </c>
      <c r="J542" s="75" t="s">
        <v>242</v>
      </c>
      <c r="K542" s="75" t="s">
        <v>18</v>
      </c>
      <c r="L542" s="134" t="str">
        <f>IF(AND('331-CT'!$E$7=TH!H542,OR(J542="331",K542="331")),"x","")</f>
        <v/>
      </c>
    </row>
    <row r="543" spans="1:12" s="109" customFormat="1">
      <c r="A543" s="72">
        <f t="shared" si="23"/>
        <v>2015</v>
      </c>
      <c r="B543" s="72">
        <f t="shared" si="24"/>
        <v>5</v>
      </c>
      <c r="C543" s="73">
        <v>42153</v>
      </c>
      <c r="D543" s="73" t="s">
        <v>78</v>
      </c>
      <c r="E543" s="73">
        <v>42153</v>
      </c>
      <c r="F543" s="76" t="s">
        <v>286</v>
      </c>
      <c r="G543" s="270" t="s">
        <v>572</v>
      </c>
      <c r="H543" s="7" t="s">
        <v>83</v>
      </c>
      <c r="I543" s="74">
        <v>3312000</v>
      </c>
      <c r="J543" s="75" t="s">
        <v>19</v>
      </c>
      <c r="K543" s="75" t="s">
        <v>18</v>
      </c>
      <c r="L543" s="134" t="str">
        <f>IF(AND('331-CT'!$E$7=TH!H543,OR(J543="331",K543="331")),"x","")</f>
        <v/>
      </c>
    </row>
    <row r="544" spans="1:12" s="109" customFormat="1">
      <c r="A544" s="72">
        <f t="shared" si="23"/>
        <v>2015</v>
      </c>
      <c r="B544" s="72">
        <f t="shared" si="24"/>
        <v>6</v>
      </c>
      <c r="C544" s="73">
        <v>42157</v>
      </c>
      <c r="D544" s="73" t="s">
        <v>17</v>
      </c>
      <c r="E544" s="73">
        <v>42157</v>
      </c>
      <c r="F544" s="76" t="s">
        <v>301</v>
      </c>
      <c r="G544" s="265"/>
      <c r="H544" s="124" t="s">
        <v>300</v>
      </c>
      <c r="I544" s="74">
        <v>100000000</v>
      </c>
      <c r="J544" s="75" t="s">
        <v>18</v>
      </c>
      <c r="K544" s="75" t="s">
        <v>54</v>
      </c>
      <c r="L544" s="134" t="str">
        <f>IF(AND('331-CT'!$E$7=TH!H544,OR(J544="331",K544="331")),"x","")</f>
        <v/>
      </c>
    </row>
    <row r="545" spans="1:12" s="109" customFormat="1">
      <c r="A545" s="72">
        <f t="shared" si="23"/>
        <v>2015</v>
      </c>
      <c r="B545" s="72">
        <f t="shared" si="24"/>
        <v>6</v>
      </c>
      <c r="C545" s="73">
        <v>42157</v>
      </c>
      <c r="D545" s="73" t="s">
        <v>17</v>
      </c>
      <c r="E545" s="73">
        <v>42157</v>
      </c>
      <c r="F545" s="76" t="s">
        <v>34</v>
      </c>
      <c r="G545" s="265"/>
      <c r="H545" s="122"/>
      <c r="I545" s="74">
        <v>50000</v>
      </c>
      <c r="J545" s="75" t="s">
        <v>242</v>
      </c>
      <c r="K545" s="75" t="s">
        <v>54</v>
      </c>
      <c r="L545" s="134" t="str">
        <f>IF(AND('331-CT'!$E$7=TH!H545,OR(J545="331",K545="331")),"x","")</f>
        <v/>
      </c>
    </row>
    <row r="546" spans="1:12" s="109" customFormat="1">
      <c r="A546" s="72">
        <f t="shared" si="23"/>
        <v>2015</v>
      </c>
      <c r="B546" s="72">
        <f t="shared" si="24"/>
        <v>6</v>
      </c>
      <c r="C546" s="73">
        <v>42157</v>
      </c>
      <c r="D546" s="73" t="s">
        <v>17</v>
      </c>
      <c r="E546" s="73">
        <v>42157</v>
      </c>
      <c r="F546" s="76" t="s">
        <v>35</v>
      </c>
      <c r="G546" s="265"/>
      <c r="H546" s="122"/>
      <c r="I546" s="74">
        <v>5000</v>
      </c>
      <c r="J546" s="75" t="s">
        <v>19</v>
      </c>
      <c r="K546" s="75" t="s">
        <v>54</v>
      </c>
      <c r="L546" s="134" t="str">
        <f>IF(AND('331-CT'!$E$7=TH!H546,OR(J546="331",K546="331")),"x","")</f>
        <v/>
      </c>
    </row>
    <row r="547" spans="1:12" s="109" customFormat="1">
      <c r="A547" s="72">
        <f t="shared" si="23"/>
        <v>2015</v>
      </c>
      <c r="B547" s="72">
        <f t="shared" si="24"/>
        <v>6</v>
      </c>
      <c r="C547" s="73">
        <v>42158</v>
      </c>
      <c r="D547" s="73" t="s">
        <v>17</v>
      </c>
      <c r="E547" s="73">
        <v>42158</v>
      </c>
      <c r="F547" s="76" t="s">
        <v>301</v>
      </c>
      <c r="G547" s="265"/>
      <c r="H547" s="122" t="s">
        <v>172</v>
      </c>
      <c r="I547" s="74">
        <v>50000000</v>
      </c>
      <c r="J547" s="75" t="s">
        <v>18</v>
      </c>
      <c r="K547" s="75" t="s">
        <v>54</v>
      </c>
      <c r="L547" s="134" t="str">
        <f>IF(AND('331-CT'!$E$7=TH!H547,OR(J547="331",K547="331")),"x","")</f>
        <v/>
      </c>
    </row>
    <row r="548" spans="1:12" s="109" customFormat="1">
      <c r="A548" s="72">
        <f t="shared" si="23"/>
        <v>2015</v>
      </c>
      <c r="B548" s="72">
        <f t="shared" si="24"/>
        <v>6</v>
      </c>
      <c r="C548" s="73">
        <v>42159</v>
      </c>
      <c r="D548" s="73" t="s">
        <v>17</v>
      </c>
      <c r="E548" s="73">
        <v>42159</v>
      </c>
      <c r="F548" s="76" t="s">
        <v>34</v>
      </c>
      <c r="G548" s="265"/>
      <c r="H548" s="122"/>
      <c r="I548" s="74">
        <v>25000</v>
      </c>
      <c r="J548" s="75" t="s">
        <v>242</v>
      </c>
      <c r="K548" s="75" t="s">
        <v>54</v>
      </c>
      <c r="L548" s="134" t="str">
        <f>IF(AND('331-CT'!$E$7=TH!H548,OR(J548="331",K548="331")),"x","")</f>
        <v/>
      </c>
    </row>
    <row r="549" spans="1:12" s="109" customFormat="1">
      <c r="A549" s="72">
        <f t="shared" si="23"/>
        <v>2015</v>
      </c>
      <c r="B549" s="72">
        <f t="shared" si="24"/>
        <v>6</v>
      </c>
      <c r="C549" s="73">
        <v>42160</v>
      </c>
      <c r="D549" s="73" t="s">
        <v>17</v>
      </c>
      <c r="E549" s="73">
        <v>42160</v>
      </c>
      <c r="F549" s="76" t="s">
        <v>35</v>
      </c>
      <c r="G549" s="265"/>
      <c r="H549" s="122"/>
      <c r="I549" s="74">
        <v>2500</v>
      </c>
      <c r="J549" s="75" t="s">
        <v>19</v>
      </c>
      <c r="K549" s="75" t="s">
        <v>54</v>
      </c>
      <c r="L549" s="134" t="str">
        <f>IF(AND('331-CT'!$E$7=TH!H549,OR(J549="331",K549="331")),"x","")</f>
        <v/>
      </c>
    </row>
    <row r="550" spans="1:12" s="109" customFormat="1">
      <c r="A550" s="72">
        <f t="shared" si="23"/>
        <v>2015</v>
      </c>
      <c r="B550" s="72">
        <f t="shared" si="24"/>
        <v>6</v>
      </c>
      <c r="C550" s="73">
        <v>42161</v>
      </c>
      <c r="D550" s="73" t="s">
        <v>21</v>
      </c>
      <c r="E550" s="73">
        <v>42161</v>
      </c>
      <c r="F550" s="76" t="s">
        <v>323</v>
      </c>
      <c r="G550" s="265"/>
      <c r="H550" s="123" t="s">
        <v>324</v>
      </c>
      <c r="I550" s="74">
        <v>1500000000</v>
      </c>
      <c r="J550" s="75" t="s">
        <v>54</v>
      </c>
      <c r="K550" s="75" t="s">
        <v>227</v>
      </c>
      <c r="L550" s="134" t="str">
        <f>IF(AND('331-CT'!$E$7=TH!H550,OR(J550="331",K550="331")),"x","")</f>
        <v/>
      </c>
    </row>
    <row r="551" spans="1:12" s="109" customFormat="1">
      <c r="A551" s="72">
        <f t="shared" si="23"/>
        <v>2015</v>
      </c>
      <c r="B551" s="72">
        <f t="shared" si="24"/>
        <v>6</v>
      </c>
      <c r="C551" s="73">
        <v>42162</v>
      </c>
      <c r="D551" s="73" t="s">
        <v>17</v>
      </c>
      <c r="E551" s="73">
        <v>42162</v>
      </c>
      <c r="F551" s="76" t="s">
        <v>301</v>
      </c>
      <c r="G551" s="265"/>
      <c r="H551" s="9" t="s">
        <v>138</v>
      </c>
      <c r="I551" s="74">
        <v>500000000</v>
      </c>
      <c r="J551" s="75" t="s">
        <v>18</v>
      </c>
      <c r="K551" s="75" t="s">
        <v>54</v>
      </c>
      <c r="L551" s="134" t="str">
        <f>IF(AND('331-CT'!$E$7=TH!H551,OR(J551="331",K551="331")),"x","")</f>
        <v/>
      </c>
    </row>
    <row r="552" spans="1:12" s="109" customFormat="1">
      <c r="A552" s="72">
        <f t="shared" si="23"/>
        <v>2015</v>
      </c>
      <c r="B552" s="72">
        <f t="shared" si="24"/>
        <v>6</v>
      </c>
      <c r="C552" s="73">
        <v>42163</v>
      </c>
      <c r="D552" s="73" t="s">
        <v>17</v>
      </c>
      <c r="E552" s="73">
        <v>42163</v>
      </c>
      <c r="F552" s="76" t="s">
        <v>34</v>
      </c>
      <c r="G552" s="265"/>
      <c r="H552" s="122"/>
      <c r="I552" s="74">
        <v>150000</v>
      </c>
      <c r="J552" s="75" t="s">
        <v>242</v>
      </c>
      <c r="K552" s="75" t="s">
        <v>54</v>
      </c>
      <c r="L552" s="134" t="str">
        <f>IF(AND('331-CT'!$E$7=TH!H552,OR(J552="331",K552="331")),"x","")</f>
        <v/>
      </c>
    </row>
    <row r="553" spans="1:12" s="109" customFormat="1">
      <c r="A553" s="72">
        <f t="shared" si="23"/>
        <v>2015</v>
      </c>
      <c r="B553" s="72">
        <f t="shared" si="24"/>
        <v>6</v>
      </c>
      <c r="C553" s="73">
        <v>42164</v>
      </c>
      <c r="D553" s="73" t="s">
        <v>17</v>
      </c>
      <c r="E553" s="73">
        <v>42164</v>
      </c>
      <c r="F553" s="76" t="s">
        <v>35</v>
      </c>
      <c r="G553" s="265"/>
      <c r="H553" s="122"/>
      <c r="I553" s="74">
        <v>15000</v>
      </c>
      <c r="J553" s="75" t="s">
        <v>19</v>
      </c>
      <c r="K553" s="75" t="s">
        <v>54</v>
      </c>
      <c r="L553" s="134" t="str">
        <f>IF(AND('331-CT'!$E$7=TH!H553,OR(J553="331",K553="331")),"x","")</f>
        <v/>
      </c>
    </row>
    <row r="554" spans="1:12" s="109" customFormat="1">
      <c r="A554" s="72">
        <f t="shared" si="23"/>
        <v>2015</v>
      </c>
      <c r="B554" s="72">
        <f t="shared" si="24"/>
        <v>6</v>
      </c>
      <c r="C554" s="73">
        <v>42165</v>
      </c>
      <c r="D554" s="73" t="s">
        <v>17</v>
      </c>
      <c r="E554" s="73">
        <v>42165</v>
      </c>
      <c r="F554" s="76" t="s">
        <v>301</v>
      </c>
      <c r="G554" s="265"/>
      <c r="H554" s="122" t="s">
        <v>172</v>
      </c>
      <c r="I554" s="74">
        <v>200000000</v>
      </c>
      <c r="J554" s="75" t="s">
        <v>18</v>
      </c>
      <c r="K554" s="75" t="s">
        <v>54</v>
      </c>
      <c r="L554" s="134" t="str">
        <f>IF(AND('331-CT'!$E$7=TH!H554,OR(J554="331",K554="331")),"x","")</f>
        <v/>
      </c>
    </row>
    <row r="555" spans="1:12" s="109" customFormat="1">
      <c r="A555" s="72">
        <f t="shared" si="23"/>
        <v>2015</v>
      </c>
      <c r="B555" s="72">
        <f t="shared" si="24"/>
        <v>6</v>
      </c>
      <c r="C555" s="73">
        <v>42166</v>
      </c>
      <c r="D555" s="73" t="s">
        <v>17</v>
      </c>
      <c r="E555" s="73">
        <v>42166</v>
      </c>
      <c r="F555" s="76" t="s">
        <v>34</v>
      </c>
      <c r="G555" s="265"/>
      <c r="H555" s="122"/>
      <c r="I555" s="74">
        <v>100000</v>
      </c>
      <c r="J555" s="75" t="s">
        <v>242</v>
      </c>
      <c r="K555" s="75" t="s">
        <v>54</v>
      </c>
      <c r="L555" s="134" t="str">
        <f>IF(AND('331-CT'!$E$7=TH!H555,OR(J555="331",K555="331")),"x","")</f>
        <v/>
      </c>
    </row>
    <row r="556" spans="1:12" s="109" customFormat="1">
      <c r="A556" s="72">
        <f t="shared" si="23"/>
        <v>2015</v>
      </c>
      <c r="B556" s="72">
        <f t="shared" si="24"/>
        <v>6</v>
      </c>
      <c r="C556" s="73">
        <v>42167</v>
      </c>
      <c r="D556" s="73" t="s">
        <v>17</v>
      </c>
      <c r="E556" s="73">
        <v>42167</v>
      </c>
      <c r="F556" s="76" t="s">
        <v>35</v>
      </c>
      <c r="G556" s="265"/>
      <c r="H556" s="122"/>
      <c r="I556" s="74">
        <v>10000</v>
      </c>
      <c r="J556" s="75" t="s">
        <v>19</v>
      </c>
      <c r="K556" s="75" t="s">
        <v>54</v>
      </c>
      <c r="L556" s="134" t="str">
        <f>IF(AND('331-CT'!$E$7=TH!H556,OR(J556="331",K556="331")),"x","")</f>
        <v/>
      </c>
    </row>
    <row r="557" spans="1:12" s="109" customFormat="1">
      <c r="A557" s="72">
        <f t="shared" si="23"/>
        <v>2015</v>
      </c>
      <c r="B557" s="72">
        <f t="shared" si="24"/>
        <v>6</v>
      </c>
      <c r="C557" s="73">
        <v>42168</v>
      </c>
      <c r="D557" s="73" t="s">
        <v>17</v>
      </c>
      <c r="E557" s="73">
        <v>42168</v>
      </c>
      <c r="F557" s="76" t="s">
        <v>301</v>
      </c>
      <c r="G557" s="265"/>
      <c r="H557" s="9" t="s">
        <v>151</v>
      </c>
      <c r="I557" s="74">
        <v>140000000</v>
      </c>
      <c r="J557" s="75" t="s">
        <v>18</v>
      </c>
      <c r="K557" s="75" t="s">
        <v>54</v>
      </c>
      <c r="L557" s="134" t="str">
        <f>IF(AND('331-CT'!$E$7=TH!H557,OR(J557="331",K557="331")),"x","")</f>
        <v/>
      </c>
    </row>
    <row r="558" spans="1:12" s="109" customFormat="1">
      <c r="A558" s="72">
        <f t="shared" si="23"/>
        <v>2015</v>
      </c>
      <c r="B558" s="72">
        <f t="shared" si="24"/>
        <v>6</v>
      </c>
      <c r="C558" s="73">
        <v>42169</v>
      </c>
      <c r="D558" s="73" t="s">
        <v>17</v>
      </c>
      <c r="E558" s="73">
        <v>42169</v>
      </c>
      <c r="F558" s="76" t="s">
        <v>34</v>
      </c>
      <c r="G558" s="265"/>
      <c r="H558" s="122"/>
      <c r="I558" s="74">
        <v>42000</v>
      </c>
      <c r="J558" s="75" t="s">
        <v>242</v>
      </c>
      <c r="K558" s="75" t="s">
        <v>54</v>
      </c>
      <c r="L558" s="134" t="str">
        <f>IF(AND('331-CT'!$E$7=TH!H558,OR(J558="331",K558="331")),"x","")</f>
        <v/>
      </c>
    </row>
    <row r="559" spans="1:12" s="109" customFormat="1">
      <c r="A559" s="72">
        <f t="shared" si="23"/>
        <v>2015</v>
      </c>
      <c r="B559" s="72">
        <f t="shared" si="24"/>
        <v>6</v>
      </c>
      <c r="C559" s="73">
        <v>42170</v>
      </c>
      <c r="D559" s="73" t="s">
        <v>17</v>
      </c>
      <c r="E559" s="73">
        <v>42170</v>
      </c>
      <c r="F559" s="76" t="s">
        <v>35</v>
      </c>
      <c r="G559" s="265"/>
      <c r="H559" s="122"/>
      <c r="I559" s="74">
        <v>4200</v>
      </c>
      <c r="J559" s="75" t="s">
        <v>19</v>
      </c>
      <c r="K559" s="75" t="s">
        <v>54</v>
      </c>
      <c r="L559" s="134" t="str">
        <f>IF(AND('331-CT'!$E$7=TH!H559,OR(J559="331",K559="331")),"x","")</f>
        <v/>
      </c>
    </row>
    <row r="560" spans="1:12" s="109" customFormat="1">
      <c r="A560" s="72">
        <f t="shared" si="23"/>
        <v>2015</v>
      </c>
      <c r="B560" s="72">
        <f t="shared" si="24"/>
        <v>6</v>
      </c>
      <c r="C560" s="73">
        <v>42171</v>
      </c>
      <c r="D560" s="73" t="s">
        <v>17</v>
      </c>
      <c r="E560" s="73">
        <v>42171</v>
      </c>
      <c r="F560" s="76" t="s">
        <v>301</v>
      </c>
      <c r="G560" s="265"/>
      <c r="H560" s="9" t="s">
        <v>111</v>
      </c>
      <c r="I560" s="74">
        <v>200000000</v>
      </c>
      <c r="J560" s="75" t="s">
        <v>18</v>
      </c>
      <c r="K560" s="75" t="s">
        <v>54</v>
      </c>
      <c r="L560" s="134" t="str">
        <f>IF(AND('331-CT'!$E$7=TH!H560,OR(J560="331",K560="331")),"x","")</f>
        <v/>
      </c>
    </row>
    <row r="561" spans="1:12" s="109" customFormat="1">
      <c r="A561" s="72">
        <f t="shared" si="23"/>
        <v>2015</v>
      </c>
      <c r="B561" s="72">
        <f t="shared" si="24"/>
        <v>6</v>
      </c>
      <c r="C561" s="73">
        <v>42172</v>
      </c>
      <c r="D561" s="73" t="s">
        <v>17</v>
      </c>
      <c r="E561" s="73">
        <v>42172</v>
      </c>
      <c r="F561" s="76" t="s">
        <v>34</v>
      </c>
      <c r="G561" s="265"/>
      <c r="H561" s="122"/>
      <c r="I561" s="74">
        <v>60000</v>
      </c>
      <c r="J561" s="75" t="s">
        <v>242</v>
      </c>
      <c r="K561" s="75" t="s">
        <v>54</v>
      </c>
      <c r="L561" s="134" t="str">
        <f>IF(AND('331-CT'!$E$7=TH!H561,OR(J561="331",K561="331")),"x","")</f>
        <v/>
      </c>
    </row>
    <row r="562" spans="1:12">
      <c r="A562" s="72">
        <f t="shared" si="23"/>
        <v>2015</v>
      </c>
      <c r="B562" s="72">
        <f t="shared" si="24"/>
        <v>6</v>
      </c>
      <c r="C562" s="73">
        <v>42173</v>
      </c>
      <c r="D562" s="73" t="s">
        <v>17</v>
      </c>
      <c r="E562" s="73">
        <v>42173</v>
      </c>
      <c r="F562" s="76" t="s">
        <v>35</v>
      </c>
      <c r="G562" s="265"/>
      <c r="H562" s="122"/>
      <c r="I562" s="74">
        <v>6000</v>
      </c>
      <c r="J562" s="75" t="s">
        <v>19</v>
      </c>
      <c r="K562" s="75" t="s">
        <v>54</v>
      </c>
      <c r="L562" s="134" t="str">
        <f>IF(AND('331-CT'!$E$7=TH!H562,OR(J562="331",K562="331")),"x","")</f>
        <v/>
      </c>
    </row>
    <row r="563" spans="1:12">
      <c r="A563" s="72">
        <f t="shared" si="23"/>
        <v>2015</v>
      </c>
      <c r="B563" s="72">
        <f t="shared" si="24"/>
        <v>6</v>
      </c>
      <c r="C563" s="73">
        <v>42174</v>
      </c>
      <c r="D563" s="73" t="s">
        <v>17</v>
      </c>
      <c r="E563" s="73">
        <v>42174</v>
      </c>
      <c r="F563" s="76" t="s">
        <v>301</v>
      </c>
      <c r="G563" s="265"/>
      <c r="H563" s="9" t="s">
        <v>302</v>
      </c>
      <c r="I563" s="74">
        <v>171000000</v>
      </c>
      <c r="J563" s="75" t="s">
        <v>18</v>
      </c>
      <c r="K563" s="75" t="s">
        <v>54</v>
      </c>
      <c r="L563" s="134" t="str">
        <f>IF(AND('331-CT'!$E$7=TH!H563,OR(J563="331",K563="331")),"x","")</f>
        <v/>
      </c>
    </row>
    <row r="564" spans="1:12">
      <c r="A564" s="72">
        <f t="shared" si="23"/>
        <v>2015</v>
      </c>
      <c r="B564" s="72">
        <f t="shared" si="24"/>
        <v>6</v>
      </c>
      <c r="C564" s="73">
        <v>42174</v>
      </c>
      <c r="D564" s="73" t="s">
        <v>17</v>
      </c>
      <c r="E564" s="73">
        <v>42174</v>
      </c>
      <c r="F564" s="76" t="s">
        <v>301</v>
      </c>
      <c r="G564" s="265"/>
      <c r="H564" s="122" t="s">
        <v>285</v>
      </c>
      <c r="I564" s="74">
        <v>30440000</v>
      </c>
      <c r="J564" s="75" t="s">
        <v>18</v>
      </c>
      <c r="K564" s="75" t="s">
        <v>54</v>
      </c>
      <c r="L564" s="134" t="str">
        <f>IF(AND('331-CT'!$E$7=TH!H564,OR(J564="331",K564="331")),"x","")</f>
        <v/>
      </c>
    </row>
    <row r="565" spans="1:12">
      <c r="A565" s="72">
        <f t="shared" si="23"/>
        <v>2015</v>
      </c>
      <c r="B565" s="72">
        <f t="shared" si="24"/>
        <v>6</v>
      </c>
      <c r="C565" s="73">
        <v>42174</v>
      </c>
      <c r="D565" s="73" t="s">
        <v>17</v>
      </c>
      <c r="E565" s="73">
        <v>42174</v>
      </c>
      <c r="F565" s="76" t="s">
        <v>34</v>
      </c>
      <c r="G565" s="265"/>
      <c r="H565" s="122"/>
      <c r="I565" s="74">
        <v>25000</v>
      </c>
      <c r="J565" s="75" t="s">
        <v>242</v>
      </c>
      <c r="K565" s="75" t="s">
        <v>54</v>
      </c>
      <c r="L565" s="134" t="str">
        <f>IF(AND('331-CT'!$E$7=TH!H565,OR(J565="331",K565="331")),"x","")</f>
        <v/>
      </c>
    </row>
    <row r="566" spans="1:12">
      <c r="A566" s="72">
        <f t="shared" si="23"/>
        <v>2015</v>
      </c>
      <c r="B566" s="72">
        <f t="shared" si="24"/>
        <v>6</v>
      </c>
      <c r="C566" s="73">
        <v>42174</v>
      </c>
      <c r="D566" s="73" t="s">
        <v>17</v>
      </c>
      <c r="E566" s="73">
        <v>42174</v>
      </c>
      <c r="F566" s="76" t="s">
        <v>35</v>
      </c>
      <c r="G566" s="265"/>
      <c r="H566" s="123"/>
      <c r="I566" s="74">
        <v>2500</v>
      </c>
      <c r="J566" s="75" t="s">
        <v>19</v>
      </c>
      <c r="K566" s="75" t="s">
        <v>54</v>
      </c>
      <c r="L566" s="134" t="str">
        <f>IF(AND('331-CT'!$E$7=TH!H566,OR(J566="331",K566="331")),"x","")</f>
        <v/>
      </c>
    </row>
    <row r="567" spans="1:12">
      <c r="A567" s="72">
        <f t="shared" si="23"/>
        <v>2015</v>
      </c>
      <c r="B567" s="72">
        <f t="shared" si="24"/>
        <v>6</v>
      </c>
      <c r="C567" s="73">
        <v>42175</v>
      </c>
      <c r="D567" s="73" t="s">
        <v>17</v>
      </c>
      <c r="E567" s="73">
        <v>42175</v>
      </c>
      <c r="F567" s="76" t="s">
        <v>34</v>
      </c>
      <c r="G567" s="265"/>
      <c r="H567" s="122"/>
      <c r="I567" s="74">
        <v>85500</v>
      </c>
      <c r="J567" s="75" t="s">
        <v>242</v>
      </c>
      <c r="K567" s="75" t="s">
        <v>54</v>
      </c>
      <c r="L567" s="134" t="str">
        <f>IF(AND('331-CT'!$E$7=TH!H567,OR(J567="331",K567="331")),"x","")</f>
        <v/>
      </c>
    </row>
    <row r="568" spans="1:12">
      <c r="A568" s="72">
        <f t="shared" si="23"/>
        <v>2015</v>
      </c>
      <c r="B568" s="72">
        <f t="shared" si="24"/>
        <v>6</v>
      </c>
      <c r="C568" s="73">
        <v>42176</v>
      </c>
      <c r="D568" s="73" t="s">
        <v>17</v>
      </c>
      <c r="E568" s="73">
        <v>42176</v>
      </c>
      <c r="F568" s="76" t="s">
        <v>35</v>
      </c>
      <c r="G568" s="265"/>
      <c r="H568" s="122"/>
      <c r="I568" s="74">
        <v>8550</v>
      </c>
      <c r="J568" s="75" t="s">
        <v>19</v>
      </c>
      <c r="K568" s="75" t="s">
        <v>54</v>
      </c>
      <c r="L568" s="134" t="str">
        <f>IF(AND('331-CT'!$E$7=TH!H568,OR(J568="331",K568="331")),"x","")</f>
        <v/>
      </c>
    </row>
    <row r="569" spans="1:12">
      <c r="A569" s="72">
        <f t="shared" si="23"/>
        <v>2015</v>
      </c>
      <c r="B569" s="72">
        <f t="shared" si="24"/>
        <v>6</v>
      </c>
      <c r="C569" s="73">
        <v>42177</v>
      </c>
      <c r="D569" s="73" t="s">
        <v>17</v>
      </c>
      <c r="E569" s="73">
        <v>42177</v>
      </c>
      <c r="F569" s="76" t="s">
        <v>301</v>
      </c>
      <c r="G569" s="265"/>
      <c r="H569" s="9" t="s">
        <v>300</v>
      </c>
      <c r="I569" s="74">
        <v>100000000</v>
      </c>
      <c r="J569" s="75" t="s">
        <v>18</v>
      </c>
      <c r="K569" s="75" t="s">
        <v>54</v>
      </c>
      <c r="L569" s="134" t="str">
        <f>IF(AND('331-CT'!$E$7=TH!H569,OR(J569="331",K569="331")),"x","")</f>
        <v/>
      </c>
    </row>
    <row r="570" spans="1:12">
      <c r="A570" s="72">
        <f t="shared" si="23"/>
        <v>2015</v>
      </c>
      <c r="B570" s="72">
        <f t="shared" si="24"/>
        <v>6</v>
      </c>
      <c r="C570" s="73">
        <v>42178</v>
      </c>
      <c r="D570" s="73" t="s">
        <v>17</v>
      </c>
      <c r="E570" s="73">
        <v>42178</v>
      </c>
      <c r="F570" s="76" t="s">
        <v>34</v>
      </c>
      <c r="G570" s="265"/>
      <c r="H570" s="122"/>
      <c r="I570" s="74">
        <v>50000</v>
      </c>
      <c r="J570" s="75" t="s">
        <v>242</v>
      </c>
      <c r="K570" s="75" t="s">
        <v>54</v>
      </c>
      <c r="L570" s="134" t="str">
        <f>IF(AND('331-CT'!$E$7=TH!H570,OR(J570="331",K570="331")),"x","")</f>
        <v/>
      </c>
    </row>
    <row r="571" spans="1:12">
      <c r="A571" s="72">
        <f t="shared" si="23"/>
        <v>2015</v>
      </c>
      <c r="B571" s="72">
        <f t="shared" si="24"/>
        <v>6</v>
      </c>
      <c r="C571" s="73">
        <v>42179</v>
      </c>
      <c r="D571" s="73" t="s">
        <v>17</v>
      </c>
      <c r="E571" s="73">
        <v>42179</v>
      </c>
      <c r="F571" s="76" t="s">
        <v>35</v>
      </c>
      <c r="G571" s="265"/>
      <c r="H571" s="123"/>
      <c r="I571" s="74">
        <v>5000</v>
      </c>
      <c r="J571" s="75" t="s">
        <v>19</v>
      </c>
      <c r="K571" s="75" t="s">
        <v>54</v>
      </c>
      <c r="L571" s="134" t="str">
        <f>IF(AND('331-CT'!$E$7=TH!H571,OR(J571="331",K571="331")),"x","")</f>
        <v/>
      </c>
    </row>
    <row r="572" spans="1:12">
      <c r="A572" s="72">
        <f t="shared" si="23"/>
        <v>2015</v>
      </c>
      <c r="B572" s="72">
        <f t="shared" si="24"/>
        <v>6</v>
      </c>
      <c r="C572" s="73">
        <v>42179</v>
      </c>
      <c r="D572" s="73" t="s">
        <v>21</v>
      </c>
      <c r="E572" s="73">
        <v>42179</v>
      </c>
      <c r="F572" s="76" t="s">
        <v>98</v>
      </c>
      <c r="G572" s="265"/>
      <c r="H572" s="122"/>
      <c r="I572" s="74">
        <v>88048</v>
      </c>
      <c r="J572" s="75" t="s">
        <v>54</v>
      </c>
      <c r="K572" s="75" t="s">
        <v>99</v>
      </c>
      <c r="L572" s="134" t="str">
        <f>IF(AND('331-CT'!$E$7=TH!H572,OR(J572="331",K572="331")),"x","")</f>
        <v/>
      </c>
    </row>
    <row r="573" spans="1:12">
      <c r="A573" s="72">
        <f t="shared" si="23"/>
        <v>2015</v>
      </c>
      <c r="B573" s="72">
        <f t="shared" si="24"/>
        <v>6</v>
      </c>
      <c r="C573" s="73">
        <v>42180</v>
      </c>
      <c r="D573" s="73" t="s">
        <v>163</v>
      </c>
      <c r="E573" s="73">
        <v>42180</v>
      </c>
      <c r="F573" s="93" t="s">
        <v>576</v>
      </c>
      <c r="G573" s="265"/>
      <c r="H573" s="122" t="s">
        <v>272</v>
      </c>
      <c r="I573" s="74">
        <v>116000000</v>
      </c>
      <c r="J573" s="75" t="s">
        <v>54</v>
      </c>
      <c r="K573" s="75" t="s">
        <v>203</v>
      </c>
      <c r="L573" s="134" t="str">
        <f>IF(AND('331-CT'!$E$7=TH!H573,OR(J573="331",K573="331")),"x","")</f>
        <v/>
      </c>
    </row>
    <row r="574" spans="1:12">
      <c r="A574" s="72">
        <f t="shared" si="23"/>
        <v>2015</v>
      </c>
      <c r="B574" s="72">
        <f t="shared" si="24"/>
        <v>6</v>
      </c>
      <c r="C574" s="73">
        <v>42180</v>
      </c>
      <c r="D574" s="73" t="s">
        <v>78</v>
      </c>
      <c r="E574" s="73">
        <v>42180</v>
      </c>
      <c r="F574" s="76" t="s">
        <v>298</v>
      </c>
      <c r="G574" s="265" t="s">
        <v>297</v>
      </c>
      <c r="H574" s="124" t="s">
        <v>300</v>
      </c>
      <c r="I574" s="74">
        <v>173764636</v>
      </c>
      <c r="J574" s="75" t="s">
        <v>655</v>
      </c>
      <c r="K574" s="75" t="s">
        <v>18</v>
      </c>
      <c r="L574" s="134" t="str">
        <f>IF(AND('331-CT'!$E$7=TH!H574,OR(J574="331",K574="331")),"x","")</f>
        <v/>
      </c>
    </row>
    <row r="575" spans="1:12">
      <c r="A575" s="72">
        <f t="shared" si="23"/>
        <v>2015</v>
      </c>
      <c r="B575" s="72">
        <f t="shared" si="24"/>
        <v>6</v>
      </c>
      <c r="C575" s="73">
        <v>42180</v>
      </c>
      <c r="D575" s="73" t="s">
        <v>78</v>
      </c>
      <c r="E575" s="73">
        <v>42180</v>
      </c>
      <c r="F575" s="76" t="s">
        <v>299</v>
      </c>
      <c r="G575" s="265" t="s">
        <v>297</v>
      </c>
      <c r="H575" s="124" t="s">
        <v>300</v>
      </c>
      <c r="I575" s="74">
        <v>17376464</v>
      </c>
      <c r="J575" s="75" t="s">
        <v>19</v>
      </c>
      <c r="K575" s="75" t="s">
        <v>18</v>
      </c>
      <c r="L575" s="134" t="str">
        <f>IF(AND('331-CT'!$E$7=TH!H575,OR(J575="331",K575="331")),"x","")</f>
        <v/>
      </c>
    </row>
    <row r="576" spans="1:12">
      <c r="A576" s="72">
        <f t="shared" si="23"/>
        <v>2015</v>
      </c>
      <c r="B576" s="72">
        <f t="shared" si="24"/>
        <v>6</v>
      </c>
      <c r="C576" s="73">
        <v>42180</v>
      </c>
      <c r="D576" s="73" t="s">
        <v>78</v>
      </c>
      <c r="E576" s="73">
        <v>42180</v>
      </c>
      <c r="F576" s="76" t="s">
        <v>295</v>
      </c>
      <c r="G576" s="265" t="s">
        <v>294</v>
      </c>
      <c r="H576" s="124" t="s">
        <v>300</v>
      </c>
      <c r="I576" s="74">
        <v>46033273</v>
      </c>
      <c r="J576" s="75" t="s">
        <v>655</v>
      </c>
      <c r="K576" s="75" t="s">
        <v>18</v>
      </c>
      <c r="L576" s="134" t="str">
        <f>IF(AND('331-CT'!$E$7=TH!H576,OR(J576="331",K576="331")),"x","")</f>
        <v/>
      </c>
    </row>
    <row r="577" spans="1:12">
      <c r="A577" s="72">
        <f t="shared" si="23"/>
        <v>2015</v>
      </c>
      <c r="B577" s="72">
        <f t="shared" si="24"/>
        <v>6</v>
      </c>
      <c r="C577" s="73">
        <v>42180</v>
      </c>
      <c r="D577" s="73" t="s">
        <v>78</v>
      </c>
      <c r="E577" s="73">
        <v>42180</v>
      </c>
      <c r="F577" s="76" t="s">
        <v>296</v>
      </c>
      <c r="G577" s="265" t="s">
        <v>294</v>
      </c>
      <c r="H577" s="124" t="s">
        <v>300</v>
      </c>
      <c r="I577" s="74">
        <v>4603327</v>
      </c>
      <c r="J577" s="75" t="s">
        <v>19</v>
      </c>
      <c r="K577" s="75" t="s">
        <v>18</v>
      </c>
      <c r="L577" s="134" t="str">
        <f>IF(AND('331-CT'!$E$7=TH!H577,OR(J577="331",K577="331")),"x","")</f>
        <v/>
      </c>
    </row>
    <row r="578" spans="1:12">
      <c r="A578" s="72">
        <f t="shared" si="23"/>
        <v>2015</v>
      </c>
      <c r="B578" s="72">
        <f t="shared" si="24"/>
        <v>6</v>
      </c>
      <c r="C578" s="73">
        <v>42180</v>
      </c>
      <c r="D578" s="73" t="s">
        <v>78</v>
      </c>
      <c r="E578" s="73">
        <v>42180</v>
      </c>
      <c r="F578" s="76" t="s">
        <v>291</v>
      </c>
      <c r="G578" s="265" t="s">
        <v>293</v>
      </c>
      <c r="H578" s="124" t="s">
        <v>300</v>
      </c>
      <c r="I578" s="74">
        <v>12290909</v>
      </c>
      <c r="J578" s="136" t="s">
        <v>655</v>
      </c>
      <c r="K578" s="136" t="s">
        <v>18</v>
      </c>
      <c r="L578" s="134" t="str">
        <f>IF(AND('331-CT'!$E$7=TH!H578,OR(J578="331",K578="331")),"x","")</f>
        <v/>
      </c>
    </row>
    <row r="579" spans="1:12">
      <c r="A579" s="72">
        <f t="shared" si="23"/>
        <v>2015</v>
      </c>
      <c r="B579" s="72">
        <f t="shared" si="24"/>
        <v>6</v>
      </c>
      <c r="C579" s="73">
        <v>42180</v>
      </c>
      <c r="D579" s="73" t="s">
        <v>78</v>
      </c>
      <c r="E579" s="73">
        <v>42180</v>
      </c>
      <c r="F579" s="76" t="s">
        <v>292</v>
      </c>
      <c r="G579" s="265" t="s">
        <v>293</v>
      </c>
      <c r="H579" s="124" t="s">
        <v>300</v>
      </c>
      <c r="I579" s="74">
        <v>1229091</v>
      </c>
      <c r="J579" s="136" t="s">
        <v>19</v>
      </c>
      <c r="K579" s="136" t="s">
        <v>18</v>
      </c>
      <c r="L579" s="134" t="str">
        <f>IF(AND('331-CT'!$E$7=TH!H579,OR(J579="331",K579="331")),"x","")</f>
        <v/>
      </c>
    </row>
    <row r="580" spans="1:12">
      <c r="A580" s="72">
        <f t="shared" si="23"/>
        <v>2015</v>
      </c>
      <c r="B580" s="72">
        <f t="shared" si="24"/>
        <v>6</v>
      </c>
      <c r="C580" s="73">
        <v>42181</v>
      </c>
      <c r="D580" s="73" t="s">
        <v>17</v>
      </c>
      <c r="E580" s="73">
        <v>42181</v>
      </c>
      <c r="F580" s="76" t="s">
        <v>119</v>
      </c>
      <c r="G580" s="265"/>
      <c r="H580" s="122" t="s">
        <v>314</v>
      </c>
      <c r="I580" s="74">
        <v>8203223</v>
      </c>
      <c r="J580" s="75" t="s">
        <v>240</v>
      </c>
      <c r="K580" s="75" t="s">
        <v>54</v>
      </c>
      <c r="L580" s="134" t="str">
        <f>IF(AND('331-CT'!$E$7=TH!H580,OR(J580="331",K580="331")),"x","")</f>
        <v/>
      </c>
    </row>
    <row r="581" spans="1:12">
      <c r="A581" s="72">
        <f t="shared" si="23"/>
        <v>2015</v>
      </c>
      <c r="B581" s="72">
        <f t="shared" si="24"/>
        <v>6</v>
      </c>
      <c r="C581" s="73">
        <v>42181</v>
      </c>
      <c r="D581" s="73" t="s">
        <v>17</v>
      </c>
      <c r="E581" s="73">
        <v>42181</v>
      </c>
      <c r="F581" s="76" t="s">
        <v>141</v>
      </c>
      <c r="G581" s="265"/>
      <c r="H581" s="122" t="s">
        <v>315</v>
      </c>
      <c r="I581" s="74">
        <v>16406445</v>
      </c>
      <c r="J581" s="75" t="s">
        <v>240</v>
      </c>
      <c r="K581" s="75" t="s">
        <v>54</v>
      </c>
      <c r="L581" s="134" t="str">
        <f>IF(AND('331-CT'!$E$7=TH!H581,OR(J581="331",K581="331")),"x","")</f>
        <v/>
      </c>
    </row>
    <row r="582" spans="1:12">
      <c r="A582" s="72">
        <f t="shared" si="23"/>
        <v>2015</v>
      </c>
      <c r="B582" s="72">
        <f t="shared" si="24"/>
        <v>6</v>
      </c>
      <c r="C582" s="73">
        <v>42181</v>
      </c>
      <c r="D582" s="73" t="s">
        <v>17</v>
      </c>
      <c r="E582" s="73">
        <v>42181</v>
      </c>
      <c r="F582" s="76" t="s">
        <v>143</v>
      </c>
      <c r="G582" s="265"/>
      <c r="H582" s="122" t="s">
        <v>317</v>
      </c>
      <c r="I582" s="74">
        <v>13125156</v>
      </c>
      <c r="J582" s="75" t="s">
        <v>240</v>
      </c>
      <c r="K582" s="75" t="s">
        <v>54</v>
      </c>
      <c r="L582" s="134" t="str">
        <f>IF(AND('331-CT'!$E$7=TH!H582,OR(J582="331",K582="331")),"x","")</f>
        <v/>
      </c>
    </row>
    <row r="583" spans="1:12">
      <c r="A583" s="72">
        <f t="shared" si="23"/>
        <v>2015</v>
      </c>
      <c r="B583" s="72">
        <f t="shared" si="24"/>
        <v>6</v>
      </c>
      <c r="C583" s="73">
        <v>42181</v>
      </c>
      <c r="D583" s="73" t="s">
        <v>17</v>
      </c>
      <c r="E583" s="73">
        <v>42181</v>
      </c>
      <c r="F583" s="76" t="s">
        <v>144</v>
      </c>
      <c r="G583" s="265"/>
      <c r="H583" s="122" t="s">
        <v>316</v>
      </c>
      <c r="I583" s="74">
        <v>12304833</v>
      </c>
      <c r="J583" s="75" t="s">
        <v>240</v>
      </c>
      <c r="K583" s="75" t="s">
        <v>54</v>
      </c>
      <c r="L583" s="134" t="str">
        <f>IF(AND('331-CT'!$E$7=TH!H583,OR(J583="331",K583="331")),"x","")</f>
        <v/>
      </c>
    </row>
    <row r="584" spans="1:12">
      <c r="A584" s="72">
        <f t="shared" si="23"/>
        <v>2015</v>
      </c>
      <c r="B584" s="72">
        <f t="shared" si="24"/>
        <v>6</v>
      </c>
      <c r="C584" s="73">
        <v>42181</v>
      </c>
      <c r="D584" s="73" t="s">
        <v>17</v>
      </c>
      <c r="E584" s="73">
        <v>42181</v>
      </c>
      <c r="F584" s="76" t="s">
        <v>145</v>
      </c>
      <c r="G584" s="265"/>
      <c r="H584" s="122" t="s">
        <v>318</v>
      </c>
      <c r="I584" s="74">
        <v>8203223</v>
      </c>
      <c r="J584" s="75" t="s">
        <v>240</v>
      </c>
      <c r="K584" s="75" t="s">
        <v>54</v>
      </c>
      <c r="L584" s="134" t="str">
        <f>IF(AND('331-CT'!$E$7=TH!H584,OR(J584="331",K584="331")),"x","")</f>
        <v/>
      </c>
    </row>
    <row r="585" spans="1:12">
      <c r="A585" s="72">
        <f t="shared" si="23"/>
        <v>2015</v>
      </c>
      <c r="B585" s="72">
        <f t="shared" si="24"/>
        <v>6</v>
      </c>
      <c r="C585" s="73">
        <v>42181</v>
      </c>
      <c r="D585" s="73" t="s">
        <v>17</v>
      </c>
      <c r="E585" s="73">
        <v>42181</v>
      </c>
      <c r="F585" s="76" t="s">
        <v>147</v>
      </c>
      <c r="G585" s="265"/>
      <c r="H585" s="123" t="s">
        <v>319</v>
      </c>
      <c r="I585" s="74">
        <v>12304833</v>
      </c>
      <c r="J585" s="75" t="s">
        <v>240</v>
      </c>
      <c r="K585" s="75" t="s">
        <v>54</v>
      </c>
      <c r="L585" s="134" t="str">
        <f>IF(AND('331-CT'!$E$7=TH!H585,OR(J585="331",K585="331")),"x","")</f>
        <v/>
      </c>
    </row>
    <row r="586" spans="1:12">
      <c r="A586" s="72">
        <f t="shared" si="23"/>
        <v>2015</v>
      </c>
      <c r="B586" s="72">
        <f t="shared" si="24"/>
        <v>6</v>
      </c>
      <c r="C586" s="73">
        <v>42181</v>
      </c>
      <c r="D586" s="73" t="s">
        <v>17</v>
      </c>
      <c r="E586" s="73">
        <v>42181</v>
      </c>
      <c r="F586" s="76" t="s">
        <v>273</v>
      </c>
      <c r="G586" s="265"/>
      <c r="H586" s="122" t="s">
        <v>320</v>
      </c>
      <c r="I586" s="74">
        <v>16407126</v>
      </c>
      <c r="J586" s="75" t="s">
        <v>240</v>
      </c>
      <c r="K586" s="75" t="s">
        <v>54</v>
      </c>
      <c r="L586" s="134" t="str">
        <f>IF(AND('331-CT'!$E$7=TH!H586,OR(J586="331",K586="331")),"x","")</f>
        <v/>
      </c>
    </row>
    <row r="587" spans="1:12">
      <c r="A587" s="72">
        <f t="shared" si="23"/>
        <v>2015</v>
      </c>
      <c r="B587" s="72">
        <f t="shared" si="24"/>
        <v>6</v>
      </c>
      <c r="C587" s="73">
        <v>42181</v>
      </c>
      <c r="D587" s="73" t="s">
        <v>17</v>
      </c>
      <c r="E587" s="73">
        <v>42181</v>
      </c>
      <c r="F587" s="76" t="s">
        <v>303</v>
      </c>
      <c r="G587" s="265"/>
      <c r="H587" s="122" t="s">
        <v>321</v>
      </c>
      <c r="I587" s="74">
        <v>22228087</v>
      </c>
      <c r="J587" s="75" t="s">
        <v>240</v>
      </c>
      <c r="K587" s="75" t="s">
        <v>54</v>
      </c>
      <c r="L587" s="134" t="str">
        <f>IF(AND('331-CT'!$E$7=TH!H587,OR(J587="331",K587="331")),"x","")</f>
        <v/>
      </c>
    </row>
    <row r="588" spans="1:12">
      <c r="A588" s="72">
        <f t="shared" si="23"/>
        <v>2015</v>
      </c>
      <c r="B588" s="72">
        <f t="shared" si="24"/>
        <v>6</v>
      </c>
      <c r="C588" s="73">
        <v>42181</v>
      </c>
      <c r="D588" s="73" t="s">
        <v>17</v>
      </c>
      <c r="E588" s="73">
        <v>42181</v>
      </c>
      <c r="F588" s="76" t="s">
        <v>304</v>
      </c>
      <c r="G588" s="265"/>
      <c r="H588" s="122" t="s">
        <v>322</v>
      </c>
      <c r="I588" s="74">
        <v>14289484</v>
      </c>
      <c r="J588" s="75" t="s">
        <v>240</v>
      </c>
      <c r="K588" s="75" t="s">
        <v>54</v>
      </c>
      <c r="L588" s="134" t="str">
        <f>IF(AND('331-CT'!$E$7=TH!H588,OR(J588="331",K588="331")),"x","")</f>
        <v/>
      </c>
    </row>
    <row r="589" spans="1:12">
      <c r="A589" s="72">
        <f t="shared" si="23"/>
        <v>2015</v>
      </c>
      <c r="B589" s="72">
        <f t="shared" si="24"/>
        <v>6</v>
      </c>
      <c r="C589" s="73">
        <v>42184</v>
      </c>
      <c r="D589" s="73" t="s">
        <v>78</v>
      </c>
      <c r="E589" s="73">
        <v>42184</v>
      </c>
      <c r="F589" s="76" t="s">
        <v>289</v>
      </c>
      <c r="G589" s="270" t="s">
        <v>563</v>
      </c>
      <c r="H589" s="122" t="s">
        <v>85</v>
      </c>
      <c r="I589" s="74">
        <v>6818181818</v>
      </c>
      <c r="J589" s="136" t="s">
        <v>655</v>
      </c>
      <c r="K589" s="75" t="s">
        <v>18</v>
      </c>
      <c r="L589" s="134" t="str">
        <f>IF(AND('331-CT'!$E$7=TH!H589,OR(J589="331",K589="331")),"x","")</f>
        <v/>
      </c>
    </row>
    <row r="590" spans="1:12">
      <c r="A590" s="72">
        <f t="shared" si="23"/>
        <v>2015</v>
      </c>
      <c r="B590" s="72">
        <f t="shared" si="24"/>
        <v>6</v>
      </c>
      <c r="C590" s="73">
        <v>42184</v>
      </c>
      <c r="D590" s="73" t="s">
        <v>78</v>
      </c>
      <c r="E590" s="73">
        <v>42184</v>
      </c>
      <c r="F590" s="76" t="s">
        <v>290</v>
      </c>
      <c r="G590" s="270" t="s">
        <v>563</v>
      </c>
      <c r="H590" s="122" t="s">
        <v>85</v>
      </c>
      <c r="I590" s="74">
        <v>681818182</v>
      </c>
      <c r="J590" s="136" t="s">
        <v>19</v>
      </c>
      <c r="K590" s="75" t="s">
        <v>18</v>
      </c>
      <c r="L590" s="134" t="str">
        <f>IF(AND('331-CT'!$E$7=TH!H590,OR(J590="331",K590="331")),"x","")</f>
        <v/>
      </c>
    </row>
    <row r="591" spans="1:12">
      <c r="A591" s="72">
        <f t="shared" si="23"/>
        <v>2015</v>
      </c>
      <c r="B591" s="72">
        <f t="shared" si="24"/>
        <v>6</v>
      </c>
      <c r="C591" s="73">
        <v>42185</v>
      </c>
      <c r="D591" s="73" t="s">
        <v>17</v>
      </c>
      <c r="E591" s="73">
        <v>42185</v>
      </c>
      <c r="F591" s="76" t="s">
        <v>301</v>
      </c>
      <c r="G591" s="265"/>
      <c r="H591" s="9" t="s">
        <v>305</v>
      </c>
      <c r="I591" s="74">
        <v>45000000</v>
      </c>
      <c r="J591" s="75" t="s">
        <v>18</v>
      </c>
      <c r="K591" s="75" t="s">
        <v>54</v>
      </c>
      <c r="L591" s="134" t="str">
        <f>IF(AND('331-CT'!$E$7=TH!H591,OR(J591="331",K591="331")),"x","")</f>
        <v/>
      </c>
    </row>
    <row r="592" spans="1:12">
      <c r="A592" s="72">
        <f t="shared" si="23"/>
        <v>2015</v>
      </c>
      <c r="B592" s="72">
        <f t="shared" si="24"/>
        <v>6</v>
      </c>
      <c r="C592" s="73">
        <v>42185</v>
      </c>
      <c r="D592" s="73" t="s">
        <v>17</v>
      </c>
      <c r="E592" s="73">
        <v>42185</v>
      </c>
      <c r="F592" s="76" t="s">
        <v>34</v>
      </c>
      <c r="G592" s="265"/>
      <c r="H592" s="122"/>
      <c r="I592" s="74">
        <v>20000</v>
      </c>
      <c r="J592" s="75" t="s">
        <v>242</v>
      </c>
      <c r="K592" s="75" t="s">
        <v>54</v>
      </c>
      <c r="L592" s="134" t="str">
        <f>IF(AND('331-CT'!$E$7=TH!H592,OR(J592="331",K592="331")),"x","")</f>
        <v/>
      </c>
    </row>
    <row r="593" spans="1:12">
      <c r="A593" s="72">
        <f t="shared" si="23"/>
        <v>2015</v>
      </c>
      <c r="B593" s="72">
        <f t="shared" si="24"/>
        <v>6</v>
      </c>
      <c r="C593" s="73">
        <v>42185</v>
      </c>
      <c r="D593" s="73" t="s">
        <v>17</v>
      </c>
      <c r="E593" s="73">
        <v>42185</v>
      </c>
      <c r="F593" s="76" t="s">
        <v>35</v>
      </c>
      <c r="G593" s="265"/>
      <c r="H593" s="122"/>
      <c r="I593" s="74">
        <v>2000</v>
      </c>
      <c r="J593" s="75" t="s">
        <v>19</v>
      </c>
      <c r="K593" s="75" t="s">
        <v>54</v>
      </c>
      <c r="L593" s="134" t="str">
        <f>IF(AND('331-CT'!$E$7=TH!H593,OR(J593="331",K593="331")),"x","")</f>
        <v/>
      </c>
    </row>
    <row r="594" spans="1:12">
      <c r="A594" s="72">
        <f t="shared" si="23"/>
        <v>2015</v>
      </c>
      <c r="B594" s="72">
        <f t="shared" si="24"/>
        <v>6</v>
      </c>
      <c r="C594" s="73">
        <v>42185</v>
      </c>
      <c r="D594" s="73" t="s">
        <v>17</v>
      </c>
      <c r="E594" s="73">
        <v>42185</v>
      </c>
      <c r="F594" s="76" t="s">
        <v>301</v>
      </c>
      <c r="G594" s="265"/>
      <c r="H594" s="9" t="s">
        <v>306</v>
      </c>
      <c r="I594" s="74">
        <v>100000000</v>
      </c>
      <c r="J594" s="75" t="s">
        <v>18</v>
      </c>
      <c r="K594" s="75" t="s">
        <v>54</v>
      </c>
      <c r="L594" s="134" t="str">
        <f>IF(AND('331-CT'!$E$7=TH!H594,OR(J594="331",K594="331")),"x","")</f>
        <v/>
      </c>
    </row>
    <row r="595" spans="1:12">
      <c r="A595" s="72">
        <f t="shared" si="23"/>
        <v>2015</v>
      </c>
      <c r="B595" s="72">
        <f t="shared" si="24"/>
        <v>6</v>
      </c>
      <c r="C595" s="73">
        <v>42185</v>
      </c>
      <c r="D595" s="73" t="s">
        <v>17</v>
      </c>
      <c r="E595" s="73">
        <v>42185</v>
      </c>
      <c r="F595" s="76" t="s">
        <v>34</v>
      </c>
      <c r="G595" s="265"/>
      <c r="H595" s="122"/>
      <c r="I595" s="74">
        <v>30000</v>
      </c>
      <c r="J595" s="75" t="s">
        <v>242</v>
      </c>
      <c r="K595" s="75" t="s">
        <v>54</v>
      </c>
      <c r="L595" s="134" t="str">
        <f>IF(AND('331-CT'!$E$7=TH!H595,OR(J595="331",K595="331")),"x","")</f>
        <v/>
      </c>
    </row>
    <row r="596" spans="1:12">
      <c r="A596" s="72">
        <f t="shared" si="23"/>
        <v>2015</v>
      </c>
      <c r="B596" s="72">
        <f t="shared" si="24"/>
        <v>6</v>
      </c>
      <c r="C596" s="73">
        <v>42185</v>
      </c>
      <c r="D596" s="73" t="s">
        <v>17</v>
      </c>
      <c r="E596" s="73">
        <v>42185</v>
      </c>
      <c r="F596" s="76" t="s">
        <v>35</v>
      </c>
      <c r="G596" s="265"/>
      <c r="H596" s="122"/>
      <c r="I596" s="74">
        <v>3000</v>
      </c>
      <c r="J596" s="75" t="s">
        <v>19</v>
      </c>
      <c r="K596" s="75" t="s">
        <v>54</v>
      </c>
      <c r="L596" s="134" t="str">
        <f>IF(AND('331-CT'!$E$7=TH!H596,OR(J596="331",K596="331")),"x","")</f>
        <v/>
      </c>
    </row>
    <row r="597" spans="1:12">
      <c r="A597" s="72">
        <f t="shared" ref="A597:A660" si="25">IF(C597&lt;&gt;"",YEAR(C597),"")</f>
        <v>2015</v>
      </c>
      <c r="B597" s="72">
        <f t="shared" ref="B597:B660" si="26">IF(C597&lt;&gt;"",MONTH(C597),"")</f>
        <v>7</v>
      </c>
      <c r="C597" s="73">
        <v>42186</v>
      </c>
      <c r="D597" s="73" t="s">
        <v>73</v>
      </c>
      <c r="E597" s="73">
        <v>42159</v>
      </c>
      <c r="F597" s="76" t="s">
        <v>330</v>
      </c>
      <c r="G597" s="270" t="s">
        <v>535</v>
      </c>
      <c r="H597" s="122" t="s">
        <v>331</v>
      </c>
      <c r="I597" s="74">
        <v>3127345</v>
      </c>
      <c r="J597" s="75" t="s">
        <v>655</v>
      </c>
      <c r="K597" s="75" t="s">
        <v>203</v>
      </c>
      <c r="L597" s="134" t="str">
        <f>IF(AND('331-CT'!$E$7=TH!H597,OR(J597="331",K597="331")),"x","")</f>
        <v/>
      </c>
    </row>
    <row r="598" spans="1:12">
      <c r="A598" s="72">
        <f t="shared" si="25"/>
        <v>2015</v>
      </c>
      <c r="B598" s="72">
        <f t="shared" si="26"/>
        <v>7</v>
      </c>
      <c r="C598" s="73">
        <v>42186</v>
      </c>
      <c r="D598" s="73" t="s">
        <v>73</v>
      </c>
      <c r="E598" s="73">
        <v>42159</v>
      </c>
      <c r="F598" s="76" t="s">
        <v>332</v>
      </c>
      <c r="G598" s="270" t="s">
        <v>535</v>
      </c>
      <c r="H598" s="122" t="s">
        <v>331</v>
      </c>
      <c r="I598" s="74">
        <v>312734</v>
      </c>
      <c r="J598" s="75" t="s">
        <v>19</v>
      </c>
      <c r="K598" s="75" t="s">
        <v>203</v>
      </c>
      <c r="L598" s="134" t="str">
        <f>IF(AND('331-CT'!$E$7=TH!H598,OR(J598="331",K598="331")),"x","")</f>
        <v/>
      </c>
    </row>
    <row r="599" spans="1:12">
      <c r="A599" s="72">
        <f t="shared" si="25"/>
        <v>2015</v>
      </c>
      <c r="B599" s="72">
        <f t="shared" si="26"/>
        <v>7</v>
      </c>
      <c r="C599" s="73">
        <v>42186</v>
      </c>
      <c r="D599" s="73" t="s">
        <v>92</v>
      </c>
      <c r="E599" s="73">
        <v>42174</v>
      </c>
      <c r="F599" s="76" t="s">
        <v>333</v>
      </c>
      <c r="G599" s="270" t="s">
        <v>536</v>
      </c>
      <c r="H599" s="122" t="s">
        <v>335</v>
      </c>
      <c r="I599" s="74">
        <v>9662500</v>
      </c>
      <c r="J599" s="75" t="s">
        <v>655</v>
      </c>
      <c r="K599" s="75" t="s">
        <v>203</v>
      </c>
      <c r="L599" s="134" t="str">
        <f>IF(AND('331-CT'!$E$7=TH!H599,OR(J599="331",K599="331")),"x","")</f>
        <v/>
      </c>
    </row>
    <row r="600" spans="1:12">
      <c r="A600" s="72">
        <f t="shared" si="25"/>
        <v>2015</v>
      </c>
      <c r="B600" s="72">
        <f t="shared" si="26"/>
        <v>7</v>
      </c>
      <c r="C600" s="73">
        <v>42186</v>
      </c>
      <c r="D600" s="73" t="s">
        <v>92</v>
      </c>
      <c r="E600" s="73">
        <v>42174</v>
      </c>
      <c r="F600" s="76" t="s">
        <v>334</v>
      </c>
      <c r="G600" s="270" t="s">
        <v>536</v>
      </c>
      <c r="H600" s="122" t="s">
        <v>335</v>
      </c>
      <c r="I600" s="74">
        <v>966250</v>
      </c>
      <c r="J600" s="75" t="s">
        <v>19</v>
      </c>
      <c r="K600" s="75" t="s">
        <v>203</v>
      </c>
      <c r="L600" s="134" t="str">
        <f>IF(AND('331-CT'!$E$7=TH!H600,OR(J600="331",K600="331")),"x","")</f>
        <v/>
      </c>
    </row>
    <row r="601" spans="1:12">
      <c r="A601" s="72">
        <f t="shared" si="25"/>
        <v>2015</v>
      </c>
      <c r="B601" s="72">
        <f t="shared" si="26"/>
        <v>7</v>
      </c>
      <c r="C601" s="73">
        <v>42187</v>
      </c>
      <c r="D601" s="73" t="s">
        <v>78</v>
      </c>
      <c r="E601" s="73">
        <v>42187</v>
      </c>
      <c r="F601" s="76" t="s">
        <v>310</v>
      </c>
      <c r="G601" s="137" t="s">
        <v>309</v>
      </c>
      <c r="H601" s="9" t="s">
        <v>312</v>
      </c>
      <c r="I601" s="74">
        <v>19645867</v>
      </c>
      <c r="J601" s="75" t="s">
        <v>655</v>
      </c>
      <c r="K601" s="75" t="s">
        <v>18</v>
      </c>
      <c r="L601" s="134" t="str">
        <f>IF(AND('331-CT'!$E$7=TH!H601,OR(J601="331",K601="331")),"x","")</f>
        <v/>
      </c>
    </row>
    <row r="602" spans="1:12">
      <c r="A602" s="72">
        <f t="shared" si="25"/>
        <v>2015</v>
      </c>
      <c r="B602" s="72">
        <f t="shared" si="26"/>
        <v>7</v>
      </c>
      <c r="C602" s="73">
        <v>42187</v>
      </c>
      <c r="D602" s="73" t="s">
        <v>78</v>
      </c>
      <c r="E602" s="73">
        <v>42187</v>
      </c>
      <c r="F602" s="76" t="s">
        <v>311</v>
      </c>
      <c r="G602" s="137" t="s">
        <v>309</v>
      </c>
      <c r="H602" s="9" t="s">
        <v>312</v>
      </c>
      <c r="I602" s="74">
        <v>1964587</v>
      </c>
      <c r="J602" s="75" t="s">
        <v>19</v>
      </c>
      <c r="K602" s="75" t="s">
        <v>18</v>
      </c>
      <c r="L602" s="134" t="str">
        <f>IF(AND('331-CT'!$E$7=TH!H602,OR(J602="331",K602="331")),"x","")</f>
        <v/>
      </c>
    </row>
    <row r="603" spans="1:12">
      <c r="A603" s="72">
        <f t="shared" si="25"/>
        <v>2015</v>
      </c>
      <c r="B603" s="72">
        <f t="shared" si="26"/>
        <v>7</v>
      </c>
      <c r="C603" s="73">
        <v>42187</v>
      </c>
      <c r="D603" s="73" t="s">
        <v>93</v>
      </c>
      <c r="E603" s="73">
        <v>42187</v>
      </c>
      <c r="F603" s="93" t="s">
        <v>576</v>
      </c>
      <c r="G603" s="265"/>
      <c r="H603" s="122" t="s">
        <v>272</v>
      </c>
      <c r="I603" s="74">
        <v>30000000</v>
      </c>
      <c r="J603" s="75" t="s">
        <v>54</v>
      </c>
      <c r="K603" s="75" t="s">
        <v>203</v>
      </c>
      <c r="L603" s="134" t="str">
        <f>IF(AND('331-CT'!$E$7=TH!H603,OR(J603="331",K603="331")),"x","")</f>
        <v/>
      </c>
    </row>
    <row r="604" spans="1:12">
      <c r="A604" s="72">
        <f t="shared" si="25"/>
        <v>2015</v>
      </c>
      <c r="B604" s="72">
        <f t="shared" si="26"/>
        <v>7</v>
      </c>
      <c r="C604" s="130">
        <v>42187</v>
      </c>
      <c r="D604" s="130" t="s">
        <v>72</v>
      </c>
      <c r="E604" s="130">
        <v>42176</v>
      </c>
      <c r="F604" s="131" t="s">
        <v>336</v>
      </c>
      <c r="G604" s="271" t="s">
        <v>537</v>
      </c>
      <c r="H604" s="132" t="s">
        <v>188</v>
      </c>
      <c r="I604" s="133">
        <v>2012800</v>
      </c>
      <c r="J604" s="134" t="s">
        <v>242</v>
      </c>
      <c r="K604" s="134" t="s">
        <v>203</v>
      </c>
      <c r="L604" s="134" t="str">
        <f>IF(AND('331-CT'!$E$7=TH!H604,OR(J604="331",K604="331")),"x","")</f>
        <v/>
      </c>
    </row>
    <row r="605" spans="1:12">
      <c r="A605" s="72">
        <f t="shared" si="25"/>
        <v>2015</v>
      </c>
      <c r="B605" s="72">
        <f t="shared" si="26"/>
        <v>7</v>
      </c>
      <c r="C605" s="73">
        <v>42187</v>
      </c>
      <c r="D605" s="130" t="s">
        <v>72</v>
      </c>
      <c r="E605" s="73">
        <v>42176</v>
      </c>
      <c r="F605" s="76" t="s">
        <v>337</v>
      </c>
      <c r="G605" s="270" t="s">
        <v>537</v>
      </c>
      <c r="H605" s="132" t="s">
        <v>188</v>
      </c>
      <c r="I605" s="74">
        <v>100640</v>
      </c>
      <c r="J605" s="75" t="s">
        <v>19</v>
      </c>
      <c r="K605" s="75" t="s">
        <v>203</v>
      </c>
      <c r="L605" s="134" t="str">
        <f>IF(AND('331-CT'!$E$7=TH!H605,OR(J605="331",K605="331")),"x","")</f>
        <v/>
      </c>
    </row>
    <row r="606" spans="1:12">
      <c r="A606" s="72">
        <f t="shared" si="25"/>
        <v>2015</v>
      </c>
      <c r="B606" s="72">
        <f t="shared" si="26"/>
        <v>7</v>
      </c>
      <c r="C606" s="73">
        <v>42187</v>
      </c>
      <c r="D606" s="73" t="s">
        <v>71</v>
      </c>
      <c r="E606" s="73">
        <v>42177</v>
      </c>
      <c r="F606" s="76" t="s">
        <v>333</v>
      </c>
      <c r="G606" s="270" t="s">
        <v>538</v>
      </c>
      <c r="H606" s="122" t="s">
        <v>335</v>
      </c>
      <c r="I606" s="74">
        <v>9662500</v>
      </c>
      <c r="J606" s="75" t="s">
        <v>655</v>
      </c>
      <c r="K606" s="75" t="s">
        <v>203</v>
      </c>
      <c r="L606" s="134" t="str">
        <f>IF(AND('331-CT'!$E$7=TH!H606,OR(J606="331",K606="331")),"x","")</f>
        <v/>
      </c>
    </row>
    <row r="607" spans="1:12">
      <c r="A607" s="72">
        <f t="shared" si="25"/>
        <v>2015</v>
      </c>
      <c r="B607" s="72">
        <f t="shared" si="26"/>
        <v>7</v>
      </c>
      <c r="C607" s="73">
        <v>42187</v>
      </c>
      <c r="D607" s="73" t="s">
        <v>71</v>
      </c>
      <c r="E607" s="73">
        <v>42177</v>
      </c>
      <c r="F607" s="76" t="s">
        <v>334</v>
      </c>
      <c r="G607" s="270" t="s">
        <v>538</v>
      </c>
      <c r="H607" s="122" t="s">
        <v>335</v>
      </c>
      <c r="I607" s="74">
        <v>966250</v>
      </c>
      <c r="J607" s="75" t="s">
        <v>19</v>
      </c>
      <c r="K607" s="75" t="s">
        <v>203</v>
      </c>
      <c r="L607" s="134" t="str">
        <f>IF(AND('331-CT'!$E$7=TH!H607,OR(J607="331",K607="331")),"x","")</f>
        <v/>
      </c>
    </row>
    <row r="608" spans="1:12">
      <c r="A608" s="72">
        <f t="shared" si="25"/>
        <v>2015</v>
      </c>
      <c r="B608" s="72">
        <f t="shared" si="26"/>
        <v>7</v>
      </c>
      <c r="C608" s="73">
        <v>42187</v>
      </c>
      <c r="D608" s="73" t="s">
        <v>21</v>
      </c>
      <c r="E608" s="73">
        <v>42187</v>
      </c>
      <c r="F608" s="76" t="s">
        <v>325</v>
      </c>
      <c r="G608" s="265"/>
      <c r="H608" s="122" t="s">
        <v>326</v>
      </c>
      <c r="I608" s="74">
        <v>1500000000</v>
      </c>
      <c r="J608" s="75" t="s">
        <v>54</v>
      </c>
      <c r="K608" s="75" t="s">
        <v>227</v>
      </c>
      <c r="L608" s="134" t="str">
        <f>IF(AND('331-CT'!$E$7=TH!H608,OR(J608="331",K608="331")),"x","")</f>
        <v/>
      </c>
    </row>
    <row r="609" spans="1:12">
      <c r="A609" s="72">
        <f t="shared" si="25"/>
        <v>2015</v>
      </c>
      <c r="B609" s="72">
        <f t="shared" si="26"/>
        <v>7</v>
      </c>
      <c r="C609" s="73">
        <v>42187</v>
      </c>
      <c r="D609" s="73" t="s">
        <v>17</v>
      </c>
      <c r="E609" s="73">
        <v>42187</v>
      </c>
      <c r="F609" s="76" t="s">
        <v>301</v>
      </c>
      <c r="G609" s="265"/>
      <c r="H609" s="9" t="s">
        <v>306</v>
      </c>
      <c r="I609" s="74">
        <v>200000000</v>
      </c>
      <c r="J609" s="75" t="s">
        <v>18</v>
      </c>
      <c r="K609" s="75" t="s">
        <v>54</v>
      </c>
      <c r="L609" s="134" t="str">
        <f>IF(AND('331-CT'!$E$7=TH!H609,OR(J609="331",K609="331")),"x","")</f>
        <v/>
      </c>
    </row>
    <row r="610" spans="1:12">
      <c r="A610" s="72">
        <f t="shared" si="25"/>
        <v>2015</v>
      </c>
      <c r="B610" s="72">
        <f t="shared" si="26"/>
        <v>7</v>
      </c>
      <c r="C610" s="73">
        <v>42187</v>
      </c>
      <c r="D610" s="73" t="s">
        <v>17</v>
      </c>
      <c r="E610" s="73">
        <v>42187</v>
      </c>
      <c r="F610" s="76" t="s">
        <v>34</v>
      </c>
      <c r="G610" s="265"/>
      <c r="H610" s="122"/>
      <c r="I610" s="74">
        <v>60000</v>
      </c>
      <c r="J610" s="75" t="s">
        <v>242</v>
      </c>
      <c r="K610" s="75" t="s">
        <v>54</v>
      </c>
      <c r="L610" s="134" t="str">
        <f>IF(AND('331-CT'!$E$7=TH!H610,OR(J610="331",K610="331")),"x","")</f>
        <v/>
      </c>
    </row>
    <row r="611" spans="1:12">
      <c r="A611" s="72">
        <f t="shared" si="25"/>
        <v>2015</v>
      </c>
      <c r="B611" s="72">
        <f t="shared" si="26"/>
        <v>7</v>
      </c>
      <c r="C611" s="73">
        <v>42187</v>
      </c>
      <c r="D611" s="73" t="s">
        <v>17</v>
      </c>
      <c r="E611" s="73">
        <v>42187</v>
      </c>
      <c r="F611" s="76" t="s">
        <v>35</v>
      </c>
      <c r="G611" s="265"/>
      <c r="H611" s="122"/>
      <c r="I611" s="74">
        <v>6000</v>
      </c>
      <c r="J611" s="75" t="s">
        <v>19</v>
      </c>
      <c r="K611" s="75" t="s">
        <v>54</v>
      </c>
      <c r="L611" s="134" t="str">
        <f>IF(AND('331-CT'!$E$7=TH!H611,OR(J611="331",K611="331")),"x","")</f>
        <v/>
      </c>
    </row>
    <row r="612" spans="1:12">
      <c r="A612" s="72">
        <f t="shared" si="25"/>
        <v>2015</v>
      </c>
      <c r="B612" s="72">
        <f t="shared" si="26"/>
        <v>7</v>
      </c>
      <c r="C612" s="73">
        <v>42187</v>
      </c>
      <c r="D612" s="73" t="s">
        <v>17</v>
      </c>
      <c r="E612" s="73">
        <v>42187</v>
      </c>
      <c r="F612" s="76" t="s">
        <v>301</v>
      </c>
      <c r="G612" s="265"/>
      <c r="H612" s="122" t="s">
        <v>85</v>
      </c>
      <c r="I612" s="74">
        <v>1000000000</v>
      </c>
      <c r="J612" s="75" t="s">
        <v>18</v>
      </c>
      <c r="K612" s="75" t="s">
        <v>54</v>
      </c>
      <c r="L612" s="134" t="str">
        <f>IF(AND('331-CT'!$E$7=TH!H612,OR(J612="331",K612="331")),"x","")</f>
        <v/>
      </c>
    </row>
    <row r="613" spans="1:12">
      <c r="A613" s="72">
        <f t="shared" si="25"/>
        <v>2015</v>
      </c>
      <c r="B613" s="72">
        <f t="shared" si="26"/>
        <v>7</v>
      </c>
      <c r="C613" s="73">
        <v>42187</v>
      </c>
      <c r="D613" s="73" t="s">
        <v>17</v>
      </c>
      <c r="E613" s="73">
        <v>42187</v>
      </c>
      <c r="F613" s="76" t="s">
        <v>34</v>
      </c>
      <c r="G613" s="265"/>
      <c r="H613" s="122"/>
      <c r="I613" s="74">
        <v>500000</v>
      </c>
      <c r="J613" s="75" t="s">
        <v>242</v>
      </c>
      <c r="K613" s="75" t="s">
        <v>54</v>
      </c>
      <c r="L613" s="134" t="str">
        <f>IF(AND('331-CT'!$E$7=TH!H613,OR(J613="331",K613="331")),"x","")</f>
        <v/>
      </c>
    </row>
    <row r="614" spans="1:12">
      <c r="A614" s="72">
        <f t="shared" si="25"/>
        <v>2015</v>
      </c>
      <c r="B614" s="72">
        <f t="shared" si="26"/>
        <v>7</v>
      </c>
      <c r="C614" s="73">
        <v>42187</v>
      </c>
      <c r="D614" s="73" t="s">
        <v>17</v>
      </c>
      <c r="E614" s="73">
        <v>42187</v>
      </c>
      <c r="F614" s="76" t="s">
        <v>35</v>
      </c>
      <c r="G614" s="265"/>
      <c r="H614" s="122"/>
      <c r="I614" s="74">
        <v>50000</v>
      </c>
      <c r="J614" s="75" t="s">
        <v>19</v>
      </c>
      <c r="K614" s="75" t="s">
        <v>54</v>
      </c>
      <c r="L614" s="134" t="str">
        <f>IF(AND('331-CT'!$E$7=TH!H614,OR(J614="331",K614="331")),"x","")</f>
        <v/>
      </c>
    </row>
    <row r="615" spans="1:12">
      <c r="A615" s="72">
        <f t="shared" si="25"/>
        <v>2015</v>
      </c>
      <c r="B615" s="72">
        <f t="shared" si="26"/>
        <v>7</v>
      </c>
      <c r="C615" s="73">
        <v>42187</v>
      </c>
      <c r="D615" s="73" t="s">
        <v>78</v>
      </c>
      <c r="E615" s="73">
        <v>42187</v>
      </c>
      <c r="F615" s="76" t="s">
        <v>289</v>
      </c>
      <c r="G615" s="270" t="s">
        <v>573</v>
      </c>
      <c r="H615" s="122" t="s">
        <v>85</v>
      </c>
      <c r="I615" s="74">
        <v>909090909</v>
      </c>
      <c r="J615" s="136" t="s">
        <v>655</v>
      </c>
      <c r="K615" s="75" t="s">
        <v>18</v>
      </c>
      <c r="L615" s="134" t="str">
        <f>IF(AND('331-CT'!$E$7=TH!H615,OR(J615="331",K615="331")),"x","")</f>
        <v/>
      </c>
    </row>
    <row r="616" spans="1:12">
      <c r="A616" s="72">
        <f t="shared" si="25"/>
        <v>2015</v>
      </c>
      <c r="B616" s="72">
        <f t="shared" si="26"/>
        <v>7</v>
      </c>
      <c r="C616" s="73">
        <v>42187</v>
      </c>
      <c r="D616" s="73" t="s">
        <v>78</v>
      </c>
      <c r="E616" s="73">
        <v>42187</v>
      </c>
      <c r="F616" s="76" t="s">
        <v>290</v>
      </c>
      <c r="G616" s="270" t="s">
        <v>573</v>
      </c>
      <c r="H616" s="122" t="s">
        <v>85</v>
      </c>
      <c r="I616" s="74">
        <v>90909091</v>
      </c>
      <c r="J616" s="136" t="s">
        <v>19</v>
      </c>
      <c r="K616" s="75" t="s">
        <v>18</v>
      </c>
      <c r="L616" s="134" t="str">
        <f>IF(AND('331-CT'!$E$7=TH!H616,OR(J616="331",K616="331")),"x","")</f>
        <v/>
      </c>
    </row>
    <row r="617" spans="1:12">
      <c r="A617" s="72">
        <f t="shared" si="25"/>
        <v>2015</v>
      </c>
      <c r="B617" s="72">
        <f t="shared" si="26"/>
        <v>7</v>
      </c>
      <c r="C617" s="73">
        <v>42188</v>
      </c>
      <c r="D617" s="73" t="s">
        <v>17</v>
      </c>
      <c r="E617" s="73">
        <v>42188</v>
      </c>
      <c r="F617" s="76" t="s">
        <v>301</v>
      </c>
      <c r="G617" s="265"/>
      <c r="H617" s="9" t="s">
        <v>190</v>
      </c>
      <c r="I617" s="74">
        <v>250000000</v>
      </c>
      <c r="J617" s="75" t="s">
        <v>18</v>
      </c>
      <c r="K617" s="75" t="s">
        <v>54</v>
      </c>
      <c r="L617" s="134" t="str">
        <f>IF(AND('331-CT'!$E$7=TH!H617,OR(J617="331",K617="331")),"x","")</f>
        <v>x</v>
      </c>
    </row>
    <row r="618" spans="1:12">
      <c r="A618" s="72">
        <f t="shared" si="25"/>
        <v>2015</v>
      </c>
      <c r="B618" s="72">
        <f t="shared" si="26"/>
        <v>7</v>
      </c>
      <c r="C618" s="73">
        <v>42188</v>
      </c>
      <c r="D618" s="73" t="s">
        <v>17</v>
      </c>
      <c r="E618" s="73">
        <v>42188</v>
      </c>
      <c r="F618" s="76" t="s">
        <v>34</v>
      </c>
      <c r="G618" s="265"/>
      <c r="H618" s="122"/>
      <c r="I618" s="74">
        <v>125000</v>
      </c>
      <c r="J618" s="75" t="s">
        <v>242</v>
      </c>
      <c r="K618" s="75" t="s">
        <v>54</v>
      </c>
      <c r="L618" s="134" t="str">
        <f>IF(AND('331-CT'!$E$7=TH!H618,OR(J618="331",K618="331")),"x","")</f>
        <v/>
      </c>
    </row>
    <row r="619" spans="1:12">
      <c r="A619" s="72">
        <f t="shared" si="25"/>
        <v>2015</v>
      </c>
      <c r="B619" s="72">
        <f t="shared" si="26"/>
        <v>7</v>
      </c>
      <c r="C619" s="73">
        <v>42188</v>
      </c>
      <c r="D619" s="73" t="s">
        <v>17</v>
      </c>
      <c r="E619" s="73">
        <v>42188</v>
      </c>
      <c r="F619" s="76" t="s">
        <v>35</v>
      </c>
      <c r="G619" s="265"/>
      <c r="H619" s="122"/>
      <c r="I619" s="74">
        <v>12500</v>
      </c>
      <c r="J619" s="75" t="s">
        <v>19</v>
      </c>
      <c r="K619" s="75" t="s">
        <v>54</v>
      </c>
      <c r="L619" s="134" t="str">
        <f>IF(AND('331-CT'!$E$7=TH!H619,OR(J619="331",K619="331")),"x","")</f>
        <v/>
      </c>
    </row>
    <row r="620" spans="1:12" ht="13.5" customHeight="1">
      <c r="A620" s="72">
        <f t="shared" si="25"/>
        <v>2015</v>
      </c>
      <c r="B620" s="72">
        <f t="shared" si="26"/>
        <v>7</v>
      </c>
      <c r="C620" s="73">
        <v>42188</v>
      </c>
      <c r="D620" s="73" t="s">
        <v>17</v>
      </c>
      <c r="E620" s="73">
        <v>42188</v>
      </c>
      <c r="F620" s="76" t="s">
        <v>307</v>
      </c>
      <c r="G620" s="265"/>
      <c r="H620" s="9" t="s">
        <v>312</v>
      </c>
      <c r="I620" s="74">
        <v>21610454</v>
      </c>
      <c r="J620" s="75" t="s">
        <v>18</v>
      </c>
      <c r="K620" s="75" t="s">
        <v>54</v>
      </c>
      <c r="L620" s="134" t="str">
        <f>IF(AND('331-CT'!$E$7=TH!H620,OR(J620="331",K620="331")),"x","")</f>
        <v/>
      </c>
    </row>
    <row r="621" spans="1:12">
      <c r="A621" s="72">
        <f t="shared" si="25"/>
        <v>2015</v>
      </c>
      <c r="B621" s="72">
        <f t="shared" si="26"/>
        <v>7</v>
      </c>
      <c r="C621" s="73">
        <v>42191</v>
      </c>
      <c r="D621" s="73" t="s">
        <v>133</v>
      </c>
      <c r="E621" s="73">
        <v>42191</v>
      </c>
      <c r="F621" s="93" t="s">
        <v>576</v>
      </c>
      <c r="G621" s="265"/>
      <c r="H621" s="122" t="s">
        <v>308</v>
      </c>
      <c r="I621" s="74">
        <v>500000000</v>
      </c>
      <c r="J621" s="75" t="s">
        <v>54</v>
      </c>
      <c r="K621" s="75" t="s">
        <v>203</v>
      </c>
      <c r="L621" s="134" t="str">
        <f>IF(AND('331-CT'!$E$7=TH!H621,OR(J621="331",K621="331")),"x","")</f>
        <v/>
      </c>
    </row>
    <row r="622" spans="1:12">
      <c r="A622" s="72">
        <f t="shared" si="25"/>
        <v>2015</v>
      </c>
      <c r="B622" s="72">
        <f t="shared" si="26"/>
        <v>7</v>
      </c>
      <c r="C622" s="73">
        <v>42193</v>
      </c>
      <c r="D622" s="73" t="s">
        <v>134</v>
      </c>
      <c r="E622" s="73">
        <v>42193</v>
      </c>
      <c r="F622" s="76" t="s">
        <v>338</v>
      </c>
      <c r="G622" s="270" t="s">
        <v>539</v>
      </c>
      <c r="H622" s="122" t="s">
        <v>339</v>
      </c>
      <c r="I622" s="74">
        <v>2400000</v>
      </c>
      <c r="J622" s="75" t="s">
        <v>655</v>
      </c>
      <c r="K622" s="75" t="s">
        <v>203</v>
      </c>
      <c r="L622" s="134" t="str">
        <f>IF(AND('331-CT'!$E$7=TH!H622,OR(J622="331",K622="331")),"x","")</f>
        <v/>
      </c>
    </row>
    <row r="623" spans="1:12">
      <c r="A623" s="72">
        <f t="shared" si="25"/>
        <v>2015</v>
      </c>
      <c r="B623" s="72">
        <f t="shared" si="26"/>
        <v>7</v>
      </c>
      <c r="C623" s="73">
        <v>42193</v>
      </c>
      <c r="D623" s="73" t="s">
        <v>135</v>
      </c>
      <c r="E623" s="73">
        <v>42193</v>
      </c>
      <c r="F623" s="76" t="s">
        <v>340</v>
      </c>
      <c r="G623" s="270" t="s">
        <v>540</v>
      </c>
      <c r="H623" s="122" t="s">
        <v>280</v>
      </c>
      <c r="I623" s="74">
        <v>38267</v>
      </c>
      <c r="J623" s="75" t="s">
        <v>242</v>
      </c>
      <c r="K623" s="75" t="s">
        <v>203</v>
      </c>
      <c r="L623" s="134" t="str">
        <f>IF(AND('331-CT'!$E$7=TH!H623,OR(J623="331",K623="331")),"x","")</f>
        <v/>
      </c>
    </row>
    <row r="624" spans="1:12">
      <c r="A624" s="72">
        <f t="shared" si="25"/>
        <v>2015</v>
      </c>
      <c r="B624" s="72">
        <f t="shared" si="26"/>
        <v>7</v>
      </c>
      <c r="C624" s="73">
        <v>42193</v>
      </c>
      <c r="D624" s="73" t="s">
        <v>135</v>
      </c>
      <c r="E624" s="73">
        <v>42193</v>
      </c>
      <c r="F624" s="76" t="s">
        <v>341</v>
      </c>
      <c r="G624" s="270" t="s">
        <v>540</v>
      </c>
      <c r="H624" s="122" t="s">
        <v>280</v>
      </c>
      <c r="I624" s="74">
        <v>3827</v>
      </c>
      <c r="J624" s="75" t="s">
        <v>19</v>
      </c>
      <c r="K624" s="75" t="s">
        <v>203</v>
      </c>
      <c r="L624" s="134" t="str">
        <f>IF(AND('331-CT'!$E$7=TH!H624,OR(J624="331",K624="331")),"x","")</f>
        <v/>
      </c>
    </row>
    <row r="625" spans="1:12">
      <c r="A625" s="72">
        <f t="shared" si="25"/>
        <v>2015</v>
      </c>
      <c r="B625" s="72">
        <f t="shared" si="26"/>
        <v>7</v>
      </c>
      <c r="C625" s="73">
        <v>42193</v>
      </c>
      <c r="D625" s="73" t="s">
        <v>135</v>
      </c>
      <c r="E625" s="73">
        <v>42193</v>
      </c>
      <c r="F625" s="76" t="s">
        <v>342</v>
      </c>
      <c r="G625" s="270" t="s">
        <v>541</v>
      </c>
      <c r="H625" s="122" t="s">
        <v>280</v>
      </c>
      <c r="I625" s="74">
        <v>15300</v>
      </c>
      <c r="J625" s="75" t="s">
        <v>242</v>
      </c>
      <c r="K625" s="75" t="s">
        <v>203</v>
      </c>
      <c r="L625" s="134" t="str">
        <f>IF(AND('331-CT'!$E$7=TH!H625,OR(J625="331",K625="331")),"x","")</f>
        <v/>
      </c>
    </row>
    <row r="626" spans="1:12">
      <c r="A626" s="72">
        <f t="shared" si="25"/>
        <v>2015</v>
      </c>
      <c r="B626" s="72">
        <f t="shared" si="26"/>
        <v>7</v>
      </c>
      <c r="C626" s="73">
        <v>42193</v>
      </c>
      <c r="D626" s="73" t="s">
        <v>135</v>
      </c>
      <c r="E626" s="73">
        <v>42193</v>
      </c>
      <c r="F626" s="76" t="s">
        <v>343</v>
      </c>
      <c r="G626" s="270" t="s">
        <v>541</v>
      </c>
      <c r="H626" s="122" t="s">
        <v>280</v>
      </c>
      <c r="I626" s="74">
        <v>1530</v>
      </c>
      <c r="J626" s="75" t="s">
        <v>19</v>
      </c>
      <c r="K626" s="75" t="s">
        <v>203</v>
      </c>
      <c r="L626" s="134" t="str">
        <f>IF(AND('331-CT'!$E$7=TH!H626,OR(J626="331",K626="331")),"x","")</f>
        <v/>
      </c>
    </row>
    <row r="627" spans="1:12">
      <c r="A627" s="72">
        <f t="shared" si="25"/>
        <v>2015</v>
      </c>
      <c r="B627" s="72">
        <f t="shared" si="26"/>
        <v>7</v>
      </c>
      <c r="C627" s="73">
        <v>42193</v>
      </c>
      <c r="D627" s="73" t="s">
        <v>135</v>
      </c>
      <c r="E627" s="73">
        <v>42193</v>
      </c>
      <c r="F627" s="76" t="s">
        <v>344</v>
      </c>
      <c r="G627" s="270" t="s">
        <v>542</v>
      </c>
      <c r="H627" s="122" t="s">
        <v>280</v>
      </c>
      <c r="I627" s="74">
        <v>133000</v>
      </c>
      <c r="J627" s="75" t="s">
        <v>242</v>
      </c>
      <c r="K627" s="75" t="s">
        <v>203</v>
      </c>
      <c r="L627" s="134" t="str">
        <f>IF(AND('331-CT'!$E$7=TH!H627,OR(J627="331",K627="331")),"x","")</f>
        <v/>
      </c>
    </row>
    <row r="628" spans="1:12">
      <c r="A628" s="72">
        <f t="shared" si="25"/>
        <v>2015</v>
      </c>
      <c r="B628" s="72">
        <f t="shared" si="26"/>
        <v>7</v>
      </c>
      <c r="C628" s="73">
        <v>42193</v>
      </c>
      <c r="D628" s="73" t="s">
        <v>135</v>
      </c>
      <c r="E628" s="73">
        <v>42193</v>
      </c>
      <c r="F628" s="76" t="s">
        <v>345</v>
      </c>
      <c r="G628" s="270" t="s">
        <v>542</v>
      </c>
      <c r="H628" s="122" t="s">
        <v>280</v>
      </c>
      <c r="I628" s="74">
        <v>13300</v>
      </c>
      <c r="J628" s="75" t="s">
        <v>19</v>
      </c>
      <c r="K628" s="75" t="s">
        <v>203</v>
      </c>
      <c r="L628" s="134" t="str">
        <f>IF(AND('331-CT'!$E$7=TH!H628,OR(J628="331",K628="331")),"x","")</f>
        <v/>
      </c>
    </row>
    <row r="629" spans="1:12">
      <c r="A629" s="72">
        <f t="shared" si="25"/>
        <v>2015</v>
      </c>
      <c r="B629" s="72">
        <f t="shared" si="26"/>
        <v>7</v>
      </c>
      <c r="C629" s="73">
        <v>42193</v>
      </c>
      <c r="D629" s="73" t="s">
        <v>78</v>
      </c>
      <c r="E629" s="73">
        <v>42193</v>
      </c>
      <c r="F629" s="76" t="s">
        <v>328</v>
      </c>
      <c r="G629" s="265" t="s">
        <v>327</v>
      </c>
      <c r="H629" s="9" t="s">
        <v>305</v>
      </c>
      <c r="I629" s="74">
        <v>136478605</v>
      </c>
      <c r="J629" s="75" t="s">
        <v>655</v>
      </c>
      <c r="K629" s="75" t="s">
        <v>18</v>
      </c>
      <c r="L629" s="134" t="str">
        <f>IF(AND('331-CT'!$E$7=TH!H629,OR(J629="331",K629="331")),"x","")</f>
        <v/>
      </c>
    </row>
    <row r="630" spans="1:12">
      <c r="A630" s="72">
        <f t="shared" si="25"/>
        <v>2015</v>
      </c>
      <c r="B630" s="72">
        <f t="shared" si="26"/>
        <v>7</v>
      </c>
      <c r="C630" s="73">
        <v>42193</v>
      </c>
      <c r="D630" s="73" t="s">
        <v>78</v>
      </c>
      <c r="E630" s="73">
        <v>42193</v>
      </c>
      <c r="F630" s="76" t="s">
        <v>329</v>
      </c>
      <c r="G630" s="265" t="s">
        <v>327</v>
      </c>
      <c r="H630" s="9" t="s">
        <v>305</v>
      </c>
      <c r="I630" s="74">
        <v>13647861</v>
      </c>
      <c r="J630" s="75" t="s">
        <v>19</v>
      </c>
      <c r="K630" s="75" t="s">
        <v>18</v>
      </c>
      <c r="L630" s="134" t="str">
        <f>IF(AND('331-CT'!$E$7=TH!H630,OR(J630="331",K630="331")),"x","")</f>
        <v/>
      </c>
    </row>
    <row r="631" spans="1:12">
      <c r="A631" s="72">
        <f t="shared" si="25"/>
        <v>2015</v>
      </c>
      <c r="B631" s="72">
        <f t="shared" si="26"/>
        <v>7</v>
      </c>
      <c r="C631" s="73">
        <v>42193</v>
      </c>
      <c r="D631" s="73" t="s">
        <v>78</v>
      </c>
      <c r="E631" s="73">
        <v>42193</v>
      </c>
      <c r="F631" s="76" t="s">
        <v>603</v>
      </c>
      <c r="G631" s="265"/>
      <c r="H631" s="9" t="s">
        <v>305</v>
      </c>
      <c r="I631" s="74">
        <v>327600</v>
      </c>
      <c r="J631" s="75" t="s">
        <v>242</v>
      </c>
      <c r="K631" s="75" t="s">
        <v>18</v>
      </c>
      <c r="L631" s="134" t="str">
        <f>IF(AND('331-CT'!$E$7=TH!H631,OR(J631="331",K631="331")),"x","")</f>
        <v/>
      </c>
    </row>
    <row r="632" spans="1:12">
      <c r="A632" s="72">
        <f t="shared" si="25"/>
        <v>2015</v>
      </c>
      <c r="B632" s="72">
        <f t="shared" si="26"/>
        <v>7</v>
      </c>
      <c r="C632" s="73">
        <v>42194</v>
      </c>
      <c r="D632" s="73" t="s">
        <v>17</v>
      </c>
      <c r="E632" s="73">
        <v>42194</v>
      </c>
      <c r="F632" s="76" t="s">
        <v>415</v>
      </c>
      <c r="G632" s="265"/>
      <c r="H632" s="122" t="s">
        <v>751</v>
      </c>
      <c r="I632" s="74">
        <v>105126466</v>
      </c>
      <c r="J632" s="75" t="s">
        <v>212</v>
      </c>
      <c r="K632" s="75" t="s">
        <v>54</v>
      </c>
      <c r="L632" s="134" t="str">
        <f>IF(AND('331-CT'!$E$7=TH!H632,OR(J632="331",K632="331")),"x","")</f>
        <v/>
      </c>
    </row>
    <row r="633" spans="1:12">
      <c r="A633" s="72">
        <f t="shared" si="25"/>
        <v>2015</v>
      </c>
      <c r="B633" s="72">
        <f t="shared" si="26"/>
        <v>7</v>
      </c>
      <c r="C633" s="73">
        <v>42194</v>
      </c>
      <c r="D633" s="73" t="s">
        <v>17</v>
      </c>
      <c r="E633" s="73">
        <v>42194</v>
      </c>
      <c r="F633" s="76" t="s">
        <v>423</v>
      </c>
      <c r="G633" s="265"/>
      <c r="H633" s="122"/>
      <c r="I633" s="74">
        <v>327600</v>
      </c>
      <c r="J633" s="75" t="s">
        <v>242</v>
      </c>
      <c r="K633" s="75" t="s">
        <v>54</v>
      </c>
      <c r="L633" s="134" t="str">
        <f>IF(AND('331-CT'!$E$7=TH!H633,OR(J633="331",K633="331")),"x","")</f>
        <v/>
      </c>
    </row>
    <row r="634" spans="1:12">
      <c r="A634" s="72">
        <f t="shared" si="25"/>
        <v>2015</v>
      </c>
      <c r="B634" s="72">
        <f t="shared" si="26"/>
        <v>7</v>
      </c>
      <c r="C634" s="73">
        <v>42195</v>
      </c>
      <c r="D634" s="73" t="s">
        <v>17</v>
      </c>
      <c r="E634" s="73">
        <v>42195</v>
      </c>
      <c r="F634" s="76" t="s">
        <v>301</v>
      </c>
      <c r="G634" s="265"/>
      <c r="H634" s="9" t="s">
        <v>305</v>
      </c>
      <c r="I634" s="74">
        <v>105454066</v>
      </c>
      <c r="J634" s="75" t="s">
        <v>18</v>
      </c>
      <c r="K634" s="75" t="s">
        <v>54</v>
      </c>
      <c r="L634" s="134" t="str">
        <f>IF(AND('331-CT'!$E$7=TH!H634,OR(J634="331",K634="331")),"x","")</f>
        <v/>
      </c>
    </row>
    <row r="635" spans="1:12">
      <c r="A635" s="72">
        <f t="shared" si="25"/>
        <v>2015</v>
      </c>
      <c r="B635" s="72">
        <f t="shared" si="26"/>
        <v>7</v>
      </c>
      <c r="C635" s="73">
        <v>42195</v>
      </c>
      <c r="D635" s="73" t="s">
        <v>17</v>
      </c>
      <c r="E635" s="73">
        <v>42195</v>
      </c>
      <c r="F635" s="76" t="s">
        <v>34</v>
      </c>
      <c r="G635" s="265"/>
      <c r="H635" s="9"/>
      <c r="I635" s="74">
        <v>31636</v>
      </c>
      <c r="J635" s="75" t="s">
        <v>242</v>
      </c>
      <c r="K635" s="75" t="s">
        <v>54</v>
      </c>
      <c r="L635" s="134" t="str">
        <f>IF(AND('331-CT'!$E$7=TH!H635,OR(J635="331",K635="331")),"x","")</f>
        <v/>
      </c>
    </row>
    <row r="636" spans="1:12">
      <c r="A636" s="72">
        <f t="shared" si="25"/>
        <v>2015</v>
      </c>
      <c r="B636" s="72">
        <f t="shared" si="26"/>
        <v>7</v>
      </c>
      <c r="C636" s="73">
        <v>42195</v>
      </c>
      <c r="D636" s="73" t="s">
        <v>17</v>
      </c>
      <c r="E636" s="73">
        <v>42195</v>
      </c>
      <c r="F636" s="76" t="s">
        <v>35</v>
      </c>
      <c r="G636" s="265"/>
      <c r="H636" s="9"/>
      <c r="I636" s="74">
        <v>3164</v>
      </c>
      <c r="J636" s="75" t="s">
        <v>19</v>
      </c>
      <c r="K636" s="75" t="s">
        <v>54</v>
      </c>
      <c r="L636" s="134" t="str">
        <f>IF(AND('331-CT'!$E$7=TH!H636,OR(J636="331",K636="331")),"x","")</f>
        <v/>
      </c>
    </row>
    <row r="637" spans="1:12">
      <c r="A637" s="72">
        <f t="shared" si="25"/>
        <v>2015</v>
      </c>
      <c r="B637" s="72">
        <f t="shared" si="26"/>
        <v>7</v>
      </c>
      <c r="C637" s="73">
        <v>42195</v>
      </c>
      <c r="D637" s="73" t="s">
        <v>17</v>
      </c>
      <c r="E637" s="73">
        <v>42195</v>
      </c>
      <c r="F637" s="76" t="s">
        <v>301</v>
      </c>
      <c r="G637" s="265"/>
      <c r="H637" s="9" t="s">
        <v>300</v>
      </c>
      <c r="I637" s="74">
        <v>55297700</v>
      </c>
      <c r="J637" s="75" t="s">
        <v>18</v>
      </c>
      <c r="K637" s="75" t="s">
        <v>54</v>
      </c>
      <c r="L637" s="134" t="str">
        <f>IF(AND('331-CT'!$E$7=TH!H637,OR(J637="331",K637="331")),"x","")</f>
        <v/>
      </c>
    </row>
    <row r="638" spans="1:12">
      <c r="A638" s="72">
        <f t="shared" si="25"/>
        <v>2015</v>
      </c>
      <c r="B638" s="72">
        <f t="shared" si="26"/>
        <v>7</v>
      </c>
      <c r="C638" s="73">
        <v>42195</v>
      </c>
      <c r="D638" s="73" t="s">
        <v>17</v>
      </c>
      <c r="E638" s="73">
        <v>42195</v>
      </c>
      <c r="F638" s="76" t="s">
        <v>34</v>
      </c>
      <c r="G638" s="265"/>
      <c r="H638" s="122"/>
      <c r="I638" s="74">
        <v>20000</v>
      </c>
      <c r="J638" s="75" t="s">
        <v>242</v>
      </c>
      <c r="K638" s="75" t="s">
        <v>54</v>
      </c>
      <c r="L638" s="134" t="str">
        <f>IF(AND('331-CT'!$E$7=TH!H638,OR(J638="331",K638="331")),"x","")</f>
        <v/>
      </c>
    </row>
    <row r="639" spans="1:12">
      <c r="A639" s="72">
        <f t="shared" si="25"/>
        <v>2015</v>
      </c>
      <c r="B639" s="72">
        <f t="shared" si="26"/>
        <v>7</v>
      </c>
      <c r="C639" s="73">
        <v>42195</v>
      </c>
      <c r="D639" s="73" t="s">
        <v>17</v>
      </c>
      <c r="E639" s="73">
        <v>42195</v>
      </c>
      <c r="F639" s="76" t="s">
        <v>35</v>
      </c>
      <c r="G639" s="265"/>
      <c r="H639" s="122"/>
      <c r="I639" s="74">
        <v>2000</v>
      </c>
      <c r="J639" s="75" t="s">
        <v>19</v>
      </c>
      <c r="K639" s="75" t="s">
        <v>54</v>
      </c>
      <c r="L639" s="134" t="str">
        <f>IF(AND('331-CT'!$E$7=TH!H639,OR(J639="331",K639="331")),"x","")</f>
        <v/>
      </c>
    </row>
    <row r="640" spans="1:12">
      <c r="A640" s="72">
        <f t="shared" si="25"/>
        <v>2015</v>
      </c>
      <c r="B640" s="72">
        <f t="shared" si="26"/>
        <v>7</v>
      </c>
      <c r="C640" s="73">
        <v>42195</v>
      </c>
      <c r="D640" s="73" t="s">
        <v>21</v>
      </c>
      <c r="E640" s="73">
        <v>42195</v>
      </c>
      <c r="F640" s="76" t="s">
        <v>416</v>
      </c>
      <c r="G640" s="265"/>
      <c r="H640" s="122" t="s">
        <v>417</v>
      </c>
      <c r="I640" s="74">
        <v>1500000000</v>
      </c>
      <c r="J640" s="75" t="s">
        <v>54</v>
      </c>
      <c r="K640" s="75" t="s">
        <v>227</v>
      </c>
      <c r="L640" s="134" t="str">
        <f>IF(AND('331-CT'!$E$7=TH!H640,OR(J640="331",K640="331")),"x","")</f>
        <v/>
      </c>
    </row>
    <row r="641" spans="1:12">
      <c r="A641" s="72">
        <f t="shared" si="25"/>
        <v>2015</v>
      </c>
      <c r="B641" s="72">
        <f t="shared" si="26"/>
        <v>7</v>
      </c>
      <c r="C641" s="73">
        <v>42198</v>
      </c>
      <c r="D641" s="73" t="s">
        <v>17</v>
      </c>
      <c r="E641" s="73">
        <v>42198</v>
      </c>
      <c r="F641" s="76" t="s">
        <v>301</v>
      </c>
      <c r="G641" s="265"/>
      <c r="H641" s="9" t="s">
        <v>269</v>
      </c>
      <c r="I641" s="74">
        <v>500000000</v>
      </c>
      <c r="J641" s="75" t="s">
        <v>18</v>
      </c>
      <c r="K641" s="75" t="s">
        <v>54</v>
      </c>
      <c r="L641" s="134" t="str">
        <f>IF(AND('331-CT'!$E$7=TH!H641,OR(J641="331",K641="331")),"x","")</f>
        <v/>
      </c>
    </row>
    <row r="642" spans="1:12">
      <c r="A642" s="72">
        <f t="shared" si="25"/>
        <v>2015</v>
      </c>
      <c r="B642" s="72">
        <f t="shared" si="26"/>
        <v>7</v>
      </c>
      <c r="C642" s="73">
        <v>42198</v>
      </c>
      <c r="D642" s="73" t="s">
        <v>17</v>
      </c>
      <c r="E642" s="73">
        <v>42198</v>
      </c>
      <c r="F642" s="76" t="s">
        <v>34</v>
      </c>
      <c r="G642" s="265"/>
      <c r="H642" s="122"/>
      <c r="I642" s="74">
        <v>250000</v>
      </c>
      <c r="J642" s="75" t="s">
        <v>242</v>
      </c>
      <c r="K642" s="75" t="s">
        <v>54</v>
      </c>
      <c r="L642" s="134" t="str">
        <f>IF(AND('331-CT'!$E$7=TH!H642,OR(J642="331",K642="331")),"x","")</f>
        <v/>
      </c>
    </row>
    <row r="643" spans="1:12">
      <c r="A643" s="72">
        <f t="shared" si="25"/>
        <v>2015</v>
      </c>
      <c r="B643" s="72">
        <f t="shared" si="26"/>
        <v>7</v>
      </c>
      <c r="C643" s="73">
        <v>42198</v>
      </c>
      <c r="D643" s="73" t="s">
        <v>17</v>
      </c>
      <c r="E643" s="73">
        <v>42198</v>
      </c>
      <c r="F643" s="76" t="s">
        <v>35</v>
      </c>
      <c r="G643" s="265"/>
      <c r="H643" s="122"/>
      <c r="I643" s="74">
        <v>25000</v>
      </c>
      <c r="J643" s="75" t="s">
        <v>19</v>
      </c>
      <c r="K643" s="75" t="s">
        <v>54</v>
      </c>
      <c r="L643" s="134" t="str">
        <f>IF(AND('331-CT'!$E$7=TH!H643,OR(J643="331",K643="331")),"x","")</f>
        <v/>
      </c>
    </row>
    <row r="644" spans="1:12">
      <c r="A644" s="72">
        <f t="shared" si="25"/>
        <v>2015</v>
      </c>
      <c r="B644" s="72">
        <f t="shared" si="26"/>
        <v>7</v>
      </c>
      <c r="C644" s="73">
        <v>42198</v>
      </c>
      <c r="D644" s="73" t="s">
        <v>17</v>
      </c>
      <c r="E644" s="73">
        <v>42198</v>
      </c>
      <c r="F644" s="76" t="s">
        <v>301</v>
      </c>
      <c r="G644" s="265"/>
      <c r="H644" s="9" t="s">
        <v>172</v>
      </c>
      <c r="I644" s="74">
        <v>100000000</v>
      </c>
      <c r="J644" s="75" t="s">
        <v>18</v>
      </c>
      <c r="K644" s="75" t="s">
        <v>54</v>
      </c>
      <c r="L644" s="134" t="str">
        <f>IF(AND('331-CT'!$E$7=TH!H644,OR(J644="331",K644="331")),"x","")</f>
        <v/>
      </c>
    </row>
    <row r="645" spans="1:12">
      <c r="A645" s="72">
        <f t="shared" si="25"/>
        <v>2015</v>
      </c>
      <c r="B645" s="72">
        <f t="shared" si="26"/>
        <v>7</v>
      </c>
      <c r="C645" s="73">
        <v>42198</v>
      </c>
      <c r="D645" s="73" t="s">
        <v>17</v>
      </c>
      <c r="E645" s="73">
        <v>42198</v>
      </c>
      <c r="F645" s="76" t="s">
        <v>34</v>
      </c>
      <c r="G645" s="265"/>
      <c r="H645" s="122"/>
      <c r="I645" s="74">
        <v>50000</v>
      </c>
      <c r="J645" s="75" t="s">
        <v>242</v>
      </c>
      <c r="K645" s="75" t="s">
        <v>54</v>
      </c>
      <c r="L645" s="134" t="str">
        <f>IF(AND('331-CT'!$E$7=TH!H645,OR(J645="331",K645="331")),"x","")</f>
        <v/>
      </c>
    </row>
    <row r="646" spans="1:12">
      <c r="A646" s="72">
        <f t="shared" si="25"/>
        <v>2015</v>
      </c>
      <c r="B646" s="72">
        <f t="shared" si="26"/>
        <v>7</v>
      </c>
      <c r="C646" s="73">
        <v>42198</v>
      </c>
      <c r="D646" s="73" t="s">
        <v>17</v>
      </c>
      <c r="E646" s="73">
        <v>42198</v>
      </c>
      <c r="F646" s="76" t="s">
        <v>35</v>
      </c>
      <c r="G646" s="265"/>
      <c r="H646" s="122"/>
      <c r="I646" s="74">
        <v>5000</v>
      </c>
      <c r="J646" s="75" t="s">
        <v>19</v>
      </c>
      <c r="K646" s="75" t="s">
        <v>54</v>
      </c>
      <c r="L646" s="134" t="str">
        <f>IF(AND('331-CT'!$E$7=TH!H646,OR(J646="331",K646="331")),"x","")</f>
        <v/>
      </c>
    </row>
    <row r="647" spans="1:12">
      <c r="A647" s="72">
        <f t="shared" si="25"/>
        <v>2015</v>
      </c>
      <c r="B647" s="72">
        <f t="shared" si="26"/>
        <v>7</v>
      </c>
      <c r="C647" s="73">
        <v>42199</v>
      </c>
      <c r="D647" s="73" t="s">
        <v>17</v>
      </c>
      <c r="E647" s="73">
        <v>42199</v>
      </c>
      <c r="F647" s="76" t="s">
        <v>301</v>
      </c>
      <c r="G647" s="265"/>
      <c r="H647" s="9" t="s">
        <v>138</v>
      </c>
      <c r="I647" s="74">
        <v>500000000</v>
      </c>
      <c r="J647" s="75" t="s">
        <v>18</v>
      </c>
      <c r="K647" s="75" t="s">
        <v>54</v>
      </c>
      <c r="L647" s="134" t="str">
        <f>IF(AND('331-CT'!$E$7=TH!H647,OR(J647="331",K647="331")),"x","")</f>
        <v/>
      </c>
    </row>
    <row r="648" spans="1:12">
      <c r="A648" s="72">
        <f t="shared" si="25"/>
        <v>2015</v>
      </c>
      <c r="B648" s="72">
        <f t="shared" si="26"/>
        <v>7</v>
      </c>
      <c r="C648" s="73">
        <v>42199</v>
      </c>
      <c r="D648" s="73" t="s">
        <v>17</v>
      </c>
      <c r="E648" s="73">
        <v>42199</v>
      </c>
      <c r="F648" s="76" t="s">
        <v>34</v>
      </c>
      <c r="G648" s="265"/>
      <c r="H648" s="122"/>
      <c r="I648" s="74">
        <v>150000</v>
      </c>
      <c r="J648" s="75" t="s">
        <v>242</v>
      </c>
      <c r="K648" s="75" t="s">
        <v>54</v>
      </c>
      <c r="L648" s="134" t="str">
        <f>IF(AND('331-CT'!$E$7=TH!H648,OR(J648="331",K648="331")),"x","")</f>
        <v/>
      </c>
    </row>
    <row r="649" spans="1:12">
      <c r="A649" s="72">
        <f t="shared" si="25"/>
        <v>2015</v>
      </c>
      <c r="B649" s="72">
        <f t="shared" si="26"/>
        <v>7</v>
      </c>
      <c r="C649" s="73">
        <v>42199</v>
      </c>
      <c r="D649" s="73" t="s">
        <v>17</v>
      </c>
      <c r="E649" s="73">
        <v>42199</v>
      </c>
      <c r="F649" s="76" t="s">
        <v>35</v>
      </c>
      <c r="G649" s="265"/>
      <c r="H649" s="122"/>
      <c r="I649" s="74">
        <v>15000</v>
      </c>
      <c r="J649" s="75" t="s">
        <v>19</v>
      </c>
      <c r="K649" s="75" t="s">
        <v>54</v>
      </c>
      <c r="L649" s="134" t="str">
        <f>IF(AND('331-CT'!$E$7=TH!H649,OR(J649="331",K649="331")),"x","")</f>
        <v/>
      </c>
    </row>
    <row r="650" spans="1:12">
      <c r="A650" s="72">
        <f t="shared" si="25"/>
        <v>2015</v>
      </c>
      <c r="B650" s="72">
        <f t="shared" si="26"/>
        <v>7</v>
      </c>
      <c r="C650" s="73">
        <v>42199</v>
      </c>
      <c r="D650" s="73" t="s">
        <v>17</v>
      </c>
      <c r="E650" s="73">
        <v>42199</v>
      </c>
      <c r="F650" s="76" t="s">
        <v>301</v>
      </c>
      <c r="G650" s="265"/>
      <c r="H650" s="9" t="s">
        <v>111</v>
      </c>
      <c r="I650" s="74">
        <v>400000000</v>
      </c>
      <c r="J650" s="75" t="s">
        <v>18</v>
      </c>
      <c r="K650" s="75" t="s">
        <v>54</v>
      </c>
      <c r="L650" s="134" t="str">
        <f>IF(AND('331-CT'!$E$7=TH!H650,OR(J650="331",K650="331")),"x","")</f>
        <v/>
      </c>
    </row>
    <row r="651" spans="1:12">
      <c r="A651" s="72">
        <f t="shared" si="25"/>
        <v>2015</v>
      </c>
      <c r="B651" s="72">
        <f t="shared" si="26"/>
        <v>7</v>
      </c>
      <c r="C651" s="73">
        <v>42199</v>
      </c>
      <c r="D651" s="73" t="s">
        <v>17</v>
      </c>
      <c r="E651" s="73">
        <v>42199</v>
      </c>
      <c r="F651" s="76" t="s">
        <v>34</v>
      </c>
      <c r="G651" s="265"/>
      <c r="H651" s="122"/>
      <c r="I651" s="74">
        <v>120000</v>
      </c>
      <c r="J651" s="75" t="s">
        <v>242</v>
      </c>
      <c r="K651" s="75" t="s">
        <v>54</v>
      </c>
      <c r="L651" s="134" t="str">
        <f>IF(AND('331-CT'!$E$7=TH!H651,OR(J651="331",K651="331")),"x","")</f>
        <v/>
      </c>
    </row>
    <row r="652" spans="1:12">
      <c r="A652" s="72">
        <f t="shared" si="25"/>
        <v>2015</v>
      </c>
      <c r="B652" s="72">
        <f t="shared" si="26"/>
        <v>7</v>
      </c>
      <c r="C652" s="73">
        <v>42199</v>
      </c>
      <c r="D652" s="73" t="s">
        <v>17</v>
      </c>
      <c r="E652" s="73">
        <v>42199</v>
      </c>
      <c r="F652" s="76" t="s">
        <v>35</v>
      </c>
      <c r="G652" s="265"/>
      <c r="H652" s="122"/>
      <c r="I652" s="74">
        <v>12000</v>
      </c>
      <c r="J652" s="75" t="s">
        <v>19</v>
      </c>
      <c r="K652" s="75" t="s">
        <v>54</v>
      </c>
      <c r="L652" s="134" t="str">
        <f>IF(AND('331-CT'!$E$7=TH!H652,OR(J652="331",K652="331")),"x","")</f>
        <v/>
      </c>
    </row>
    <row r="653" spans="1:12">
      <c r="A653" s="72">
        <f t="shared" si="25"/>
        <v>2015</v>
      </c>
      <c r="B653" s="72">
        <f t="shared" si="26"/>
        <v>7</v>
      </c>
      <c r="C653" s="73">
        <v>42201</v>
      </c>
      <c r="D653" s="73" t="s">
        <v>154</v>
      </c>
      <c r="E653" s="73">
        <v>42201</v>
      </c>
      <c r="F653" s="76" t="s">
        <v>338</v>
      </c>
      <c r="G653" s="270" t="s">
        <v>543</v>
      </c>
      <c r="H653" s="122" t="s">
        <v>339</v>
      </c>
      <c r="I653" s="74">
        <v>1200000</v>
      </c>
      <c r="J653" s="75" t="s">
        <v>655</v>
      </c>
      <c r="K653" s="75" t="s">
        <v>203</v>
      </c>
      <c r="L653" s="134" t="str">
        <f>IF(AND('331-CT'!$E$7=TH!H653,OR(J653="331",K653="331")),"x","")</f>
        <v/>
      </c>
    </row>
    <row r="654" spans="1:12">
      <c r="A654" s="72">
        <f t="shared" si="25"/>
        <v>2015</v>
      </c>
      <c r="B654" s="72">
        <f t="shared" si="26"/>
        <v>7</v>
      </c>
      <c r="C654" s="73">
        <v>42203</v>
      </c>
      <c r="D654" s="73" t="s">
        <v>78</v>
      </c>
      <c r="E654" s="73">
        <v>42203</v>
      </c>
      <c r="F654" s="76" t="s">
        <v>353</v>
      </c>
      <c r="G654" s="265" t="s">
        <v>352</v>
      </c>
      <c r="H654" s="122" t="s">
        <v>300</v>
      </c>
      <c r="I654" s="74">
        <v>93590909</v>
      </c>
      <c r="J654" s="75" t="s">
        <v>655</v>
      </c>
      <c r="K654" s="75" t="s">
        <v>18</v>
      </c>
      <c r="L654" s="134" t="str">
        <f>IF(AND('331-CT'!$E$7=TH!H654,OR(J654="331",K654="331")),"x","")</f>
        <v/>
      </c>
    </row>
    <row r="655" spans="1:12">
      <c r="A655" s="72">
        <f t="shared" si="25"/>
        <v>2015</v>
      </c>
      <c r="B655" s="72">
        <f t="shared" si="26"/>
        <v>7</v>
      </c>
      <c r="C655" s="73">
        <v>42203</v>
      </c>
      <c r="D655" s="73" t="s">
        <v>78</v>
      </c>
      <c r="E655" s="73">
        <v>42203</v>
      </c>
      <c r="F655" s="76" t="s">
        <v>354</v>
      </c>
      <c r="G655" s="265" t="s">
        <v>352</v>
      </c>
      <c r="H655" s="122" t="s">
        <v>300</v>
      </c>
      <c r="I655" s="74">
        <v>9359091</v>
      </c>
      <c r="J655" s="75" t="s">
        <v>19</v>
      </c>
      <c r="K655" s="75" t="s">
        <v>18</v>
      </c>
      <c r="L655" s="134" t="str">
        <f>IF(AND('331-CT'!$E$7=TH!H655,OR(J655="331",K655="331")),"x","")</f>
        <v/>
      </c>
    </row>
    <row r="656" spans="1:12">
      <c r="A656" s="72">
        <f t="shared" si="25"/>
        <v>2015</v>
      </c>
      <c r="B656" s="72">
        <f t="shared" si="26"/>
        <v>7</v>
      </c>
      <c r="C656" s="73">
        <v>42203</v>
      </c>
      <c r="D656" s="73" t="s">
        <v>78</v>
      </c>
      <c r="E656" s="73">
        <v>42203</v>
      </c>
      <c r="F656" s="76" t="s">
        <v>350</v>
      </c>
      <c r="G656" s="265" t="s">
        <v>349</v>
      </c>
      <c r="H656" s="122" t="s">
        <v>300</v>
      </c>
      <c r="I656" s="74">
        <v>171163636</v>
      </c>
      <c r="J656" s="75" t="s">
        <v>655</v>
      </c>
      <c r="K656" s="75" t="s">
        <v>18</v>
      </c>
      <c r="L656" s="134" t="str">
        <f>IF(AND('331-CT'!$E$7=TH!H656,OR(J656="331",K656="331")),"x","")</f>
        <v/>
      </c>
    </row>
    <row r="657" spans="1:12">
      <c r="A657" s="72">
        <f t="shared" si="25"/>
        <v>2015</v>
      </c>
      <c r="B657" s="72">
        <f t="shared" si="26"/>
        <v>7</v>
      </c>
      <c r="C657" s="73">
        <v>42203</v>
      </c>
      <c r="D657" s="73" t="s">
        <v>78</v>
      </c>
      <c r="E657" s="73">
        <v>42203</v>
      </c>
      <c r="F657" s="76" t="s">
        <v>351</v>
      </c>
      <c r="G657" s="265" t="s">
        <v>349</v>
      </c>
      <c r="H657" s="122" t="s">
        <v>300</v>
      </c>
      <c r="I657" s="74">
        <v>17116364</v>
      </c>
      <c r="J657" s="75" t="s">
        <v>19</v>
      </c>
      <c r="K657" s="75" t="s">
        <v>18</v>
      </c>
      <c r="L657" s="134" t="str">
        <f>IF(AND('331-CT'!$E$7=TH!H657,OR(J657="331",K657="331")),"x","")</f>
        <v/>
      </c>
    </row>
    <row r="658" spans="1:12">
      <c r="A658" s="72">
        <f t="shared" si="25"/>
        <v>2015</v>
      </c>
      <c r="B658" s="72">
        <f t="shared" si="26"/>
        <v>7</v>
      </c>
      <c r="C658" s="73">
        <v>42205</v>
      </c>
      <c r="D658" s="73" t="s">
        <v>17</v>
      </c>
      <c r="E658" s="73">
        <v>42205</v>
      </c>
      <c r="F658" s="76" t="s">
        <v>119</v>
      </c>
      <c r="G658" s="265"/>
      <c r="H658" s="122" t="s">
        <v>314</v>
      </c>
      <c r="I658" s="74">
        <v>7916667</v>
      </c>
      <c r="J658" s="75" t="s">
        <v>240</v>
      </c>
      <c r="K658" s="75" t="s">
        <v>54</v>
      </c>
      <c r="L658" s="134" t="str">
        <f>IF(AND('331-CT'!$E$7=TH!H658,OR(J658="331",K658="331")),"x","")</f>
        <v/>
      </c>
    </row>
    <row r="659" spans="1:12">
      <c r="A659" s="72">
        <f t="shared" si="25"/>
        <v>2015</v>
      </c>
      <c r="B659" s="72">
        <f t="shared" si="26"/>
        <v>7</v>
      </c>
      <c r="C659" s="73">
        <v>42205</v>
      </c>
      <c r="D659" s="73" t="s">
        <v>17</v>
      </c>
      <c r="E659" s="73">
        <v>42205</v>
      </c>
      <c r="F659" s="76" t="s">
        <v>141</v>
      </c>
      <c r="G659" s="265"/>
      <c r="H659" s="122" t="s">
        <v>315</v>
      </c>
      <c r="I659" s="74">
        <v>15833333</v>
      </c>
      <c r="J659" s="75" t="s">
        <v>240</v>
      </c>
      <c r="K659" s="75" t="s">
        <v>54</v>
      </c>
      <c r="L659" s="134" t="str">
        <f>IF(AND('331-CT'!$E$7=TH!H659,OR(J659="331",K659="331")),"x","")</f>
        <v/>
      </c>
    </row>
    <row r="660" spans="1:12">
      <c r="A660" s="72">
        <f t="shared" si="25"/>
        <v>2015</v>
      </c>
      <c r="B660" s="72">
        <f t="shared" si="26"/>
        <v>7</v>
      </c>
      <c r="C660" s="73">
        <v>42205</v>
      </c>
      <c r="D660" s="73" t="s">
        <v>17</v>
      </c>
      <c r="E660" s="73">
        <v>42205</v>
      </c>
      <c r="F660" s="76" t="s">
        <v>143</v>
      </c>
      <c r="G660" s="265"/>
      <c r="H660" s="122" t="s">
        <v>317</v>
      </c>
      <c r="I660" s="74">
        <v>12666667</v>
      </c>
      <c r="J660" s="75" t="s">
        <v>240</v>
      </c>
      <c r="K660" s="75" t="s">
        <v>54</v>
      </c>
      <c r="L660" s="134" t="str">
        <f>IF(AND('331-CT'!$E$7=TH!H660,OR(J660="331",K660="331")),"x","")</f>
        <v/>
      </c>
    </row>
    <row r="661" spans="1:12">
      <c r="A661" s="72">
        <f t="shared" ref="A661:A724" si="27">IF(C661&lt;&gt;"",YEAR(C661),"")</f>
        <v>2015</v>
      </c>
      <c r="B661" s="72">
        <f t="shared" ref="B661:B724" si="28">IF(C661&lt;&gt;"",MONTH(C661),"")</f>
        <v>7</v>
      </c>
      <c r="C661" s="73">
        <v>42205</v>
      </c>
      <c r="D661" s="73" t="s">
        <v>17</v>
      </c>
      <c r="E661" s="73">
        <v>42205</v>
      </c>
      <c r="F661" s="76" t="s">
        <v>144</v>
      </c>
      <c r="G661" s="265"/>
      <c r="H661" s="122" t="s">
        <v>316</v>
      </c>
      <c r="I661" s="74">
        <v>11875000</v>
      </c>
      <c r="J661" s="75" t="s">
        <v>240</v>
      </c>
      <c r="K661" s="75" t="s">
        <v>54</v>
      </c>
      <c r="L661" s="134" t="str">
        <f>IF(AND('331-CT'!$E$7=TH!H661,OR(J661="331",K661="331")),"x","")</f>
        <v/>
      </c>
    </row>
    <row r="662" spans="1:12">
      <c r="A662" s="72">
        <f t="shared" si="27"/>
        <v>2015</v>
      </c>
      <c r="B662" s="72">
        <f t="shared" si="28"/>
        <v>7</v>
      </c>
      <c r="C662" s="73">
        <v>42205</v>
      </c>
      <c r="D662" s="73" t="s">
        <v>17</v>
      </c>
      <c r="E662" s="73">
        <v>42205</v>
      </c>
      <c r="F662" s="76" t="s">
        <v>145</v>
      </c>
      <c r="G662" s="265"/>
      <c r="H662" s="122" t="s">
        <v>318</v>
      </c>
      <c r="I662" s="74">
        <v>7916667</v>
      </c>
      <c r="J662" s="75" t="s">
        <v>240</v>
      </c>
      <c r="K662" s="75" t="s">
        <v>54</v>
      </c>
      <c r="L662" s="134" t="str">
        <f>IF(AND('331-CT'!$E$7=TH!H662,OR(J662="331",K662="331")),"x","")</f>
        <v/>
      </c>
    </row>
    <row r="663" spans="1:12">
      <c r="A663" s="72">
        <f t="shared" si="27"/>
        <v>2015</v>
      </c>
      <c r="B663" s="72">
        <f t="shared" si="28"/>
        <v>7</v>
      </c>
      <c r="C663" s="73">
        <v>42205</v>
      </c>
      <c r="D663" s="73" t="s">
        <v>17</v>
      </c>
      <c r="E663" s="73">
        <v>42205</v>
      </c>
      <c r="F663" s="76" t="s">
        <v>147</v>
      </c>
      <c r="G663" s="265"/>
      <c r="H663" s="123" t="s">
        <v>319</v>
      </c>
      <c r="I663" s="74">
        <v>11875000</v>
      </c>
      <c r="J663" s="75" t="s">
        <v>240</v>
      </c>
      <c r="K663" s="75" t="s">
        <v>54</v>
      </c>
      <c r="L663" s="134" t="str">
        <f>IF(AND('331-CT'!$E$7=TH!H663,OR(J663="331",K663="331")),"x","")</f>
        <v/>
      </c>
    </row>
    <row r="664" spans="1:12">
      <c r="A664" s="72">
        <f t="shared" si="27"/>
        <v>2015</v>
      </c>
      <c r="B664" s="72">
        <f t="shared" si="28"/>
        <v>7</v>
      </c>
      <c r="C664" s="73">
        <v>42205</v>
      </c>
      <c r="D664" s="73" t="s">
        <v>17</v>
      </c>
      <c r="E664" s="73">
        <v>42205</v>
      </c>
      <c r="F664" s="76" t="s">
        <v>273</v>
      </c>
      <c r="G664" s="265"/>
      <c r="H664" s="122" t="s">
        <v>320</v>
      </c>
      <c r="I664" s="74">
        <v>15833333</v>
      </c>
      <c r="J664" s="75" t="s">
        <v>240</v>
      </c>
      <c r="K664" s="75" t="s">
        <v>54</v>
      </c>
      <c r="L664" s="134" t="str">
        <f>IF(AND('331-CT'!$E$7=TH!H664,OR(J664="331",K664="331")),"x","")</f>
        <v/>
      </c>
    </row>
    <row r="665" spans="1:12">
      <c r="A665" s="72">
        <f t="shared" si="27"/>
        <v>2015</v>
      </c>
      <c r="B665" s="72">
        <f t="shared" si="28"/>
        <v>7</v>
      </c>
      <c r="C665" s="73">
        <v>42205</v>
      </c>
      <c r="D665" s="73" t="s">
        <v>17</v>
      </c>
      <c r="E665" s="73">
        <v>42205</v>
      </c>
      <c r="F665" s="76" t="s">
        <v>303</v>
      </c>
      <c r="G665" s="265"/>
      <c r="H665" s="122" t="s">
        <v>321</v>
      </c>
      <c r="I665" s="74">
        <v>11083333</v>
      </c>
      <c r="J665" s="75" t="s">
        <v>240</v>
      </c>
      <c r="K665" s="75" t="s">
        <v>54</v>
      </c>
      <c r="L665" s="134" t="str">
        <f>IF(AND('331-CT'!$E$7=TH!H665,OR(J665="331",K665="331")),"x","")</f>
        <v/>
      </c>
    </row>
    <row r="666" spans="1:12">
      <c r="A666" s="72">
        <f t="shared" si="27"/>
        <v>2015</v>
      </c>
      <c r="B666" s="72">
        <f t="shared" si="28"/>
        <v>7</v>
      </c>
      <c r="C666" s="73">
        <v>42205</v>
      </c>
      <c r="D666" s="73" t="s">
        <v>17</v>
      </c>
      <c r="E666" s="73">
        <v>42205</v>
      </c>
      <c r="F666" s="76" t="s">
        <v>304</v>
      </c>
      <c r="G666" s="265"/>
      <c r="H666" s="122" t="s">
        <v>322</v>
      </c>
      <c r="I666" s="74">
        <v>11875000</v>
      </c>
      <c r="J666" s="75" t="s">
        <v>240</v>
      </c>
      <c r="K666" s="75" t="s">
        <v>54</v>
      </c>
      <c r="L666" s="134" t="str">
        <f>IF(AND('331-CT'!$E$7=TH!H666,OR(J666="331",K666="331")),"x","")</f>
        <v/>
      </c>
    </row>
    <row r="667" spans="1:12">
      <c r="A667" s="72">
        <f t="shared" si="27"/>
        <v>2015</v>
      </c>
      <c r="B667" s="72">
        <f t="shared" si="28"/>
        <v>7</v>
      </c>
      <c r="C667" s="73">
        <v>42205</v>
      </c>
      <c r="D667" s="73" t="s">
        <v>17</v>
      </c>
      <c r="E667" s="73">
        <v>42205</v>
      </c>
      <c r="F667" s="76" t="s">
        <v>418</v>
      </c>
      <c r="G667" s="265"/>
      <c r="H667" s="122" t="s">
        <v>324</v>
      </c>
      <c r="I667" s="74">
        <v>15833333</v>
      </c>
      <c r="J667" s="75" t="s">
        <v>240</v>
      </c>
      <c r="K667" s="75" t="s">
        <v>54</v>
      </c>
      <c r="L667" s="134" t="str">
        <f>IF(AND('331-CT'!$E$7=TH!H667,OR(J667="331",K667="331")),"x","")</f>
        <v/>
      </c>
    </row>
    <row r="668" spans="1:12">
      <c r="A668" s="72">
        <f t="shared" si="27"/>
        <v>2015</v>
      </c>
      <c r="B668" s="72">
        <f t="shared" si="28"/>
        <v>7</v>
      </c>
      <c r="C668" s="73">
        <v>42205</v>
      </c>
      <c r="D668" s="73" t="s">
        <v>157</v>
      </c>
      <c r="E668" s="73">
        <v>42205</v>
      </c>
      <c r="F668" s="93" t="s">
        <v>576</v>
      </c>
      <c r="G668" s="265"/>
      <c r="H668" s="122" t="s">
        <v>272</v>
      </c>
      <c r="I668" s="74">
        <v>500000000</v>
      </c>
      <c r="J668" s="75" t="s">
        <v>54</v>
      </c>
      <c r="K668" s="75" t="s">
        <v>203</v>
      </c>
      <c r="L668" s="134" t="str">
        <f>IF(AND('331-CT'!$E$7=TH!H668,OR(J668="331",K668="331")),"x","")</f>
        <v/>
      </c>
    </row>
    <row r="669" spans="1:12">
      <c r="A669" s="72">
        <f t="shared" si="27"/>
        <v>2015</v>
      </c>
      <c r="B669" s="72">
        <f t="shared" si="28"/>
        <v>7</v>
      </c>
      <c r="C669" s="73">
        <v>42206</v>
      </c>
      <c r="D669" s="73" t="s">
        <v>78</v>
      </c>
      <c r="E669" s="73">
        <v>42206</v>
      </c>
      <c r="F669" s="76" t="s">
        <v>350</v>
      </c>
      <c r="G669" s="265" t="s">
        <v>355</v>
      </c>
      <c r="H669" s="122" t="s">
        <v>300</v>
      </c>
      <c r="I669" s="74">
        <v>136384091</v>
      </c>
      <c r="J669" s="75" t="s">
        <v>655</v>
      </c>
      <c r="K669" s="75" t="s">
        <v>18</v>
      </c>
      <c r="L669" s="134" t="str">
        <f>IF(AND('331-CT'!$E$7=TH!H669,OR(J669="331",K669="331")),"x","")</f>
        <v/>
      </c>
    </row>
    <row r="670" spans="1:12">
      <c r="A670" s="72">
        <f t="shared" si="27"/>
        <v>2015</v>
      </c>
      <c r="B670" s="72">
        <f t="shared" si="28"/>
        <v>7</v>
      </c>
      <c r="C670" s="73">
        <v>42206</v>
      </c>
      <c r="D670" s="73" t="s">
        <v>78</v>
      </c>
      <c r="E670" s="73">
        <v>42206</v>
      </c>
      <c r="F670" s="76" t="s">
        <v>351</v>
      </c>
      <c r="G670" s="265" t="s">
        <v>355</v>
      </c>
      <c r="H670" s="122" t="s">
        <v>300</v>
      </c>
      <c r="I670" s="74">
        <v>13638409</v>
      </c>
      <c r="J670" s="75" t="s">
        <v>19</v>
      </c>
      <c r="K670" s="75" t="s">
        <v>18</v>
      </c>
      <c r="L670" s="134" t="str">
        <f>IF(AND('331-CT'!$E$7=TH!H670,OR(J670="331",K670="331")),"x","")</f>
        <v/>
      </c>
    </row>
    <row r="671" spans="1:12">
      <c r="A671" s="72">
        <f t="shared" si="27"/>
        <v>2015</v>
      </c>
      <c r="B671" s="72">
        <f t="shared" si="28"/>
        <v>7</v>
      </c>
      <c r="C671" s="73">
        <v>42206</v>
      </c>
      <c r="D671" s="73" t="s">
        <v>78</v>
      </c>
      <c r="E671" s="73">
        <v>42206</v>
      </c>
      <c r="F671" s="76" t="s">
        <v>358</v>
      </c>
      <c r="G671" s="265" t="s">
        <v>356</v>
      </c>
      <c r="H671" s="122" t="s">
        <v>357</v>
      </c>
      <c r="I671" s="74">
        <v>48236364</v>
      </c>
      <c r="J671" s="75" t="s">
        <v>655</v>
      </c>
      <c r="K671" s="75" t="s">
        <v>18</v>
      </c>
      <c r="L671" s="134" t="str">
        <f>IF(AND('331-CT'!$E$7=TH!H671,OR(J671="331",K671="331")),"x","")</f>
        <v/>
      </c>
    </row>
    <row r="672" spans="1:12">
      <c r="A672" s="72">
        <f t="shared" si="27"/>
        <v>2015</v>
      </c>
      <c r="B672" s="72">
        <f t="shared" si="28"/>
        <v>7</v>
      </c>
      <c r="C672" s="73">
        <v>42206</v>
      </c>
      <c r="D672" s="73" t="s">
        <v>78</v>
      </c>
      <c r="E672" s="73">
        <v>42206</v>
      </c>
      <c r="F672" s="76" t="s">
        <v>359</v>
      </c>
      <c r="G672" s="265" t="s">
        <v>356</v>
      </c>
      <c r="H672" s="122" t="s">
        <v>357</v>
      </c>
      <c r="I672" s="74">
        <v>4823636</v>
      </c>
      <c r="J672" s="75" t="s">
        <v>19</v>
      </c>
      <c r="K672" s="75" t="s">
        <v>18</v>
      </c>
      <c r="L672" s="134" t="str">
        <f>IF(AND('331-CT'!$E$7=TH!H672,OR(J672="331",K672="331")),"x","")</f>
        <v/>
      </c>
    </row>
    <row r="673" spans="1:12">
      <c r="A673" s="72">
        <f t="shared" si="27"/>
        <v>2015</v>
      </c>
      <c r="B673" s="72">
        <f t="shared" si="28"/>
        <v>7</v>
      </c>
      <c r="C673" s="73">
        <v>42207</v>
      </c>
      <c r="D673" s="73" t="s">
        <v>158</v>
      </c>
      <c r="E673" s="73">
        <v>42207</v>
      </c>
      <c r="F673" s="76" t="s">
        <v>347</v>
      </c>
      <c r="G673" s="270" t="s">
        <v>544</v>
      </c>
      <c r="H673" s="122" t="s">
        <v>348</v>
      </c>
      <c r="I673" s="74">
        <v>1275000</v>
      </c>
      <c r="J673" s="75" t="s">
        <v>19</v>
      </c>
      <c r="K673" s="75" t="s">
        <v>203</v>
      </c>
      <c r="L673" s="134" t="str">
        <f>IF(AND('331-CT'!$E$7=TH!H673,OR(J673="331",K673="331")),"x","")</f>
        <v/>
      </c>
    </row>
    <row r="674" spans="1:12">
      <c r="A674" s="72">
        <f t="shared" si="27"/>
        <v>2015</v>
      </c>
      <c r="B674" s="72">
        <f t="shared" si="28"/>
        <v>7</v>
      </c>
      <c r="C674" s="73">
        <v>42207</v>
      </c>
      <c r="D674" s="73" t="s">
        <v>158</v>
      </c>
      <c r="E674" s="73">
        <v>42207</v>
      </c>
      <c r="F674" s="76" t="s">
        <v>346</v>
      </c>
      <c r="G674" s="270" t="s">
        <v>544</v>
      </c>
      <c r="H674" s="122" t="s">
        <v>348</v>
      </c>
      <c r="I674" s="74">
        <v>12750000</v>
      </c>
      <c r="J674" s="75" t="s">
        <v>655</v>
      </c>
      <c r="K674" s="75" t="s">
        <v>203</v>
      </c>
      <c r="L674" s="134" t="str">
        <f>IF(AND('331-CT'!$E$7=TH!H674,OR(J674="331",K674="331")),"x","")</f>
        <v/>
      </c>
    </row>
    <row r="675" spans="1:12">
      <c r="A675" s="72">
        <f t="shared" si="27"/>
        <v>2015</v>
      </c>
      <c r="B675" s="72">
        <f t="shared" si="28"/>
        <v>7</v>
      </c>
      <c r="C675" s="73">
        <v>42209</v>
      </c>
      <c r="D675" s="73" t="s">
        <v>78</v>
      </c>
      <c r="E675" s="73">
        <v>42209</v>
      </c>
      <c r="F675" s="76" t="s">
        <v>463</v>
      </c>
      <c r="G675" s="265" t="s">
        <v>410</v>
      </c>
      <c r="H675" s="122" t="s">
        <v>190</v>
      </c>
      <c r="I675" s="74">
        <v>90286944</v>
      </c>
      <c r="J675" s="75" t="s">
        <v>655</v>
      </c>
      <c r="K675" s="75" t="s">
        <v>18</v>
      </c>
      <c r="L675" s="134" t="str">
        <f>IF(AND('331-CT'!$E$7=TH!H675,OR(J675="331",K675="331")),"x","")</f>
        <v>x</v>
      </c>
    </row>
    <row r="676" spans="1:12">
      <c r="A676" s="72">
        <f t="shared" si="27"/>
        <v>2015</v>
      </c>
      <c r="B676" s="72">
        <f t="shared" si="28"/>
        <v>7</v>
      </c>
      <c r="C676" s="73">
        <v>42209</v>
      </c>
      <c r="D676" s="73" t="s">
        <v>78</v>
      </c>
      <c r="E676" s="73">
        <v>42209</v>
      </c>
      <c r="F676" s="76" t="s">
        <v>411</v>
      </c>
      <c r="G676" s="265" t="s">
        <v>410</v>
      </c>
      <c r="H676" s="122" t="s">
        <v>190</v>
      </c>
      <c r="I676" s="74">
        <v>9028694</v>
      </c>
      <c r="J676" s="75" t="s">
        <v>19</v>
      </c>
      <c r="K676" s="75" t="s">
        <v>18</v>
      </c>
      <c r="L676" s="134" t="str">
        <f>IF(AND('331-CT'!$E$7=TH!H676,OR(J676="331",K676="331")),"x","")</f>
        <v>x</v>
      </c>
    </row>
    <row r="677" spans="1:12">
      <c r="A677" s="72">
        <f t="shared" si="27"/>
        <v>2015</v>
      </c>
      <c r="B677" s="72">
        <f t="shared" si="28"/>
        <v>7</v>
      </c>
      <c r="C677" s="73">
        <v>42209</v>
      </c>
      <c r="D677" s="73" t="s">
        <v>21</v>
      </c>
      <c r="E677" s="73">
        <v>42209</v>
      </c>
      <c r="F677" s="76" t="s">
        <v>98</v>
      </c>
      <c r="G677" s="265"/>
      <c r="H677" s="122"/>
      <c r="I677" s="74">
        <v>141171</v>
      </c>
      <c r="J677" s="75" t="s">
        <v>54</v>
      </c>
      <c r="K677" s="75" t="s">
        <v>99</v>
      </c>
      <c r="L677" s="134" t="str">
        <f>IF(AND('331-CT'!$E$7=TH!H677,OR(J677="331",K677="331")),"x","")</f>
        <v/>
      </c>
    </row>
    <row r="678" spans="1:12">
      <c r="A678" s="72">
        <f t="shared" si="27"/>
        <v>2015</v>
      </c>
      <c r="B678" s="72">
        <f t="shared" si="28"/>
        <v>7</v>
      </c>
      <c r="C678" s="73">
        <v>42209</v>
      </c>
      <c r="D678" s="73" t="s">
        <v>17</v>
      </c>
      <c r="E678" s="73">
        <v>42209</v>
      </c>
      <c r="F678" s="76" t="s">
        <v>301</v>
      </c>
      <c r="G678" s="265"/>
      <c r="H678" s="122" t="s">
        <v>85</v>
      </c>
      <c r="I678" s="74">
        <v>300000000</v>
      </c>
      <c r="J678" s="75" t="s">
        <v>18</v>
      </c>
      <c r="K678" s="75" t="s">
        <v>54</v>
      </c>
      <c r="L678" s="134" t="str">
        <f>IF(AND('331-CT'!$E$7=TH!H678,OR(J678="331",K678="331")),"x","")</f>
        <v/>
      </c>
    </row>
    <row r="679" spans="1:12">
      <c r="A679" s="72">
        <f t="shared" si="27"/>
        <v>2015</v>
      </c>
      <c r="B679" s="72">
        <f t="shared" si="28"/>
        <v>7</v>
      </c>
      <c r="C679" s="73">
        <v>42209</v>
      </c>
      <c r="D679" s="73" t="s">
        <v>17</v>
      </c>
      <c r="E679" s="73">
        <v>42209</v>
      </c>
      <c r="F679" s="76" t="s">
        <v>34</v>
      </c>
      <c r="G679" s="265"/>
      <c r="H679" s="122"/>
      <c r="I679" s="74">
        <v>150000</v>
      </c>
      <c r="J679" s="75" t="s">
        <v>242</v>
      </c>
      <c r="K679" s="75" t="s">
        <v>54</v>
      </c>
      <c r="L679" s="134" t="str">
        <f>IF(AND('331-CT'!$E$7=TH!H679,OR(J679="331",K679="331")),"x","")</f>
        <v/>
      </c>
    </row>
    <row r="680" spans="1:12">
      <c r="A680" s="72">
        <f t="shared" si="27"/>
        <v>2015</v>
      </c>
      <c r="B680" s="72">
        <f t="shared" si="28"/>
        <v>7</v>
      </c>
      <c r="C680" s="73">
        <v>42209</v>
      </c>
      <c r="D680" s="73" t="s">
        <v>17</v>
      </c>
      <c r="E680" s="73">
        <v>42209</v>
      </c>
      <c r="F680" s="76" t="s">
        <v>35</v>
      </c>
      <c r="G680" s="265"/>
      <c r="H680" s="122"/>
      <c r="I680" s="74">
        <v>15000</v>
      </c>
      <c r="J680" s="75" t="s">
        <v>19</v>
      </c>
      <c r="K680" s="75" t="s">
        <v>54</v>
      </c>
      <c r="L680" s="134" t="str">
        <f>IF(AND('331-CT'!$E$7=TH!H680,OR(J680="331",K680="331")),"x","")</f>
        <v/>
      </c>
    </row>
    <row r="681" spans="1:12">
      <c r="A681" s="72">
        <f t="shared" si="27"/>
        <v>2015</v>
      </c>
      <c r="B681" s="72">
        <f t="shared" si="28"/>
        <v>7</v>
      </c>
      <c r="C681" s="73">
        <v>42210</v>
      </c>
      <c r="D681" s="73" t="s">
        <v>78</v>
      </c>
      <c r="E681" s="73">
        <v>42210</v>
      </c>
      <c r="F681" s="76" t="s">
        <v>463</v>
      </c>
      <c r="G681" s="265" t="s">
        <v>412</v>
      </c>
      <c r="H681" s="122" t="s">
        <v>190</v>
      </c>
      <c r="I681" s="74">
        <v>477767318</v>
      </c>
      <c r="J681" s="75" t="s">
        <v>655</v>
      </c>
      <c r="K681" s="75" t="s">
        <v>18</v>
      </c>
      <c r="L681" s="134" t="str">
        <f>IF(AND('331-CT'!$E$7=TH!H681,OR(J681="331",K681="331")),"x","")</f>
        <v>x</v>
      </c>
    </row>
    <row r="682" spans="1:12">
      <c r="A682" s="72">
        <f t="shared" si="27"/>
        <v>2015</v>
      </c>
      <c r="B682" s="72">
        <f t="shared" si="28"/>
        <v>7</v>
      </c>
      <c r="C682" s="73">
        <v>42210</v>
      </c>
      <c r="D682" s="73" t="s">
        <v>78</v>
      </c>
      <c r="E682" s="73">
        <v>42210</v>
      </c>
      <c r="F682" s="76" t="s">
        <v>411</v>
      </c>
      <c r="G682" s="265" t="s">
        <v>412</v>
      </c>
      <c r="H682" s="122" t="s">
        <v>190</v>
      </c>
      <c r="I682" s="74">
        <v>47776731</v>
      </c>
      <c r="J682" s="75" t="s">
        <v>19</v>
      </c>
      <c r="K682" s="75" t="s">
        <v>18</v>
      </c>
      <c r="L682" s="134" t="str">
        <f>IF(AND('331-CT'!$E$7=TH!H682,OR(J682="331",K682="331")),"x","")</f>
        <v>x</v>
      </c>
    </row>
    <row r="683" spans="1:12">
      <c r="A683" s="72">
        <f t="shared" si="27"/>
        <v>2015</v>
      </c>
      <c r="B683" s="72">
        <f t="shared" si="28"/>
        <v>7</v>
      </c>
      <c r="C683" s="73">
        <v>42211</v>
      </c>
      <c r="D683" s="73" t="s">
        <v>78</v>
      </c>
      <c r="E683" s="73">
        <v>42211</v>
      </c>
      <c r="F683" s="76" t="s">
        <v>463</v>
      </c>
      <c r="G683" s="265" t="s">
        <v>413</v>
      </c>
      <c r="H683" s="122" t="s">
        <v>190</v>
      </c>
      <c r="I683" s="74">
        <v>54892744</v>
      </c>
      <c r="J683" s="75" t="s">
        <v>655</v>
      </c>
      <c r="K683" s="75" t="s">
        <v>18</v>
      </c>
      <c r="L683" s="134" t="str">
        <f>IF(AND('331-CT'!$E$7=TH!H683,OR(J683="331",K683="331")),"x","")</f>
        <v>x</v>
      </c>
    </row>
    <row r="684" spans="1:12">
      <c r="A684" s="72">
        <f t="shared" si="27"/>
        <v>2015</v>
      </c>
      <c r="B684" s="72">
        <f t="shared" si="28"/>
        <v>7</v>
      </c>
      <c r="C684" s="73">
        <v>42211</v>
      </c>
      <c r="D684" s="73" t="s">
        <v>78</v>
      </c>
      <c r="E684" s="73">
        <v>42211</v>
      </c>
      <c r="F684" s="76" t="s">
        <v>411</v>
      </c>
      <c r="G684" s="265" t="s">
        <v>413</v>
      </c>
      <c r="H684" s="9" t="s">
        <v>190</v>
      </c>
      <c r="I684" s="74">
        <v>5489274</v>
      </c>
      <c r="J684" s="75" t="s">
        <v>19</v>
      </c>
      <c r="K684" s="75" t="s">
        <v>18</v>
      </c>
      <c r="L684" s="134" t="str">
        <f>IF(AND('331-CT'!$E$7=TH!H684,OR(J684="331",K684="331")),"x","")</f>
        <v>x</v>
      </c>
    </row>
    <row r="685" spans="1:12">
      <c r="A685" s="72">
        <f t="shared" si="27"/>
        <v>2015</v>
      </c>
      <c r="B685" s="72">
        <f t="shared" si="28"/>
        <v>7</v>
      </c>
      <c r="C685" s="73">
        <v>42212</v>
      </c>
      <c r="D685" s="73" t="s">
        <v>17</v>
      </c>
      <c r="E685" s="73">
        <v>42212</v>
      </c>
      <c r="F685" s="76" t="s">
        <v>419</v>
      </c>
      <c r="G685" s="265"/>
      <c r="H685" s="122" t="s">
        <v>357</v>
      </c>
      <c r="I685" s="74">
        <v>53060000</v>
      </c>
      <c r="J685" s="75" t="s">
        <v>18</v>
      </c>
      <c r="K685" s="75" t="s">
        <v>54</v>
      </c>
      <c r="L685" s="134" t="str">
        <f>IF(AND('331-CT'!$E$7=TH!H685,OR(J685="331",K685="331")),"x","")</f>
        <v/>
      </c>
    </row>
    <row r="686" spans="1:12">
      <c r="A686" s="72">
        <f t="shared" si="27"/>
        <v>2015</v>
      </c>
      <c r="B686" s="72">
        <f t="shared" si="28"/>
        <v>7</v>
      </c>
      <c r="C686" s="73">
        <v>42212</v>
      </c>
      <c r="D686" s="73" t="s">
        <v>17</v>
      </c>
      <c r="E686" s="73">
        <v>42212</v>
      </c>
      <c r="F686" s="76" t="s">
        <v>34</v>
      </c>
      <c r="G686" s="265"/>
      <c r="H686" s="122"/>
      <c r="I686" s="74">
        <v>20000</v>
      </c>
      <c r="J686" s="75" t="s">
        <v>242</v>
      </c>
      <c r="K686" s="75" t="s">
        <v>54</v>
      </c>
      <c r="L686" s="134" t="str">
        <f>IF(AND('331-CT'!$E$7=TH!H686,OR(J686="331",K686="331")),"x","")</f>
        <v/>
      </c>
    </row>
    <row r="687" spans="1:12">
      <c r="A687" s="72">
        <f t="shared" si="27"/>
        <v>2015</v>
      </c>
      <c r="B687" s="72">
        <f t="shared" si="28"/>
        <v>7</v>
      </c>
      <c r="C687" s="73">
        <v>42212</v>
      </c>
      <c r="D687" s="73" t="s">
        <v>17</v>
      </c>
      <c r="E687" s="73">
        <v>42212</v>
      </c>
      <c r="F687" s="76" t="s">
        <v>35</v>
      </c>
      <c r="G687" s="265"/>
      <c r="H687" s="122"/>
      <c r="I687" s="74">
        <v>2000</v>
      </c>
      <c r="J687" s="75" t="s">
        <v>19</v>
      </c>
      <c r="K687" s="75" t="s">
        <v>54</v>
      </c>
      <c r="L687" s="134" t="str">
        <f>IF(AND('331-CT'!$E$7=TH!H687,OR(J687="331",K687="331")),"x","")</f>
        <v/>
      </c>
    </row>
    <row r="688" spans="1:12">
      <c r="A688" s="72">
        <f t="shared" si="27"/>
        <v>2015</v>
      </c>
      <c r="B688" s="72">
        <f t="shared" si="28"/>
        <v>7</v>
      </c>
      <c r="C688" s="73">
        <v>42212</v>
      </c>
      <c r="D688" s="73" t="s">
        <v>17</v>
      </c>
      <c r="E688" s="73">
        <v>42212</v>
      </c>
      <c r="F688" s="76" t="s">
        <v>301</v>
      </c>
      <c r="G688" s="265"/>
      <c r="H688" s="122" t="s">
        <v>407</v>
      </c>
      <c r="I688" s="74">
        <v>90000000</v>
      </c>
      <c r="J688" s="75" t="s">
        <v>18</v>
      </c>
      <c r="K688" s="75" t="s">
        <v>54</v>
      </c>
      <c r="L688" s="134" t="str">
        <f>IF(AND('331-CT'!$E$7=TH!H688,OR(J688="331",K688="331")),"x","")</f>
        <v/>
      </c>
    </row>
    <row r="689" spans="1:12">
      <c r="A689" s="72">
        <f t="shared" si="27"/>
        <v>2015</v>
      </c>
      <c r="B689" s="72">
        <f t="shared" si="28"/>
        <v>7</v>
      </c>
      <c r="C689" s="73">
        <v>42212</v>
      </c>
      <c r="D689" s="73" t="s">
        <v>17</v>
      </c>
      <c r="E689" s="73">
        <v>42212</v>
      </c>
      <c r="F689" s="76" t="s">
        <v>34</v>
      </c>
      <c r="G689" s="265"/>
      <c r="H689" s="122"/>
      <c r="I689" s="74">
        <v>45000</v>
      </c>
      <c r="J689" s="75" t="s">
        <v>242</v>
      </c>
      <c r="K689" s="75" t="s">
        <v>54</v>
      </c>
      <c r="L689" s="134" t="str">
        <f>IF(AND('331-CT'!$E$7=TH!H689,OR(J689="331",K689="331")),"x","")</f>
        <v/>
      </c>
    </row>
    <row r="690" spans="1:12">
      <c r="A690" s="72">
        <f t="shared" si="27"/>
        <v>2015</v>
      </c>
      <c r="B690" s="72">
        <f t="shared" si="28"/>
        <v>7</v>
      </c>
      <c r="C690" s="73">
        <v>42212</v>
      </c>
      <c r="D690" s="73" t="s">
        <v>17</v>
      </c>
      <c r="E690" s="73">
        <v>42212</v>
      </c>
      <c r="F690" s="76" t="s">
        <v>35</v>
      </c>
      <c r="G690" s="265"/>
      <c r="H690" s="122"/>
      <c r="I690" s="74">
        <v>4500</v>
      </c>
      <c r="J690" s="75" t="s">
        <v>19</v>
      </c>
      <c r="K690" s="75" t="s">
        <v>54</v>
      </c>
      <c r="L690" s="134" t="str">
        <f>IF(AND('331-CT'!$E$7=TH!H690,OR(J690="331",K690="331")),"x","")</f>
        <v/>
      </c>
    </row>
    <row r="691" spans="1:12">
      <c r="A691" s="72">
        <f t="shared" si="27"/>
        <v>2015</v>
      </c>
      <c r="B691" s="72">
        <f t="shared" si="28"/>
        <v>7</v>
      </c>
      <c r="C691" s="73">
        <v>42212</v>
      </c>
      <c r="D691" s="73" t="s">
        <v>17</v>
      </c>
      <c r="E691" s="73">
        <v>42212</v>
      </c>
      <c r="F691" s="76" t="s">
        <v>301</v>
      </c>
      <c r="G691" s="265"/>
      <c r="H691" s="122" t="s">
        <v>300</v>
      </c>
      <c r="I691" s="74">
        <v>200000000</v>
      </c>
      <c r="J691" s="75" t="s">
        <v>18</v>
      </c>
      <c r="K691" s="75" t="s">
        <v>54</v>
      </c>
      <c r="L691" s="134" t="str">
        <f>IF(AND('331-CT'!$E$7=TH!H691,OR(J691="331",K691="331")),"x","")</f>
        <v/>
      </c>
    </row>
    <row r="692" spans="1:12">
      <c r="A692" s="72">
        <f t="shared" si="27"/>
        <v>2015</v>
      </c>
      <c r="B692" s="72">
        <f t="shared" si="28"/>
        <v>7</v>
      </c>
      <c r="C692" s="73">
        <v>42212</v>
      </c>
      <c r="D692" s="73" t="s">
        <v>17</v>
      </c>
      <c r="E692" s="73">
        <v>42212</v>
      </c>
      <c r="F692" s="76" t="s">
        <v>34</v>
      </c>
      <c r="G692" s="265"/>
      <c r="H692" s="122"/>
      <c r="I692" s="74">
        <v>100000</v>
      </c>
      <c r="J692" s="75" t="s">
        <v>242</v>
      </c>
      <c r="K692" s="75" t="s">
        <v>54</v>
      </c>
      <c r="L692" s="134" t="str">
        <f>IF(AND('331-CT'!$E$7=TH!H692,OR(J692="331",K692="331")),"x","")</f>
        <v/>
      </c>
    </row>
    <row r="693" spans="1:12">
      <c r="A693" s="72">
        <f t="shared" si="27"/>
        <v>2015</v>
      </c>
      <c r="B693" s="72">
        <f t="shared" si="28"/>
        <v>7</v>
      </c>
      <c r="C693" s="73">
        <v>42212</v>
      </c>
      <c r="D693" s="73" t="s">
        <v>17</v>
      </c>
      <c r="E693" s="73">
        <v>42212</v>
      </c>
      <c r="F693" s="76" t="s">
        <v>35</v>
      </c>
      <c r="G693" s="265"/>
      <c r="H693" s="122"/>
      <c r="I693" s="74">
        <v>10000</v>
      </c>
      <c r="J693" s="75" t="s">
        <v>19</v>
      </c>
      <c r="K693" s="75" t="s">
        <v>54</v>
      </c>
      <c r="L693" s="134" t="str">
        <f>IF(AND('331-CT'!$E$7=TH!H693,OR(J693="331",K693="331")),"x","")</f>
        <v/>
      </c>
    </row>
    <row r="694" spans="1:12">
      <c r="A694" s="72">
        <f t="shared" si="27"/>
        <v>2015</v>
      </c>
      <c r="B694" s="72">
        <f t="shared" si="28"/>
        <v>7</v>
      </c>
      <c r="C694" s="73">
        <v>42214</v>
      </c>
      <c r="D694" s="73" t="s">
        <v>21</v>
      </c>
      <c r="E694" s="73">
        <v>42214</v>
      </c>
      <c r="F694" s="76" t="s">
        <v>420</v>
      </c>
      <c r="G694" s="265"/>
      <c r="H694" s="122"/>
      <c r="I694" s="74">
        <v>500000</v>
      </c>
      <c r="J694" s="75" t="s">
        <v>54</v>
      </c>
      <c r="K694" s="75" t="s">
        <v>244</v>
      </c>
      <c r="L694" s="134" t="str">
        <f>IF(AND('331-CT'!$E$7=TH!H694,OR(J694="331",K694="331")),"x","")</f>
        <v/>
      </c>
    </row>
    <row r="695" spans="1:12">
      <c r="A695" s="72">
        <f t="shared" si="27"/>
        <v>2015</v>
      </c>
      <c r="B695" s="72">
        <f t="shared" si="28"/>
        <v>7</v>
      </c>
      <c r="C695" s="73">
        <v>42215</v>
      </c>
      <c r="D695" s="73" t="s">
        <v>21</v>
      </c>
      <c r="E695" s="73">
        <v>42215</v>
      </c>
      <c r="F695" s="76" t="s">
        <v>421</v>
      </c>
      <c r="G695" s="265"/>
      <c r="H695" s="122" t="s">
        <v>422</v>
      </c>
      <c r="I695" s="74">
        <v>1000000000</v>
      </c>
      <c r="J695" s="75" t="s">
        <v>54</v>
      </c>
      <c r="K695" s="75" t="s">
        <v>227</v>
      </c>
      <c r="L695" s="134" t="str">
        <f>IF(AND('331-CT'!$E$7=TH!H695,OR(J695="331",K695="331")),"x","")</f>
        <v/>
      </c>
    </row>
    <row r="696" spans="1:12">
      <c r="A696" s="72">
        <f t="shared" si="27"/>
        <v>2015</v>
      </c>
      <c r="B696" s="72">
        <f t="shared" si="28"/>
        <v>8</v>
      </c>
      <c r="C696" s="73">
        <v>42217</v>
      </c>
      <c r="D696" s="73" t="s">
        <v>20</v>
      </c>
      <c r="E696" s="73">
        <v>42217</v>
      </c>
      <c r="F696" s="76" t="s">
        <v>579</v>
      </c>
      <c r="G696" s="265"/>
      <c r="H696" s="122" t="s">
        <v>431</v>
      </c>
      <c r="I696" s="74">
        <v>1000000000</v>
      </c>
      <c r="J696" s="75" t="s">
        <v>203</v>
      </c>
      <c r="K696" s="75" t="s">
        <v>39</v>
      </c>
      <c r="L696" s="134" t="str">
        <f>IF(AND('331-CT'!$E$7=TH!H696,OR(J696="331",K696="331")),"x","")</f>
        <v/>
      </c>
    </row>
    <row r="697" spans="1:12">
      <c r="A697" s="72">
        <f t="shared" si="27"/>
        <v>2015</v>
      </c>
      <c r="B697" s="72">
        <f t="shared" si="28"/>
        <v>8</v>
      </c>
      <c r="C697" s="73">
        <v>42219</v>
      </c>
      <c r="D697" s="73" t="s">
        <v>21</v>
      </c>
      <c r="E697" s="73">
        <v>42219</v>
      </c>
      <c r="F697" s="76" t="s">
        <v>424</v>
      </c>
      <c r="G697" s="265"/>
      <c r="H697" s="122" t="s">
        <v>751</v>
      </c>
      <c r="I697" s="74">
        <v>105126466</v>
      </c>
      <c r="J697" s="75" t="s">
        <v>54</v>
      </c>
      <c r="K697" s="75" t="s">
        <v>212</v>
      </c>
      <c r="L697" s="134" t="str">
        <f>IF(AND('331-CT'!$E$7=TH!H697,OR(J697="331",K697="331")),"x","")</f>
        <v/>
      </c>
    </row>
    <row r="698" spans="1:12">
      <c r="A698" s="72">
        <f t="shared" si="27"/>
        <v>2015</v>
      </c>
      <c r="B698" s="72">
        <f t="shared" si="28"/>
        <v>8</v>
      </c>
      <c r="C698" s="73">
        <v>42219</v>
      </c>
      <c r="D698" s="73" t="s">
        <v>17</v>
      </c>
      <c r="E698" s="73">
        <v>42219</v>
      </c>
      <c r="F698" s="76" t="s">
        <v>301</v>
      </c>
      <c r="G698" s="265"/>
      <c r="H698" s="122" t="s">
        <v>172</v>
      </c>
      <c r="I698" s="74">
        <v>400000000</v>
      </c>
      <c r="J698" s="75" t="s">
        <v>18</v>
      </c>
      <c r="K698" s="75" t="s">
        <v>54</v>
      </c>
      <c r="L698" s="134" t="str">
        <f>IF(AND('331-CT'!$E$7=TH!H698,OR(J698="331",K698="331")),"x","")</f>
        <v/>
      </c>
    </row>
    <row r="699" spans="1:12">
      <c r="A699" s="72">
        <f t="shared" si="27"/>
        <v>2015</v>
      </c>
      <c r="B699" s="72">
        <f t="shared" si="28"/>
        <v>8</v>
      </c>
      <c r="C699" s="73">
        <v>42219</v>
      </c>
      <c r="D699" s="73" t="s">
        <v>17</v>
      </c>
      <c r="E699" s="73">
        <v>42219</v>
      </c>
      <c r="F699" s="76" t="s">
        <v>34</v>
      </c>
      <c r="G699" s="265"/>
      <c r="H699" s="122"/>
      <c r="I699" s="74">
        <v>150000</v>
      </c>
      <c r="J699" s="75" t="s">
        <v>242</v>
      </c>
      <c r="K699" s="75" t="s">
        <v>54</v>
      </c>
      <c r="L699" s="134" t="str">
        <f>IF(AND('331-CT'!$E$7=TH!H699,OR(J699="331",K699="331")),"x","")</f>
        <v/>
      </c>
    </row>
    <row r="700" spans="1:12">
      <c r="A700" s="72">
        <f t="shared" si="27"/>
        <v>2015</v>
      </c>
      <c r="B700" s="72">
        <f t="shared" si="28"/>
        <v>8</v>
      </c>
      <c r="C700" s="73">
        <v>42219</v>
      </c>
      <c r="D700" s="73" t="s">
        <v>17</v>
      </c>
      <c r="E700" s="73">
        <v>42219</v>
      </c>
      <c r="F700" s="76" t="s">
        <v>35</v>
      </c>
      <c r="G700" s="265"/>
      <c r="H700" s="122"/>
      <c r="I700" s="74">
        <v>15000</v>
      </c>
      <c r="J700" s="75" t="s">
        <v>19</v>
      </c>
      <c r="K700" s="75" t="s">
        <v>54</v>
      </c>
      <c r="L700" s="134" t="str">
        <f>IF(AND('331-CT'!$E$7=TH!H700,OR(J700="331",K700="331")),"x","")</f>
        <v/>
      </c>
    </row>
    <row r="701" spans="1:12">
      <c r="A701" s="72">
        <f t="shared" si="27"/>
        <v>2015</v>
      </c>
      <c r="B701" s="72">
        <f t="shared" si="28"/>
        <v>8</v>
      </c>
      <c r="C701" s="73">
        <v>42219</v>
      </c>
      <c r="D701" s="73" t="s">
        <v>17</v>
      </c>
      <c r="E701" s="73">
        <v>42219</v>
      </c>
      <c r="F701" s="76" t="s">
        <v>301</v>
      </c>
      <c r="G701" s="265"/>
      <c r="H701" s="122" t="s">
        <v>190</v>
      </c>
      <c r="I701" s="74">
        <v>300000000</v>
      </c>
      <c r="J701" s="75" t="s">
        <v>18</v>
      </c>
      <c r="K701" s="75" t="s">
        <v>54</v>
      </c>
      <c r="L701" s="134" t="str">
        <f>IF(AND('331-CT'!$E$7=TH!H701,OR(J701="331",K701="331")),"x","")</f>
        <v>x</v>
      </c>
    </row>
    <row r="702" spans="1:12">
      <c r="A702" s="72">
        <f t="shared" si="27"/>
        <v>2015</v>
      </c>
      <c r="B702" s="72">
        <f t="shared" si="28"/>
        <v>8</v>
      </c>
      <c r="C702" s="73">
        <v>42219</v>
      </c>
      <c r="D702" s="73" t="s">
        <v>17</v>
      </c>
      <c r="E702" s="73">
        <v>42219</v>
      </c>
      <c r="F702" s="76" t="s">
        <v>34</v>
      </c>
      <c r="G702" s="265"/>
      <c r="H702" s="122"/>
      <c r="I702" s="74">
        <v>120000</v>
      </c>
      <c r="J702" s="75" t="s">
        <v>242</v>
      </c>
      <c r="K702" s="75" t="s">
        <v>54</v>
      </c>
      <c r="L702" s="134" t="str">
        <f>IF(AND('331-CT'!$E$7=TH!H702,OR(J702="331",K702="331")),"x","")</f>
        <v/>
      </c>
    </row>
    <row r="703" spans="1:12">
      <c r="A703" s="72">
        <f t="shared" si="27"/>
        <v>2015</v>
      </c>
      <c r="B703" s="72">
        <f t="shared" si="28"/>
        <v>8</v>
      </c>
      <c r="C703" s="73">
        <v>42219</v>
      </c>
      <c r="D703" s="73" t="s">
        <v>17</v>
      </c>
      <c r="E703" s="73">
        <v>42219</v>
      </c>
      <c r="F703" s="76" t="s">
        <v>35</v>
      </c>
      <c r="G703" s="265"/>
      <c r="H703" s="122"/>
      <c r="I703" s="74">
        <v>12000</v>
      </c>
      <c r="J703" s="75" t="s">
        <v>19</v>
      </c>
      <c r="K703" s="75" t="s">
        <v>54</v>
      </c>
      <c r="L703" s="134" t="str">
        <f>IF(AND('331-CT'!$E$7=TH!H703,OR(J703="331",K703="331")),"x","")</f>
        <v/>
      </c>
    </row>
    <row r="704" spans="1:12">
      <c r="A704" s="72">
        <f t="shared" si="27"/>
        <v>2015</v>
      </c>
      <c r="B704" s="72">
        <f t="shared" si="28"/>
        <v>8</v>
      </c>
      <c r="C704" s="73">
        <v>42223</v>
      </c>
      <c r="D704" s="73" t="s">
        <v>163</v>
      </c>
      <c r="E704" s="73">
        <v>42223</v>
      </c>
      <c r="F704" s="76" t="s">
        <v>435</v>
      </c>
      <c r="G704" s="265" t="s">
        <v>546</v>
      </c>
      <c r="H704" s="122" t="s">
        <v>436</v>
      </c>
      <c r="I704" s="74">
        <v>15450000</v>
      </c>
      <c r="J704" s="75" t="s">
        <v>655</v>
      </c>
      <c r="K704" s="75" t="s">
        <v>203</v>
      </c>
      <c r="L704" s="134" t="str">
        <f>IF(AND('331-CT'!$E$7=TH!H704,OR(J704="331",K704="331")),"x","")</f>
        <v/>
      </c>
    </row>
    <row r="705" spans="1:12">
      <c r="A705" s="72">
        <f t="shared" si="27"/>
        <v>2015</v>
      </c>
      <c r="B705" s="72">
        <f t="shared" si="28"/>
        <v>8</v>
      </c>
      <c r="C705" s="73">
        <v>42223</v>
      </c>
      <c r="D705" s="73" t="s">
        <v>163</v>
      </c>
      <c r="E705" s="73">
        <v>42223</v>
      </c>
      <c r="F705" s="76" t="s">
        <v>437</v>
      </c>
      <c r="G705" s="265" t="s">
        <v>546</v>
      </c>
      <c r="H705" s="122" t="s">
        <v>436</v>
      </c>
      <c r="I705" s="74">
        <v>1545000</v>
      </c>
      <c r="J705" s="75" t="s">
        <v>19</v>
      </c>
      <c r="K705" s="75" t="s">
        <v>203</v>
      </c>
      <c r="L705" s="134" t="str">
        <f>IF(AND('331-CT'!$E$7=TH!H705,OR(J705="331",K705="331")),"x","")</f>
        <v/>
      </c>
    </row>
    <row r="706" spans="1:12">
      <c r="A706" s="72">
        <f t="shared" si="27"/>
        <v>2015</v>
      </c>
      <c r="B706" s="72">
        <f t="shared" si="28"/>
        <v>8</v>
      </c>
      <c r="C706" s="73">
        <v>42224</v>
      </c>
      <c r="D706" s="73" t="s">
        <v>164</v>
      </c>
      <c r="E706" s="73">
        <v>42224</v>
      </c>
      <c r="F706" s="76" t="s">
        <v>432</v>
      </c>
      <c r="G706" s="265" t="s">
        <v>545</v>
      </c>
      <c r="H706" s="122" t="s">
        <v>434</v>
      </c>
      <c r="I706" s="74">
        <v>13500000</v>
      </c>
      <c r="J706" s="75" t="s">
        <v>655</v>
      </c>
      <c r="K706" s="75" t="s">
        <v>203</v>
      </c>
      <c r="L706" s="134" t="str">
        <f>IF(AND('331-CT'!$E$7=TH!H706,OR(J706="331",K706="331")),"x","")</f>
        <v/>
      </c>
    </row>
    <row r="707" spans="1:12">
      <c r="A707" s="72">
        <f t="shared" si="27"/>
        <v>2015</v>
      </c>
      <c r="B707" s="72">
        <f t="shared" si="28"/>
        <v>8</v>
      </c>
      <c r="C707" s="73">
        <v>42224</v>
      </c>
      <c r="D707" s="73" t="s">
        <v>164</v>
      </c>
      <c r="E707" s="73">
        <v>42224</v>
      </c>
      <c r="F707" s="76" t="s">
        <v>433</v>
      </c>
      <c r="G707" s="265" t="s">
        <v>545</v>
      </c>
      <c r="H707" s="9" t="s">
        <v>434</v>
      </c>
      <c r="I707" s="74">
        <v>1350000</v>
      </c>
      <c r="J707" s="75" t="s">
        <v>19</v>
      </c>
      <c r="K707" s="75" t="s">
        <v>203</v>
      </c>
      <c r="L707" s="134" t="str">
        <f>IF(AND('331-CT'!$E$7=TH!H707,OR(J707="331",K707="331")),"x","")</f>
        <v/>
      </c>
    </row>
    <row r="708" spans="1:12">
      <c r="A708" s="72">
        <f t="shared" si="27"/>
        <v>2015</v>
      </c>
      <c r="B708" s="72">
        <f t="shared" si="28"/>
        <v>8</v>
      </c>
      <c r="C708" s="73">
        <v>42224</v>
      </c>
      <c r="D708" s="73" t="s">
        <v>165</v>
      </c>
      <c r="E708" s="73">
        <v>42224</v>
      </c>
      <c r="F708" s="76" t="s">
        <v>435</v>
      </c>
      <c r="G708" s="265" t="s">
        <v>547</v>
      </c>
      <c r="H708" s="122" t="s">
        <v>436</v>
      </c>
      <c r="I708" s="74">
        <v>15450000</v>
      </c>
      <c r="J708" s="75" t="s">
        <v>655</v>
      </c>
      <c r="K708" s="75" t="s">
        <v>203</v>
      </c>
      <c r="L708" s="134" t="str">
        <f>IF(AND('331-CT'!$E$7=TH!H708,OR(J708="331",K708="331")),"x","")</f>
        <v/>
      </c>
    </row>
    <row r="709" spans="1:12">
      <c r="A709" s="72">
        <f t="shared" si="27"/>
        <v>2015</v>
      </c>
      <c r="B709" s="72">
        <f t="shared" si="28"/>
        <v>8</v>
      </c>
      <c r="C709" s="73">
        <v>42224</v>
      </c>
      <c r="D709" s="73" t="s">
        <v>165</v>
      </c>
      <c r="E709" s="73">
        <v>42224</v>
      </c>
      <c r="F709" s="76" t="s">
        <v>437</v>
      </c>
      <c r="G709" s="265" t="s">
        <v>547</v>
      </c>
      <c r="H709" s="122" t="s">
        <v>436</v>
      </c>
      <c r="I709" s="74">
        <v>1545000</v>
      </c>
      <c r="J709" s="75" t="s">
        <v>19</v>
      </c>
      <c r="K709" s="75" t="s">
        <v>203</v>
      </c>
      <c r="L709" s="134" t="str">
        <f>IF(AND('331-CT'!$E$7=TH!H709,OR(J709="331",K709="331")),"x","")</f>
        <v/>
      </c>
    </row>
    <row r="710" spans="1:12">
      <c r="A710" s="72">
        <f t="shared" si="27"/>
        <v>2015</v>
      </c>
      <c r="B710" s="72">
        <f t="shared" si="28"/>
        <v>8</v>
      </c>
      <c r="C710" s="73">
        <v>42225</v>
      </c>
      <c r="D710" s="73" t="s">
        <v>166</v>
      </c>
      <c r="E710" s="73">
        <v>42225</v>
      </c>
      <c r="F710" s="76" t="s">
        <v>435</v>
      </c>
      <c r="G710" s="265" t="s">
        <v>548</v>
      </c>
      <c r="H710" s="9" t="s">
        <v>436</v>
      </c>
      <c r="I710" s="74">
        <v>15450000</v>
      </c>
      <c r="J710" s="75" t="s">
        <v>655</v>
      </c>
      <c r="K710" s="75" t="s">
        <v>203</v>
      </c>
      <c r="L710" s="134" t="str">
        <f>IF(AND('331-CT'!$E$7=TH!H710,OR(J710="331",K710="331")),"x","")</f>
        <v/>
      </c>
    </row>
    <row r="711" spans="1:12">
      <c r="A711" s="72">
        <f t="shared" si="27"/>
        <v>2015</v>
      </c>
      <c r="B711" s="72">
        <f t="shared" si="28"/>
        <v>8</v>
      </c>
      <c r="C711" s="73">
        <v>42225</v>
      </c>
      <c r="D711" s="73" t="s">
        <v>166</v>
      </c>
      <c r="E711" s="73">
        <v>42225</v>
      </c>
      <c r="F711" s="76" t="s">
        <v>437</v>
      </c>
      <c r="G711" s="265" t="s">
        <v>548</v>
      </c>
      <c r="H711" s="122" t="s">
        <v>436</v>
      </c>
      <c r="I711" s="74">
        <v>1545000</v>
      </c>
      <c r="J711" s="75" t="s">
        <v>19</v>
      </c>
      <c r="K711" s="75" t="s">
        <v>203</v>
      </c>
      <c r="L711" s="134" t="str">
        <f>IF(AND('331-CT'!$E$7=TH!H711,OR(J711="331",K711="331")),"x","")</f>
        <v/>
      </c>
    </row>
    <row r="712" spans="1:12">
      <c r="A712" s="72">
        <f t="shared" si="27"/>
        <v>2015</v>
      </c>
      <c r="B712" s="72">
        <f t="shared" si="28"/>
        <v>8</v>
      </c>
      <c r="C712" s="73">
        <v>42226</v>
      </c>
      <c r="D712" s="73" t="s">
        <v>167</v>
      </c>
      <c r="E712" s="73">
        <v>42226</v>
      </c>
      <c r="F712" s="76" t="s">
        <v>435</v>
      </c>
      <c r="G712" s="265" t="s">
        <v>549</v>
      </c>
      <c r="H712" s="122" t="s">
        <v>436</v>
      </c>
      <c r="I712" s="74">
        <v>5150000</v>
      </c>
      <c r="J712" s="75" t="s">
        <v>655</v>
      </c>
      <c r="K712" s="75" t="s">
        <v>203</v>
      </c>
      <c r="L712" s="134" t="str">
        <f>IF(AND('331-CT'!$E$7=TH!H712,OR(J712="331",K712="331")),"x","")</f>
        <v/>
      </c>
    </row>
    <row r="713" spans="1:12">
      <c r="A713" s="72">
        <f t="shared" si="27"/>
        <v>2015</v>
      </c>
      <c r="B713" s="72">
        <f t="shared" si="28"/>
        <v>8</v>
      </c>
      <c r="C713" s="73">
        <v>42226</v>
      </c>
      <c r="D713" s="73" t="s">
        <v>167</v>
      </c>
      <c r="E713" s="73">
        <v>42226</v>
      </c>
      <c r="F713" s="76" t="s">
        <v>437</v>
      </c>
      <c r="G713" s="265" t="s">
        <v>549</v>
      </c>
      <c r="H713" s="9" t="s">
        <v>436</v>
      </c>
      <c r="I713" s="74">
        <v>515000</v>
      </c>
      <c r="J713" s="75" t="s">
        <v>19</v>
      </c>
      <c r="K713" s="75" t="s">
        <v>203</v>
      </c>
      <c r="L713" s="134" t="str">
        <f>IF(AND('331-CT'!$E$7=TH!H713,OR(J713="331",K713="331")),"x","")</f>
        <v/>
      </c>
    </row>
    <row r="714" spans="1:12">
      <c r="A714" s="72">
        <f t="shared" si="27"/>
        <v>2015</v>
      </c>
      <c r="B714" s="72">
        <f t="shared" si="28"/>
        <v>8</v>
      </c>
      <c r="C714" s="73">
        <v>42229</v>
      </c>
      <c r="D714" s="73" t="s">
        <v>17</v>
      </c>
      <c r="E714" s="73">
        <v>42229</v>
      </c>
      <c r="F714" s="76" t="s">
        <v>301</v>
      </c>
      <c r="G714" s="265"/>
      <c r="H714" s="122" t="s">
        <v>407</v>
      </c>
      <c r="I714" s="74">
        <v>50000000</v>
      </c>
      <c r="J714" s="75" t="s">
        <v>18</v>
      </c>
      <c r="K714" s="75" t="s">
        <v>54</v>
      </c>
      <c r="L714" s="134" t="str">
        <f>IF(AND('331-CT'!$E$7=TH!H714,OR(J714="331",K714="331")),"x","")</f>
        <v/>
      </c>
    </row>
    <row r="715" spans="1:12">
      <c r="A715" s="72">
        <f t="shared" si="27"/>
        <v>2015</v>
      </c>
      <c r="B715" s="72">
        <f t="shared" si="28"/>
        <v>8</v>
      </c>
      <c r="C715" s="73">
        <v>42229</v>
      </c>
      <c r="D715" s="73" t="s">
        <v>17</v>
      </c>
      <c r="E715" s="73">
        <v>42229</v>
      </c>
      <c r="F715" s="76" t="s">
        <v>34</v>
      </c>
      <c r="G715" s="265"/>
      <c r="H715" s="122"/>
      <c r="I715" s="74">
        <v>25000</v>
      </c>
      <c r="J715" s="75" t="s">
        <v>242</v>
      </c>
      <c r="K715" s="75" t="s">
        <v>54</v>
      </c>
      <c r="L715" s="134" t="str">
        <f>IF(AND('331-CT'!$E$7=TH!H715,OR(J715="331",K715="331")),"x","")</f>
        <v/>
      </c>
    </row>
    <row r="716" spans="1:12">
      <c r="A716" s="72">
        <f t="shared" si="27"/>
        <v>2015</v>
      </c>
      <c r="B716" s="72">
        <f t="shared" si="28"/>
        <v>8</v>
      </c>
      <c r="C716" s="73">
        <v>42229</v>
      </c>
      <c r="D716" s="73" t="s">
        <v>17</v>
      </c>
      <c r="E716" s="73">
        <v>42229</v>
      </c>
      <c r="F716" s="76" t="s">
        <v>35</v>
      </c>
      <c r="G716" s="265"/>
      <c r="H716" s="122"/>
      <c r="I716" s="74">
        <v>2500</v>
      </c>
      <c r="J716" s="75" t="s">
        <v>19</v>
      </c>
      <c r="K716" s="75" t="s">
        <v>54</v>
      </c>
      <c r="L716" s="134" t="str">
        <f>IF(AND('331-CT'!$E$7=TH!H716,OR(J716="331",K716="331")),"x","")</f>
        <v/>
      </c>
    </row>
    <row r="717" spans="1:12">
      <c r="A717" s="72">
        <f t="shared" si="27"/>
        <v>2015</v>
      </c>
      <c r="B717" s="72">
        <f t="shared" si="28"/>
        <v>8</v>
      </c>
      <c r="C717" s="73">
        <v>42229</v>
      </c>
      <c r="D717" s="73" t="s">
        <v>78</v>
      </c>
      <c r="E717" s="73">
        <v>42229</v>
      </c>
      <c r="F717" s="76" t="s">
        <v>446</v>
      </c>
      <c r="G717" s="265" t="s">
        <v>445</v>
      </c>
      <c r="H717" s="122" t="s">
        <v>111</v>
      </c>
      <c r="I717" s="74">
        <v>2000000000</v>
      </c>
      <c r="J717" s="75" t="s">
        <v>655</v>
      </c>
      <c r="K717" s="75" t="s">
        <v>18</v>
      </c>
      <c r="L717" s="134" t="str">
        <f>IF(AND('331-CT'!$E$7=TH!H717,OR(J717="331",K717="331")),"x","")</f>
        <v/>
      </c>
    </row>
    <row r="718" spans="1:12">
      <c r="A718" s="129">
        <f t="shared" si="27"/>
        <v>2015</v>
      </c>
      <c r="B718" s="129">
        <f t="shared" si="28"/>
        <v>8</v>
      </c>
      <c r="C718" s="130">
        <v>42229</v>
      </c>
      <c r="D718" s="130" t="s">
        <v>78</v>
      </c>
      <c r="E718" s="130">
        <v>42229</v>
      </c>
      <c r="F718" s="131" t="s">
        <v>447</v>
      </c>
      <c r="G718" s="266" t="s">
        <v>445</v>
      </c>
      <c r="H718" s="132" t="s">
        <v>111</v>
      </c>
      <c r="I718" s="133">
        <v>200000000</v>
      </c>
      <c r="J718" s="134" t="s">
        <v>19</v>
      </c>
      <c r="K718" s="134" t="s">
        <v>18</v>
      </c>
      <c r="L718" s="134" t="str">
        <f>IF(AND('331-CT'!$E$7=TH!H718,OR(J718="331",K718="331")),"x","")</f>
        <v/>
      </c>
    </row>
    <row r="719" spans="1:12" ht="13.5" customHeight="1">
      <c r="A719" s="72">
        <f t="shared" si="27"/>
        <v>2015</v>
      </c>
      <c r="B719" s="72">
        <f t="shared" si="28"/>
        <v>8</v>
      </c>
      <c r="C719" s="73">
        <v>42229</v>
      </c>
      <c r="D719" s="73" t="s">
        <v>21</v>
      </c>
      <c r="E719" s="73">
        <v>42229</v>
      </c>
      <c r="F719" s="76" t="s">
        <v>455</v>
      </c>
      <c r="G719" s="265"/>
      <c r="H719" s="122" t="s">
        <v>456</v>
      </c>
      <c r="I719" s="74">
        <v>1000000000</v>
      </c>
      <c r="J719" s="75" t="s">
        <v>54</v>
      </c>
      <c r="K719" s="75" t="s">
        <v>227</v>
      </c>
      <c r="L719" s="134" t="str">
        <f>IF(AND('331-CT'!$E$7=TH!H719,OR(J719="331",K719="331")),"x","")</f>
        <v/>
      </c>
    </row>
    <row r="720" spans="1:12" ht="13.5" customHeight="1">
      <c r="A720" s="72">
        <f t="shared" si="27"/>
        <v>2015</v>
      </c>
      <c r="B720" s="72">
        <f t="shared" si="28"/>
        <v>8</v>
      </c>
      <c r="C720" s="73">
        <v>42230</v>
      </c>
      <c r="D720" s="73" t="s">
        <v>78</v>
      </c>
      <c r="E720" s="73">
        <v>42230</v>
      </c>
      <c r="F720" s="76" t="s">
        <v>439</v>
      </c>
      <c r="G720" s="265" t="s">
        <v>438</v>
      </c>
      <c r="H720" s="9" t="s">
        <v>441</v>
      </c>
      <c r="I720" s="74">
        <v>30000000</v>
      </c>
      <c r="J720" s="75" t="s">
        <v>655</v>
      </c>
      <c r="K720" s="75" t="s">
        <v>18</v>
      </c>
      <c r="L720" s="134" t="str">
        <f>IF(AND('331-CT'!$E$7=TH!H720,OR(J720="331",K720="331")),"x","")</f>
        <v/>
      </c>
    </row>
    <row r="721" spans="1:12" ht="13.5" customHeight="1">
      <c r="A721" s="72">
        <f t="shared" si="27"/>
        <v>2015</v>
      </c>
      <c r="B721" s="72">
        <f t="shared" si="28"/>
        <v>8</v>
      </c>
      <c r="C721" s="73">
        <v>42230</v>
      </c>
      <c r="D721" s="73" t="s">
        <v>78</v>
      </c>
      <c r="E721" s="73">
        <v>42230</v>
      </c>
      <c r="F721" s="76" t="s">
        <v>440</v>
      </c>
      <c r="G721" s="265" t="s">
        <v>438</v>
      </c>
      <c r="H721" s="122" t="s">
        <v>441</v>
      </c>
      <c r="I721" s="74">
        <v>3000000</v>
      </c>
      <c r="J721" s="75" t="s">
        <v>19</v>
      </c>
      <c r="K721" s="75" t="s">
        <v>18</v>
      </c>
      <c r="L721" s="134" t="str">
        <f>IF(AND('331-CT'!$E$7=TH!H721,OR(J721="331",K721="331")),"x","")</f>
        <v/>
      </c>
    </row>
    <row r="722" spans="1:12" ht="13.5" customHeight="1">
      <c r="A722" s="72">
        <f t="shared" si="27"/>
        <v>2015</v>
      </c>
      <c r="B722" s="72">
        <f t="shared" si="28"/>
        <v>8</v>
      </c>
      <c r="C722" s="73">
        <v>42230</v>
      </c>
      <c r="D722" s="73" t="s">
        <v>78</v>
      </c>
      <c r="E722" s="73">
        <v>42230</v>
      </c>
      <c r="F722" s="76" t="s">
        <v>443</v>
      </c>
      <c r="G722" s="265" t="s">
        <v>442</v>
      </c>
      <c r="H722" s="122" t="s">
        <v>481</v>
      </c>
      <c r="I722" s="74">
        <v>545120000</v>
      </c>
      <c r="J722" s="75" t="s">
        <v>655</v>
      </c>
      <c r="K722" s="75" t="s">
        <v>18</v>
      </c>
      <c r="L722" s="134" t="str">
        <f>IF(AND('331-CT'!$E$7=TH!H722,OR(J722="331",K722="331")),"x","")</f>
        <v/>
      </c>
    </row>
    <row r="723" spans="1:12" ht="13.5" customHeight="1">
      <c r="A723" s="72">
        <f t="shared" si="27"/>
        <v>2015</v>
      </c>
      <c r="B723" s="72">
        <f t="shared" si="28"/>
        <v>8</v>
      </c>
      <c r="C723" s="73">
        <v>42230</v>
      </c>
      <c r="D723" s="73" t="s">
        <v>78</v>
      </c>
      <c r="E723" s="73">
        <v>42230</v>
      </c>
      <c r="F723" s="76" t="s">
        <v>444</v>
      </c>
      <c r="G723" s="265" t="s">
        <v>442</v>
      </c>
      <c r="H723" s="9" t="s">
        <v>481</v>
      </c>
      <c r="I723" s="74">
        <v>54512000</v>
      </c>
      <c r="J723" s="75" t="s">
        <v>19</v>
      </c>
      <c r="K723" s="75" t="s">
        <v>18</v>
      </c>
      <c r="L723" s="134" t="str">
        <f>IF(AND('331-CT'!$E$7=TH!H723,OR(J723="331",K723="331")),"x","")</f>
        <v/>
      </c>
    </row>
    <row r="724" spans="1:12" ht="13.5" customHeight="1">
      <c r="A724" s="72">
        <f t="shared" si="27"/>
        <v>2015</v>
      </c>
      <c r="B724" s="72">
        <f t="shared" si="28"/>
        <v>8</v>
      </c>
      <c r="C724" s="73">
        <v>42230</v>
      </c>
      <c r="D724" s="73" t="s">
        <v>17</v>
      </c>
      <c r="E724" s="73">
        <v>42230</v>
      </c>
      <c r="F724" s="76" t="s">
        <v>301</v>
      </c>
      <c r="G724" s="265"/>
      <c r="H724" s="122" t="s">
        <v>306</v>
      </c>
      <c r="I724" s="74">
        <v>500000000</v>
      </c>
      <c r="J724" s="75" t="s">
        <v>18</v>
      </c>
      <c r="K724" s="75" t="s">
        <v>54</v>
      </c>
      <c r="L724" s="134" t="str">
        <f>IF(AND('331-CT'!$E$7=TH!H724,OR(J724="331",K724="331")),"x","")</f>
        <v/>
      </c>
    </row>
    <row r="725" spans="1:12" s="224" customFormat="1" ht="13.5" customHeight="1">
      <c r="A725" s="72">
        <f t="shared" ref="A725:A788" si="29">IF(C725&lt;&gt;"",YEAR(C725),"")</f>
        <v>2015</v>
      </c>
      <c r="B725" s="72">
        <f t="shared" ref="B725:B788" si="30">IF(C725&lt;&gt;"",MONTH(C725),"")</f>
        <v>8</v>
      </c>
      <c r="C725" s="73">
        <v>42230</v>
      </c>
      <c r="D725" s="73" t="s">
        <v>17</v>
      </c>
      <c r="E725" s="73">
        <v>42230</v>
      </c>
      <c r="F725" s="76" t="s">
        <v>34</v>
      </c>
      <c r="G725" s="265"/>
      <c r="H725" s="122"/>
      <c r="I725" s="74">
        <v>150000</v>
      </c>
      <c r="J725" s="75" t="s">
        <v>242</v>
      </c>
      <c r="K725" s="75" t="s">
        <v>54</v>
      </c>
      <c r="L725" s="134" t="str">
        <f>IF(AND('331-CT'!$E$7=TH!H725,OR(J725="331",K725="331")),"x","")</f>
        <v/>
      </c>
    </row>
    <row r="726" spans="1:12" ht="13.5" customHeight="1">
      <c r="A726" s="72">
        <f t="shared" si="29"/>
        <v>2015</v>
      </c>
      <c r="B726" s="72">
        <f t="shared" si="30"/>
        <v>8</v>
      </c>
      <c r="C726" s="73">
        <v>42230</v>
      </c>
      <c r="D726" s="73" t="s">
        <v>17</v>
      </c>
      <c r="E726" s="73">
        <v>42230</v>
      </c>
      <c r="F726" s="76" t="s">
        <v>35</v>
      </c>
      <c r="G726" s="270"/>
      <c r="H726" s="122"/>
      <c r="I726" s="74">
        <v>15000</v>
      </c>
      <c r="J726" s="75" t="s">
        <v>19</v>
      </c>
      <c r="K726" s="75" t="s">
        <v>54</v>
      </c>
      <c r="L726" s="134" t="str">
        <f>IF(AND('331-CT'!$E$7=TH!H726,OR(J726="331",K726="331")),"x","")</f>
        <v/>
      </c>
    </row>
    <row r="727" spans="1:12" ht="13.5" customHeight="1">
      <c r="A727" s="72">
        <f t="shared" si="29"/>
        <v>2015</v>
      </c>
      <c r="B727" s="72">
        <f t="shared" si="30"/>
        <v>8</v>
      </c>
      <c r="C727" s="73">
        <v>42234</v>
      </c>
      <c r="D727" s="73" t="s">
        <v>168</v>
      </c>
      <c r="E727" s="73">
        <v>42234</v>
      </c>
      <c r="F727" s="76" t="s">
        <v>576</v>
      </c>
      <c r="G727" s="270"/>
      <c r="H727" s="122" t="s">
        <v>272</v>
      </c>
      <c r="I727" s="74">
        <v>500000000</v>
      </c>
      <c r="J727" s="75" t="s">
        <v>54</v>
      </c>
      <c r="K727" s="75" t="s">
        <v>203</v>
      </c>
      <c r="L727" s="134" t="str">
        <f>IF(AND('331-CT'!$E$7=TH!H727,OR(J727="331",K727="331")),"x","")</f>
        <v/>
      </c>
    </row>
    <row r="728" spans="1:12" ht="13.5" customHeight="1">
      <c r="A728" s="72">
        <f t="shared" si="29"/>
        <v>2015</v>
      </c>
      <c r="B728" s="72">
        <f t="shared" si="30"/>
        <v>8</v>
      </c>
      <c r="C728" s="73">
        <v>42235</v>
      </c>
      <c r="D728" s="73" t="s">
        <v>169</v>
      </c>
      <c r="E728" s="73">
        <v>42235</v>
      </c>
      <c r="F728" s="76" t="s">
        <v>457</v>
      </c>
      <c r="G728" s="270" t="s">
        <v>550</v>
      </c>
      <c r="H728" s="122" t="s">
        <v>458</v>
      </c>
      <c r="I728" s="74">
        <v>3660000</v>
      </c>
      <c r="J728" s="75" t="s">
        <v>655</v>
      </c>
      <c r="K728" s="75" t="s">
        <v>203</v>
      </c>
      <c r="L728" s="134" t="str">
        <f>IF(AND('331-CT'!$E$7=TH!H728,OR(J728="331",K728="331")),"x","")</f>
        <v/>
      </c>
    </row>
    <row r="729" spans="1:12" ht="13.5" customHeight="1">
      <c r="A729" s="72">
        <f t="shared" si="29"/>
        <v>2015</v>
      </c>
      <c r="B729" s="72">
        <f t="shared" si="30"/>
        <v>8</v>
      </c>
      <c r="C729" s="73">
        <v>42235</v>
      </c>
      <c r="D729" s="73" t="s">
        <v>170</v>
      </c>
      <c r="E729" s="73">
        <v>42235</v>
      </c>
      <c r="F729" s="76" t="s">
        <v>448</v>
      </c>
      <c r="G729" s="270" t="s">
        <v>551</v>
      </c>
      <c r="H729" s="122" t="s">
        <v>451</v>
      </c>
      <c r="I729" s="74">
        <v>6636364</v>
      </c>
      <c r="J729" s="75" t="s">
        <v>655</v>
      </c>
      <c r="K729" s="75" t="s">
        <v>203</v>
      </c>
      <c r="L729" s="134" t="str">
        <f>IF(AND('331-CT'!$E$7=TH!H729,OR(J729="331",K729="331")),"x","")</f>
        <v/>
      </c>
    </row>
    <row r="730" spans="1:12" ht="13.5" customHeight="1">
      <c r="A730" s="72">
        <f t="shared" si="29"/>
        <v>2015</v>
      </c>
      <c r="B730" s="72">
        <f t="shared" si="30"/>
        <v>8</v>
      </c>
      <c r="C730" s="73">
        <v>42235</v>
      </c>
      <c r="D730" s="73" t="s">
        <v>170</v>
      </c>
      <c r="E730" s="73">
        <v>42235</v>
      </c>
      <c r="F730" s="76" t="s">
        <v>449</v>
      </c>
      <c r="G730" s="270" t="s">
        <v>551</v>
      </c>
      <c r="H730" s="122" t="s">
        <v>451</v>
      </c>
      <c r="I730" s="74">
        <v>663636</v>
      </c>
      <c r="J730" s="75" t="s">
        <v>19</v>
      </c>
      <c r="K730" s="75" t="s">
        <v>203</v>
      </c>
      <c r="L730" s="134" t="str">
        <f>IF(AND('331-CT'!$E$7=TH!H730,OR(J730="331",K730="331")),"x","")</f>
        <v/>
      </c>
    </row>
    <row r="731" spans="1:12" ht="13.5" customHeight="1">
      <c r="A731" s="72">
        <f t="shared" si="29"/>
        <v>2015</v>
      </c>
      <c r="B731" s="72">
        <f t="shared" si="30"/>
        <v>8</v>
      </c>
      <c r="C731" s="73">
        <v>42235</v>
      </c>
      <c r="D731" s="73" t="s">
        <v>171</v>
      </c>
      <c r="E731" s="73">
        <v>42235</v>
      </c>
      <c r="F731" s="76" t="s">
        <v>450</v>
      </c>
      <c r="G731" s="270" t="s">
        <v>552</v>
      </c>
      <c r="H731" s="122" t="s">
        <v>452</v>
      </c>
      <c r="I731" s="74">
        <v>4700000</v>
      </c>
      <c r="J731" s="75" t="s">
        <v>655</v>
      </c>
      <c r="K731" s="75" t="s">
        <v>203</v>
      </c>
      <c r="L731" s="134" t="str">
        <f>IF(AND('331-CT'!$E$7=TH!H731,OR(J731="331",K731="331")),"x","")</f>
        <v/>
      </c>
    </row>
    <row r="732" spans="1:12" ht="13.5" customHeight="1">
      <c r="A732" s="72">
        <f t="shared" si="29"/>
        <v>2015</v>
      </c>
      <c r="B732" s="72">
        <f t="shared" si="30"/>
        <v>8</v>
      </c>
      <c r="C732" s="73">
        <v>42235</v>
      </c>
      <c r="D732" s="73" t="s">
        <v>17</v>
      </c>
      <c r="E732" s="73">
        <v>42235</v>
      </c>
      <c r="F732" s="76" t="s">
        <v>119</v>
      </c>
      <c r="G732" s="270"/>
      <c r="H732" s="122" t="s">
        <v>314</v>
      </c>
      <c r="I732" s="74">
        <v>8180556</v>
      </c>
      <c r="J732" s="75" t="s">
        <v>240</v>
      </c>
      <c r="K732" s="75" t="s">
        <v>54</v>
      </c>
      <c r="L732" s="134" t="str">
        <f>IF(AND('331-CT'!$E$7=TH!H732,OR(J732="331",K732="331")),"x","")</f>
        <v/>
      </c>
    </row>
    <row r="733" spans="1:12" ht="13.5" customHeight="1">
      <c r="A733" s="72">
        <f t="shared" si="29"/>
        <v>2015</v>
      </c>
      <c r="B733" s="72">
        <f t="shared" si="30"/>
        <v>8</v>
      </c>
      <c r="C733" s="73">
        <v>42235</v>
      </c>
      <c r="D733" s="73" t="s">
        <v>17</v>
      </c>
      <c r="E733" s="73">
        <v>42235</v>
      </c>
      <c r="F733" s="76" t="s">
        <v>141</v>
      </c>
      <c r="G733" s="270"/>
      <c r="H733" s="122" t="s">
        <v>315</v>
      </c>
      <c r="I733" s="74">
        <v>16361111</v>
      </c>
      <c r="J733" s="75" t="s">
        <v>240</v>
      </c>
      <c r="K733" s="75" t="s">
        <v>54</v>
      </c>
      <c r="L733" s="134" t="str">
        <f>IF(AND('331-CT'!$E$7=TH!H733,OR(J733="331",K733="331")),"x","")</f>
        <v/>
      </c>
    </row>
    <row r="734" spans="1:12" ht="13.5" customHeight="1">
      <c r="A734" s="72">
        <f t="shared" si="29"/>
        <v>2015</v>
      </c>
      <c r="B734" s="72">
        <f t="shared" si="30"/>
        <v>8</v>
      </c>
      <c r="C734" s="73">
        <v>42235</v>
      </c>
      <c r="D734" s="73" t="s">
        <v>17</v>
      </c>
      <c r="E734" s="73">
        <v>42235</v>
      </c>
      <c r="F734" s="76" t="s">
        <v>143</v>
      </c>
      <c r="G734" s="270"/>
      <c r="H734" s="122" t="s">
        <v>317</v>
      </c>
      <c r="I734" s="74">
        <v>13088889</v>
      </c>
      <c r="J734" s="75" t="s">
        <v>240</v>
      </c>
      <c r="K734" s="75" t="s">
        <v>54</v>
      </c>
      <c r="L734" s="134" t="str">
        <f>IF(AND('331-CT'!$E$7=TH!H734,OR(J734="331",K734="331")),"x","")</f>
        <v/>
      </c>
    </row>
    <row r="735" spans="1:12" ht="13.5" customHeight="1">
      <c r="A735" s="72">
        <f t="shared" si="29"/>
        <v>2015</v>
      </c>
      <c r="B735" s="72">
        <f t="shared" si="30"/>
        <v>8</v>
      </c>
      <c r="C735" s="73">
        <v>42235</v>
      </c>
      <c r="D735" s="73" t="s">
        <v>17</v>
      </c>
      <c r="E735" s="73">
        <v>42235</v>
      </c>
      <c r="F735" s="76" t="s">
        <v>144</v>
      </c>
      <c r="G735" s="270"/>
      <c r="H735" s="122" t="s">
        <v>316</v>
      </c>
      <c r="I735" s="74">
        <v>12270833</v>
      </c>
      <c r="J735" s="75" t="s">
        <v>240</v>
      </c>
      <c r="K735" s="75" t="s">
        <v>54</v>
      </c>
      <c r="L735" s="134" t="str">
        <f>IF(AND('331-CT'!$E$7=TH!H735,OR(J735="331",K735="331")),"x","")</f>
        <v/>
      </c>
    </row>
    <row r="736" spans="1:12" ht="13.5" customHeight="1">
      <c r="A736" s="72">
        <f t="shared" si="29"/>
        <v>2015</v>
      </c>
      <c r="B736" s="72">
        <f t="shared" si="30"/>
        <v>8</v>
      </c>
      <c r="C736" s="73">
        <v>42235</v>
      </c>
      <c r="D736" s="73" t="s">
        <v>17</v>
      </c>
      <c r="E736" s="73">
        <v>42235</v>
      </c>
      <c r="F736" s="76" t="s">
        <v>145</v>
      </c>
      <c r="G736" s="265"/>
      <c r="H736" s="9" t="s">
        <v>318</v>
      </c>
      <c r="I736" s="74">
        <v>8180556</v>
      </c>
      <c r="J736" s="75" t="s">
        <v>240</v>
      </c>
      <c r="K736" s="75" t="s">
        <v>54</v>
      </c>
      <c r="L736" s="134" t="str">
        <f>IF(AND('331-CT'!$E$7=TH!H736,OR(J736="331",K736="331")),"x","")</f>
        <v/>
      </c>
    </row>
    <row r="737" spans="1:12" ht="13.5" customHeight="1">
      <c r="A737" s="72">
        <f t="shared" si="29"/>
        <v>2015</v>
      </c>
      <c r="B737" s="72">
        <f t="shared" si="30"/>
        <v>8</v>
      </c>
      <c r="C737" s="73">
        <v>42235</v>
      </c>
      <c r="D737" s="73" t="s">
        <v>17</v>
      </c>
      <c r="E737" s="73">
        <v>42235</v>
      </c>
      <c r="F737" s="76" t="s">
        <v>147</v>
      </c>
      <c r="G737" s="265"/>
      <c r="H737" s="122" t="s">
        <v>319</v>
      </c>
      <c r="I737" s="74">
        <v>12270833</v>
      </c>
      <c r="J737" s="75" t="s">
        <v>240</v>
      </c>
      <c r="K737" s="75" t="s">
        <v>54</v>
      </c>
      <c r="L737" s="134" t="str">
        <f>IF(AND('331-CT'!$E$7=TH!H737,OR(J737="331",K737="331")),"x","")</f>
        <v/>
      </c>
    </row>
    <row r="738" spans="1:12">
      <c r="A738" s="72">
        <f t="shared" si="29"/>
        <v>2015</v>
      </c>
      <c r="B738" s="72">
        <f t="shared" si="30"/>
        <v>8</v>
      </c>
      <c r="C738" s="73">
        <v>42235</v>
      </c>
      <c r="D738" s="73" t="s">
        <v>17</v>
      </c>
      <c r="E738" s="73">
        <v>42235</v>
      </c>
      <c r="F738" s="76" t="s">
        <v>273</v>
      </c>
      <c r="G738" s="265"/>
      <c r="H738" s="122" t="s">
        <v>320</v>
      </c>
      <c r="I738" s="74">
        <v>16361111</v>
      </c>
      <c r="J738" s="75" t="s">
        <v>240</v>
      </c>
      <c r="K738" s="75" t="s">
        <v>54</v>
      </c>
      <c r="L738" s="134" t="str">
        <f>IF(AND('331-CT'!$E$7=TH!H738,OR(J738="331",K738="331")),"x","")</f>
        <v/>
      </c>
    </row>
    <row r="739" spans="1:12">
      <c r="A739" s="72">
        <f t="shared" si="29"/>
        <v>2015</v>
      </c>
      <c r="B739" s="72">
        <f t="shared" si="30"/>
        <v>8</v>
      </c>
      <c r="C739" s="73">
        <v>42235</v>
      </c>
      <c r="D739" s="73" t="s">
        <v>17</v>
      </c>
      <c r="E739" s="73">
        <v>42235</v>
      </c>
      <c r="F739" s="76" t="s">
        <v>303</v>
      </c>
      <c r="G739" s="265"/>
      <c r="H739" s="122" t="s">
        <v>321</v>
      </c>
      <c r="I739" s="74">
        <v>11452778</v>
      </c>
      <c r="J739" s="75" t="s">
        <v>240</v>
      </c>
      <c r="K739" s="75" t="s">
        <v>54</v>
      </c>
      <c r="L739" s="134" t="str">
        <f>IF(AND('331-CT'!$E$7=TH!H739,OR(J739="331",K739="331")),"x","")</f>
        <v/>
      </c>
    </row>
    <row r="740" spans="1:12" ht="13.5" customHeight="1">
      <c r="A740" s="72">
        <f t="shared" si="29"/>
        <v>2015</v>
      </c>
      <c r="B740" s="72">
        <f t="shared" si="30"/>
        <v>8</v>
      </c>
      <c r="C740" s="73">
        <v>42235</v>
      </c>
      <c r="D740" s="73" t="s">
        <v>17</v>
      </c>
      <c r="E740" s="73">
        <v>42235</v>
      </c>
      <c r="F740" s="76" t="s">
        <v>304</v>
      </c>
      <c r="G740" s="265"/>
      <c r="H740" s="122" t="s">
        <v>322</v>
      </c>
      <c r="I740" s="74">
        <v>12270833</v>
      </c>
      <c r="J740" s="75" t="s">
        <v>240</v>
      </c>
      <c r="K740" s="75" t="s">
        <v>54</v>
      </c>
      <c r="L740" s="134" t="str">
        <f>IF(AND('331-CT'!$E$7=TH!H740,OR(J740="331",K740="331")),"x","")</f>
        <v/>
      </c>
    </row>
    <row r="741" spans="1:12" ht="13.5" customHeight="1">
      <c r="A741" s="72">
        <f t="shared" si="29"/>
        <v>2015</v>
      </c>
      <c r="B741" s="72">
        <f t="shared" si="30"/>
        <v>8</v>
      </c>
      <c r="C741" s="73">
        <v>42235</v>
      </c>
      <c r="D741" s="73" t="s">
        <v>17</v>
      </c>
      <c r="E741" s="73">
        <v>42235</v>
      </c>
      <c r="F741" s="76" t="s">
        <v>418</v>
      </c>
      <c r="G741" s="265"/>
      <c r="H741" s="122" t="s">
        <v>324</v>
      </c>
      <c r="I741" s="74">
        <v>12270833</v>
      </c>
      <c r="J741" s="75" t="s">
        <v>240</v>
      </c>
      <c r="K741" s="75" t="s">
        <v>54</v>
      </c>
      <c r="L741" s="134" t="str">
        <f>IF(AND('331-CT'!$E$7=TH!H741,OR(J741="331",K741="331")),"x","")</f>
        <v/>
      </c>
    </row>
    <row r="742" spans="1:12" ht="13.5" customHeight="1">
      <c r="A742" s="72">
        <f t="shared" si="29"/>
        <v>2015</v>
      </c>
      <c r="B742" s="72">
        <f t="shared" si="30"/>
        <v>8</v>
      </c>
      <c r="C742" s="73">
        <v>42235</v>
      </c>
      <c r="D742" s="73" t="s">
        <v>17</v>
      </c>
      <c r="E742" s="73">
        <v>42235</v>
      </c>
      <c r="F742" s="76" t="s">
        <v>465</v>
      </c>
      <c r="G742" s="265"/>
      <c r="H742" s="122" t="s">
        <v>326</v>
      </c>
      <c r="I742" s="74">
        <v>19000000</v>
      </c>
      <c r="J742" s="75" t="s">
        <v>240</v>
      </c>
      <c r="K742" s="75" t="s">
        <v>54</v>
      </c>
      <c r="L742" s="134" t="str">
        <f>IF(AND('331-CT'!$E$7=TH!H742,OR(J742="331",K742="331")),"x","")</f>
        <v/>
      </c>
    </row>
    <row r="743" spans="1:12" ht="13.5" customHeight="1">
      <c r="A743" s="72">
        <f t="shared" si="29"/>
        <v>2015</v>
      </c>
      <c r="B743" s="72">
        <f t="shared" si="30"/>
        <v>8</v>
      </c>
      <c r="C743" s="73">
        <v>42235</v>
      </c>
      <c r="D743" s="73" t="s">
        <v>17</v>
      </c>
      <c r="E743" s="73">
        <v>42235</v>
      </c>
      <c r="F743" s="76" t="s">
        <v>466</v>
      </c>
      <c r="G743" s="265"/>
      <c r="H743" s="122" t="s">
        <v>417</v>
      </c>
      <c r="I743" s="74">
        <v>15833333</v>
      </c>
      <c r="J743" s="75" t="s">
        <v>240</v>
      </c>
      <c r="K743" s="75" t="s">
        <v>54</v>
      </c>
      <c r="L743" s="134" t="str">
        <f>IF(AND('331-CT'!$E$7=TH!H743,OR(J743="331",K743="331")),"x","")</f>
        <v/>
      </c>
    </row>
    <row r="744" spans="1:12" ht="13.5" customHeight="1">
      <c r="A744" s="72">
        <f t="shared" si="29"/>
        <v>2015</v>
      </c>
      <c r="B744" s="72">
        <f t="shared" si="30"/>
        <v>8</v>
      </c>
      <c r="C744" s="73">
        <v>42235</v>
      </c>
      <c r="D744" s="73" t="s">
        <v>17</v>
      </c>
      <c r="E744" s="73">
        <v>42235</v>
      </c>
      <c r="F744" s="76" t="s">
        <v>467</v>
      </c>
      <c r="G744" s="265"/>
      <c r="H744" s="125" t="s">
        <v>441</v>
      </c>
      <c r="I744" s="74">
        <v>33000000</v>
      </c>
      <c r="J744" s="75" t="s">
        <v>18</v>
      </c>
      <c r="K744" s="75" t="s">
        <v>54</v>
      </c>
      <c r="L744" s="134" t="str">
        <f>IF(AND('331-CT'!$E$7=TH!H744,OR(J744="331",K744="331")),"x","")</f>
        <v/>
      </c>
    </row>
    <row r="745" spans="1:12" ht="13.5" customHeight="1">
      <c r="A745" s="72">
        <f t="shared" si="29"/>
        <v>2015</v>
      </c>
      <c r="B745" s="72">
        <f t="shared" si="30"/>
        <v>8</v>
      </c>
      <c r="C745" s="73">
        <v>42235</v>
      </c>
      <c r="D745" s="73" t="s">
        <v>17</v>
      </c>
      <c r="E745" s="73">
        <v>42235</v>
      </c>
      <c r="F745" s="76" t="s">
        <v>34</v>
      </c>
      <c r="G745" s="265"/>
      <c r="H745" s="125"/>
      <c r="I745" s="74">
        <v>20000</v>
      </c>
      <c r="J745" s="75" t="s">
        <v>242</v>
      </c>
      <c r="K745" s="75" t="s">
        <v>54</v>
      </c>
      <c r="L745" s="134" t="str">
        <f>IF(AND('331-CT'!$E$7=TH!H745,OR(J745="331",K745="331")),"x","")</f>
        <v/>
      </c>
    </row>
    <row r="746" spans="1:12" ht="13.5" customHeight="1">
      <c r="A746" s="72">
        <f t="shared" si="29"/>
        <v>2015</v>
      </c>
      <c r="B746" s="72">
        <f t="shared" si="30"/>
        <v>8</v>
      </c>
      <c r="C746" s="73">
        <v>42235</v>
      </c>
      <c r="D746" s="73" t="s">
        <v>17</v>
      </c>
      <c r="E746" s="73">
        <v>42235</v>
      </c>
      <c r="F746" s="76" t="s">
        <v>35</v>
      </c>
      <c r="G746" s="265"/>
      <c r="H746" s="9"/>
      <c r="I746" s="74">
        <v>2000</v>
      </c>
      <c r="J746" s="75" t="s">
        <v>19</v>
      </c>
      <c r="K746" s="75" t="s">
        <v>54</v>
      </c>
      <c r="L746" s="134" t="str">
        <f>IF(AND('331-CT'!$E$7=TH!H746,OR(J746="331",K746="331")),"x","")</f>
        <v/>
      </c>
    </row>
    <row r="747" spans="1:12" ht="13.5" customHeight="1">
      <c r="A747" s="72">
        <f t="shared" si="29"/>
        <v>2015</v>
      </c>
      <c r="B747" s="72">
        <f t="shared" si="30"/>
        <v>8</v>
      </c>
      <c r="C747" s="73">
        <v>42235</v>
      </c>
      <c r="D747" s="73" t="s">
        <v>78</v>
      </c>
      <c r="E747" s="73">
        <v>42235</v>
      </c>
      <c r="F747" s="76" t="s">
        <v>463</v>
      </c>
      <c r="G747" s="265" t="s">
        <v>462</v>
      </c>
      <c r="H747" s="122" t="s">
        <v>190</v>
      </c>
      <c r="I747" s="74">
        <v>268648390</v>
      </c>
      <c r="J747" s="75" t="s">
        <v>655</v>
      </c>
      <c r="K747" s="75" t="s">
        <v>18</v>
      </c>
      <c r="L747" s="134" t="str">
        <f>IF(AND('331-CT'!$E$7=TH!H747,OR(J747="331",K747="331")),"x","")</f>
        <v>x</v>
      </c>
    </row>
    <row r="748" spans="1:12" ht="13.5" customHeight="1">
      <c r="A748" s="72">
        <f t="shared" si="29"/>
        <v>2015</v>
      </c>
      <c r="B748" s="72">
        <f t="shared" si="30"/>
        <v>8</v>
      </c>
      <c r="C748" s="73">
        <v>42235</v>
      </c>
      <c r="D748" s="73" t="s">
        <v>78</v>
      </c>
      <c r="E748" s="73">
        <v>42235</v>
      </c>
      <c r="F748" s="76" t="s">
        <v>464</v>
      </c>
      <c r="G748" s="265" t="s">
        <v>462</v>
      </c>
      <c r="H748" s="122" t="s">
        <v>190</v>
      </c>
      <c r="I748" s="74">
        <v>26864839</v>
      </c>
      <c r="J748" s="75" t="s">
        <v>19</v>
      </c>
      <c r="K748" s="75" t="s">
        <v>18</v>
      </c>
      <c r="L748" s="134" t="str">
        <f>IF(AND('331-CT'!$E$7=TH!H748,OR(J748="331",K748="331")),"x","")</f>
        <v>x</v>
      </c>
    </row>
    <row r="749" spans="1:12" ht="13.5" customHeight="1">
      <c r="A749" s="72">
        <f t="shared" si="29"/>
        <v>2015</v>
      </c>
      <c r="B749" s="72">
        <f t="shared" si="30"/>
        <v>8</v>
      </c>
      <c r="C749" s="73">
        <v>42236</v>
      </c>
      <c r="D749" s="73" t="s">
        <v>78</v>
      </c>
      <c r="E749" s="73">
        <v>42236</v>
      </c>
      <c r="F749" s="93" t="s">
        <v>472</v>
      </c>
      <c r="G749" s="265" t="s">
        <v>471</v>
      </c>
      <c r="H749" s="122" t="s">
        <v>300</v>
      </c>
      <c r="I749" s="74">
        <v>54327273</v>
      </c>
      <c r="J749" s="75" t="s">
        <v>655</v>
      </c>
      <c r="K749" s="75" t="s">
        <v>18</v>
      </c>
      <c r="L749" s="134" t="str">
        <f>IF(AND('331-CT'!$E$7=TH!H749,OR(J749="331",K749="331")),"x","")</f>
        <v/>
      </c>
    </row>
    <row r="750" spans="1:12" ht="13.5" customHeight="1">
      <c r="A750" s="72">
        <f t="shared" si="29"/>
        <v>2015</v>
      </c>
      <c r="B750" s="72">
        <f t="shared" si="30"/>
        <v>8</v>
      </c>
      <c r="C750" s="73">
        <v>42236</v>
      </c>
      <c r="D750" s="73" t="s">
        <v>78</v>
      </c>
      <c r="E750" s="73">
        <v>42236</v>
      </c>
      <c r="F750" s="76" t="s">
        <v>473</v>
      </c>
      <c r="G750" s="270" t="s">
        <v>471</v>
      </c>
      <c r="H750" s="122" t="s">
        <v>300</v>
      </c>
      <c r="I750" s="74">
        <v>5432727</v>
      </c>
      <c r="J750" s="75" t="s">
        <v>19</v>
      </c>
      <c r="K750" s="75" t="s">
        <v>18</v>
      </c>
      <c r="L750" s="134" t="str">
        <f>IF(AND('331-CT'!$E$7=TH!H750,OR(J750="331",K750="331")),"x","")</f>
        <v/>
      </c>
    </row>
    <row r="751" spans="1:12" ht="14.25" customHeight="1">
      <c r="A751" s="72">
        <f t="shared" si="29"/>
        <v>2015</v>
      </c>
      <c r="B751" s="72">
        <f t="shared" si="30"/>
        <v>8</v>
      </c>
      <c r="C751" s="73">
        <v>42236</v>
      </c>
      <c r="D751" s="73" t="s">
        <v>495</v>
      </c>
      <c r="E751" s="73">
        <v>42236</v>
      </c>
      <c r="F751" s="76" t="s">
        <v>459</v>
      </c>
      <c r="G751" s="270" t="s">
        <v>553</v>
      </c>
      <c r="H751" s="122" t="s">
        <v>460</v>
      </c>
      <c r="I751" s="74">
        <v>15500000</v>
      </c>
      <c r="J751" s="75" t="s">
        <v>655</v>
      </c>
      <c r="K751" s="75" t="s">
        <v>203</v>
      </c>
      <c r="L751" s="134" t="str">
        <f>IF(AND('331-CT'!$E$7=TH!H751,OR(J751="331",K751="331")),"x","")</f>
        <v/>
      </c>
    </row>
    <row r="752" spans="1:12" ht="14.25" customHeight="1">
      <c r="A752" s="72">
        <f t="shared" si="29"/>
        <v>2015</v>
      </c>
      <c r="B752" s="72">
        <f t="shared" si="30"/>
        <v>8</v>
      </c>
      <c r="C752" s="73">
        <v>42236</v>
      </c>
      <c r="D752" s="73" t="s">
        <v>496</v>
      </c>
      <c r="E752" s="73">
        <v>42236</v>
      </c>
      <c r="F752" s="76" t="s">
        <v>459</v>
      </c>
      <c r="G752" s="270" t="s">
        <v>554</v>
      </c>
      <c r="H752" s="122" t="s">
        <v>461</v>
      </c>
      <c r="I752" s="74">
        <v>3300000</v>
      </c>
      <c r="J752" s="75" t="s">
        <v>655</v>
      </c>
      <c r="K752" s="75" t="s">
        <v>203</v>
      </c>
      <c r="L752" s="134" t="str">
        <f>IF(AND('331-CT'!$E$7=TH!H752,OR(J752="331",K752="331")),"x","")</f>
        <v/>
      </c>
    </row>
    <row r="753" spans="1:12" ht="14.25" customHeight="1">
      <c r="A753" s="72">
        <f t="shared" si="29"/>
        <v>2015</v>
      </c>
      <c r="B753" s="72">
        <f t="shared" si="30"/>
        <v>8</v>
      </c>
      <c r="C753" s="73">
        <v>42236</v>
      </c>
      <c r="D753" s="73" t="s">
        <v>17</v>
      </c>
      <c r="E753" s="73">
        <v>42236</v>
      </c>
      <c r="F753" s="76" t="s">
        <v>301</v>
      </c>
      <c r="G753" s="270"/>
      <c r="H753" s="122" t="s">
        <v>86</v>
      </c>
      <c r="I753" s="74">
        <v>128400000</v>
      </c>
      <c r="J753" s="75" t="s">
        <v>18</v>
      </c>
      <c r="K753" s="75" t="s">
        <v>54</v>
      </c>
      <c r="L753" s="134" t="str">
        <f>IF(AND('331-CT'!$E$7=TH!H753,OR(J753="331",K753="331")),"x","")</f>
        <v/>
      </c>
    </row>
    <row r="754" spans="1:12" ht="14.25" customHeight="1">
      <c r="A754" s="72">
        <f t="shared" si="29"/>
        <v>2015</v>
      </c>
      <c r="B754" s="72">
        <f t="shared" si="30"/>
        <v>8</v>
      </c>
      <c r="C754" s="73">
        <v>42236</v>
      </c>
      <c r="D754" s="73" t="s">
        <v>17</v>
      </c>
      <c r="E754" s="73">
        <v>42236</v>
      </c>
      <c r="F754" s="76" t="s">
        <v>34</v>
      </c>
      <c r="G754" s="265"/>
      <c r="H754" s="122"/>
      <c r="I754" s="74">
        <v>60000</v>
      </c>
      <c r="J754" s="75" t="s">
        <v>242</v>
      </c>
      <c r="K754" s="75" t="s">
        <v>54</v>
      </c>
      <c r="L754" s="134" t="str">
        <f>IF(AND('331-CT'!$E$7=TH!H754,OR(J754="331",K754="331")),"x","")</f>
        <v/>
      </c>
    </row>
    <row r="755" spans="1:12" ht="14.25" customHeight="1">
      <c r="A755" s="72">
        <f t="shared" si="29"/>
        <v>2015</v>
      </c>
      <c r="B755" s="72">
        <f t="shared" si="30"/>
        <v>8</v>
      </c>
      <c r="C755" s="73">
        <v>42236</v>
      </c>
      <c r="D755" s="73" t="s">
        <v>17</v>
      </c>
      <c r="E755" s="73">
        <v>42236</v>
      </c>
      <c r="F755" s="76" t="s">
        <v>35</v>
      </c>
      <c r="G755" s="265"/>
      <c r="H755" s="122"/>
      <c r="I755" s="74">
        <v>6000</v>
      </c>
      <c r="J755" s="75" t="s">
        <v>19</v>
      </c>
      <c r="K755" s="75" t="s">
        <v>54</v>
      </c>
      <c r="L755" s="134" t="str">
        <f>IF(AND('331-CT'!$E$7=TH!H755,OR(J755="331",K755="331")),"x","")</f>
        <v/>
      </c>
    </row>
    <row r="756" spans="1:12" ht="14.25" customHeight="1">
      <c r="A756" s="72">
        <f t="shared" si="29"/>
        <v>2015</v>
      </c>
      <c r="B756" s="72">
        <f t="shared" si="30"/>
        <v>8</v>
      </c>
      <c r="C756" s="73">
        <v>42236</v>
      </c>
      <c r="D756" s="73" t="s">
        <v>17</v>
      </c>
      <c r="E756" s="73">
        <v>42236</v>
      </c>
      <c r="F756" s="76" t="s">
        <v>468</v>
      </c>
      <c r="G756" s="265"/>
      <c r="H756" s="122" t="s">
        <v>481</v>
      </c>
      <c r="I756" s="74">
        <v>200000000</v>
      </c>
      <c r="J756" s="75" t="s">
        <v>18</v>
      </c>
      <c r="K756" s="75" t="s">
        <v>54</v>
      </c>
      <c r="L756" s="134" t="str">
        <f>IF(AND('331-CT'!$E$7=TH!H756,OR(J756="331",K756="331")),"x","")</f>
        <v/>
      </c>
    </row>
    <row r="757" spans="1:12" ht="14.25" customHeight="1">
      <c r="A757" s="72">
        <f t="shared" si="29"/>
        <v>2015</v>
      </c>
      <c r="B757" s="72">
        <f t="shared" si="30"/>
        <v>8</v>
      </c>
      <c r="C757" s="73">
        <v>42236</v>
      </c>
      <c r="D757" s="73" t="s">
        <v>17</v>
      </c>
      <c r="E757" s="73">
        <v>42236</v>
      </c>
      <c r="F757" s="76" t="s">
        <v>34</v>
      </c>
      <c r="G757" s="265"/>
      <c r="H757" s="122"/>
      <c r="I757" s="74">
        <v>64200</v>
      </c>
      <c r="J757" s="75" t="s">
        <v>242</v>
      </c>
      <c r="K757" s="75" t="s">
        <v>54</v>
      </c>
      <c r="L757" s="134" t="str">
        <f>IF(AND('331-CT'!$E$7=TH!H757,OR(J757="331",K757="331")),"x","")</f>
        <v/>
      </c>
    </row>
    <row r="758" spans="1:12" ht="14.25" customHeight="1">
      <c r="A758" s="72">
        <f t="shared" si="29"/>
        <v>2015</v>
      </c>
      <c r="B758" s="72">
        <f t="shared" si="30"/>
        <v>8</v>
      </c>
      <c r="C758" s="73">
        <v>42236</v>
      </c>
      <c r="D758" s="73" t="s">
        <v>17</v>
      </c>
      <c r="E758" s="73">
        <v>42236</v>
      </c>
      <c r="F758" s="76" t="s">
        <v>35</v>
      </c>
      <c r="G758" s="265"/>
      <c r="H758" s="122"/>
      <c r="I758" s="74">
        <v>6420</v>
      </c>
      <c r="J758" s="75" t="s">
        <v>19</v>
      </c>
      <c r="K758" s="75" t="s">
        <v>54</v>
      </c>
      <c r="L758" s="134" t="str">
        <f>IF(AND('331-CT'!$E$7=TH!H758,OR(J758="331",K758="331")),"x","")</f>
        <v/>
      </c>
    </row>
    <row r="759" spans="1:12" ht="14.25" customHeight="1">
      <c r="A759" s="72">
        <f t="shared" si="29"/>
        <v>2015</v>
      </c>
      <c r="B759" s="72">
        <f t="shared" si="30"/>
        <v>8</v>
      </c>
      <c r="C759" s="73">
        <v>42237</v>
      </c>
      <c r="D759" s="73" t="s">
        <v>497</v>
      </c>
      <c r="E759" s="73">
        <v>42237</v>
      </c>
      <c r="F759" s="76" t="s">
        <v>482</v>
      </c>
      <c r="G759" s="265" t="s">
        <v>555</v>
      </c>
      <c r="H759" s="122" t="s">
        <v>188</v>
      </c>
      <c r="I759" s="74">
        <v>3922000</v>
      </c>
      <c r="J759" s="75" t="s">
        <v>242</v>
      </c>
      <c r="K759" s="75" t="s">
        <v>203</v>
      </c>
      <c r="L759" s="134" t="str">
        <f>IF(AND('331-CT'!$E$7=TH!H759,OR(J759="331",K759="331")),"x","")</f>
        <v/>
      </c>
    </row>
    <row r="760" spans="1:12" ht="14.25" customHeight="1">
      <c r="A760" s="72">
        <f t="shared" si="29"/>
        <v>2015</v>
      </c>
      <c r="B760" s="72">
        <f t="shared" si="30"/>
        <v>8</v>
      </c>
      <c r="C760" s="73">
        <v>42237</v>
      </c>
      <c r="D760" s="73" t="s">
        <v>497</v>
      </c>
      <c r="E760" s="73">
        <v>42237</v>
      </c>
      <c r="F760" s="76" t="s">
        <v>483</v>
      </c>
      <c r="G760" s="265" t="s">
        <v>555</v>
      </c>
      <c r="H760" s="122" t="s">
        <v>188</v>
      </c>
      <c r="I760" s="74">
        <v>196100</v>
      </c>
      <c r="J760" s="75" t="s">
        <v>19</v>
      </c>
      <c r="K760" s="75" t="s">
        <v>203</v>
      </c>
      <c r="L760" s="134" t="str">
        <f>IF(AND('331-CT'!$E$7=TH!H760,OR(J760="331",K760="331")),"x","")</f>
        <v/>
      </c>
    </row>
    <row r="761" spans="1:12" ht="14.25" customHeight="1">
      <c r="A761" s="72">
        <f t="shared" si="29"/>
        <v>2015</v>
      </c>
      <c r="B761" s="72">
        <f t="shared" si="30"/>
        <v>8</v>
      </c>
      <c r="C761" s="73">
        <v>42240</v>
      </c>
      <c r="D761" s="73" t="s">
        <v>21</v>
      </c>
      <c r="E761" s="73">
        <v>42240</v>
      </c>
      <c r="F761" s="76" t="s">
        <v>98</v>
      </c>
      <c r="G761" s="265"/>
      <c r="H761" s="122"/>
      <c r="I761" s="74">
        <v>186494</v>
      </c>
      <c r="J761" s="75" t="s">
        <v>54</v>
      </c>
      <c r="K761" s="75" t="s">
        <v>99</v>
      </c>
      <c r="L761" s="134" t="str">
        <f>IF(AND('331-CT'!$E$7=TH!H761,OR(J761="331",K761="331")),"x","")</f>
        <v/>
      </c>
    </row>
    <row r="762" spans="1:12" ht="14.25" customHeight="1">
      <c r="A762" s="72">
        <f t="shared" si="29"/>
        <v>2015</v>
      </c>
      <c r="B762" s="72">
        <f t="shared" si="30"/>
        <v>8</v>
      </c>
      <c r="C762" s="73">
        <v>42241</v>
      </c>
      <c r="D762" s="73" t="s">
        <v>498</v>
      </c>
      <c r="E762" s="73">
        <v>42241</v>
      </c>
      <c r="F762" s="76" t="s">
        <v>469</v>
      </c>
      <c r="G762" s="265" t="s">
        <v>556</v>
      </c>
      <c r="H762" s="122" t="s">
        <v>470</v>
      </c>
      <c r="I762" s="74">
        <v>2990000</v>
      </c>
      <c r="J762" s="75" t="s">
        <v>655</v>
      </c>
      <c r="K762" s="75" t="s">
        <v>203</v>
      </c>
      <c r="L762" s="134" t="str">
        <f>IF(AND('331-CT'!$E$7=TH!H762,OR(J762="331",K762="331")),"x","")</f>
        <v/>
      </c>
    </row>
    <row r="763" spans="1:12" ht="14.25" customHeight="1">
      <c r="A763" s="72">
        <f t="shared" si="29"/>
        <v>2015</v>
      </c>
      <c r="B763" s="72">
        <f t="shared" si="30"/>
        <v>8</v>
      </c>
      <c r="C763" s="73">
        <v>42241</v>
      </c>
      <c r="D763" s="73" t="s">
        <v>17</v>
      </c>
      <c r="E763" s="73">
        <v>42241</v>
      </c>
      <c r="F763" s="76" t="s">
        <v>301</v>
      </c>
      <c r="G763" s="265"/>
      <c r="H763" s="122" t="s">
        <v>407</v>
      </c>
      <c r="I763" s="74">
        <v>50000000</v>
      </c>
      <c r="J763" s="75" t="s">
        <v>18</v>
      </c>
      <c r="K763" s="75" t="s">
        <v>54</v>
      </c>
      <c r="L763" s="134" t="str">
        <f>IF(AND('331-CT'!$E$7=TH!H763,OR(J763="331",K763="331")),"x","")</f>
        <v/>
      </c>
    </row>
    <row r="764" spans="1:12" ht="14.25" customHeight="1">
      <c r="A764" s="72">
        <f t="shared" si="29"/>
        <v>2015</v>
      </c>
      <c r="B764" s="72">
        <f t="shared" si="30"/>
        <v>8</v>
      </c>
      <c r="C764" s="73">
        <v>42241</v>
      </c>
      <c r="D764" s="73" t="s">
        <v>17</v>
      </c>
      <c r="E764" s="73">
        <v>42241</v>
      </c>
      <c r="F764" s="76" t="s">
        <v>34</v>
      </c>
      <c r="G764" s="265"/>
      <c r="H764" s="122"/>
      <c r="I764" s="74">
        <v>25000</v>
      </c>
      <c r="J764" s="75" t="s">
        <v>242</v>
      </c>
      <c r="K764" s="75" t="s">
        <v>54</v>
      </c>
      <c r="L764" s="134" t="str">
        <f>IF(AND('331-CT'!$E$7=TH!H764,OR(J764="331",K764="331")),"x","")</f>
        <v/>
      </c>
    </row>
    <row r="765" spans="1:12" ht="14.25" customHeight="1">
      <c r="A765" s="72">
        <f t="shared" si="29"/>
        <v>2015</v>
      </c>
      <c r="B765" s="72">
        <f t="shared" si="30"/>
        <v>8</v>
      </c>
      <c r="C765" s="73">
        <v>42241</v>
      </c>
      <c r="D765" s="73" t="s">
        <v>17</v>
      </c>
      <c r="E765" s="73">
        <v>42241</v>
      </c>
      <c r="F765" s="76" t="s">
        <v>35</v>
      </c>
      <c r="G765" s="265"/>
      <c r="H765" s="122"/>
      <c r="I765" s="74">
        <v>2500</v>
      </c>
      <c r="J765" s="75" t="s">
        <v>19</v>
      </c>
      <c r="K765" s="75" t="s">
        <v>54</v>
      </c>
      <c r="L765" s="134" t="str">
        <f>IF(AND('331-CT'!$E$7=TH!H765,OR(J765="331",K765="331")),"x","")</f>
        <v/>
      </c>
    </row>
    <row r="766" spans="1:12" ht="14.25" customHeight="1">
      <c r="A766" s="72">
        <f t="shared" si="29"/>
        <v>2015</v>
      </c>
      <c r="B766" s="72">
        <f t="shared" si="30"/>
        <v>8</v>
      </c>
      <c r="C766" s="73">
        <v>42241</v>
      </c>
      <c r="D766" s="73" t="s">
        <v>17</v>
      </c>
      <c r="E766" s="73">
        <v>42241</v>
      </c>
      <c r="F766" s="76" t="s">
        <v>301</v>
      </c>
      <c r="G766" s="265"/>
      <c r="H766" s="9" t="s">
        <v>269</v>
      </c>
      <c r="I766" s="74">
        <v>500000000</v>
      </c>
      <c r="J766" s="75" t="s">
        <v>18</v>
      </c>
      <c r="K766" s="75" t="s">
        <v>54</v>
      </c>
      <c r="L766" s="134" t="str">
        <f>IF(AND('331-CT'!$E$7=TH!H766,OR(J766="331",K766="331")),"x","")</f>
        <v/>
      </c>
    </row>
    <row r="767" spans="1:12" ht="14.25" customHeight="1">
      <c r="A767" s="72">
        <f t="shared" si="29"/>
        <v>2015</v>
      </c>
      <c r="B767" s="72">
        <f t="shared" si="30"/>
        <v>8</v>
      </c>
      <c r="C767" s="73">
        <v>42241</v>
      </c>
      <c r="D767" s="73" t="s">
        <v>17</v>
      </c>
      <c r="E767" s="73">
        <v>42241</v>
      </c>
      <c r="F767" s="76" t="s">
        <v>34</v>
      </c>
      <c r="G767" s="265"/>
      <c r="H767" s="122"/>
      <c r="I767" s="74">
        <v>250000</v>
      </c>
      <c r="J767" s="75" t="s">
        <v>242</v>
      </c>
      <c r="K767" s="75" t="s">
        <v>54</v>
      </c>
      <c r="L767" s="134" t="str">
        <f>IF(AND('331-CT'!$E$7=TH!H767,OR(J767="331",K767="331")),"x","")</f>
        <v/>
      </c>
    </row>
    <row r="768" spans="1:12" ht="14.25" customHeight="1">
      <c r="A768" s="72">
        <f t="shared" si="29"/>
        <v>2015</v>
      </c>
      <c r="B768" s="72">
        <f t="shared" si="30"/>
        <v>8</v>
      </c>
      <c r="C768" s="73">
        <v>42241</v>
      </c>
      <c r="D768" s="73" t="s">
        <v>17</v>
      </c>
      <c r="E768" s="73">
        <v>42241</v>
      </c>
      <c r="F768" s="76" t="s">
        <v>35</v>
      </c>
      <c r="G768" s="265"/>
      <c r="H768" s="122"/>
      <c r="I768" s="74">
        <v>25000</v>
      </c>
      <c r="J768" s="75" t="s">
        <v>19</v>
      </c>
      <c r="K768" s="75" t="s">
        <v>54</v>
      </c>
      <c r="L768" s="134" t="str">
        <f>IF(AND('331-CT'!$E$7=TH!H768,OR(J768="331",K768="331")),"x","")</f>
        <v/>
      </c>
    </row>
    <row r="769" spans="1:12" ht="14.25" customHeight="1">
      <c r="A769" s="72">
        <f t="shared" si="29"/>
        <v>2015</v>
      </c>
      <c r="B769" s="72">
        <f t="shared" si="30"/>
        <v>8</v>
      </c>
      <c r="C769" s="73">
        <v>42244</v>
      </c>
      <c r="D769" s="73" t="s">
        <v>78</v>
      </c>
      <c r="E769" s="73">
        <v>42244</v>
      </c>
      <c r="F769" s="76" t="s">
        <v>475</v>
      </c>
      <c r="G769" s="265" t="s">
        <v>474</v>
      </c>
      <c r="H769" s="122" t="s">
        <v>138</v>
      </c>
      <c r="I769" s="74">
        <v>2000000000</v>
      </c>
      <c r="J769" s="75" t="s">
        <v>655</v>
      </c>
      <c r="K769" s="75" t="s">
        <v>18</v>
      </c>
      <c r="L769" s="134" t="str">
        <f>IF(AND('331-CT'!$E$7=TH!H769,OR(J769="331",K769="331")),"x","")</f>
        <v/>
      </c>
    </row>
    <row r="770" spans="1:12">
      <c r="A770" s="72">
        <f t="shared" si="29"/>
        <v>2015</v>
      </c>
      <c r="B770" s="72">
        <f t="shared" si="30"/>
        <v>8</v>
      </c>
      <c r="C770" s="73">
        <v>42244</v>
      </c>
      <c r="D770" s="73" t="s">
        <v>78</v>
      </c>
      <c r="E770" s="73">
        <v>42244</v>
      </c>
      <c r="F770" s="76" t="s">
        <v>476</v>
      </c>
      <c r="G770" s="265" t="s">
        <v>474</v>
      </c>
      <c r="H770" s="122" t="s">
        <v>138</v>
      </c>
      <c r="I770" s="74">
        <v>200000000</v>
      </c>
      <c r="J770" s="75" t="s">
        <v>19</v>
      </c>
      <c r="K770" s="75" t="s">
        <v>18</v>
      </c>
      <c r="L770" s="134" t="str">
        <f>IF(AND('331-CT'!$E$7=TH!H770,OR(J770="331",K770="331")),"x","")</f>
        <v/>
      </c>
    </row>
    <row r="771" spans="1:12">
      <c r="A771" s="72">
        <f t="shared" si="29"/>
        <v>2015</v>
      </c>
      <c r="B771" s="72">
        <f t="shared" si="30"/>
        <v>9</v>
      </c>
      <c r="C771" s="73">
        <v>42248</v>
      </c>
      <c r="D771" s="73" t="s">
        <v>22</v>
      </c>
      <c r="E771" s="73">
        <v>42248</v>
      </c>
      <c r="F771" s="76" t="s">
        <v>579</v>
      </c>
      <c r="G771" s="265"/>
      <c r="H771" s="122" t="s">
        <v>431</v>
      </c>
      <c r="I771" s="74">
        <v>2000000000</v>
      </c>
      <c r="J771" s="75" t="s">
        <v>203</v>
      </c>
      <c r="K771" s="75" t="s">
        <v>39</v>
      </c>
      <c r="L771" s="134" t="str">
        <f>IF(AND('331-CT'!$E$7=TH!H771,OR(J771="331",K771="331")),"x","")</f>
        <v/>
      </c>
    </row>
    <row r="772" spans="1:12">
      <c r="A772" s="72">
        <f t="shared" si="29"/>
        <v>2015</v>
      </c>
      <c r="B772" s="72">
        <f t="shared" si="30"/>
        <v>9</v>
      </c>
      <c r="C772" s="73">
        <v>42248</v>
      </c>
      <c r="D772" s="73" t="s">
        <v>78</v>
      </c>
      <c r="E772" s="73">
        <v>42248</v>
      </c>
      <c r="F772" s="76" t="s">
        <v>478</v>
      </c>
      <c r="G772" s="265" t="s">
        <v>477</v>
      </c>
      <c r="H772" s="122" t="s">
        <v>302</v>
      </c>
      <c r="I772" s="74">
        <v>362727273</v>
      </c>
      <c r="J772" s="75" t="s">
        <v>655</v>
      </c>
      <c r="K772" s="75" t="s">
        <v>18</v>
      </c>
      <c r="L772" s="134" t="str">
        <f>IF(AND('331-CT'!$E$7=TH!H772,OR(J772="331",K772="331")),"x","")</f>
        <v/>
      </c>
    </row>
    <row r="773" spans="1:12">
      <c r="A773" s="72">
        <f t="shared" si="29"/>
        <v>2015</v>
      </c>
      <c r="B773" s="72">
        <f t="shared" si="30"/>
        <v>9</v>
      </c>
      <c r="C773" s="73">
        <v>42248</v>
      </c>
      <c r="D773" s="73" t="s">
        <v>78</v>
      </c>
      <c r="E773" s="73">
        <v>42248</v>
      </c>
      <c r="F773" s="76" t="s">
        <v>478</v>
      </c>
      <c r="G773" s="270" t="s">
        <v>477</v>
      </c>
      <c r="H773" s="122" t="s">
        <v>302</v>
      </c>
      <c r="I773" s="74">
        <v>36272727</v>
      </c>
      <c r="J773" s="75" t="s">
        <v>19</v>
      </c>
      <c r="K773" s="75" t="s">
        <v>18</v>
      </c>
      <c r="L773" s="134" t="str">
        <f>IF(AND('331-CT'!$E$7=TH!H773,OR(J773="331",K773="331")),"x","")</f>
        <v/>
      </c>
    </row>
    <row r="774" spans="1:12">
      <c r="A774" s="72">
        <f t="shared" si="29"/>
        <v>2015</v>
      </c>
      <c r="B774" s="72">
        <f t="shared" si="30"/>
        <v>9</v>
      </c>
      <c r="C774" s="73">
        <v>42251</v>
      </c>
      <c r="D774" s="73" t="s">
        <v>499</v>
      </c>
      <c r="E774" s="73">
        <v>42251</v>
      </c>
      <c r="F774" s="76" t="s">
        <v>576</v>
      </c>
      <c r="G774" s="270"/>
      <c r="H774" s="122" t="s">
        <v>272</v>
      </c>
      <c r="I774" s="74">
        <v>300000000</v>
      </c>
      <c r="J774" s="75" t="s">
        <v>54</v>
      </c>
      <c r="K774" s="75" t="s">
        <v>203</v>
      </c>
      <c r="L774" s="134" t="str">
        <f>IF(AND('331-CT'!$E$7=TH!H774,OR(J774="331",K774="331")),"x","")</f>
        <v/>
      </c>
    </row>
    <row r="775" spans="1:12">
      <c r="A775" s="72">
        <f t="shared" si="29"/>
        <v>2015</v>
      </c>
      <c r="B775" s="72">
        <f t="shared" si="30"/>
        <v>9</v>
      </c>
      <c r="C775" s="73">
        <v>42251</v>
      </c>
      <c r="D775" s="73" t="s">
        <v>17</v>
      </c>
      <c r="E775" s="73">
        <v>42251</v>
      </c>
      <c r="F775" s="76" t="s">
        <v>301</v>
      </c>
      <c r="G775" s="265"/>
      <c r="H775" s="122" t="s">
        <v>302</v>
      </c>
      <c r="I775" s="74">
        <v>228000000</v>
      </c>
      <c r="J775" s="75" t="s">
        <v>18</v>
      </c>
      <c r="K775" s="75" t="s">
        <v>54</v>
      </c>
      <c r="L775" s="134" t="str">
        <f>IF(AND('331-CT'!$E$7=TH!H775,OR(J775="331",K775="331")),"x","")</f>
        <v/>
      </c>
    </row>
    <row r="776" spans="1:12">
      <c r="A776" s="72">
        <f t="shared" si="29"/>
        <v>2015</v>
      </c>
      <c r="B776" s="72">
        <f t="shared" si="30"/>
        <v>9</v>
      </c>
      <c r="C776" s="73">
        <v>42251</v>
      </c>
      <c r="D776" s="73" t="s">
        <v>17</v>
      </c>
      <c r="E776" s="73">
        <v>42251</v>
      </c>
      <c r="F776" s="76" t="s">
        <v>34</v>
      </c>
      <c r="G776" s="265"/>
      <c r="H776" s="122"/>
      <c r="I776" s="74">
        <v>114000</v>
      </c>
      <c r="J776" s="75" t="s">
        <v>242</v>
      </c>
      <c r="K776" s="75" t="s">
        <v>54</v>
      </c>
      <c r="L776" s="134" t="str">
        <f>IF(AND('331-CT'!$E$7=TH!H776,OR(J776="331",K776="331")),"x","")</f>
        <v/>
      </c>
    </row>
    <row r="777" spans="1:12">
      <c r="A777" s="72">
        <f t="shared" si="29"/>
        <v>2015</v>
      </c>
      <c r="B777" s="72">
        <f t="shared" si="30"/>
        <v>9</v>
      </c>
      <c r="C777" s="73">
        <v>42251</v>
      </c>
      <c r="D777" s="73" t="s">
        <v>17</v>
      </c>
      <c r="E777" s="73">
        <v>42251</v>
      </c>
      <c r="F777" s="76" t="s">
        <v>35</v>
      </c>
      <c r="G777" s="265"/>
      <c r="H777" s="122"/>
      <c r="I777" s="74">
        <v>11400</v>
      </c>
      <c r="J777" s="75" t="s">
        <v>19</v>
      </c>
      <c r="K777" s="75" t="s">
        <v>54</v>
      </c>
      <c r="L777" s="134" t="str">
        <f>IF(AND('331-CT'!$E$7=TH!H777,OR(J777="331",K777="331")),"x","")</f>
        <v/>
      </c>
    </row>
    <row r="778" spans="1:12" s="109" customFormat="1">
      <c r="A778" s="72">
        <f t="shared" si="29"/>
        <v>2015</v>
      </c>
      <c r="B778" s="72">
        <f t="shared" si="30"/>
        <v>9</v>
      </c>
      <c r="C778" s="257">
        <v>42251</v>
      </c>
      <c r="D778" s="257" t="s">
        <v>17</v>
      </c>
      <c r="E778" s="257">
        <v>42251</v>
      </c>
      <c r="F778" s="244" t="s">
        <v>301</v>
      </c>
      <c r="G778" s="312"/>
      <c r="H778" s="125" t="s">
        <v>190</v>
      </c>
      <c r="I778" s="258">
        <v>150000000</v>
      </c>
      <c r="J778" s="259" t="s">
        <v>18</v>
      </c>
      <c r="K778" s="259" t="s">
        <v>54</v>
      </c>
      <c r="L778" s="134" t="str">
        <f>IF(AND('331-CT'!$E$7=TH!H778,OR(J778="331",K778="331")),"x","")</f>
        <v>x</v>
      </c>
    </row>
    <row r="779" spans="1:12">
      <c r="A779" s="72">
        <f t="shared" si="29"/>
        <v>2015</v>
      </c>
      <c r="B779" s="72">
        <f t="shared" si="30"/>
        <v>9</v>
      </c>
      <c r="C779" s="73">
        <v>42251</v>
      </c>
      <c r="D779" s="73" t="s">
        <v>17</v>
      </c>
      <c r="E779" s="73">
        <v>42251</v>
      </c>
      <c r="F779" s="76" t="s">
        <v>34</v>
      </c>
      <c r="G779" s="265"/>
      <c r="H779" s="122"/>
      <c r="I779" s="74">
        <v>95000</v>
      </c>
      <c r="J779" s="75" t="s">
        <v>242</v>
      </c>
      <c r="K779" s="75" t="s">
        <v>54</v>
      </c>
      <c r="L779" s="134" t="str">
        <f>IF(AND('331-CT'!$E$7=TH!H779,OR(J779="331",K779="331")),"x","")</f>
        <v/>
      </c>
    </row>
    <row r="780" spans="1:12">
      <c r="A780" s="72">
        <f t="shared" si="29"/>
        <v>2015</v>
      </c>
      <c r="B780" s="72">
        <f t="shared" si="30"/>
        <v>9</v>
      </c>
      <c r="C780" s="73">
        <v>42251</v>
      </c>
      <c r="D780" s="73" t="s">
        <v>17</v>
      </c>
      <c r="E780" s="73">
        <v>42251</v>
      </c>
      <c r="F780" s="76" t="s">
        <v>35</v>
      </c>
      <c r="G780" s="265"/>
      <c r="H780" s="122"/>
      <c r="I780" s="74">
        <v>9500</v>
      </c>
      <c r="J780" s="75" t="s">
        <v>19</v>
      </c>
      <c r="K780" s="75" t="s">
        <v>54</v>
      </c>
      <c r="L780" s="134" t="str">
        <f>IF(AND('331-CT'!$E$7=TH!H780,OR(J780="331",K780="331")),"x","")</f>
        <v/>
      </c>
    </row>
    <row r="781" spans="1:12">
      <c r="A781" s="72">
        <f t="shared" si="29"/>
        <v>2015</v>
      </c>
      <c r="B781" s="72">
        <f t="shared" si="30"/>
        <v>9</v>
      </c>
      <c r="C781" s="130">
        <v>42251</v>
      </c>
      <c r="D781" s="130" t="s">
        <v>17</v>
      </c>
      <c r="E781" s="130">
        <v>42251</v>
      </c>
      <c r="F781" s="131" t="s">
        <v>301</v>
      </c>
      <c r="G781" s="271"/>
      <c r="H781" s="132" t="s">
        <v>407</v>
      </c>
      <c r="I781" s="133">
        <v>50000000</v>
      </c>
      <c r="J781" s="134" t="s">
        <v>18</v>
      </c>
      <c r="K781" s="134" t="s">
        <v>54</v>
      </c>
      <c r="L781" s="134" t="str">
        <f>IF(AND('331-CT'!$E$7=TH!H781,OR(J781="331",K781="331")),"x","")</f>
        <v/>
      </c>
    </row>
    <row r="782" spans="1:12">
      <c r="A782" s="72">
        <f t="shared" si="29"/>
        <v>2015</v>
      </c>
      <c r="B782" s="72">
        <f t="shared" si="30"/>
        <v>9</v>
      </c>
      <c r="C782" s="73">
        <v>42251</v>
      </c>
      <c r="D782" s="130" t="s">
        <v>17</v>
      </c>
      <c r="E782" s="73">
        <v>42251</v>
      </c>
      <c r="F782" s="76" t="s">
        <v>34</v>
      </c>
      <c r="G782" s="270"/>
      <c r="H782" s="122"/>
      <c r="I782" s="74">
        <v>25000</v>
      </c>
      <c r="J782" s="75" t="s">
        <v>242</v>
      </c>
      <c r="K782" s="75" t="s">
        <v>54</v>
      </c>
      <c r="L782" s="134" t="str">
        <f>IF(AND('331-CT'!$E$7=TH!H782,OR(J782="331",K782="331")),"x","")</f>
        <v/>
      </c>
    </row>
    <row r="783" spans="1:12">
      <c r="A783" s="72">
        <f t="shared" si="29"/>
        <v>2015</v>
      </c>
      <c r="B783" s="72">
        <f t="shared" si="30"/>
        <v>9</v>
      </c>
      <c r="C783" s="73">
        <v>42251</v>
      </c>
      <c r="D783" s="73" t="s">
        <v>17</v>
      </c>
      <c r="E783" s="73">
        <v>42251</v>
      </c>
      <c r="F783" s="76" t="s">
        <v>35</v>
      </c>
      <c r="G783" s="265"/>
      <c r="H783" s="122"/>
      <c r="I783" s="74">
        <v>2500</v>
      </c>
      <c r="J783" s="75" t="s">
        <v>19</v>
      </c>
      <c r="K783" s="75" t="s">
        <v>54</v>
      </c>
      <c r="L783" s="134" t="str">
        <f>IF(AND('331-CT'!$E$7=TH!H783,OR(J783="331",K783="331")),"x","")</f>
        <v/>
      </c>
    </row>
    <row r="784" spans="1:12">
      <c r="A784" s="72">
        <f t="shared" si="29"/>
        <v>2015</v>
      </c>
      <c r="B784" s="72">
        <f t="shared" si="30"/>
        <v>9</v>
      </c>
      <c r="C784" s="73">
        <v>42254</v>
      </c>
      <c r="D784" s="73" t="s">
        <v>500</v>
      </c>
      <c r="E784" s="73">
        <v>42254</v>
      </c>
      <c r="F784" s="76" t="s">
        <v>479</v>
      </c>
      <c r="G784" s="270"/>
      <c r="H784" s="122" t="s">
        <v>431</v>
      </c>
      <c r="I784" s="74">
        <v>1591000</v>
      </c>
      <c r="J784" s="75" t="s">
        <v>242</v>
      </c>
      <c r="K784" s="75" t="s">
        <v>203</v>
      </c>
      <c r="L784" s="134" t="str">
        <f>IF(AND('331-CT'!$E$7=TH!H784,OR(J784="331",K784="331")),"x","")</f>
        <v/>
      </c>
    </row>
    <row r="785" spans="1:12">
      <c r="A785" s="72">
        <f t="shared" si="29"/>
        <v>2015</v>
      </c>
      <c r="B785" s="72">
        <f t="shared" si="30"/>
        <v>9</v>
      </c>
      <c r="C785" s="73">
        <v>42254</v>
      </c>
      <c r="D785" s="73" t="s">
        <v>500</v>
      </c>
      <c r="E785" s="73">
        <v>42254</v>
      </c>
      <c r="F785" s="76" t="s">
        <v>480</v>
      </c>
      <c r="G785" s="265"/>
      <c r="H785" s="122" t="s">
        <v>431</v>
      </c>
      <c r="I785" s="74">
        <v>159000</v>
      </c>
      <c r="J785" s="75" t="s">
        <v>19</v>
      </c>
      <c r="K785" s="75" t="s">
        <v>203</v>
      </c>
      <c r="L785" s="134" t="str">
        <f>IF(AND('331-CT'!$E$7=TH!H785,OR(J785="331",K785="331")),"x","")</f>
        <v/>
      </c>
    </row>
    <row r="786" spans="1:12">
      <c r="A786" s="72">
        <f t="shared" si="29"/>
        <v>2015</v>
      </c>
      <c r="B786" s="72">
        <f t="shared" si="30"/>
        <v>9</v>
      </c>
      <c r="C786" s="73">
        <v>42261</v>
      </c>
      <c r="D786" s="73" t="s">
        <v>78</v>
      </c>
      <c r="E786" s="73">
        <v>42261</v>
      </c>
      <c r="F786" s="76" t="s">
        <v>492</v>
      </c>
      <c r="G786" s="265" t="s">
        <v>491</v>
      </c>
      <c r="H786" s="122" t="s">
        <v>300</v>
      </c>
      <c r="I786" s="74">
        <v>104460564</v>
      </c>
      <c r="J786" s="75" t="s">
        <v>655</v>
      </c>
      <c r="K786" s="75" t="s">
        <v>18</v>
      </c>
      <c r="L786" s="134" t="str">
        <f>IF(AND('331-CT'!$E$7=TH!H786,OR(J786="331",K786="331")),"x","")</f>
        <v/>
      </c>
    </row>
    <row r="787" spans="1:12">
      <c r="A787" s="72">
        <f t="shared" si="29"/>
        <v>2015</v>
      </c>
      <c r="B787" s="72">
        <f t="shared" si="30"/>
        <v>9</v>
      </c>
      <c r="C787" s="73">
        <v>42261</v>
      </c>
      <c r="D787" s="73" t="s">
        <v>78</v>
      </c>
      <c r="E787" s="73">
        <v>42261</v>
      </c>
      <c r="F787" s="76" t="s">
        <v>493</v>
      </c>
      <c r="G787" s="265" t="s">
        <v>491</v>
      </c>
      <c r="H787" s="122" t="s">
        <v>300</v>
      </c>
      <c r="I787" s="74">
        <v>10446056</v>
      </c>
      <c r="J787" s="75" t="s">
        <v>19</v>
      </c>
      <c r="K787" s="75" t="s">
        <v>18</v>
      </c>
      <c r="L787" s="134" t="str">
        <f>IF(AND('331-CT'!$E$7=TH!H787,OR(J787="331",K787="331")),"x","")</f>
        <v/>
      </c>
    </row>
    <row r="788" spans="1:12">
      <c r="A788" s="72">
        <f t="shared" si="29"/>
        <v>2015</v>
      </c>
      <c r="B788" s="72">
        <f t="shared" si="30"/>
        <v>9</v>
      </c>
      <c r="C788" s="73">
        <v>42263</v>
      </c>
      <c r="D788" s="73" t="s">
        <v>501</v>
      </c>
      <c r="E788" s="73">
        <v>42263</v>
      </c>
      <c r="F788" s="76" t="s">
        <v>485</v>
      </c>
      <c r="G788" s="265" t="s">
        <v>557</v>
      </c>
      <c r="H788" s="122" t="s">
        <v>484</v>
      </c>
      <c r="I788" s="74">
        <v>16600000</v>
      </c>
      <c r="J788" s="75" t="s">
        <v>655</v>
      </c>
      <c r="K788" s="75" t="s">
        <v>203</v>
      </c>
      <c r="L788" s="134" t="str">
        <f>IF(AND('331-CT'!$E$7=TH!H788,OR(J788="331",K788="331")),"x","")</f>
        <v/>
      </c>
    </row>
    <row r="789" spans="1:12">
      <c r="A789" s="72">
        <f t="shared" ref="A789:A841" si="31">IF(C789&lt;&gt;"",YEAR(C789),"")</f>
        <v>2015</v>
      </c>
      <c r="B789" s="72">
        <f t="shared" ref="B789:B841" si="32">IF(C789&lt;&gt;"",MONTH(C789),"")</f>
        <v>9</v>
      </c>
      <c r="C789" s="73">
        <v>42263</v>
      </c>
      <c r="D789" s="73" t="s">
        <v>501</v>
      </c>
      <c r="E789" s="73">
        <v>42263</v>
      </c>
      <c r="F789" s="76" t="s">
        <v>486</v>
      </c>
      <c r="G789" s="265" t="s">
        <v>557</v>
      </c>
      <c r="H789" s="122" t="s">
        <v>484</v>
      </c>
      <c r="I789" s="74">
        <v>1660000</v>
      </c>
      <c r="J789" s="75" t="s">
        <v>19</v>
      </c>
      <c r="K789" s="75" t="s">
        <v>203</v>
      </c>
      <c r="L789" s="134" t="str">
        <f>IF(AND('331-CT'!$E$7=TH!H789,OR(J789="331",K789="331")),"x","")</f>
        <v/>
      </c>
    </row>
    <row r="790" spans="1:12">
      <c r="A790" s="72">
        <f t="shared" si="31"/>
        <v>2015</v>
      </c>
      <c r="B790" s="72">
        <f t="shared" si="32"/>
        <v>9</v>
      </c>
      <c r="C790" s="73">
        <v>42264</v>
      </c>
      <c r="D790" s="73" t="s">
        <v>502</v>
      </c>
      <c r="E790" s="73">
        <v>42264</v>
      </c>
      <c r="F790" s="76" t="s">
        <v>487</v>
      </c>
      <c r="G790" s="265" t="s">
        <v>558</v>
      </c>
      <c r="H790" s="122" t="s">
        <v>484</v>
      </c>
      <c r="I790" s="74">
        <v>18032000</v>
      </c>
      <c r="J790" s="75" t="s">
        <v>655</v>
      </c>
      <c r="K790" s="75" t="s">
        <v>203</v>
      </c>
      <c r="L790" s="134" t="str">
        <f>IF(AND('331-CT'!$E$7=TH!H790,OR(J790="331",K790="331")),"x","")</f>
        <v/>
      </c>
    </row>
    <row r="791" spans="1:12" s="260" customFormat="1" ht="15" customHeight="1">
      <c r="A791" s="256">
        <f t="shared" si="31"/>
        <v>2015</v>
      </c>
      <c r="B791" s="256">
        <f t="shared" si="32"/>
        <v>9</v>
      </c>
      <c r="C791" s="257">
        <v>42264</v>
      </c>
      <c r="D791" s="73" t="s">
        <v>502</v>
      </c>
      <c r="E791" s="257">
        <v>42264</v>
      </c>
      <c r="F791" s="244" t="s">
        <v>488</v>
      </c>
      <c r="G791" s="265" t="s">
        <v>558</v>
      </c>
      <c r="H791" s="125" t="s">
        <v>484</v>
      </c>
      <c r="I791" s="258">
        <v>1803200</v>
      </c>
      <c r="J791" s="259" t="s">
        <v>19</v>
      </c>
      <c r="K791" s="259" t="s">
        <v>203</v>
      </c>
      <c r="L791" s="134" t="str">
        <f>IF(AND('331-CT'!$E$7=TH!H791,OR(J791="331",K791="331")),"x","")</f>
        <v/>
      </c>
    </row>
    <row r="792" spans="1:12" s="260" customFormat="1" ht="15" customHeight="1">
      <c r="A792" s="256">
        <f t="shared" si="31"/>
        <v>2015</v>
      </c>
      <c r="B792" s="256">
        <f t="shared" si="32"/>
        <v>9</v>
      </c>
      <c r="C792" s="257">
        <v>42265</v>
      </c>
      <c r="D792" s="73" t="s">
        <v>503</v>
      </c>
      <c r="E792" s="257">
        <v>42265</v>
      </c>
      <c r="F792" s="244" t="s">
        <v>489</v>
      </c>
      <c r="G792" s="265" t="s">
        <v>559</v>
      </c>
      <c r="H792" s="125" t="s">
        <v>484</v>
      </c>
      <c r="I792" s="258">
        <v>11650000</v>
      </c>
      <c r="J792" s="259" t="s">
        <v>655</v>
      </c>
      <c r="K792" s="259" t="s">
        <v>203</v>
      </c>
      <c r="L792" s="134" t="str">
        <f>IF(AND('331-CT'!$E$7=TH!H792,OR(J792="331",K792="331")),"x","")</f>
        <v/>
      </c>
    </row>
    <row r="793" spans="1:12" s="293" customFormat="1" ht="15" customHeight="1">
      <c r="A793" s="288">
        <f t="shared" si="31"/>
        <v>2015</v>
      </c>
      <c r="B793" s="288">
        <f t="shared" si="32"/>
        <v>9</v>
      </c>
      <c r="C793" s="289">
        <v>42265</v>
      </c>
      <c r="D793" s="130" t="s">
        <v>503</v>
      </c>
      <c r="E793" s="289">
        <v>42265</v>
      </c>
      <c r="F793" s="290" t="s">
        <v>490</v>
      </c>
      <c r="G793" s="266" t="s">
        <v>559</v>
      </c>
      <c r="H793" s="132" t="s">
        <v>484</v>
      </c>
      <c r="I793" s="291">
        <v>1165000</v>
      </c>
      <c r="J793" s="292" t="s">
        <v>19</v>
      </c>
      <c r="K793" s="292" t="s">
        <v>203</v>
      </c>
      <c r="L793" s="134" t="str">
        <f>IF(AND('331-CT'!$E$7=TH!H793,OR(J793="331",K793="331")),"x","")</f>
        <v/>
      </c>
    </row>
    <row r="794" spans="1:12">
      <c r="A794" s="72">
        <f t="shared" si="31"/>
        <v>2015</v>
      </c>
      <c r="B794" s="72">
        <f t="shared" si="32"/>
        <v>9</v>
      </c>
      <c r="C794" s="73">
        <v>42266</v>
      </c>
      <c r="D794" s="73" t="s">
        <v>504</v>
      </c>
      <c r="E794" s="73">
        <v>42266</v>
      </c>
      <c r="F794" s="76" t="s">
        <v>587</v>
      </c>
      <c r="G794" s="137" t="s">
        <v>583</v>
      </c>
      <c r="H794" s="9" t="s">
        <v>585</v>
      </c>
      <c r="I794" s="74">
        <v>1682000</v>
      </c>
      <c r="J794" s="259" t="s">
        <v>655</v>
      </c>
      <c r="K794" s="75" t="s">
        <v>203</v>
      </c>
      <c r="L794" s="134" t="str">
        <f>IF(AND('331-CT'!$E$7=TH!H794,OR(J794="331",K794="331")),"x","")</f>
        <v/>
      </c>
    </row>
    <row r="795" spans="1:12">
      <c r="A795" s="72">
        <f t="shared" si="31"/>
        <v>2015</v>
      </c>
      <c r="B795" s="72">
        <f t="shared" si="32"/>
        <v>9</v>
      </c>
      <c r="C795" s="73">
        <v>42266</v>
      </c>
      <c r="D795" s="73" t="s">
        <v>504</v>
      </c>
      <c r="E795" s="73">
        <v>42266</v>
      </c>
      <c r="F795" s="76" t="s">
        <v>582</v>
      </c>
      <c r="G795" s="137" t="s">
        <v>584</v>
      </c>
      <c r="H795" s="9" t="s">
        <v>586</v>
      </c>
      <c r="I795" s="74">
        <v>8200000</v>
      </c>
      <c r="J795" s="75" t="s">
        <v>655</v>
      </c>
      <c r="K795" s="75" t="s">
        <v>203</v>
      </c>
      <c r="L795" s="134" t="str">
        <f>IF(AND('331-CT'!$E$7=TH!H795,OR(J795="331",K795="331")),"x","")</f>
        <v/>
      </c>
    </row>
    <row r="796" spans="1:12" s="250" customFormat="1">
      <c r="A796" s="72">
        <f t="shared" si="31"/>
        <v>2015</v>
      </c>
      <c r="B796" s="72">
        <f t="shared" si="32"/>
        <v>9</v>
      </c>
      <c r="C796" s="73">
        <v>42266</v>
      </c>
      <c r="D796" s="73" t="s">
        <v>505</v>
      </c>
      <c r="E796" s="73">
        <v>42266</v>
      </c>
      <c r="F796" s="76" t="s">
        <v>576</v>
      </c>
      <c r="G796" s="265"/>
      <c r="H796" s="122" t="s">
        <v>272</v>
      </c>
      <c r="I796" s="74">
        <v>200000000</v>
      </c>
      <c r="J796" s="75" t="s">
        <v>54</v>
      </c>
      <c r="K796" s="75" t="s">
        <v>203</v>
      </c>
      <c r="L796" s="134" t="str">
        <f>IF(AND('331-CT'!$E$7=TH!H796,OR(J796="331",K796="331")),"x","")</f>
        <v/>
      </c>
    </row>
    <row r="797" spans="1:12" s="250" customFormat="1">
      <c r="A797" s="72">
        <f t="shared" si="31"/>
        <v>2015</v>
      </c>
      <c r="B797" s="72">
        <f t="shared" si="32"/>
        <v>9</v>
      </c>
      <c r="C797" s="73">
        <v>42266</v>
      </c>
      <c r="D797" s="73" t="s">
        <v>17</v>
      </c>
      <c r="E797" s="73">
        <v>42266</v>
      </c>
      <c r="F797" s="76" t="s">
        <v>301</v>
      </c>
      <c r="G797" s="265"/>
      <c r="H797" s="9" t="s">
        <v>300</v>
      </c>
      <c r="I797" s="74">
        <v>201012500</v>
      </c>
      <c r="J797" s="75" t="s">
        <v>18</v>
      </c>
      <c r="K797" s="75" t="s">
        <v>54</v>
      </c>
      <c r="L797" s="134" t="str">
        <f>IF(AND('331-CT'!$E$7=TH!H797,OR(J797="331",K797="331")),"x","")</f>
        <v/>
      </c>
    </row>
    <row r="798" spans="1:12">
      <c r="A798" s="72">
        <f t="shared" si="31"/>
        <v>2015</v>
      </c>
      <c r="B798" s="72">
        <f t="shared" si="32"/>
        <v>9</v>
      </c>
      <c r="C798" s="73">
        <v>42266</v>
      </c>
      <c r="D798" s="73" t="s">
        <v>17</v>
      </c>
      <c r="E798" s="73">
        <v>42266</v>
      </c>
      <c r="F798" s="76" t="s">
        <v>34</v>
      </c>
      <c r="G798" s="265"/>
      <c r="H798" s="122"/>
      <c r="I798" s="74">
        <v>120506</v>
      </c>
      <c r="J798" s="75" t="s">
        <v>242</v>
      </c>
      <c r="K798" s="75" t="s">
        <v>54</v>
      </c>
      <c r="L798" s="134" t="str">
        <f>IF(AND('331-CT'!$E$7=TH!H798,OR(J798="331",K798="331")),"x","")</f>
        <v/>
      </c>
    </row>
    <row r="799" spans="1:12">
      <c r="A799" s="72">
        <f t="shared" si="31"/>
        <v>2015</v>
      </c>
      <c r="B799" s="72">
        <f t="shared" si="32"/>
        <v>9</v>
      </c>
      <c r="C799" s="73">
        <v>42266</v>
      </c>
      <c r="D799" s="73" t="s">
        <v>17</v>
      </c>
      <c r="E799" s="73">
        <v>42266</v>
      </c>
      <c r="F799" s="76" t="s">
        <v>35</v>
      </c>
      <c r="G799" s="265"/>
      <c r="H799" s="122"/>
      <c r="I799" s="74">
        <v>12051</v>
      </c>
      <c r="J799" s="75" t="s">
        <v>19</v>
      </c>
      <c r="K799" s="75" t="s">
        <v>54</v>
      </c>
      <c r="L799" s="134" t="str">
        <f>IF(AND('331-CT'!$E$7=TH!H799,OR(J799="331",K799="331")),"x","")</f>
        <v/>
      </c>
    </row>
    <row r="800" spans="1:12">
      <c r="A800" s="72">
        <f t="shared" si="31"/>
        <v>2015</v>
      </c>
      <c r="B800" s="72">
        <f t="shared" si="32"/>
        <v>9</v>
      </c>
      <c r="C800" s="73">
        <v>42266</v>
      </c>
      <c r="D800" s="73" t="s">
        <v>17</v>
      </c>
      <c r="E800" s="73">
        <v>42266</v>
      </c>
      <c r="F800" s="76" t="s">
        <v>119</v>
      </c>
      <c r="G800" s="265"/>
      <c r="H800" s="122" t="s">
        <v>314</v>
      </c>
      <c r="I800" s="74">
        <v>8180556</v>
      </c>
      <c r="J800" s="75" t="s">
        <v>240</v>
      </c>
      <c r="K800" s="75" t="s">
        <v>54</v>
      </c>
      <c r="L800" s="134" t="str">
        <f>IF(AND('331-CT'!$E$7=TH!H800,OR(J800="331",K800="331")),"x","")</f>
        <v/>
      </c>
    </row>
    <row r="801" spans="1:12">
      <c r="A801" s="72">
        <f t="shared" si="31"/>
        <v>2015</v>
      </c>
      <c r="B801" s="72">
        <f t="shared" si="32"/>
        <v>9</v>
      </c>
      <c r="C801" s="73">
        <v>42266</v>
      </c>
      <c r="D801" s="73" t="s">
        <v>17</v>
      </c>
      <c r="E801" s="73">
        <v>42266</v>
      </c>
      <c r="F801" s="76" t="s">
        <v>141</v>
      </c>
      <c r="G801" s="265"/>
      <c r="H801" s="122" t="s">
        <v>315</v>
      </c>
      <c r="I801" s="74">
        <v>16361111</v>
      </c>
      <c r="J801" s="75" t="s">
        <v>240</v>
      </c>
      <c r="K801" s="75" t="s">
        <v>54</v>
      </c>
      <c r="L801" s="134" t="str">
        <f>IF(AND('331-CT'!$E$7=TH!H801,OR(J801="331",K801="331")),"x","")</f>
        <v/>
      </c>
    </row>
    <row r="802" spans="1:12">
      <c r="A802" s="72">
        <f t="shared" si="31"/>
        <v>2015</v>
      </c>
      <c r="B802" s="72">
        <f t="shared" si="32"/>
        <v>9</v>
      </c>
      <c r="C802" s="73">
        <v>42266</v>
      </c>
      <c r="D802" s="73" t="s">
        <v>17</v>
      </c>
      <c r="E802" s="73">
        <v>42266</v>
      </c>
      <c r="F802" s="76" t="s">
        <v>143</v>
      </c>
      <c r="G802" s="265"/>
      <c r="H802" s="122" t="s">
        <v>317</v>
      </c>
      <c r="I802" s="74">
        <v>13088889</v>
      </c>
      <c r="J802" s="75" t="s">
        <v>240</v>
      </c>
      <c r="K802" s="75" t="s">
        <v>54</v>
      </c>
      <c r="L802" s="134" t="str">
        <f>IF(AND('331-CT'!$E$7=TH!H802,OR(J802="331",K802="331")),"x","")</f>
        <v/>
      </c>
    </row>
    <row r="803" spans="1:12">
      <c r="A803" s="72">
        <f t="shared" si="31"/>
        <v>2015</v>
      </c>
      <c r="B803" s="72">
        <f t="shared" si="32"/>
        <v>9</v>
      </c>
      <c r="C803" s="73">
        <v>42266</v>
      </c>
      <c r="D803" s="73" t="s">
        <v>17</v>
      </c>
      <c r="E803" s="73">
        <v>42266</v>
      </c>
      <c r="F803" s="76" t="s">
        <v>144</v>
      </c>
      <c r="G803" s="265"/>
      <c r="H803" s="122" t="s">
        <v>316</v>
      </c>
      <c r="I803" s="74">
        <v>12270833</v>
      </c>
      <c r="J803" s="75" t="s">
        <v>240</v>
      </c>
      <c r="K803" s="75" t="s">
        <v>54</v>
      </c>
      <c r="L803" s="134" t="str">
        <f>IF(AND('331-CT'!$E$7=TH!H803,OR(J803="331",K803="331")),"x","")</f>
        <v/>
      </c>
    </row>
    <row r="804" spans="1:12">
      <c r="A804" s="72">
        <f t="shared" si="31"/>
        <v>2015</v>
      </c>
      <c r="B804" s="72">
        <f t="shared" si="32"/>
        <v>9</v>
      </c>
      <c r="C804" s="73">
        <v>42266</v>
      </c>
      <c r="D804" s="73" t="s">
        <v>17</v>
      </c>
      <c r="E804" s="73">
        <v>42266</v>
      </c>
      <c r="F804" s="76" t="s">
        <v>145</v>
      </c>
      <c r="G804" s="265"/>
      <c r="H804" s="122" t="s">
        <v>318</v>
      </c>
      <c r="I804" s="74">
        <v>8180556</v>
      </c>
      <c r="J804" s="75" t="s">
        <v>240</v>
      </c>
      <c r="K804" s="75" t="s">
        <v>54</v>
      </c>
      <c r="L804" s="134" t="str">
        <f>IF(AND('331-CT'!$E$7=TH!H804,OR(J804="331",K804="331")),"x","")</f>
        <v/>
      </c>
    </row>
    <row r="805" spans="1:12">
      <c r="A805" s="72">
        <f t="shared" si="31"/>
        <v>2015</v>
      </c>
      <c r="B805" s="72">
        <f t="shared" si="32"/>
        <v>9</v>
      </c>
      <c r="C805" s="73">
        <v>42266</v>
      </c>
      <c r="D805" s="73" t="s">
        <v>17</v>
      </c>
      <c r="E805" s="73">
        <v>42266</v>
      </c>
      <c r="F805" s="76" t="s">
        <v>147</v>
      </c>
      <c r="G805" s="265"/>
      <c r="H805" s="122" t="s">
        <v>319</v>
      </c>
      <c r="I805" s="74">
        <v>12270833</v>
      </c>
      <c r="J805" s="75" t="s">
        <v>240</v>
      </c>
      <c r="K805" s="75" t="s">
        <v>54</v>
      </c>
      <c r="L805" s="134" t="str">
        <f>IF(AND('331-CT'!$E$7=TH!H805,OR(J805="331",K805="331")),"x","")</f>
        <v/>
      </c>
    </row>
    <row r="806" spans="1:12">
      <c r="A806" s="245">
        <f t="shared" si="31"/>
        <v>2015</v>
      </c>
      <c r="B806" s="245">
        <f t="shared" si="32"/>
        <v>9</v>
      </c>
      <c r="C806" s="246">
        <v>42266</v>
      </c>
      <c r="D806" s="73" t="s">
        <v>17</v>
      </c>
      <c r="E806" s="246">
        <v>42266</v>
      </c>
      <c r="F806" s="247" t="s">
        <v>273</v>
      </c>
      <c r="G806" s="267"/>
      <c r="H806" s="248" t="s">
        <v>320</v>
      </c>
      <c r="I806" s="249">
        <v>16361111</v>
      </c>
      <c r="J806" s="136" t="s">
        <v>240</v>
      </c>
      <c r="K806" s="136" t="s">
        <v>54</v>
      </c>
      <c r="L806" s="134" t="str">
        <f>IF(AND('331-CT'!$E$7=TH!H806,OR(J806="331",K806="331")),"x","")</f>
        <v/>
      </c>
    </row>
    <row r="807" spans="1:12">
      <c r="A807" s="245">
        <f t="shared" si="31"/>
        <v>2015</v>
      </c>
      <c r="B807" s="245">
        <f t="shared" si="32"/>
        <v>9</v>
      </c>
      <c r="C807" s="246">
        <v>42266</v>
      </c>
      <c r="D807" s="73" t="s">
        <v>17</v>
      </c>
      <c r="E807" s="246">
        <v>42266</v>
      </c>
      <c r="F807" s="247" t="s">
        <v>303</v>
      </c>
      <c r="G807" s="267"/>
      <c r="H807" s="248" t="s">
        <v>321</v>
      </c>
      <c r="I807" s="249">
        <v>11452778</v>
      </c>
      <c r="J807" s="136" t="s">
        <v>240</v>
      </c>
      <c r="K807" s="136" t="s">
        <v>54</v>
      </c>
      <c r="L807" s="134" t="str">
        <f>IF(AND('331-CT'!$E$7=TH!H807,OR(J807="331",K807="331")),"x","")</f>
        <v/>
      </c>
    </row>
    <row r="808" spans="1:12">
      <c r="A808" s="72">
        <f t="shared" si="31"/>
        <v>2015</v>
      </c>
      <c r="B808" s="72">
        <f t="shared" si="32"/>
        <v>9</v>
      </c>
      <c r="C808" s="73">
        <v>42266</v>
      </c>
      <c r="D808" s="73" t="s">
        <v>17</v>
      </c>
      <c r="E808" s="73">
        <v>42266</v>
      </c>
      <c r="F808" s="76" t="s">
        <v>304</v>
      </c>
      <c r="G808" s="137"/>
      <c r="H808" s="122" t="s">
        <v>322</v>
      </c>
      <c r="I808" s="74">
        <v>12270833</v>
      </c>
      <c r="J808" s="75" t="s">
        <v>240</v>
      </c>
      <c r="K808" s="75" t="s">
        <v>54</v>
      </c>
      <c r="L808" s="134" t="str">
        <f>IF(AND('331-CT'!$E$7=TH!H808,OR(J808="331",K808="331")),"x","")</f>
        <v/>
      </c>
    </row>
    <row r="809" spans="1:12">
      <c r="A809" s="72">
        <f t="shared" si="31"/>
        <v>2015</v>
      </c>
      <c r="B809" s="72">
        <f t="shared" si="32"/>
        <v>9</v>
      </c>
      <c r="C809" s="73">
        <v>42266</v>
      </c>
      <c r="D809" s="73" t="s">
        <v>17</v>
      </c>
      <c r="E809" s="73">
        <v>42266</v>
      </c>
      <c r="F809" s="76" t="s">
        <v>418</v>
      </c>
      <c r="G809" s="137"/>
      <c r="H809" s="122" t="s">
        <v>324</v>
      </c>
      <c r="I809" s="74">
        <v>12270833</v>
      </c>
      <c r="J809" s="75" t="s">
        <v>240</v>
      </c>
      <c r="K809" s="75" t="s">
        <v>54</v>
      </c>
      <c r="L809" s="134" t="str">
        <f>IF(AND('331-CT'!$E$7=TH!H809,OR(J809="331",K809="331")),"x","")</f>
        <v/>
      </c>
    </row>
    <row r="810" spans="1:12">
      <c r="A810" s="72">
        <f t="shared" si="31"/>
        <v>2015</v>
      </c>
      <c r="B810" s="72">
        <f t="shared" si="32"/>
        <v>9</v>
      </c>
      <c r="C810" s="73">
        <v>42266</v>
      </c>
      <c r="D810" s="73" t="s">
        <v>17</v>
      </c>
      <c r="E810" s="73">
        <v>42266</v>
      </c>
      <c r="F810" s="76" t="s">
        <v>465</v>
      </c>
      <c r="G810" s="270"/>
      <c r="H810" s="122" t="s">
        <v>326</v>
      </c>
      <c r="I810" s="74">
        <v>12270833</v>
      </c>
      <c r="J810" s="75" t="s">
        <v>240</v>
      </c>
      <c r="K810" s="75" t="s">
        <v>54</v>
      </c>
      <c r="L810" s="134" t="str">
        <f>IF(AND('331-CT'!$E$7=TH!H810,OR(J810="331",K810="331")),"x","")</f>
        <v/>
      </c>
    </row>
    <row r="811" spans="1:12">
      <c r="A811" s="72">
        <f t="shared" si="31"/>
        <v>2015</v>
      </c>
      <c r="B811" s="72">
        <f t="shared" si="32"/>
        <v>9</v>
      </c>
      <c r="C811" s="73">
        <v>42266</v>
      </c>
      <c r="D811" s="73" t="s">
        <v>17</v>
      </c>
      <c r="E811" s="73">
        <v>42266</v>
      </c>
      <c r="F811" s="76" t="s">
        <v>466</v>
      </c>
      <c r="G811" s="270"/>
      <c r="H811" s="122" t="s">
        <v>417</v>
      </c>
      <c r="I811" s="74">
        <v>12270833</v>
      </c>
      <c r="J811" s="75" t="s">
        <v>240</v>
      </c>
      <c r="K811" s="75" t="s">
        <v>54</v>
      </c>
      <c r="L811" s="134" t="str">
        <f>IF(AND('331-CT'!$E$7=TH!H811,OR(J811="331",K811="331")),"x","")</f>
        <v/>
      </c>
    </row>
    <row r="812" spans="1:12">
      <c r="A812" s="72">
        <f t="shared" si="31"/>
        <v>2015</v>
      </c>
      <c r="B812" s="72">
        <f t="shared" si="32"/>
        <v>9</v>
      </c>
      <c r="C812" s="73">
        <v>42266</v>
      </c>
      <c r="D812" s="73" t="s">
        <v>17</v>
      </c>
      <c r="E812" s="73">
        <v>42266</v>
      </c>
      <c r="F812" s="76" t="s">
        <v>580</v>
      </c>
      <c r="G812" s="270"/>
      <c r="H812" s="122" t="s">
        <v>422</v>
      </c>
      <c r="I812" s="74">
        <v>13458333</v>
      </c>
      <c r="J812" s="75" t="s">
        <v>240</v>
      </c>
      <c r="K812" s="75" t="s">
        <v>54</v>
      </c>
      <c r="L812" s="134" t="str">
        <f>IF(AND('331-CT'!$E$7=TH!H812,OR(J812="331",K812="331")),"x","")</f>
        <v/>
      </c>
    </row>
    <row r="813" spans="1:12">
      <c r="A813" s="72">
        <f t="shared" si="31"/>
        <v>2015</v>
      </c>
      <c r="B813" s="72">
        <f t="shared" si="32"/>
        <v>9</v>
      </c>
      <c r="C813" s="73">
        <v>42266</v>
      </c>
      <c r="D813" s="73" t="s">
        <v>17</v>
      </c>
      <c r="E813" s="73">
        <v>42266</v>
      </c>
      <c r="F813" s="76" t="s">
        <v>581</v>
      </c>
      <c r="G813" s="270"/>
      <c r="H813" s="122" t="s">
        <v>456</v>
      </c>
      <c r="I813" s="74">
        <v>9763889</v>
      </c>
      <c r="J813" s="75" t="s">
        <v>240</v>
      </c>
      <c r="K813" s="75" t="s">
        <v>54</v>
      </c>
      <c r="L813" s="134" t="str">
        <f>IF(AND('331-CT'!$E$7=TH!H813,OR(J813="331",K813="331")),"x","")</f>
        <v/>
      </c>
    </row>
    <row r="814" spans="1:12">
      <c r="A814" s="72">
        <f t="shared" si="31"/>
        <v>2015</v>
      </c>
      <c r="B814" s="72">
        <f t="shared" si="32"/>
        <v>9</v>
      </c>
      <c r="C814" s="73">
        <v>42266</v>
      </c>
      <c r="D814" s="73" t="s">
        <v>17</v>
      </c>
      <c r="E814" s="73">
        <v>42266</v>
      </c>
      <c r="F814" s="76" t="s">
        <v>611</v>
      </c>
      <c r="G814" s="270"/>
      <c r="H814" s="122"/>
      <c r="I814" s="74">
        <v>50000</v>
      </c>
      <c r="J814" s="75" t="s">
        <v>242</v>
      </c>
      <c r="K814" s="75" t="s">
        <v>54</v>
      </c>
      <c r="L814" s="134" t="str">
        <f>IF(AND('331-CT'!$E$7=TH!H814,OR(J814="331",K814="331")),"x","")</f>
        <v/>
      </c>
    </row>
    <row r="815" spans="1:12">
      <c r="A815" s="72">
        <f t="shared" si="31"/>
        <v>2015</v>
      </c>
      <c r="B815" s="72">
        <f t="shared" si="32"/>
        <v>9</v>
      </c>
      <c r="C815" s="73">
        <v>42266</v>
      </c>
      <c r="D815" s="73" t="s">
        <v>17</v>
      </c>
      <c r="E815" s="73">
        <v>42266</v>
      </c>
      <c r="F815" s="76" t="s">
        <v>44</v>
      </c>
      <c r="G815" s="270"/>
      <c r="H815" s="122"/>
      <c r="I815" s="74">
        <v>5000</v>
      </c>
      <c r="J815" s="75" t="s">
        <v>19</v>
      </c>
      <c r="K815" s="75" t="s">
        <v>54</v>
      </c>
      <c r="L815" s="134" t="str">
        <f>IF(AND('331-CT'!$E$7=TH!H815,OR(J815="331",K815="331")),"x","")</f>
        <v/>
      </c>
    </row>
    <row r="816" spans="1:12">
      <c r="A816" s="72">
        <f t="shared" si="31"/>
        <v>2015</v>
      </c>
      <c r="B816" s="72">
        <f t="shared" si="32"/>
        <v>9</v>
      </c>
      <c r="C816" s="73">
        <v>42266</v>
      </c>
      <c r="D816" s="73" t="s">
        <v>17</v>
      </c>
      <c r="E816" s="73">
        <v>42266</v>
      </c>
      <c r="F816" s="76" t="s">
        <v>612</v>
      </c>
      <c r="G816" s="270"/>
      <c r="H816" s="122"/>
      <c r="I816" s="74">
        <v>50000</v>
      </c>
      <c r="J816" s="75" t="s">
        <v>242</v>
      </c>
      <c r="K816" s="75" t="s">
        <v>54</v>
      </c>
      <c r="L816" s="134" t="str">
        <f>IF(AND('331-CT'!$E$7=TH!H816,OR(J816="331",K816="331")),"x","")</f>
        <v/>
      </c>
    </row>
    <row r="817" spans="1:12">
      <c r="A817" s="72">
        <f t="shared" si="31"/>
        <v>2015</v>
      </c>
      <c r="B817" s="72">
        <f t="shared" si="32"/>
        <v>9</v>
      </c>
      <c r="C817" s="73">
        <v>42266</v>
      </c>
      <c r="D817" s="73" t="s">
        <v>17</v>
      </c>
      <c r="E817" s="73">
        <v>42266</v>
      </c>
      <c r="F817" s="76" t="s">
        <v>44</v>
      </c>
      <c r="G817" s="270"/>
      <c r="H817" s="122"/>
      <c r="I817" s="74">
        <v>5000</v>
      </c>
      <c r="J817" s="75" t="s">
        <v>19</v>
      </c>
      <c r="K817" s="75" t="s">
        <v>54</v>
      </c>
      <c r="L817" s="134" t="str">
        <f>IF(AND('331-CT'!$E$7=TH!H817,OR(J817="331",K817="331")),"x","")</f>
        <v/>
      </c>
    </row>
    <row r="818" spans="1:12">
      <c r="A818" s="72">
        <f t="shared" si="31"/>
        <v>2015</v>
      </c>
      <c r="B818" s="72">
        <f t="shared" si="32"/>
        <v>9</v>
      </c>
      <c r="C818" s="73">
        <v>42268</v>
      </c>
      <c r="D818" s="73" t="s">
        <v>17</v>
      </c>
      <c r="E818" s="73">
        <v>42268</v>
      </c>
      <c r="F818" s="76" t="s">
        <v>95</v>
      </c>
      <c r="G818" s="265"/>
      <c r="H818" s="122"/>
      <c r="I818" s="74">
        <v>100000</v>
      </c>
      <c r="J818" s="75" t="s">
        <v>242</v>
      </c>
      <c r="K818" s="75" t="s">
        <v>54</v>
      </c>
      <c r="L818" s="134" t="str">
        <f>IF(AND('331-CT'!$E$7=TH!H818,OR(J818="331",K818="331")),"x","")</f>
        <v/>
      </c>
    </row>
    <row r="819" spans="1:12">
      <c r="A819" s="72">
        <f t="shared" si="31"/>
        <v>2015</v>
      </c>
      <c r="B819" s="72">
        <f t="shared" si="32"/>
        <v>9</v>
      </c>
      <c r="C819" s="73">
        <v>42268</v>
      </c>
      <c r="D819" s="73" t="s">
        <v>17</v>
      </c>
      <c r="E819" s="73">
        <v>42268</v>
      </c>
      <c r="F819" s="76" t="s">
        <v>96</v>
      </c>
      <c r="G819" s="265"/>
      <c r="H819" s="122"/>
      <c r="I819" s="74">
        <v>10000</v>
      </c>
      <c r="J819" s="75" t="s">
        <v>19</v>
      </c>
      <c r="K819" s="75" t="s">
        <v>54</v>
      </c>
      <c r="L819" s="134" t="str">
        <f>IF(AND('331-CT'!$E$7=TH!H819,OR(J819="331",K819="331")),"x","")</f>
        <v/>
      </c>
    </row>
    <row r="820" spans="1:12">
      <c r="A820" s="72">
        <f t="shared" si="31"/>
        <v>2015</v>
      </c>
      <c r="B820" s="72">
        <f t="shared" si="32"/>
        <v>9</v>
      </c>
      <c r="C820" s="73">
        <v>42275</v>
      </c>
      <c r="D820" s="73" t="s">
        <v>506</v>
      </c>
      <c r="E820" s="73">
        <v>42275</v>
      </c>
      <c r="F820" s="76" t="s">
        <v>576</v>
      </c>
      <c r="G820" s="265"/>
      <c r="H820" s="122" t="s">
        <v>272</v>
      </c>
      <c r="I820" s="74">
        <v>400000000</v>
      </c>
      <c r="J820" s="75" t="s">
        <v>54</v>
      </c>
      <c r="K820" s="75" t="s">
        <v>203</v>
      </c>
      <c r="L820" s="134" t="str">
        <f>IF(AND('331-CT'!$E$7=TH!H820,OR(J820="331",K820="331")),"x","")</f>
        <v/>
      </c>
    </row>
    <row r="821" spans="1:12">
      <c r="A821" s="72">
        <f t="shared" si="31"/>
        <v>2015</v>
      </c>
      <c r="B821" s="72">
        <f t="shared" si="32"/>
        <v>10</v>
      </c>
      <c r="C821" s="73">
        <v>42278</v>
      </c>
      <c r="D821" s="73" t="s">
        <v>73</v>
      </c>
      <c r="E821" s="73">
        <v>42261</v>
      </c>
      <c r="F821" s="76" t="s">
        <v>595</v>
      </c>
      <c r="G821" s="265" t="s">
        <v>592</v>
      </c>
      <c r="H821" s="122" t="s">
        <v>280</v>
      </c>
      <c r="I821" s="74">
        <v>490600</v>
      </c>
      <c r="J821" s="75" t="s">
        <v>242</v>
      </c>
      <c r="K821" s="75" t="s">
        <v>203</v>
      </c>
      <c r="L821" s="134" t="str">
        <f>IF(AND('331-CT'!$E$7=TH!H821,OR(J821="331",K821="331")),"x","")</f>
        <v/>
      </c>
    </row>
    <row r="822" spans="1:12">
      <c r="A822" s="72">
        <f t="shared" si="31"/>
        <v>2015</v>
      </c>
      <c r="B822" s="72">
        <f t="shared" si="32"/>
        <v>10</v>
      </c>
      <c r="C822" s="73">
        <v>42278</v>
      </c>
      <c r="D822" s="73" t="s">
        <v>73</v>
      </c>
      <c r="E822" s="73">
        <v>42261</v>
      </c>
      <c r="F822" s="76" t="s">
        <v>596</v>
      </c>
      <c r="G822" s="265" t="s">
        <v>592</v>
      </c>
      <c r="H822" s="122" t="s">
        <v>280</v>
      </c>
      <c r="I822" s="74">
        <v>49060</v>
      </c>
      <c r="J822" s="75" t="s">
        <v>19</v>
      </c>
      <c r="K822" s="75" t="s">
        <v>203</v>
      </c>
      <c r="L822" s="134" t="str">
        <f>IF(AND('331-CT'!$E$7=TH!H822,OR(J822="331",K822="331")),"x","")</f>
        <v/>
      </c>
    </row>
    <row r="823" spans="1:12">
      <c r="A823" s="72">
        <f t="shared" si="31"/>
        <v>2015</v>
      </c>
      <c r="B823" s="72">
        <f t="shared" si="32"/>
        <v>10</v>
      </c>
      <c r="C823" s="73">
        <v>42278</v>
      </c>
      <c r="D823" s="73" t="s">
        <v>92</v>
      </c>
      <c r="E823" s="73">
        <v>42273</v>
      </c>
      <c r="F823" s="76" t="s">
        <v>588</v>
      </c>
      <c r="G823" s="265" t="s">
        <v>589</v>
      </c>
      <c r="H823" s="122" t="s">
        <v>590</v>
      </c>
      <c r="I823" s="74">
        <v>12818181</v>
      </c>
      <c r="J823" s="75" t="s">
        <v>655</v>
      </c>
      <c r="K823" s="75" t="s">
        <v>203</v>
      </c>
      <c r="L823" s="134" t="str">
        <f>IF(AND('331-CT'!$E$7=TH!H823,OR(J823="331",K823="331")),"x","")</f>
        <v/>
      </c>
    </row>
    <row r="824" spans="1:12">
      <c r="A824" s="72">
        <f t="shared" si="31"/>
        <v>2015</v>
      </c>
      <c r="B824" s="72">
        <f t="shared" si="32"/>
        <v>10</v>
      </c>
      <c r="C824" s="73">
        <v>42278</v>
      </c>
      <c r="D824" s="73" t="s">
        <v>92</v>
      </c>
      <c r="E824" s="73">
        <v>42273</v>
      </c>
      <c r="F824" s="76" t="s">
        <v>591</v>
      </c>
      <c r="G824" s="265" t="s">
        <v>589</v>
      </c>
      <c r="H824" s="122" t="s">
        <v>590</v>
      </c>
      <c r="I824" s="74">
        <v>1281819</v>
      </c>
      <c r="J824" s="75" t="s">
        <v>19</v>
      </c>
      <c r="K824" s="75" t="s">
        <v>203</v>
      </c>
      <c r="L824" s="134" t="str">
        <f>IF(AND('331-CT'!$E$7=TH!H824,OR(J824="331",K824="331")),"x","")</f>
        <v/>
      </c>
    </row>
    <row r="825" spans="1:12">
      <c r="A825" s="72">
        <f t="shared" si="31"/>
        <v>2015</v>
      </c>
      <c r="B825" s="72">
        <f t="shared" si="32"/>
        <v>10</v>
      </c>
      <c r="C825" s="73">
        <v>42278</v>
      </c>
      <c r="D825" s="73" t="s">
        <v>93</v>
      </c>
      <c r="E825" s="73">
        <v>42278</v>
      </c>
      <c r="F825" s="76" t="s">
        <v>597</v>
      </c>
      <c r="G825" s="265"/>
      <c r="H825" s="122" t="s">
        <v>431</v>
      </c>
      <c r="I825" s="74">
        <v>1336364</v>
      </c>
      <c r="J825" s="75" t="s">
        <v>242</v>
      </c>
      <c r="K825" s="75" t="s">
        <v>203</v>
      </c>
      <c r="L825" s="134" t="str">
        <f>IF(AND('331-CT'!$E$7=TH!H825,OR(J825="331",K825="331")),"x","")</f>
        <v/>
      </c>
    </row>
    <row r="826" spans="1:12">
      <c r="A826" s="72">
        <f t="shared" si="31"/>
        <v>2015</v>
      </c>
      <c r="B826" s="72">
        <f t="shared" si="32"/>
        <v>10</v>
      </c>
      <c r="C826" s="73">
        <v>42278</v>
      </c>
      <c r="D826" s="73" t="s">
        <v>93</v>
      </c>
      <c r="E826" s="73">
        <v>42278</v>
      </c>
      <c r="F826" s="76" t="s">
        <v>598</v>
      </c>
      <c r="G826" s="265"/>
      <c r="H826" s="122" t="s">
        <v>431</v>
      </c>
      <c r="I826" s="74">
        <v>133636</v>
      </c>
      <c r="J826" s="75" t="s">
        <v>19</v>
      </c>
      <c r="K826" s="75" t="s">
        <v>203</v>
      </c>
      <c r="L826" s="134" t="str">
        <f>IF(AND('331-CT'!$E$7=TH!H826,OR(J826="331",K826="331")),"x","")</f>
        <v/>
      </c>
    </row>
    <row r="827" spans="1:12">
      <c r="A827" s="72">
        <f t="shared" si="31"/>
        <v>2015</v>
      </c>
      <c r="B827" s="72">
        <f t="shared" si="32"/>
        <v>10</v>
      </c>
      <c r="C827" s="73">
        <v>42278</v>
      </c>
      <c r="D827" s="73" t="s">
        <v>72</v>
      </c>
      <c r="E827" s="73">
        <v>42278</v>
      </c>
      <c r="F827" s="76" t="s">
        <v>604</v>
      </c>
      <c r="G827" s="265" t="s">
        <v>605</v>
      </c>
      <c r="H827" s="122" t="s">
        <v>436</v>
      </c>
      <c r="I827" s="74">
        <v>18000000</v>
      </c>
      <c r="J827" s="75" t="s">
        <v>655</v>
      </c>
      <c r="K827" s="75" t="s">
        <v>203</v>
      </c>
      <c r="L827" s="134" t="str">
        <f>IF(AND('331-CT'!$E$7=TH!H827,OR(J827="331",K827="331")),"x","")</f>
        <v/>
      </c>
    </row>
    <row r="828" spans="1:12">
      <c r="A828" s="72">
        <f t="shared" si="31"/>
        <v>2015</v>
      </c>
      <c r="B828" s="72">
        <f t="shared" si="32"/>
        <v>10</v>
      </c>
      <c r="C828" s="73">
        <v>42278</v>
      </c>
      <c r="D828" s="73" t="s">
        <v>72</v>
      </c>
      <c r="E828" s="73">
        <v>42278</v>
      </c>
      <c r="F828" s="76" t="s">
        <v>610</v>
      </c>
      <c r="G828" s="265" t="s">
        <v>605</v>
      </c>
      <c r="H828" s="122" t="s">
        <v>436</v>
      </c>
      <c r="I828" s="74">
        <v>1800000</v>
      </c>
      <c r="J828" s="75" t="s">
        <v>19</v>
      </c>
      <c r="K828" s="75" t="s">
        <v>203</v>
      </c>
      <c r="L828" s="134" t="str">
        <f>IF(AND('331-CT'!$E$7=TH!H828,OR(J828="331",K828="331")),"x","")</f>
        <v/>
      </c>
    </row>
    <row r="829" spans="1:12">
      <c r="A829" s="72">
        <f t="shared" si="31"/>
        <v>2015</v>
      </c>
      <c r="B829" s="72">
        <f t="shared" si="32"/>
        <v>10</v>
      </c>
      <c r="C829" s="73">
        <v>42278</v>
      </c>
      <c r="D829" s="73" t="s">
        <v>78</v>
      </c>
      <c r="E829" s="73">
        <v>42267</v>
      </c>
      <c r="F829" s="76" t="s">
        <v>463</v>
      </c>
      <c r="G829" s="265" t="s">
        <v>593</v>
      </c>
      <c r="H829" s="122" t="s">
        <v>190</v>
      </c>
      <c r="I829" s="74">
        <v>90910870</v>
      </c>
      <c r="J829" s="75" t="s">
        <v>655</v>
      </c>
      <c r="K829" s="75" t="s">
        <v>18</v>
      </c>
      <c r="L829" s="134" t="str">
        <f>IF(AND('331-CT'!$E$7=TH!H829,OR(J829="331",K829="331")),"x","")</f>
        <v>x</v>
      </c>
    </row>
    <row r="830" spans="1:12">
      <c r="A830" s="72">
        <f t="shared" si="31"/>
        <v>2015</v>
      </c>
      <c r="B830" s="72">
        <f t="shared" si="32"/>
        <v>10</v>
      </c>
      <c r="C830" s="73">
        <v>42278</v>
      </c>
      <c r="D830" s="73" t="s">
        <v>78</v>
      </c>
      <c r="E830" s="73">
        <v>42267</v>
      </c>
      <c r="F830" s="76" t="s">
        <v>464</v>
      </c>
      <c r="G830" s="265" t="s">
        <v>593</v>
      </c>
      <c r="H830" s="122" t="s">
        <v>190</v>
      </c>
      <c r="I830" s="74">
        <v>9091087</v>
      </c>
      <c r="J830" s="75" t="s">
        <v>19</v>
      </c>
      <c r="K830" s="75" t="s">
        <v>18</v>
      </c>
      <c r="L830" s="134" t="str">
        <f>IF(AND('331-CT'!$E$7=TH!H830,OR(J830="331",K830="331")),"x","")</f>
        <v>x</v>
      </c>
    </row>
    <row r="831" spans="1:12">
      <c r="A831" s="72">
        <f t="shared" si="31"/>
        <v>2015</v>
      </c>
      <c r="B831" s="72">
        <f t="shared" si="32"/>
        <v>10</v>
      </c>
      <c r="C831" s="73">
        <v>42278</v>
      </c>
      <c r="D831" s="73" t="s">
        <v>78</v>
      </c>
      <c r="E831" s="73">
        <v>42271</v>
      </c>
      <c r="F831" s="76" t="s">
        <v>463</v>
      </c>
      <c r="G831" s="265" t="s">
        <v>594</v>
      </c>
      <c r="H831" s="122" t="s">
        <v>190</v>
      </c>
      <c r="I831" s="74">
        <v>73661009</v>
      </c>
      <c r="J831" s="75" t="s">
        <v>655</v>
      </c>
      <c r="K831" s="75" t="s">
        <v>18</v>
      </c>
      <c r="L831" s="134" t="str">
        <f>IF(AND('331-CT'!$E$7=TH!H831,OR(J831="331",K831="331")),"x","")</f>
        <v>x</v>
      </c>
    </row>
    <row r="832" spans="1:12">
      <c r="A832" s="72">
        <f t="shared" si="31"/>
        <v>2015</v>
      </c>
      <c r="B832" s="72">
        <f t="shared" si="32"/>
        <v>10</v>
      </c>
      <c r="C832" s="73">
        <v>42278</v>
      </c>
      <c r="D832" s="73" t="s">
        <v>78</v>
      </c>
      <c r="E832" s="73">
        <v>42271</v>
      </c>
      <c r="F832" s="76" t="s">
        <v>464</v>
      </c>
      <c r="G832" s="265" t="s">
        <v>594</v>
      </c>
      <c r="H832" s="122" t="s">
        <v>190</v>
      </c>
      <c r="I832" s="74">
        <v>7366100</v>
      </c>
      <c r="J832" s="75" t="s">
        <v>19</v>
      </c>
      <c r="K832" s="75" t="s">
        <v>18</v>
      </c>
      <c r="L832" s="134" t="str">
        <f>IF(AND('331-CT'!$E$7=TH!H832,OR(J832="331",K832="331")),"x","")</f>
        <v>x</v>
      </c>
    </row>
    <row r="833" spans="1:12">
      <c r="A833" s="72">
        <f t="shared" si="31"/>
        <v>2015</v>
      </c>
      <c r="B833" s="72">
        <f t="shared" si="32"/>
        <v>10</v>
      </c>
      <c r="C833" s="73">
        <v>42278</v>
      </c>
      <c r="D833" s="73" t="s">
        <v>71</v>
      </c>
      <c r="E833" s="73">
        <v>42276</v>
      </c>
      <c r="F833" s="76" t="s">
        <v>653</v>
      </c>
      <c r="G833" s="265" t="s">
        <v>648</v>
      </c>
      <c r="H833" s="122" t="s">
        <v>649</v>
      </c>
      <c r="I833" s="74">
        <v>10285400</v>
      </c>
      <c r="J833" s="75" t="s">
        <v>242</v>
      </c>
      <c r="K833" s="75" t="s">
        <v>203</v>
      </c>
      <c r="L833" s="134" t="str">
        <f>IF(AND('331-CT'!$E$7=TH!H833,OR(J833="331",K833="331")),"x","")</f>
        <v/>
      </c>
    </row>
    <row r="834" spans="1:12">
      <c r="A834" s="72">
        <f t="shared" si="31"/>
        <v>2015</v>
      </c>
      <c r="B834" s="72">
        <f t="shared" si="32"/>
        <v>10</v>
      </c>
      <c r="C834" s="73">
        <v>42278</v>
      </c>
      <c r="D834" s="73" t="s">
        <v>71</v>
      </c>
      <c r="E834" s="73">
        <v>42276</v>
      </c>
      <c r="F834" s="76" t="s">
        <v>654</v>
      </c>
      <c r="G834" s="265" t="s">
        <v>648</v>
      </c>
      <c r="H834" s="122" t="s">
        <v>649</v>
      </c>
      <c r="I834" s="74">
        <v>1028540</v>
      </c>
      <c r="J834" s="75" t="s">
        <v>19</v>
      </c>
      <c r="K834" s="75" t="s">
        <v>203</v>
      </c>
      <c r="L834" s="134" t="str">
        <f>IF(AND('331-CT'!$E$7=TH!H834,OR(J834="331",K834="331")),"x","")</f>
        <v/>
      </c>
    </row>
    <row r="835" spans="1:12">
      <c r="A835" s="72">
        <f t="shared" si="31"/>
        <v>2015</v>
      </c>
      <c r="B835" s="72">
        <f t="shared" si="32"/>
        <v>10</v>
      </c>
      <c r="C835" s="73">
        <v>42278</v>
      </c>
      <c r="D835" s="73" t="s">
        <v>17</v>
      </c>
      <c r="E835" s="73">
        <v>42271</v>
      </c>
      <c r="F835" s="76" t="s">
        <v>613</v>
      </c>
      <c r="G835" s="265"/>
      <c r="H835" s="122"/>
      <c r="I835" s="74">
        <v>50000</v>
      </c>
      <c r="J835" s="75" t="s">
        <v>242</v>
      </c>
      <c r="K835" s="75" t="s">
        <v>54</v>
      </c>
      <c r="L835" s="134" t="str">
        <f>IF(AND('331-CT'!$E$7=TH!H835,OR(J835="331",K835="331")),"x","")</f>
        <v/>
      </c>
    </row>
    <row r="836" spans="1:12">
      <c r="A836" s="72">
        <f t="shared" si="31"/>
        <v>2015</v>
      </c>
      <c r="B836" s="72">
        <f t="shared" si="32"/>
        <v>10</v>
      </c>
      <c r="C836" s="73">
        <v>42278</v>
      </c>
      <c r="D836" s="73" t="s">
        <v>17</v>
      </c>
      <c r="E836" s="73">
        <v>42271</v>
      </c>
      <c r="F836" s="76" t="s">
        <v>44</v>
      </c>
      <c r="G836" s="265"/>
      <c r="H836" s="122"/>
      <c r="I836" s="74">
        <v>5000</v>
      </c>
      <c r="J836" s="75" t="s">
        <v>19</v>
      </c>
      <c r="K836" s="75" t="s">
        <v>54</v>
      </c>
      <c r="L836" s="134" t="str">
        <f>IF(AND('331-CT'!$E$7=TH!H836,OR(J836="331",K836="331")),"x","")</f>
        <v/>
      </c>
    </row>
    <row r="837" spans="1:12">
      <c r="A837" s="72">
        <f t="shared" si="31"/>
        <v>2015</v>
      </c>
      <c r="B837" s="72">
        <f t="shared" si="32"/>
        <v>10</v>
      </c>
      <c r="C837" s="73">
        <v>42278</v>
      </c>
      <c r="D837" s="73" t="s">
        <v>17</v>
      </c>
      <c r="E837" s="73">
        <v>42271</v>
      </c>
      <c r="F837" s="76" t="s">
        <v>614</v>
      </c>
      <c r="G837" s="265"/>
      <c r="H837" s="122"/>
      <c r="I837" s="74">
        <v>50000</v>
      </c>
      <c r="J837" s="75" t="s">
        <v>242</v>
      </c>
      <c r="K837" s="75" t="s">
        <v>54</v>
      </c>
      <c r="L837" s="134" t="str">
        <f>IF(AND('331-CT'!$E$7=TH!H837,OR(J837="331",K837="331")),"x","")</f>
        <v/>
      </c>
    </row>
    <row r="838" spans="1:12">
      <c r="A838" s="72">
        <f t="shared" si="31"/>
        <v>2015</v>
      </c>
      <c r="B838" s="72">
        <f t="shared" si="32"/>
        <v>10</v>
      </c>
      <c r="C838" s="73">
        <v>42278</v>
      </c>
      <c r="D838" s="73" t="s">
        <v>17</v>
      </c>
      <c r="E838" s="73">
        <v>42271</v>
      </c>
      <c r="F838" s="76" t="s">
        <v>44</v>
      </c>
      <c r="G838" s="265"/>
      <c r="H838" s="122"/>
      <c r="I838" s="74">
        <v>5000</v>
      </c>
      <c r="J838" s="75" t="s">
        <v>19</v>
      </c>
      <c r="K838" s="75" t="s">
        <v>54</v>
      </c>
      <c r="L838" s="134" t="str">
        <f>IF(AND('331-CT'!$E$7=TH!H838,OR(J838="331",K838="331")),"x","")</f>
        <v/>
      </c>
    </row>
    <row r="839" spans="1:12">
      <c r="A839" s="72">
        <f t="shared" si="31"/>
        <v>2015</v>
      </c>
      <c r="B839" s="72">
        <f t="shared" si="32"/>
        <v>10</v>
      </c>
      <c r="C839" s="73">
        <v>42278</v>
      </c>
      <c r="D839" s="73" t="s">
        <v>21</v>
      </c>
      <c r="E839" s="73">
        <v>42271</v>
      </c>
      <c r="F839" s="76" t="s">
        <v>98</v>
      </c>
      <c r="G839" s="265"/>
      <c r="H839" s="122"/>
      <c r="I839" s="74">
        <v>55871</v>
      </c>
      <c r="J839" s="75" t="s">
        <v>54</v>
      </c>
      <c r="K839" s="75" t="s">
        <v>99</v>
      </c>
      <c r="L839" s="134" t="str">
        <f>IF(AND('331-CT'!$E$7=TH!H839,OR(J839="331",K839="331")),"x","")</f>
        <v/>
      </c>
    </row>
    <row r="840" spans="1:12">
      <c r="A840" s="72">
        <f t="shared" si="31"/>
        <v>2015</v>
      </c>
      <c r="B840" s="72">
        <f t="shared" si="32"/>
        <v>10</v>
      </c>
      <c r="C840" s="73">
        <v>42278</v>
      </c>
      <c r="D840" s="73" t="s">
        <v>17</v>
      </c>
      <c r="E840" s="73">
        <v>42275</v>
      </c>
      <c r="F840" s="76" t="s">
        <v>615</v>
      </c>
      <c r="G840" s="265"/>
      <c r="H840" s="122" t="s">
        <v>306</v>
      </c>
      <c r="I840" s="74">
        <v>400000000</v>
      </c>
      <c r="J840" s="75" t="s">
        <v>18</v>
      </c>
      <c r="K840" s="75" t="s">
        <v>54</v>
      </c>
      <c r="L840" s="134" t="str">
        <f>IF(AND('331-CT'!$E$7=TH!H840,OR(J840="331",K840="331")),"x","")</f>
        <v/>
      </c>
    </row>
    <row r="841" spans="1:12">
      <c r="A841" s="72">
        <f t="shared" si="31"/>
        <v>2015</v>
      </c>
      <c r="B841" s="72">
        <f t="shared" si="32"/>
        <v>10</v>
      </c>
      <c r="C841" s="73">
        <v>42278</v>
      </c>
      <c r="D841" s="73" t="s">
        <v>17</v>
      </c>
      <c r="E841" s="73">
        <v>42275</v>
      </c>
      <c r="F841" s="76" t="s">
        <v>34</v>
      </c>
      <c r="G841" s="265"/>
      <c r="H841" s="122"/>
      <c r="I841" s="74">
        <v>232510</v>
      </c>
      <c r="J841" s="75" t="s">
        <v>242</v>
      </c>
      <c r="K841" s="75" t="s">
        <v>54</v>
      </c>
      <c r="L841" s="134" t="str">
        <f>IF(AND('331-CT'!$E$7=TH!H841,OR(J841="331",K841="331")),"x","")</f>
        <v/>
      </c>
    </row>
    <row r="842" spans="1:12">
      <c r="A842" s="72">
        <f t="shared" ref="A842:A905" si="33">IF(C842&lt;&gt;"",YEAR(C842),"")</f>
        <v>2015</v>
      </c>
      <c r="B842" s="72">
        <f t="shared" ref="B842:B905" si="34">IF(C842&lt;&gt;"",MONTH(C842),"")</f>
        <v>10</v>
      </c>
      <c r="C842" s="73">
        <v>42278</v>
      </c>
      <c r="D842" s="73" t="s">
        <v>17</v>
      </c>
      <c r="E842" s="73">
        <v>42275</v>
      </c>
      <c r="F842" s="76" t="s">
        <v>35</v>
      </c>
      <c r="G842" s="265"/>
      <c r="H842" s="122"/>
      <c r="I842" s="74">
        <v>23251</v>
      </c>
      <c r="J842" s="75" t="s">
        <v>19</v>
      </c>
      <c r="K842" s="75" t="s">
        <v>54</v>
      </c>
      <c r="L842" s="134" t="str">
        <f>IF(AND('331-CT'!$E$7=TH!H842,OR(J842="331",K842="331")),"x","")</f>
        <v/>
      </c>
    </row>
    <row r="843" spans="1:12">
      <c r="A843" s="72">
        <f t="shared" si="33"/>
        <v>2015</v>
      </c>
      <c r="B843" s="72">
        <f t="shared" si="34"/>
        <v>10</v>
      </c>
      <c r="C843" s="313">
        <v>42278</v>
      </c>
      <c r="D843" s="313" t="s">
        <v>133</v>
      </c>
      <c r="E843" s="313">
        <v>42278</v>
      </c>
      <c r="F843" s="314" t="s">
        <v>725</v>
      </c>
      <c r="G843" s="315" t="s">
        <v>726</v>
      </c>
      <c r="H843" s="316" t="s">
        <v>727</v>
      </c>
      <c r="I843" s="74">
        <v>15000000</v>
      </c>
      <c r="J843" s="317" t="s">
        <v>655</v>
      </c>
      <c r="K843" s="317" t="s">
        <v>203</v>
      </c>
      <c r="L843" s="134" t="str">
        <f>IF(AND('331-CT'!$E$7=TH!H843,OR(J843="331",K843="331")),"x","")</f>
        <v/>
      </c>
    </row>
    <row r="844" spans="1:12">
      <c r="A844" s="72">
        <f t="shared" si="33"/>
        <v>2015</v>
      </c>
      <c r="B844" s="72">
        <f t="shared" si="34"/>
        <v>10</v>
      </c>
      <c r="C844" s="313">
        <v>42278</v>
      </c>
      <c r="D844" s="313" t="s">
        <v>133</v>
      </c>
      <c r="E844" s="313">
        <v>42278</v>
      </c>
      <c r="F844" s="314" t="s">
        <v>728</v>
      </c>
      <c r="G844" s="315" t="s">
        <v>726</v>
      </c>
      <c r="H844" s="316" t="s">
        <v>727</v>
      </c>
      <c r="I844" s="74">
        <v>1500000</v>
      </c>
      <c r="J844" s="317" t="s">
        <v>19</v>
      </c>
      <c r="K844" s="317" t="s">
        <v>203</v>
      </c>
      <c r="L844" s="134" t="str">
        <f>IF(AND('331-CT'!$E$7=TH!H844,OR(J844="331",K844="331")),"x","")</f>
        <v/>
      </c>
    </row>
    <row r="845" spans="1:12">
      <c r="A845" s="72">
        <f t="shared" si="33"/>
        <v>2015</v>
      </c>
      <c r="B845" s="72">
        <f t="shared" si="34"/>
        <v>10</v>
      </c>
      <c r="C845" s="313">
        <v>42279</v>
      </c>
      <c r="D845" s="313" t="s">
        <v>134</v>
      </c>
      <c r="E845" s="313">
        <v>42279</v>
      </c>
      <c r="F845" s="314" t="s">
        <v>576</v>
      </c>
      <c r="G845" s="315"/>
      <c r="H845" s="316" t="s">
        <v>272</v>
      </c>
      <c r="I845" s="74">
        <v>600000000</v>
      </c>
      <c r="J845" s="317" t="s">
        <v>54</v>
      </c>
      <c r="K845" s="317" t="s">
        <v>203</v>
      </c>
      <c r="L845" s="134" t="str">
        <f>IF(AND('331-CT'!$E$7=TH!H845,OR(J845="331",K845="331")),"x","")</f>
        <v/>
      </c>
    </row>
    <row r="846" spans="1:12">
      <c r="A846" s="72">
        <f t="shared" si="33"/>
        <v>2015</v>
      </c>
      <c r="B846" s="72">
        <f t="shared" si="34"/>
        <v>10</v>
      </c>
      <c r="C846" s="313">
        <v>42279</v>
      </c>
      <c r="D846" s="313" t="s">
        <v>135</v>
      </c>
      <c r="E846" s="313">
        <v>42279</v>
      </c>
      <c r="F846" s="314" t="s">
        <v>604</v>
      </c>
      <c r="G846" s="315" t="s">
        <v>606</v>
      </c>
      <c r="H846" s="316" t="s">
        <v>436</v>
      </c>
      <c r="I846" s="74">
        <v>18000000</v>
      </c>
      <c r="J846" s="317" t="s">
        <v>655</v>
      </c>
      <c r="K846" s="317" t="s">
        <v>203</v>
      </c>
      <c r="L846" s="134" t="str">
        <f>IF(AND('331-CT'!$E$7=TH!H846,OR(J846="331",K846="331")),"x","")</f>
        <v/>
      </c>
    </row>
    <row r="847" spans="1:12">
      <c r="A847" s="72">
        <f t="shared" si="33"/>
        <v>2015</v>
      </c>
      <c r="B847" s="72">
        <f t="shared" si="34"/>
        <v>10</v>
      </c>
      <c r="C847" s="313">
        <v>42279</v>
      </c>
      <c r="D847" s="313" t="s">
        <v>135</v>
      </c>
      <c r="E847" s="313">
        <v>42279</v>
      </c>
      <c r="F847" s="314" t="s">
        <v>610</v>
      </c>
      <c r="G847" s="315" t="s">
        <v>606</v>
      </c>
      <c r="H847" s="316" t="s">
        <v>436</v>
      </c>
      <c r="I847" s="74">
        <v>1800000</v>
      </c>
      <c r="J847" s="317" t="s">
        <v>19</v>
      </c>
      <c r="K847" s="317" t="s">
        <v>203</v>
      </c>
      <c r="L847" s="134" t="str">
        <f>IF(AND('331-CT'!$E$7=TH!H847,OR(J847="331",K847="331")),"x","")</f>
        <v/>
      </c>
    </row>
    <row r="848" spans="1:12">
      <c r="A848" s="72">
        <f t="shared" si="33"/>
        <v>2015</v>
      </c>
      <c r="B848" s="72">
        <f t="shared" si="34"/>
        <v>10</v>
      </c>
      <c r="C848" s="313">
        <v>42279</v>
      </c>
      <c r="D848" s="313" t="s">
        <v>78</v>
      </c>
      <c r="E848" s="313">
        <v>42279</v>
      </c>
      <c r="F848" s="314" t="s">
        <v>599</v>
      </c>
      <c r="G848" s="315" t="s">
        <v>601</v>
      </c>
      <c r="H848" s="316" t="s">
        <v>602</v>
      </c>
      <c r="I848" s="74">
        <v>68181818</v>
      </c>
      <c r="J848" s="317" t="s">
        <v>655</v>
      </c>
      <c r="K848" s="317" t="s">
        <v>18</v>
      </c>
      <c r="L848" s="134" t="str">
        <f>IF(AND('331-CT'!$E$7=TH!H848,OR(J848="331",K848="331")),"x","")</f>
        <v/>
      </c>
    </row>
    <row r="849" spans="1:12">
      <c r="A849" s="72">
        <f t="shared" si="33"/>
        <v>2015</v>
      </c>
      <c r="B849" s="72">
        <f t="shared" si="34"/>
        <v>10</v>
      </c>
      <c r="C849" s="313">
        <v>42279</v>
      </c>
      <c r="D849" s="313" t="s">
        <v>78</v>
      </c>
      <c r="E849" s="313">
        <v>42279</v>
      </c>
      <c r="F849" s="314" t="s">
        <v>600</v>
      </c>
      <c r="G849" s="315" t="s">
        <v>601</v>
      </c>
      <c r="H849" s="316" t="s">
        <v>602</v>
      </c>
      <c r="I849" s="74">
        <v>6818182</v>
      </c>
      <c r="J849" s="317" t="s">
        <v>19</v>
      </c>
      <c r="K849" s="317" t="s">
        <v>18</v>
      </c>
      <c r="L849" s="134" t="str">
        <f>IF(AND('331-CT'!$E$7=TH!H849,OR(J849="331",K849="331")),"x","")</f>
        <v/>
      </c>
    </row>
    <row r="850" spans="1:12">
      <c r="A850" s="72">
        <f t="shared" si="33"/>
        <v>2015</v>
      </c>
      <c r="B850" s="72">
        <f t="shared" si="34"/>
        <v>10</v>
      </c>
      <c r="C850" s="313">
        <v>42279</v>
      </c>
      <c r="D850" s="313" t="s">
        <v>17</v>
      </c>
      <c r="E850" s="313">
        <v>42279</v>
      </c>
      <c r="F850" s="314" t="s">
        <v>615</v>
      </c>
      <c r="G850" s="315"/>
      <c r="H850" s="316" t="s">
        <v>190</v>
      </c>
      <c r="I850" s="74">
        <v>150000000</v>
      </c>
      <c r="J850" s="317" t="s">
        <v>18</v>
      </c>
      <c r="K850" s="317" t="s">
        <v>54</v>
      </c>
      <c r="L850" s="134" t="str">
        <f>IF(AND('331-CT'!$E$7=TH!H850,OR(J850="331",K850="331")),"x","")</f>
        <v>x</v>
      </c>
    </row>
    <row r="851" spans="1:12">
      <c r="A851" s="72">
        <f t="shared" si="33"/>
        <v>2015</v>
      </c>
      <c r="B851" s="72">
        <f t="shared" si="34"/>
        <v>10</v>
      </c>
      <c r="C851" s="313">
        <v>42279</v>
      </c>
      <c r="D851" s="313" t="s">
        <v>17</v>
      </c>
      <c r="E851" s="313">
        <v>42279</v>
      </c>
      <c r="F851" s="314" t="s">
        <v>34</v>
      </c>
      <c r="G851" s="315"/>
      <c r="H851" s="316"/>
      <c r="I851" s="74">
        <v>112587</v>
      </c>
      <c r="J851" s="317" t="s">
        <v>242</v>
      </c>
      <c r="K851" s="317" t="s">
        <v>54</v>
      </c>
      <c r="L851" s="134" t="str">
        <f>IF(AND('331-CT'!$E$7=TH!H851,OR(J851="331",K851="331")),"x","")</f>
        <v/>
      </c>
    </row>
    <row r="852" spans="1:12">
      <c r="A852" s="72">
        <f t="shared" si="33"/>
        <v>2015</v>
      </c>
      <c r="B852" s="72">
        <f t="shared" si="34"/>
        <v>10</v>
      </c>
      <c r="C852" s="313">
        <v>42279</v>
      </c>
      <c r="D852" s="313" t="s">
        <v>17</v>
      </c>
      <c r="E852" s="313">
        <v>42279</v>
      </c>
      <c r="F852" s="314" t="s">
        <v>35</v>
      </c>
      <c r="G852" s="315"/>
      <c r="H852" s="316"/>
      <c r="I852" s="74">
        <v>11259</v>
      </c>
      <c r="J852" s="317" t="s">
        <v>19</v>
      </c>
      <c r="K852" s="317" t="s">
        <v>54</v>
      </c>
      <c r="L852" s="134" t="str">
        <f>IF(AND('331-CT'!$E$7=TH!H852,OR(J852="331",K852="331")),"x","")</f>
        <v/>
      </c>
    </row>
    <row r="853" spans="1:12">
      <c r="A853" s="72">
        <f t="shared" si="33"/>
        <v>2015</v>
      </c>
      <c r="B853" s="72">
        <f t="shared" si="34"/>
        <v>10</v>
      </c>
      <c r="C853" s="313">
        <v>42279</v>
      </c>
      <c r="D853" s="313" t="s">
        <v>17</v>
      </c>
      <c r="E853" s="313">
        <v>42279</v>
      </c>
      <c r="F853" s="314" t="s">
        <v>615</v>
      </c>
      <c r="G853" s="315"/>
      <c r="H853" s="316" t="s">
        <v>269</v>
      </c>
      <c r="I853" s="74">
        <v>400000000</v>
      </c>
      <c r="J853" s="317" t="s">
        <v>18</v>
      </c>
      <c r="K853" s="317" t="s">
        <v>54</v>
      </c>
      <c r="L853" s="134" t="str">
        <f>IF(AND('331-CT'!$E$7=TH!H853,OR(J853="331",K853="331")),"x","")</f>
        <v/>
      </c>
    </row>
    <row r="854" spans="1:12">
      <c r="A854" s="72">
        <f t="shared" si="33"/>
        <v>2015</v>
      </c>
      <c r="B854" s="72">
        <f t="shared" si="34"/>
        <v>10</v>
      </c>
      <c r="C854" s="313">
        <v>42279</v>
      </c>
      <c r="D854" s="313" t="s">
        <v>17</v>
      </c>
      <c r="E854" s="313">
        <v>42279</v>
      </c>
      <c r="F854" s="314" t="s">
        <v>34</v>
      </c>
      <c r="G854" s="315"/>
      <c r="H854" s="316"/>
      <c r="I854" s="74">
        <v>320000</v>
      </c>
      <c r="J854" s="317" t="s">
        <v>242</v>
      </c>
      <c r="K854" s="317" t="s">
        <v>54</v>
      </c>
      <c r="L854" s="134" t="str">
        <f>IF(AND('331-CT'!$E$7=TH!H854,OR(J854="331",K854="331")),"x","")</f>
        <v/>
      </c>
    </row>
    <row r="855" spans="1:12">
      <c r="A855" s="72">
        <f t="shared" si="33"/>
        <v>2015</v>
      </c>
      <c r="B855" s="72">
        <f t="shared" si="34"/>
        <v>10</v>
      </c>
      <c r="C855" s="313">
        <v>42279</v>
      </c>
      <c r="D855" s="313" t="s">
        <v>17</v>
      </c>
      <c r="E855" s="313">
        <v>42279</v>
      </c>
      <c r="F855" s="314" t="s">
        <v>35</v>
      </c>
      <c r="G855" s="315"/>
      <c r="H855" s="316"/>
      <c r="I855" s="74">
        <v>32000</v>
      </c>
      <c r="J855" s="317" t="s">
        <v>19</v>
      </c>
      <c r="K855" s="317" t="s">
        <v>54</v>
      </c>
      <c r="L855" s="134" t="str">
        <f>IF(AND('331-CT'!$E$7=TH!H855,OR(J855="331",K855="331")),"x","")</f>
        <v/>
      </c>
    </row>
    <row r="856" spans="1:12">
      <c r="A856" s="72">
        <f t="shared" si="33"/>
        <v>2015</v>
      </c>
      <c r="B856" s="72">
        <f t="shared" si="34"/>
        <v>10</v>
      </c>
      <c r="C856" s="313">
        <v>42280</v>
      </c>
      <c r="D856" s="313" t="s">
        <v>154</v>
      </c>
      <c r="E856" s="313">
        <v>42280</v>
      </c>
      <c r="F856" s="314" t="s">
        <v>604</v>
      </c>
      <c r="G856" s="315" t="s">
        <v>607</v>
      </c>
      <c r="H856" s="316" t="s">
        <v>436</v>
      </c>
      <c r="I856" s="74">
        <v>18000000</v>
      </c>
      <c r="J856" s="317" t="s">
        <v>655</v>
      </c>
      <c r="K856" s="317" t="s">
        <v>203</v>
      </c>
      <c r="L856" s="134" t="str">
        <f>IF(AND('331-CT'!$E$7=TH!H856,OR(J856="331",K856="331")),"x","")</f>
        <v/>
      </c>
    </row>
    <row r="857" spans="1:12">
      <c r="A857" s="72">
        <f t="shared" si="33"/>
        <v>2015</v>
      </c>
      <c r="B857" s="72">
        <f t="shared" si="34"/>
        <v>10</v>
      </c>
      <c r="C857" s="313">
        <v>42280</v>
      </c>
      <c r="D857" s="313" t="s">
        <v>154</v>
      </c>
      <c r="E857" s="313">
        <v>42280</v>
      </c>
      <c r="F857" s="314" t="s">
        <v>610</v>
      </c>
      <c r="G857" s="318" t="s">
        <v>607</v>
      </c>
      <c r="H857" s="316" t="s">
        <v>436</v>
      </c>
      <c r="I857" s="74">
        <v>1800000</v>
      </c>
      <c r="J857" s="317" t="s">
        <v>19</v>
      </c>
      <c r="K857" s="317" t="s">
        <v>203</v>
      </c>
      <c r="L857" s="134" t="str">
        <f>IF(AND('331-CT'!$E$7=TH!H857,OR(J857="331",K857="331")),"x","")</f>
        <v/>
      </c>
    </row>
    <row r="858" spans="1:12">
      <c r="A858" s="72">
        <f t="shared" si="33"/>
        <v>2015</v>
      </c>
      <c r="B858" s="72">
        <f t="shared" si="34"/>
        <v>10</v>
      </c>
      <c r="C858" s="313">
        <v>42281</v>
      </c>
      <c r="D858" s="313" t="s">
        <v>157</v>
      </c>
      <c r="E858" s="313">
        <v>42281</v>
      </c>
      <c r="F858" s="314" t="s">
        <v>604</v>
      </c>
      <c r="G858" s="318" t="s">
        <v>608</v>
      </c>
      <c r="H858" s="316" t="s">
        <v>436</v>
      </c>
      <c r="I858" s="74">
        <v>18000000</v>
      </c>
      <c r="J858" s="317" t="s">
        <v>655</v>
      </c>
      <c r="K858" s="317" t="s">
        <v>203</v>
      </c>
      <c r="L858" s="134" t="str">
        <f>IF(AND('331-CT'!$E$7=TH!H858,OR(J858="331",K858="331")),"x","")</f>
        <v/>
      </c>
    </row>
    <row r="859" spans="1:12">
      <c r="A859" s="72">
        <f t="shared" si="33"/>
        <v>2015</v>
      </c>
      <c r="B859" s="72">
        <f t="shared" si="34"/>
        <v>10</v>
      </c>
      <c r="C859" s="313">
        <v>42281</v>
      </c>
      <c r="D859" s="313" t="s">
        <v>157</v>
      </c>
      <c r="E859" s="313">
        <v>42281</v>
      </c>
      <c r="F859" s="314" t="s">
        <v>610</v>
      </c>
      <c r="G859" s="318" t="s">
        <v>608</v>
      </c>
      <c r="H859" s="316" t="s">
        <v>436</v>
      </c>
      <c r="I859" s="74">
        <v>1800000</v>
      </c>
      <c r="J859" s="317" t="s">
        <v>19</v>
      </c>
      <c r="K859" s="317" t="s">
        <v>203</v>
      </c>
      <c r="L859" s="134" t="str">
        <f>IF(AND('331-CT'!$E$7=TH!H859,OR(J859="331",K859="331")),"x","")</f>
        <v/>
      </c>
    </row>
    <row r="860" spans="1:12">
      <c r="A860" s="72">
        <f t="shared" si="33"/>
        <v>2015</v>
      </c>
      <c r="B860" s="72">
        <f t="shared" si="34"/>
        <v>10</v>
      </c>
      <c r="C860" s="313">
        <v>42281</v>
      </c>
      <c r="D860" s="313" t="s">
        <v>158</v>
      </c>
      <c r="E860" s="313">
        <v>42281</v>
      </c>
      <c r="F860" s="314" t="s">
        <v>616</v>
      </c>
      <c r="G860" s="318" t="s">
        <v>617</v>
      </c>
      <c r="H860" s="316" t="s">
        <v>620</v>
      </c>
      <c r="I860" s="74">
        <v>7848182</v>
      </c>
      <c r="J860" s="317" t="s">
        <v>655</v>
      </c>
      <c r="K860" s="317" t="s">
        <v>203</v>
      </c>
      <c r="L860" s="134" t="str">
        <f>IF(AND('331-CT'!$E$7=TH!H860,OR(J860="331",K860="331")),"x","")</f>
        <v/>
      </c>
    </row>
    <row r="861" spans="1:12">
      <c r="A861" s="72">
        <f t="shared" si="33"/>
        <v>2015</v>
      </c>
      <c r="B861" s="72">
        <f t="shared" si="34"/>
        <v>10</v>
      </c>
      <c r="C861" s="313">
        <v>42281</v>
      </c>
      <c r="D861" s="313" t="s">
        <v>158</v>
      </c>
      <c r="E861" s="313">
        <v>42281</v>
      </c>
      <c r="F861" s="314" t="s">
        <v>619</v>
      </c>
      <c r="G861" s="318" t="s">
        <v>617</v>
      </c>
      <c r="H861" s="316" t="s">
        <v>620</v>
      </c>
      <c r="I861" s="74">
        <v>784818</v>
      </c>
      <c r="J861" s="317" t="s">
        <v>19</v>
      </c>
      <c r="K861" s="317" t="s">
        <v>203</v>
      </c>
      <c r="L861" s="134" t="str">
        <f>IF(AND('331-CT'!$E$7=TH!H861,OR(J861="331",K861="331")),"x","")</f>
        <v/>
      </c>
    </row>
    <row r="862" spans="1:12">
      <c r="A862" s="72">
        <f t="shared" si="33"/>
        <v>2015</v>
      </c>
      <c r="B862" s="72">
        <f t="shared" si="34"/>
        <v>10</v>
      </c>
      <c r="C862" s="313">
        <v>42281</v>
      </c>
      <c r="D862" s="313" t="s">
        <v>158</v>
      </c>
      <c r="E862" s="313">
        <v>42281</v>
      </c>
      <c r="F862" s="314" t="s">
        <v>621</v>
      </c>
      <c r="G862" s="318" t="s">
        <v>618</v>
      </c>
      <c r="H862" s="9" t="s">
        <v>620</v>
      </c>
      <c r="I862" s="74">
        <v>6666364</v>
      </c>
      <c r="J862" s="317" t="s">
        <v>655</v>
      </c>
      <c r="K862" s="317" t="s">
        <v>203</v>
      </c>
      <c r="L862" s="134" t="str">
        <f>IF(AND('331-CT'!$E$7=TH!H862,OR(J862="331",K862="331")),"x","")</f>
        <v/>
      </c>
    </row>
    <row r="863" spans="1:12">
      <c r="A863" s="72">
        <f t="shared" si="33"/>
        <v>2015</v>
      </c>
      <c r="B863" s="72">
        <f t="shared" si="34"/>
        <v>10</v>
      </c>
      <c r="C863" s="313">
        <v>42281</v>
      </c>
      <c r="D863" s="313" t="s">
        <v>158</v>
      </c>
      <c r="E863" s="313">
        <v>42281</v>
      </c>
      <c r="F863" s="314" t="s">
        <v>622</v>
      </c>
      <c r="G863" s="318" t="s">
        <v>618</v>
      </c>
      <c r="H863" s="316" t="s">
        <v>620</v>
      </c>
      <c r="I863" s="74">
        <v>666636</v>
      </c>
      <c r="J863" s="317" t="s">
        <v>19</v>
      </c>
      <c r="K863" s="317" t="s">
        <v>203</v>
      </c>
      <c r="L863" s="134" t="str">
        <f>IF(AND('331-CT'!$E$7=TH!H863,OR(J863="331",K863="331")),"x","")</f>
        <v/>
      </c>
    </row>
    <row r="864" spans="1:12">
      <c r="A864" s="72">
        <f t="shared" si="33"/>
        <v>2015</v>
      </c>
      <c r="B864" s="72">
        <f t="shared" si="34"/>
        <v>10</v>
      </c>
      <c r="C864" s="313">
        <v>42282</v>
      </c>
      <c r="D864" s="313" t="s">
        <v>163</v>
      </c>
      <c r="E864" s="313">
        <v>42282</v>
      </c>
      <c r="F864" s="314" t="s">
        <v>604</v>
      </c>
      <c r="G864" s="318" t="s">
        <v>609</v>
      </c>
      <c r="H864" s="316" t="s">
        <v>436</v>
      </c>
      <c r="I864" s="74">
        <v>18000000</v>
      </c>
      <c r="J864" s="317" t="s">
        <v>655</v>
      </c>
      <c r="K864" s="317" t="s">
        <v>203</v>
      </c>
      <c r="L864" s="134" t="str">
        <f>IF(AND('331-CT'!$E$7=TH!H864,OR(J864="331",K864="331")),"x","")</f>
        <v/>
      </c>
    </row>
    <row r="865" spans="1:12">
      <c r="A865" s="72">
        <f t="shared" si="33"/>
        <v>2015</v>
      </c>
      <c r="B865" s="72">
        <f t="shared" si="34"/>
        <v>10</v>
      </c>
      <c r="C865" s="73">
        <v>42282</v>
      </c>
      <c r="D865" s="313" t="s">
        <v>163</v>
      </c>
      <c r="E865" s="73">
        <v>42282</v>
      </c>
      <c r="F865" s="76" t="s">
        <v>610</v>
      </c>
      <c r="G865" s="270" t="s">
        <v>609</v>
      </c>
      <c r="H865" s="122" t="s">
        <v>436</v>
      </c>
      <c r="I865" s="74">
        <v>1800000</v>
      </c>
      <c r="J865" s="75" t="s">
        <v>19</v>
      </c>
      <c r="K865" s="75" t="s">
        <v>203</v>
      </c>
      <c r="L865" s="134" t="str">
        <f>IF(AND('331-CT'!$E$7=TH!H865,OR(J865="331",K865="331")),"x","")</f>
        <v/>
      </c>
    </row>
    <row r="866" spans="1:12">
      <c r="A866" s="72">
        <f t="shared" si="33"/>
        <v>2015</v>
      </c>
      <c r="B866" s="72">
        <f t="shared" si="34"/>
        <v>10</v>
      </c>
      <c r="C866" s="73">
        <v>42282</v>
      </c>
      <c r="D866" s="313" t="s">
        <v>164</v>
      </c>
      <c r="E866" s="73">
        <v>42282</v>
      </c>
      <c r="F866" s="76" t="s">
        <v>659</v>
      </c>
      <c r="G866" s="270" t="s">
        <v>661</v>
      </c>
      <c r="H866" s="122" t="s">
        <v>357</v>
      </c>
      <c r="I866" s="74">
        <v>5181818</v>
      </c>
      <c r="J866" s="75" t="s">
        <v>655</v>
      </c>
      <c r="K866" s="75" t="s">
        <v>203</v>
      </c>
      <c r="L866" s="134" t="str">
        <f>IF(AND('331-CT'!$E$7=TH!H866,OR(J866="331",K866="331")),"x","")</f>
        <v/>
      </c>
    </row>
    <row r="867" spans="1:12">
      <c r="A867" s="72">
        <f t="shared" si="33"/>
        <v>2015</v>
      </c>
      <c r="B867" s="72">
        <f t="shared" si="34"/>
        <v>10</v>
      </c>
      <c r="C867" s="313">
        <v>42282</v>
      </c>
      <c r="D867" s="313" t="s">
        <v>164</v>
      </c>
      <c r="E867" s="313">
        <v>42282</v>
      </c>
      <c r="F867" s="314" t="s">
        <v>660</v>
      </c>
      <c r="G867" s="318" t="s">
        <v>661</v>
      </c>
      <c r="H867" s="316" t="s">
        <v>357</v>
      </c>
      <c r="I867" s="74">
        <v>518182</v>
      </c>
      <c r="J867" s="317" t="s">
        <v>19</v>
      </c>
      <c r="K867" s="317" t="s">
        <v>203</v>
      </c>
      <c r="L867" s="134" t="str">
        <f>IF(AND('331-CT'!$E$7=TH!H867,OR(J867="331",K867="331")),"x","")</f>
        <v/>
      </c>
    </row>
    <row r="868" spans="1:12">
      <c r="A868" s="72">
        <f t="shared" si="33"/>
        <v>2015</v>
      </c>
      <c r="B868" s="72">
        <f t="shared" si="34"/>
        <v>10</v>
      </c>
      <c r="C868" s="313">
        <v>42283</v>
      </c>
      <c r="D868" s="313" t="s">
        <v>78</v>
      </c>
      <c r="E868" s="313">
        <v>42283</v>
      </c>
      <c r="F868" s="314" t="s">
        <v>630</v>
      </c>
      <c r="G868" s="315" t="s">
        <v>631</v>
      </c>
      <c r="H868" s="316" t="s">
        <v>632</v>
      </c>
      <c r="I868" s="74">
        <v>20382000</v>
      </c>
      <c r="J868" s="317" t="s">
        <v>655</v>
      </c>
      <c r="K868" s="317" t="s">
        <v>18</v>
      </c>
      <c r="L868" s="134" t="str">
        <f>IF(AND('331-CT'!$E$7=TH!H868,OR(J868="331",K868="331")),"x","")</f>
        <v/>
      </c>
    </row>
    <row r="869" spans="1:12">
      <c r="A869" s="72">
        <f t="shared" si="33"/>
        <v>2015</v>
      </c>
      <c r="B869" s="72">
        <f t="shared" si="34"/>
        <v>10</v>
      </c>
      <c r="C869" s="313">
        <v>42283</v>
      </c>
      <c r="D869" s="313" t="s">
        <v>165</v>
      </c>
      <c r="E869" s="313">
        <v>42283</v>
      </c>
      <c r="F869" s="314" t="s">
        <v>725</v>
      </c>
      <c r="G869" s="315" t="s">
        <v>729</v>
      </c>
      <c r="H869" s="316" t="s">
        <v>727</v>
      </c>
      <c r="I869" s="74">
        <v>15000000</v>
      </c>
      <c r="J869" s="317" t="s">
        <v>655</v>
      </c>
      <c r="K869" s="317" t="s">
        <v>203</v>
      </c>
      <c r="L869" s="134" t="str">
        <f>IF(AND('331-CT'!$E$7=TH!H869,OR(J869="331",K869="331")),"x","")</f>
        <v/>
      </c>
    </row>
    <row r="870" spans="1:12">
      <c r="A870" s="72">
        <f t="shared" si="33"/>
        <v>2015</v>
      </c>
      <c r="B870" s="72">
        <f t="shared" si="34"/>
        <v>10</v>
      </c>
      <c r="C870" s="313">
        <v>42283</v>
      </c>
      <c r="D870" s="313" t="s">
        <v>165</v>
      </c>
      <c r="E870" s="313">
        <v>42283</v>
      </c>
      <c r="F870" s="314" t="s">
        <v>728</v>
      </c>
      <c r="G870" s="315" t="s">
        <v>729</v>
      </c>
      <c r="H870" s="316" t="s">
        <v>727</v>
      </c>
      <c r="I870" s="74">
        <v>1500000</v>
      </c>
      <c r="J870" s="317" t="s">
        <v>19</v>
      </c>
      <c r="K870" s="317" t="s">
        <v>203</v>
      </c>
      <c r="L870" s="134" t="str">
        <f>IF(AND('331-CT'!$E$7=TH!H870,OR(J870="331",K870="331")),"x","")</f>
        <v/>
      </c>
    </row>
    <row r="871" spans="1:12">
      <c r="A871" s="72">
        <f t="shared" si="33"/>
        <v>2015</v>
      </c>
      <c r="B871" s="72">
        <f t="shared" si="34"/>
        <v>10</v>
      </c>
      <c r="C871" s="313">
        <v>42284</v>
      </c>
      <c r="D871" s="313" t="s">
        <v>166</v>
      </c>
      <c r="E871" s="313">
        <v>42284</v>
      </c>
      <c r="F871" s="314" t="s">
        <v>623</v>
      </c>
      <c r="G871" s="315" t="s">
        <v>624</v>
      </c>
      <c r="H871" s="316" t="s">
        <v>625</v>
      </c>
      <c r="I871" s="74">
        <v>400000</v>
      </c>
      <c r="J871" s="317" t="s">
        <v>655</v>
      </c>
      <c r="K871" s="317" t="s">
        <v>203</v>
      </c>
      <c r="L871" s="134" t="str">
        <f>IF(AND('331-CT'!$E$7=TH!H871,OR(J871="331",K871="331")),"x","")</f>
        <v/>
      </c>
    </row>
    <row r="872" spans="1:12">
      <c r="A872" s="72">
        <f t="shared" si="33"/>
        <v>2015</v>
      </c>
      <c r="B872" s="72">
        <f t="shared" si="34"/>
        <v>10</v>
      </c>
      <c r="C872" s="313">
        <v>42285</v>
      </c>
      <c r="D872" s="313" t="s">
        <v>167</v>
      </c>
      <c r="E872" s="313">
        <v>42285</v>
      </c>
      <c r="F872" s="314" t="s">
        <v>626</v>
      </c>
      <c r="G872" s="318" t="s">
        <v>628</v>
      </c>
      <c r="H872" s="9" t="s">
        <v>629</v>
      </c>
      <c r="I872" s="74">
        <v>2650000</v>
      </c>
      <c r="J872" s="317" t="s">
        <v>655</v>
      </c>
      <c r="K872" s="317" t="s">
        <v>203</v>
      </c>
      <c r="L872" s="134" t="str">
        <f>IF(AND('331-CT'!$E$7=TH!H872,OR(J872="331",K872="331")),"x","")</f>
        <v/>
      </c>
    </row>
    <row r="873" spans="1:12">
      <c r="A873" s="72">
        <f t="shared" si="33"/>
        <v>2015</v>
      </c>
      <c r="B873" s="72">
        <f t="shared" si="34"/>
        <v>10</v>
      </c>
      <c r="C873" s="313">
        <v>42285</v>
      </c>
      <c r="D873" s="313" t="s">
        <v>167</v>
      </c>
      <c r="E873" s="313">
        <v>42285</v>
      </c>
      <c r="F873" s="314" t="s">
        <v>627</v>
      </c>
      <c r="G873" s="318" t="s">
        <v>628</v>
      </c>
      <c r="H873" s="316" t="s">
        <v>629</v>
      </c>
      <c r="I873" s="74">
        <v>265000</v>
      </c>
      <c r="J873" s="317" t="s">
        <v>19</v>
      </c>
      <c r="K873" s="317" t="s">
        <v>203</v>
      </c>
      <c r="L873" s="134" t="str">
        <f>IF(AND('331-CT'!$E$7=TH!H873,OR(J873="331",K873="331")),"x","")</f>
        <v/>
      </c>
    </row>
    <row r="874" spans="1:12">
      <c r="A874" s="72">
        <f t="shared" si="33"/>
        <v>2015</v>
      </c>
      <c r="B874" s="72">
        <f t="shared" si="34"/>
        <v>10</v>
      </c>
      <c r="C874" s="313">
        <v>42285</v>
      </c>
      <c r="D874" s="313" t="s">
        <v>168</v>
      </c>
      <c r="E874" s="313">
        <v>42285</v>
      </c>
      <c r="F874" s="314" t="s">
        <v>637</v>
      </c>
      <c r="G874" s="318" t="s">
        <v>639</v>
      </c>
      <c r="H874" s="316" t="s">
        <v>640</v>
      </c>
      <c r="I874" s="74">
        <v>1338182</v>
      </c>
      <c r="J874" s="317" t="s">
        <v>655</v>
      </c>
      <c r="K874" s="317" t="s">
        <v>203</v>
      </c>
      <c r="L874" s="134" t="str">
        <f>IF(AND('331-CT'!$E$7=TH!H874,OR(J874="331",K874="331")),"x","")</f>
        <v/>
      </c>
    </row>
    <row r="875" spans="1:12">
      <c r="A875" s="72">
        <f t="shared" si="33"/>
        <v>2015</v>
      </c>
      <c r="B875" s="72">
        <f t="shared" si="34"/>
        <v>10</v>
      </c>
      <c r="C875" s="313">
        <v>42285</v>
      </c>
      <c r="D875" s="313" t="s">
        <v>168</v>
      </c>
      <c r="E875" s="313">
        <v>42285</v>
      </c>
      <c r="F875" s="314" t="s">
        <v>638</v>
      </c>
      <c r="G875" s="318" t="s">
        <v>639</v>
      </c>
      <c r="H875" s="9" t="s">
        <v>640</v>
      </c>
      <c r="I875" s="74">
        <v>133818</v>
      </c>
      <c r="J875" s="317" t="s">
        <v>19</v>
      </c>
      <c r="K875" s="317" t="s">
        <v>203</v>
      </c>
      <c r="L875" s="134" t="str">
        <f>IF(AND('331-CT'!$E$7=TH!H875,OR(J875="331",K875="331")),"x","")</f>
        <v/>
      </c>
    </row>
    <row r="876" spans="1:12">
      <c r="A876" s="72">
        <f t="shared" si="33"/>
        <v>2015</v>
      </c>
      <c r="B876" s="72">
        <f t="shared" si="34"/>
        <v>10</v>
      </c>
      <c r="C876" s="313">
        <v>42285</v>
      </c>
      <c r="D876" s="313" t="s">
        <v>17</v>
      </c>
      <c r="E876" s="313">
        <v>42285</v>
      </c>
      <c r="F876" s="314" t="s">
        <v>301</v>
      </c>
      <c r="G876" s="318"/>
      <c r="H876" s="316" t="s">
        <v>407</v>
      </c>
      <c r="I876" s="74">
        <v>30000000</v>
      </c>
      <c r="J876" s="317" t="s">
        <v>18</v>
      </c>
      <c r="K876" s="317" t="s">
        <v>54</v>
      </c>
      <c r="L876" s="134" t="str">
        <f>IF(AND('331-CT'!$E$7=TH!H876,OR(J876="331",K876="331")),"x","")</f>
        <v/>
      </c>
    </row>
    <row r="877" spans="1:12">
      <c r="A877" s="72">
        <f t="shared" si="33"/>
        <v>2015</v>
      </c>
      <c r="B877" s="72">
        <f t="shared" si="34"/>
        <v>10</v>
      </c>
      <c r="C877" s="313">
        <v>42285</v>
      </c>
      <c r="D877" s="313" t="s">
        <v>17</v>
      </c>
      <c r="E877" s="313">
        <v>42285</v>
      </c>
      <c r="F877" s="314" t="s">
        <v>34</v>
      </c>
      <c r="G877" s="318"/>
      <c r="H877" s="316"/>
      <c r="I877" s="74">
        <v>25000</v>
      </c>
      <c r="J877" s="317" t="s">
        <v>242</v>
      </c>
      <c r="K877" s="317" t="s">
        <v>54</v>
      </c>
      <c r="L877" s="134" t="str">
        <f>IF(AND('331-CT'!$E$7=TH!H877,OR(J877="331",K877="331")),"x","")</f>
        <v/>
      </c>
    </row>
    <row r="878" spans="1:12">
      <c r="A878" s="72">
        <f t="shared" si="33"/>
        <v>2015</v>
      </c>
      <c r="B878" s="72">
        <f t="shared" si="34"/>
        <v>10</v>
      </c>
      <c r="C878" s="313">
        <v>42285</v>
      </c>
      <c r="D878" s="313" t="s">
        <v>17</v>
      </c>
      <c r="E878" s="313">
        <v>42285</v>
      </c>
      <c r="F878" s="314" t="s">
        <v>35</v>
      </c>
      <c r="G878" s="315"/>
      <c r="H878" s="316"/>
      <c r="I878" s="74">
        <v>2500</v>
      </c>
      <c r="J878" s="317" t="s">
        <v>19</v>
      </c>
      <c r="K878" s="317" t="s">
        <v>54</v>
      </c>
      <c r="L878" s="134" t="str">
        <f>IF(AND('331-CT'!$E$7=TH!H878,OR(J878="331",K878="331")),"x","")</f>
        <v/>
      </c>
    </row>
    <row r="879" spans="1:12">
      <c r="A879" s="72">
        <f t="shared" si="33"/>
        <v>2015</v>
      </c>
      <c r="B879" s="72">
        <f t="shared" si="34"/>
        <v>10</v>
      </c>
      <c r="C879" s="313">
        <v>42286</v>
      </c>
      <c r="D879" s="313" t="s">
        <v>169</v>
      </c>
      <c r="E879" s="313">
        <v>42286</v>
      </c>
      <c r="F879" s="314" t="s">
        <v>663</v>
      </c>
      <c r="G879" s="315" t="s">
        <v>662</v>
      </c>
      <c r="H879" s="316" t="s">
        <v>585</v>
      </c>
      <c r="I879" s="74">
        <v>1882000</v>
      </c>
      <c r="J879" s="317" t="s">
        <v>655</v>
      </c>
      <c r="K879" s="317" t="s">
        <v>203</v>
      </c>
      <c r="L879" s="134" t="str">
        <f>IF(AND('331-CT'!$E$7=TH!H879,OR(J879="331",K879="331")),"x","")</f>
        <v/>
      </c>
    </row>
    <row r="880" spans="1:12">
      <c r="A880" s="72">
        <f t="shared" si="33"/>
        <v>2015</v>
      </c>
      <c r="B880" s="72">
        <f t="shared" si="34"/>
        <v>10</v>
      </c>
      <c r="C880" s="313">
        <v>42286</v>
      </c>
      <c r="D880" s="313" t="s">
        <v>170</v>
      </c>
      <c r="E880" s="313">
        <v>42286</v>
      </c>
      <c r="F880" s="314" t="s">
        <v>725</v>
      </c>
      <c r="G880" s="315" t="s">
        <v>730</v>
      </c>
      <c r="H880" s="316" t="s">
        <v>727</v>
      </c>
      <c r="I880" s="74">
        <v>15000000</v>
      </c>
      <c r="J880" s="317" t="s">
        <v>655</v>
      </c>
      <c r="K880" s="317" t="s">
        <v>203</v>
      </c>
      <c r="L880" s="134" t="str">
        <f>IF(AND('331-CT'!$E$7=TH!H880,OR(J880="331",K880="331")),"x","")</f>
        <v/>
      </c>
    </row>
    <row r="881" spans="1:12">
      <c r="A881" s="72">
        <f t="shared" si="33"/>
        <v>2015</v>
      </c>
      <c r="B881" s="72">
        <f t="shared" si="34"/>
        <v>10</v>
      </c>
      <c r="C881" s="313">
        <v>42286</v>
      </c>
      <c r="D881" s="313" t="s">
        <v>170</v>
      </c>
      <c r="E881" s="313">
        <v>42286</v>
      </c>
      <c r="F881" s="314" t="s">
        <v>728</v>
      </c>
      <c r="G881" s="315" t="s">
        <v>730</v>
      </c>
      <c r="H881" s="316" t="s">
        <v>727</v>
      </c>
      <c r="I881" s="74">
        <v>1500000</v>
      </c>
      <c r="J881" s="317" t="s">
        <v>19</v>
      </c>
      <c r="K881" s="317" t="s">
        <v>203</v>
      </c>
      <c r="L881" s="134" t="str">
        <f>IF(AND('331-CT'!$E$7=TH!H881,OR(J881="331",K881="331")),"x","")</f>
        <v/>
      </c>
    </row>
    <row r="882" spans="1:12">
      <c r="A882" s="72">
        <f t="shared" si="33"/>
        <v>2015</v>
      </c>
      <c r="B882" s="72">
        <f t="shared" si="34"/>
        <v>10</v>
      </c>
      <c r="C882" s="313">
        <v>42287</v>
      </c>
      <c r="D882" s="313" t="s">
        <v>171</v>
      </c>
      <c r="E882" s="313">
        <v>42287</v>
      </c>
      <c r="F882" s="314" t="s">
        <v>633</v>
      </c>
      <c r="G882" s="315" t="s">
        <v>634</v>
      </c>
      <c r="H882" s="316" t="s">
        <v>635</v>
      </c>
      <c r="I882" s="74">
        <v>19200000</v>
      </c>
      <c r="J882" s="317" t="s">
        <v>655</v>
      </c>
      <c r="K882" s="317" t="s">
        <v>203</v>
      </c>
      <c r="L882" s="134" t="str">
        <f>IF(AND('331-CT'!$E$7=TH!H882,OR(J882="331",K882="331")),"x","")</f>
        <v/>
      </c>
    </row>
    <row r="883" spans="1:12">
      <c r="A883" s="72">
        <f t="shared" si="33"/>
        <v>2015</v>
      </c>
      <c r="B883" s="72">
        <f t="shared" si="34"/>
        <v>10</v>
      </c>
      <c r="C883" s="313">
        <v>42287</v>
      </c>
      <c r="D883" s="313" t="s">
        <v>495</v>
      </c>
      <c r="E883" s="313">
        <v>42287</v>
      </c>
      <c r="F883" s="314" t="s">
        <v>1124</v>
      </c>
      <c r="G883" s="315" t="s">
        <v>1125</v>
      </c>
      <c r="H883" s="316" t="s">
        <v>1126</v>
      </c>
      <c r="I883" s="74">
        <v>17478660</v>
      </c>
      <c r="J883" s="317" t="s">
        <v>655</v>
      </c>
      <c r="K883" s="317" t="s">
        <v>203</v>
      </c>
      <c r="L883" s="134" t="str">
        <f>IF(AND('331-CT'!$E$7=TH!H883,OR(J883="331",K883="331")),"x","")</f>
        <v/>
      </c>
    </row>
    <row r="884" spans="1:12">
      <c r="A884" s="72">
        <f t="shared" si="33"/>
        <v>2015</v>
      </c>
      <c r="B884" s="72">
        <f t="shared" si="34"/>
        <v>10</v>
      </c>
      <c r="C884" s="313">
        <v>42287</v>
      </c>
      <c r="D884" s="313" t="s">
        <v>495</v>
      </c>
      <c r="E884" s="313">
        <v>42287</v>
      </c>
      <c r="F884" s="314" t="s">
        <v>1127</v>
      </c>
      <c r="G884" s="315" t="s">
        <v>1125</v>
      </c>
      <c r="H884" s="316" t="s">
        <v>1126</v>
      </c>
      <c r="I884" s="74">
        <v>1747866</v>
      </c>
      <c r="J884" s="317" t="s">
        <v>19</v>
      </c>
      <c r="K884" s="317" t="s">
        <v>203</v>
      </c>
      <c r="L884" s="134" t="str">
        <f>IF(AND('331-CT'!$E$7=TH!H884,OR(J884="331",K884="331")),"x","")</f>
        <v/>
      </c>
    </row>
    <row r="885" spans="1:12">
      <c r="A885" s="72">
        <f t="shared" si="33"/>
        <v>2015</v>
      </c>
      <c r="B885" s="72">
        <f t="shared" si="34"/>
        <v>10</v>
      </c>
      <c r="C885" s="313">
        <v>42288</v>
      </c>
      <c r="D885" s="313" t="s">
        <v>496</v>
      </c>
      <c r="E885" s="313">
        <v>42288</v>
      </c>
      <c r="F885" s="314" t="s">
        <v>633</v>
      </c>
      <c r="G885" s="315" t="s">
        <v>636</v>
      </c>
      <c r="H885" s="316" t="s">
        <v>635</v>
      </c>
      <c r="I885" s="74">
        <v>18000000</v>
      </c>
      <c r="J885" s="317" t="s">
        <v>655</v>
      </c>
      <c r="K885" s="317" t="s">
        <v>203</v>
      </c>
      <c r="L885" s="134" t="str">
        <f>IF(AND('331-CT'!$E$7=TH!H885,OR(J885="331",K885="331")),"x","")</f>
        <v/>
      </c>
    </row>
    <row r="886" spans="1:12">
      <c r="A886" s="72">
        <f t="shared" si="33"/>
        <v>2015</v>
      </c>
      <c r="B886" s="72">
        <f t="shared" si="34"/>
        <v>10</v>
      </c>
      <c r="C886" s="313">
        <v>42288</v>
      </c>
      <c r="D886" s="313" t="s">
        <v>78</v>
      </c>
      <c r="E886" s="313">
        <v>42288</v>
      </c>
      <c r="F886" s="314" t="s">
        <v>715</v>
      </c>
      <c r="G886" s="315" t="s">
        <v>716</v>
      </c>
      <c r="H886" s="316" t="s">
        <v>649</v>
      </c>
      <c r="I886" s="74">
        <v>14553800</v>
      </c>
      <c r="J886" s="317" t="s">
        <v>242</v>
      </c>
      <c r="K886" s="317" t="s">
        <v>18</v>
      </c>
      <c r="L886" s="134" t="str">
        <f>IF(AND('331-CT'!$E$7=TH!H886,OR(J886="331",K886="331")),"x","")</f>
        <v/>
      </c>
    </row>
    <row r="887" spans="1:12">
      <c r="A887" s="72">
        <f t="shared" si="33"/>
        <v>2015</v>
      </c>
      <c r="B887" s="72">
        <f t="shared" si="34"/>
        <v>10</v>
      </c>
      <c r="C887" s="313">
        <v>42288</v>
      </c>
      <c r="D887" s="313" t="s">
        <v>78</v>
      </c>
      <c r="E887" s="313">
        <v>42288</v>
      </c>
      <c r="F887" s="314" t="s">
        <v>717</v>
      </c>
      <c r="G887" s="315" t="s">
        <v>716</v>
      </c>
      <c r="H887" s="316" t="s">
        <v>649</v>
      </c>
      <c r="I887" s="74">
        <v>1455380</v>
      </c>
      <c r="J887" s="317" t="s">
        <v>19</v>
      </c>
      <c r="K887" s="317" t="s">
        <v>18</v>
      </c>
      <c r="L887" s="134" t="str">
        <f>IF(AND('331-CT'!$E$7=TH!H887,OR(J887="331",K887="331")),"x","")</f>
        <v/>
      </c>
    </row>
    <row r="888" spans="1:12">
      <c r="A888" s="72">
        <f t="shared" si="33"/>
        <v>2015</v>
      </c>
      <c r="B888" s="72">
        <f t="shared" si="34"/>
        <v>10</v>
      </c>
      <c r="C888" s="313">
        <v>42288</v>
      </c>
      <c r="D888" s="313" t="s">
        <v>78</v>
      </c>
      <c r="E888" s="313">
        <v>42288</v>
      </c>
      <c r="F888" s="314" t="s">
        <v>718</v>
      </c>
      <c r="G888" s="315" t="s">
        <v>719</v>
      </c>
      <c r="H888" s="316" t="s">
        <v>649</v>
      </c>
      <c r="I888" s="74">
        <v>855763</v>
      </c>
      <c r="J888" s="317" t="s">
        <v>242</v>
      </c>
      <c r="K888" s="317" t="s">
        <v>18</v>
      </c>
      <c r="L888" s="134" t="str">
        <f>IF(AND('331-CT'!$E$7=TH!H888,OR(J888="331",K888="331")),"x","")</f>
        <v/>
      </c>
    </row>
    <row r="889" spans="1:12">
      <c r="A889" s="72">
        <f t="shared" si="33"/>
        <v>2015</v>
      </c>
      <c r="B889" s="72">
        <f t="shared" si="34"/>
        <v>10</v>
      </c>
      <c r="C889" s="313">
        <v>42288</v>
      </c>
      <c r="D889" s="313" t="s">
        <v>78</v>
      </c>
      <c r="E889" s="313">
        <v>42288</v>
      </c>
      <c r="F889" s="314" t="s">
        <v>720</v>
      </c>
      <c r="G889" s="315" t="s">
        <v>719</v>
      </c>
      <c r="H889" s="316" t="s">
        <v>649</v>
      </c>
      <c r="I889" s="74">
        <v>85576</v>
      </c>
      <c r="J889" s="317" t="s">
        <v>19</v>
      </c>
      <c r="K889" s="317" t="s">
        <v>18</v>
      </c>
      <c r="L889" s="134" t="str">
        <f>IF(AND('331-CT'!$E$7=TH!H889,OR(J889="331",K889="331")),"x","")</f>
        <v/>
      </c>
    </row>
    <row r="890" spans="1:12">
      <c r="A890" s="72">
        <f t="shared" si="33"/>
        <v>2015</v>
      </c>
      <c r="B890" s="72">
        <f t="shared" si="34"/>
        <v>10</v>
      </c>
      <c r="C890" s="313">
        <v>42289</v>
      </c>
      <c r="D890" s="313" t="s">
        <v>497</v>
      </c>
      <c r="E890" s="313">
        <v>42289</v>
      </c>
      <c r="F890" s="314" t="s">
        <v>641</v>
      </c>
      <c r="G890" s="315" t="s">
        <v>643</v>
      </c>
      <c r="H890" s="316" t="s">
        <v>644</v>
      </c>
      <c r="I890" s="74">
        <v>10000000</v>
      </c>
      <c r="J890" s="317" t="s">
        <v>655</v>
      </c>
      <c r="K890" s="317" t="s">
        <v>203</v>
      </c>
      <c r="L890" s="134" t="str">
        <f>IF(AND('331-CT'!$E$7=TH!H890,OR(J890="331",K890="331")),"x","")</f>
        <v/>
      </c>
    </row>
    <row r="891" spans="1:12">
      <c r="A891" s="72">
        <f t="shared" si="33"/>
        <v>2015</v>
      </c>
      <c r="B891" s="72">
        <f t="shared" si="34"/>
        <v>10</v>
      </c>
      <c r="C891" s="73">
        <v>42289</v>
      </c>
      <c r="D891" s="313" t="s">
        <v>497</v>
      </c>
      <c r="E891" s="73">
        <v>42289</v>
      </c>
      <c r="F891" s="76" t="s">
        <v>642</v>
      </c>
      <c r="G891" s="270" t="s">
        <v>643</v>
      </c>
      <c r="H891" s="122" t="s">
        <v>644</v>
      </c>
      <c r="I891" s="74">
        <v>1000000</v>
      </c>
      <c r="J891" s="75" t="s">
        <v>19</v>
      </c>
      <c r="K891" s="75" t="s">
        <v>203</v>
      </c>
      <c r="L891" s="134" t="str">
        <f>IF(AND('331-CT'!$E$7=TH!H891,OR(J891="331",K891="331")),"x","")</f>
        <v/>
      </c>
    </row>
    <row r="892" spans="1:12">
      <c r="A892" s="72">
        <f t="shared" si="33"/>
        <v>2015</v>
      </c>
      <c r="B892" s="72">
        <f t="shared" si="34"/>
        <v>10</v>
      </c>
      <c r="C892" s="73">
        <v>42289</v>
      </c>
      <c r="D892" s="313" t="s">
        <v>498</v>
      </c>
      <c r="E892" s="73">
        <v>42289</v>
      </c>
      <c r="F892" s="76" t="s">
        <v>1128</v>
      </c>
      <c r="G892" s="270" t="s">
        <v>1129</v>
      </c>
      <c r="H892" s="122" t="s">
        <v>1126</v>
      </c>
      <c r="I892" s="74">
        <v>15000000</v>
      </c>
      <c r="J892" s="75" t="s">
        <v>655</v>
      </c>
      <c r="K892" s="75" t="s">
        <v>203</v>
      </c>
      <c r="L892" s="134" t="str">
        <f>IF(AND('331-CT'!$E$7=TH!H892,OR(J892="331",K892="331")),"x","")</f>
        <v/>
      </c>
    </row>
    <row r="893" spans="1:12">
      <c r="A893" s="72">
        <f t="shared" si="33"/>
        <v>2015</v>
      </c>
      <c r="B893" s="72">
        <f t="shared" si="34"/>
        <v>10</v>
      </c>
      <c r="C893" s="313">
        <v>42289</v>
      </c>
      <c r="D893" s="313" t="s">
        <v>498</v>
      </c>
      <c r="E893" s="313">
        <v>42289</v>
      </c>
      <c r="F893" s="314" t="s">
        <v>1130</v>
      </c>
      <c r="G893" s="315" t="s">
        <v>1129</v>
      </c>
      <c r="H893" s="316" t="s">
        <v>1126</v>
      </c>
      <c r="I893" s="74">
        <v>1500000</v>
      </c>
      <c r="J893" s="317" t="s">
        <v>19</v>
      </c>
      <c r="K893" s="317" t="s">
        <v>203</v>
      </c>
      <c r="L893" s="134" t="str">
        <f>IF(AND('331-CT'!$E$7=TH!H893,OR(J893="331",K893="331")),"x","")</f>
        <v/>
      </c>
    </row>
    <row r="894" spans="1:12">
      <c r="A894" s="72">
        <f t="shared" si="33"/>
        <v>2015</v>
      </c>
      <c r="B894" s="72">
        <f t="shared" si="34"/>
        <v>10</v>
      </c>
      <c r="C894" s="313">
        <v>42290</v>
      </c>
      <c r="D894" s="313" t="s">
        <v>499</v>
      </c>
      <c r="E894" s="313">
        <v>42290</v>
      </c>
      <c r="F894" s="314" t="s">
        <v>752</v>
      </c>
      <c r="G894" s="315" t="s">
        <v>753</v>
      </c>
      <c r="H894" s="316" t="s">
        <v>754</v>
      </c>
      <c r="I894" s="74">
        <v>17985000</v>
      </c>
      <c r="J894" s="317" t="s">
        <v>655</v>
      </c>
      <c r="K894" s="317" t="s">
        <v>203</v>
      </c>
      <c r="L894" s="134" t="str">
        <f>IF(AND('331-CT'!$E$7=TH!H894,OR(J894="331",K894="331")),"x","")</f>
        <v/>
      </c>
    </row>
    <row r="895" spans="1:12">
      <c r="A895" s="72">
        <f t="shared" si="33"/>
        <v>2015</v>
      </c>
      <c r="B895" s="72">
        <f t="shared" si="34"/>
        <v>10</v>
      </c>
      <c r="C895" s="313">
        <v>42290</v>
      </c>
      <c r="D895" s="313" t="s">
        <v>499</v>
      </c>
      <c r="E895" s="313">
        <v>42290</v>
      </c>
      <c r="F895" s="314" t="s">
        <v>755</v>
      </c>
      <c r="G895" s="315" t="s">
        <v>753</v>
      </c>
      <c r="H895" s="316" t="s">
        <v>754</v>
      </c>
      <c r="I895" s="74">
        <v>1798500</v>
      </c>
      <c r="J895" s="317" t="s">
        <v>19</v>
      </c>
      <c r="K895" s="317" t="s">
        <v>203</v>
      </c>
      <c r="L895" s="134" t="str">
        <f>IF(AND('331-CT'!$E$7=TH!H895,OR(J895="331",K895="331")),"x","")</f>
        <v/>
      </c>
    </row>
    <row r="896" spans="1:12">
      <c r="A896" s="72">
        <f t="shared" si="33"/>
        <v>2015</v>
      </c>
      <c r="B896" s="72">
        <f t="shared" si="34"/>
        <v>10</v>
      </c>
      <c r="C896" s="313">
        <v>42291</v>
      </c>
      <c r="D896" s="313" t="s">
        <v>500</v>
      </c>
      <c r="E896" s="313">
        <v>42291</v>
      </c>
      <c r="F896" s="314" t="s">
        <v>645</v>
      </c>
      <c r="G896" s="315" t="s">
        <v>646</v>
      </c>
      <c r="H896" s="316" t="s">
        <v>644</v>
      </c>
      <c r="I896" s="74">
        <v>11999996</v>
      </c>
      <c r="J896" s="317" t="s">
        <v>655</v>
      </c>
      <c r="K896" s="317" t="s">
        <v>203</v>
      </c>
      <c r="L896" s="134" t="str">
        <f>IF(AND('331-CT'!$E$7=TH!H896,OR(J896="331",K896="331")),"x","")</f>
        <v/>
      </c>
    </row>
    <row r="897" spans="1:12">
      <c r="A897" s="72">
        <f t="shared" si="33"/>
        <v>2015</v>
      </c>
      <c r="B897" s="72">
        <f t="shared" si="34"/>
        <v>10</v>
      </c>
      <c r="C897" s="313">
        <v>42291</v>
      </c>
      <c r="D897" s="313" t="s">
        <v>500</v>
      </c>
      <c r="E897" s="313">
        <v>42291</v>
      </c>
      <c r="F897" s="314" t="s">
        <v>647</v>
      </c>
      <c r="G897" s="315" t="s">
        <v>646</v>
      </c>
      <c r="H897" s="316" t="s">
        <v>644</v>
      </c>
      <c r="I897" s="74">
        <v>1199999</v>
      </c>
      <c r="J897" s="317" t="s">
        <v>19</v>
      </c>
      <c r="K897" s="317" t="s">
        <v>203</v>
      </c>
      <c r="L897" s="134" t="str">
        <f>IF(AND('331-CT'!$E$7=TH!H897,OR(J897="331",K897="331")),"x","")</f>
        <v/>
      </c>
    </row>
    <row r="898" spans="1:12">
      <c r="A898" s="72">
        <f t="shared" si="33"/>
        <v>2015</v>
      </c>
      <c r="B898" s="72">
        <f t="shared" si="34"/>
        <v>10</v>
      </c>
      <c r="C898" s="313">
        <v>42291</v>
      </c>
      <c r="D898" s="313" t="s">
        <v>501</v>
      </c>
      <c r="E898" s="313">
        <v>42291</v>
      </c>
      <c r="F898" s="314" t="s">
        <v>752</v>
      </c>
      <c r="G898" s="315" t="s">
        <v>756</v>
      </c>
      <c r="H898" s="316" t="s">
        <v>754</v>
      </c>
      <c r="I898" s="74">
        <v>17985000</v>
      </c>
      <c r="J898" s="317" t="s">
        <v>655</v>
      </c>
      <c r="K898" s="317" t="s">
        <v>203</v>
      </c>
      <c r="L898" s="134" t="str">
        <f>IF(AND('331-CT'!$E$7=TH!H898,OR(J898="331",K898="331")),"x","")</f>
        <v/>
      </c>
    </row>
    <row r="899" spans="1:12">
      <c r="A899" s="72">
        <f t="shared" si="33"/>
        <v>2015</v>
      </c>
      <c r="B899" s="72">
        <f t="shared" si="34"/>
        <v>10</v>
      </c>
      <c r="C899" s="313">
        <v>42291</v>
      </c>
      <c r="D899" s="313" t="s">
        <v>501</v>
      </c>
      <c r="E899" s="313">
        <v>42291</v>
      </c>
      <c r="F899" s="314" t="s">
        <v>755</v>
      </c>
      <c r="G899" s="315" t="s">
        <v>756</v>
      </c>
      <c r="H899" s="316" t="s">
        <v>754</v>
      </c>
      <c r="I899" s="74">
        <v>1798500</v>
      </c>
      <c r="J899" s="317" t="s">
        <v>19</v>
      </c>
      <c r="K899" s="317" t="s">
        <v>203</v>
      </c>
      <c r="L899" s="134" t="str">
        <f>IF(AND('331-CT'!$E$7=TH!H899,OR(J899="331",K899="331")),"x","")</f>
        <v/>
      </c>
    </row>
    <row r="900" spans="1:12">
      <c r="A900" s="72">
        <f t="shared" si="33"/>
        <v>2015</v>
      </c>
      <c r="B900" s="72">
        <f t="shared" si="34"/>
        <v>10</v>
      </c>
      <c r="C900" s="313">
        <v>42291</v>
      </c>
      <c r="D900" s="313" t="s">
        <v>502</v>
      </c>
      <c r="E900" s="313">
        <v>42268</v>
      </c>
      <c r="F900" s="314" t="s">
        <v>650</v>
      </c>
      <c r="G900" s="315" t="s">
        <v>651</v>
      </c>
      <c r="H900" s="316" t="s">
        <v>188</v>
      </c>
      <c r="I900" s="74">
        <v>2900800</v>
      </c>
      <c r="J900" s="317" t="s">
        <v>242</v>
      </c>
      <c r="K900" s="317" t="s">
        <v>203</v>
      </c>
      <c r="L900" s="134" t="str">
        <f>IF(AND('331-CT'!$E$7=TH!H900,OR(J900="331",K900="331")),"x","")</f>
        <v/>
      </c>
    </row>
    <row r="901" spans="1:12">
      <c r="A901" s="72">
        <f t="shared" si="33"/>
        <v>2015</v>
      </c>
      <c r="B901" s="72">
        <f t="shared" si="34"/>
        <v>10</v>
      </c>
      <c r="C901" s="313">
        <v>42291</v>
      </c>
      <c r="D901" s="313" t="s">
        <v>502</v>
      </c>
      <c r="E901" s="313">
        <v>42268</v>
      </c>
      <c r="F901" s="314" t="s">
        <v>652</v>
      </c>
      <c r="G901" s="315" t="s">
        <v>651</v>
      </c>
      <c r="H901" s="316" t="s">
        <v>188</v>
      </c>
      <c r="I901" s="74">
        <v>145040</v>
      </c>
      <c r="J901" s="317" t="s">
        <v>19</v>
      </c>
      <c r="K901" s="317" t="s">
        <v>203</v>
      </c>
      <c r="L901" s="134" t="str">
        <f>IF(AND('331-CT'!$E$7=TH!H901,OR(J901="331",K901="331")),"x","")</f>
        <v/>
      </c>
    </row>
    <row r="902" spans="1:12">
      <c r="A902" s="72">
        <f t="shared" si="33"/>
        <v>2015</v>
      </c>
      <c r="B902" s="72">
        <f t="shared" si="34"/>
        <v>10</v>
      </c>
      <c r="C902" s="73">
        <v>42291</v>
      </c>
      <c r="D902" s="313" t="s">
        <v>503</v>
      </c>
      <c r="E902" s="73">
        <v>42291</v>
      </c>
      <c r="F902" s="76" t="s">
        <v>576</v>
      </c>
      <c r="G902" s="270"/>
      <c r="H902" s="122" t="s">
        <v>272</v>
      </c>
      <c r="I902" s="74">
        <v>150000000</v>
      </c>
      <c r="J902" s="75" t="s">
        <v>54</v>
      </c>
      <c r="K902" s="75" t="s">
        <v>203</v>
      </c>
      <c r="L902" s="134" t="str">
        <f>IF(AND('331-CT'!$E$7=TH!H902,OR(J902="331",K902="331")),"x","")</f>
        <v/>
      </c>
    </row>
    <row r="903" spans="1:12">
      <c r="A903" s="72">
        <f t="shared" si="33"/>
        <v>2015</v>
      </c>
      <c r="B903" s="72">
        <f t="shared" si="34"/>
        <v>10</v>
      </c>
      <c r="C903" s="73">
        <v>42291</v>
      </c>
      <c r="D903" s="313" t="s">
        <v>17</v>
      </c>
      <c r="E903" s="73">
        <v>42291</v>
      </c>
      <c r="F903" s="76" t="s">
        <v>301</v>
      </c>
      <c r="G903" s="270"/>
      <c r="H903" s="122" t="s">
        <v>306</v>
      </c>
      <c r="I903" s="74">
        <v>150000000</v>
      </c>
      <c r="J903" s="75" t="s">
        <v>18</v>
      </c>
      <c r="K903" s="75" t="s">
        <v>54</v>
      </c>
      <c r="L903" s="134" t="str">
        <f>IF(AND('331-CT'!$E$7=TH!H903,OR(J903="331",K903="331")),"x","")</f>
        <v/>
      </c>
    </row>
    <row r="904" spans="1:12">
      <c r="A904" s="72">
        <f t="shared" si="33"/>
        <v>2015</v>
      </c>
      <c r="B904" s="72">
        <f t="shared" si="34"/>
        <v>10</v>
      </c>
      <c r="C904" s="313">
        <v>42291</v>
      </c>
      <c r="D904" s="313" t="s">
        <v>17</v>
      </c>
      <c r="E904" s="313">
        <v>42291</v>
      </c>
      <c r="F904" s="314" t="s">
        <v>34</v>
      </c>
      <c r="G904" s="315"/>
      <c r="H904" s="316"/>
      <c r="I904" s="74">
        <v>106738</v>
      </c>
      <c r="J904" s="317" t="s">
        <v>242</v>
      </c>
      <c r="K904" s="317" t="s">
        <v>54</v>
      </c>
      <c r="L904" s="134" t="str">
        <f>IF(AND('331-CT'!$E$7=TH!H904,OR(J904="331",K904="331")),"x","")</f>
        <v/>
      </c>
    </row>
    <row r="905" spans="1:12">
      <c r="A905" s="72">
        <f t="shared" si="33"/>
        <v>2015</v>
      </c>
      <c r="B905" s="72">
        <f t="shared" si="34"/>
        <v>10</v>
      </c>
      <c r="C905" s="313">
        <v>42291</v>
      </c>
      <c r="D905" s="313" t="s">
        <v>17</v>
      </c>
      <c r="E905" s="313">
        <v>42291</v>
      </c>
      <c r="F905" s="314" t="s">
        <v>35</v>
      </c>
      <c r="G905" s="315"/>
      <c r="H905" s="316"/>
      <c r="I905" s="74">
        <v>10674</v>
      </c>
      <c r="J905" s="317" t="s">
        <v>19</v>
      </c>
      <c r="K905" s="317" t="s">
        <v>54</v>
      </c>
      <c r="L905" s="134" t="str">
        <f>IF(AND('331-CT'!$E$7=TH!H905,OR(J905="331",K905="331")),"x","")</f>
        <v/>
      </c>
    </row>
    <row r="906" spans="1:12">
      <c r="A906" s="72">
        <f t="shared" ref="A906:A969" si="35">IF(C906&lt;&gt;"",YEAR(C906),"")</f>
        <v>2015</v>
      </c>
      <c r="B906" s="72">
        <f t="shared" ref="B906:B969" si="36">IF(C906&lt;&gt;"",MONTH(C906),"")</f>
        <v>10</v>
      </c>
      <c r="C906" s="313">
        <v>42291</v>
      </c>
      <c r="D906" s="313" t="s">
        <v>504</v>
      </c>
      <c r="E906" s="313">
        <v>42291</v>
      </c>
      <c r="F906" s="314" t="s">
        <v>725</v>
      </c>
      <c r="G906" s="315" t="s">
        <v>731</v>
      </c>
      <c r="H906" s="316" t="s">
        <v>727</v>
      </c>
      <c r="I906" s="74">
        <v>15000000</v>
      </c>
      <c r="J906" s="317" t="s">
        <v>655</v>
      </c>
      <c r="K906" s="317" t="s">
        <v>203</v>
      </c>
      <c r="L906" s="134" t="str">
        <f>IF(AND('331-CT'!$E$7=TH!H906,OR(J906="331",K906="331")),"x","")</f>
        <v/>
      </c>
    </row>
    <row r="907" spans="1:12">
      <c r="A907" s="72">
        <f t="shared" si="35"/>
        <v>2015</v>
      </c>
      <c r="B907" s="72">
        <f t="shared" si="36"/>
        <v>10</v>
      </c>
      <c r="C907" s="313">
        <v>42291</v>
      </c>
      <c r="D907" s="313" t="s">
        <v>504</v>
      </c>
      <c r="E907" s="313">
        <v>42291</v>
      </c>
      <c r="F907" s="314" t="s">
        <v>728</v>
      </c>
      <c r="G907" s="315" t="s">
        <v>731</v>
      </c>
      <c r="H907" s="316" t="s">
        <v>727</v>
      </c>
      <c r="I907" s="74">
        <v>1500000</v>
      </c>
      <c r="J907" s="317" t="s">
        <v>19</v>
      </c>
      <c r="K907" s="317" t="s">
        <v>203</v>
      </c>
      <c r="L907" s="134" t="str">
        <f>IF(AND('331-CT'!$E$7=TH!H907,OR(J907="331",K907="331")),"x","")</f>
        <v/>
      </c>
    </row>
    <row r="908" spans="1:12">
      <c r="A908" s="72">
        <f t="shared" si="35"/>
        <v>2015</v>
      </c>
      <c r="B908" s="72">
        <f t="shared" si="36"/>
        <v>10</v>
      </c>
      <c r="C908" s="313">
        <v>42292</v>
      </c>
      <c r="D908" s="313" t="s">
        <v>505</v>
      </c>
      <c r="E908" s="313">
        <v>42292</v>
      </c>
      <c r="F908" s="314" t="s">
        <v>752</v>
      </c>
      <c r="G908" s="315" t="s">
        <v>757</v>
      </c>
      <c r="H908" s="316" t="s">
        <v>754</v>
      </c>
      <c r="I908" s="74">
        <v>17985000</v>
      </c>
      <c r="J908" s="317" t="s">
        <v>655</v>
      </c>
      <c r="K908" s="317" t="s">
        <v>203</v>
      </c>
      <c r="L908" s="134" t="str">
        <f>IF(AND('331-CT'!$E$7=TH!H908,OR(J908="331",K908="331")),"x","")</f>
        <v/>
      </c>
    </row>
    <row r="909" spans="1:12">
      <c r="A909" s="72">
        <f t="shared" si="35"/>
        <v>2015</v>
      </c>
      <c r="B909" s="72">
        <f t="shared" si="36"/>
        <v>10</v>
      </c>
      <c r="C909" s="313">
        <v>42292</v>
      </c>
      <c r="D909" s="313" t="s">
        <v>505</v>
      </c>
      <c r="E909" s="313">
        <v>42292</v>
      </c>
      <c r="F909" s="314" t="s">
        <v>755</v>
      </c>
      <c r="G909" s="318" t="s">
        <v>757</v>
      </c>
      <c r="H909" s="316" t="s">
        <v>754</v>
      </c>
      <c r="I909" s="74">
        <v>1798500</v>
      </c>
      <c r="J909" s="317" t="s">
        <v>19</v>
      </c>
      <c r="K909" s="317" t="s">
        <v>203</v>
      </c>
      <c r="L909" s="134" t="str">
        <f>IF(AND('331-CT'!$E$7=TH!H909,OR(J909="331",K909="331")),"x","")</f>
        <v/>
      </c>
    </row>
    <row r="910" spans="1:12">
      <c r="A910" s="72">
        <f t="shared" si="35"/>
        <v>2015</v>
      </c>
      <c r="B910" s="72">
        <f t="shared" si="36"/>
        <v>10</v>
      </c>
      <c r="C910" s="313">
        <v>42292</v>
      </c>
      <c r="D910" s="313" t="s">
        <v>20</v>
      </c>
      <c r="E910" s="313">
        <v>42292</v>
      </c>
      <c r="F910" s="314" t="s">
        <v>579</v>
      </c>
      <c r="G910" s="318"/>
      <c r="H910" s="316" t="s">
        <v>431</v>
      </c>
      <c r="I910" s="74">
        <v>1000000000</v>
      </c>
      <c r="J910" s="317" t="s">
        <v>203</v>
      </c>
      <c r="K910" s="317" t="s">
        <v>39</v>
      </c>
      <c r="L910" s="134" t="str">
        <f>IF(AND('331-CT'!$E$7=TH!H910,OR(J910="331",K910="331")),"x","")</f>
        <v/>
      </c>
    </row>
    <row r="911" spans="1:12">
      <c r="A911" s="72">
        <f t="shared" si="35"/>
        <v>2015</v>
      </c>
      <c r="B911" s="72">
        <f t="shared" si="36"/>
        <v>10</v>
      </c>
      <c r="C911" s="313">
        <v>42292</v>
      </c>
      <c r="D911" s="313" t="s">
        <v>17</v>
      </c>
      <c r="E911" s="313">
        <v>42292</v>
      </c>
      <c r="F911" s="314" t="s">
        <v>721</v>
      </c>
      <c r="G911" s="315"/>
      <c r="H911" s="316" t="s">
        <v>751</v>
      </c>
      <c r="I911" s="74">
        <v>16950519</v>
      </c>
      <c r="J911" s="317" t="s">
        <v>212</v>
      </c>
      <c r="K911" s="317" t="s">
        <v>54</v>
      </c>
      <c r="L911" s="134" t="str">
        <f>IF(AND('331-CT'!$E$7=TH!H911,OR(J911="331",K911="331")),"x","")</f>
        <v/>
      </c>
    </row>
    <row r="912" spans="1:12">
      <c r="A912" s="72">
        <f t="shared" si="35"/>
        <v>2015</v>
      </c>
      <c r="B912" s="72">
        <f t="shared" si="36"/>
        <v>10</v>
      </c>
      <c r="C912" s="313">
        <v>42292</v>
      </c>
      <c r="D912" s="313" t="s">
        <v>17</v>
      </c>
      <c r="E912" s="313">
        <v>42292</v>
      </c>
      <c r="F912" s="314" t="s">
        <v>34</v>
      </c>
      <c r="G912" s="315"/>
      <c r="H912" s="316"/>
      <c r="I912" s="74">
        <v>45000</v>
      </c>
      <c r="J912" s="317" t="s">
        <v>242</v>
      </c>
      <c r="K912" s="317" t="s">
        <v>54</v>
      </c>
      <c r="L912" s="134" t="str">
        <f>IF(AND('331-CT'!$E$7=TH!H912,OR(J912="331",K912="331")),"x","")</f>
        <v/>
      </c>
    </row>
    <row r="913" spans="1:12">
      <c r="A913" s="72">
        <f t="shared" si="35"/>
        <v>2015</v>
      </c>
      <c r="B913" s="72">
        <f t="shared" si="36"/>
        <v>10</v>
      </c>
      <c r="C913" s="313">
        <v>42292</v>
      </c>
      <c r="D913" s="313" t="s">
        <v>17</v>
      </c>
      <c r="E913" s="313">
        <v>42292</v>
      </c>
      <c r="F913" s="314" t="s">
        <v>35</v>
      </c>
      <c r="G913" s="315"/>
      <c r="H913" s="316"/>
      <c r="I913" s="74">
        <v>4500</v>
      </c>
      <c r="J913" s="317" t="s">
        <v>19</v>
      </c>
      <c r="K913" s="317" t="s">
        <v>54</v>
      </c>
      <c r="L913" s="134" t="str">
        <f>IF(AND('331-CT'!$E$7=TH!H913,OR(J913="331",K913="331")),"x","")</f>
        <v/>
      </c>
    </row>
    <row r="914" spans="1:12">
      <c r="A914" s="72">
        <f t="shared" si="35"/>
        <v>2015</v>
      </c>
      <c r="B914" s="72">
        <f t="shared" si="36"/>
        <v>10</v>
      </c>
      <c r="C914" s="319">
        <v>42293</v>
      </c>
      <c r="D914" s="319" t="s">
        <v>21</v>
      </c>
      <c r="E914" s="319">
        <v>42293</v>
      </c>
      <c r="F914" s="320" t="s">
        <v>722</v>
      </c>
      <c r="G914" s="321"/>
      <c r="H914" s="322" t="s">
        <v>751</v>
      </c>
      <c r="I914" s="133">
        <v>16950519</v>
      </c>
      <c r="J914" s="323" t="s">
        <v>54</v>
      </c>
      <c r="K914" s="323" t="s">
        <v>212</v>
      </c>
      <c r="L914" s="134" t="str">
        <f>IF(AND('331-CT'!$E$7=TH!H914,OR(J914="331",K914="331")),"x","")</f>
        <v/>
      </c>
    </row>
    <row r="915" spans="1:12">
      <c r="A915" s="72">
        <f t="shared" si="35"/>
        <v>2015</v>
      </c>
      <c r="B915" s="72">
        <f t="shared" si="36"/>
        <v>10</v>
      </c>
      <c r="C915" s="313">
        <v>42293</v>
      </c>
      <c r="D915" s="319" t="s">
        <v>17</v>
      </c>
      <c r="E915" s="313">
        <v>42293</v>
      </c>
      <c r="F915" s="314" t="s">
        <v>721</v>
      </c>
      <c r="G915" s="315"/>
      <c r="H915" s="316" t="s">
        <v>649</v>
      </c>
      <c r="I915" s="74">
        <v>16950519</v>
      </c>
      <c r="J915" s="317" t="s">
        <v>18</v>
      </c>
      <c r="K915" s="317" t="s">
        <v>54</v>
      </c>
      <c r="L915" s="134" t="str">
        <f>IF(AND('331-CT'!$E$7=TH!H915,OR(J915="331",K915="331")),"x","")</f>
        <v/>
      </c>
    </row>
    <row r="916" spans="1:12">
      <c r="A916" s="72">
        <f t="shared" si="35"/>
        <v>2015</v>
      </c>
      <c r="B916" s="72">
        <f t="shared" si="36"/>
        <v>10</v>
      </c>
      <c r="C916" s="73">
        <v>42293</v>
      </c>
      <c r="D916" s="73" t="s">
        <v>17</v>
      </c>
      <c r="E916" s="73">
        <v>42293</v>
      </c>
      <c r="F916" s="76" t="s">
        <v>34</v>
      </c>
      <c r="G916" s="270"/>
      <c r="H916" s="316"/>
      <c r="I916" s="74">
        <v>25000</v>
      </c>
      <c r="J916" s="75" t="s">
        <v>242</v>
      </c>
      <c r="K916" s="75" t="s">
        <v>54</v>
      </c>
      <c r="L916" s="134" t="str">
        <f>IF(AND('331-CT'!$E$7=TH!H916,OR(J916="331",K916="331")),"x","")</f>
        <v/>
      </c>
    </row>
    <row r="917" spans="1:12">
      <c r="A917" s="72">
        <f t="shared" si="35"/>
        <v>2015</v>
      </c>
      <c r="B917" s="72">
        <f t="shared" si="36"/>
        <v>10</v>
      </c>
      <c r="C917" s="73">
        <v>42293</v>
      </c>
      <c r="D917" s="73" t="s">
        <v>17</v>
      </c>
      <c r="E917" s="73">
        <v>42293</v>
      </c>
      <c r="F917" s="76" t="s">
        <v>35</v>
      </c>
      <c r="G917" s="270"/>
      <c r="H917" s="316"/>
      <c r="I917" s="74">
        <v>2500</v>
      </c>
      <c r="J917" s="75" t="s">
        <v>19</v>
      </c>
      <c r="K917" s="75" t="s">
        <v>54</v>
      </c>
      <c r="L917" s="134" t="str">
        <f>IF(AND('331-CT'!$E$7=TH!H917,OR(J917="331",K917="331")),"x","")</f>
        <v/>
      </c>
    </row>
    <row r="918" spans="1:12">
      <c r="A918" s="72">
        <f t="shared" si="35"/>
        <v>2015</v>
      </c>
      <c r="B918" s="72">
        <f t="shared" si="36"/>
        <v>10</v>
      </c>
      <c r="C918" s="73">
        <v>42297</v>
      </c>
      <c r="D918" s="73" t="s">
        <v>17</v>
      </c>
      <c r="E918" s="73">
        <v>42297</v>
      </c>
      <c r="F918" s="76" t="s">
        <v>119</v>
      </c>
      <c r="G918" s="270"/>
      <c r="H918" s="316" t="s">
        <v>314</v>
      </c>
      <c r="I918" s="74">
        <v>7919801</v>
      </c>
      <c r="J918" s="75" t="s">
        <v>240</v>
      </c>
      <c r="K918" s="75" t="s">
        <v>54</v>
      </c>
      <c r="L918" s="134" t="str">
        <f>IF(AND('331-CT'!$E$7=TH!H918,OR(J918="331",K918="331")),"x","")</f>
        <v/>
      </c>
    </row>
    <row r="919" spans="1:12">
      <c r="A919" s="72">
        <f t="shared" si="35"/>
        <v>2015</v>
      </c>
      <c r="B919" s="72">
        <f t="shared" si="36"/>
        <v>10</v>
      </c>
      <c r="C919" s="130">
        <v>42297</v>
      </c>
      <c r="D919" s="130" t="s">
        <v>17</v>
      </c>
      <c r="E919" s="130">
        <v>42297</v>
      </c>
      <c r="F919" s="131" t="s">
        <v>145</v>
      </c>
      <c r="G919" s="271"/>
      <c r="H919" s="322" t="s">
        <v>318</v>
      </c>
      <c r="I919" s="133">
        <v>7919801</v>
      </c>
      <c r="J919" s="134" t="s">
        <v>240</v>
      </c>
      <c r="K919" s="134" t="s">
        <v>54</v>
      </c>
      <c r="L919" s="134" t="str">
        <f>IF(AND('331-CT'!$E$7=TH!H919,OR(J919="331",K919="331")),"x","")</f>
        <v/>
      </c>
    </row>
    <row r="920" spans="1:12">
      <c r="A920" s="72">
        <f t="shared" si="35"/>
        <v>2015</v>
      </c>
      <c r="B920" s="72">
        <f t="shared" si="36"/>
        <v>10</v>
      </c>
      <c r="C920" s="73">
        <v>42297</v>
      </c>
      <c r="D920" s="73" t="s">
        <v>17</v>
      </c>
      <c r="E920" s="73">
        <v>42297</v>
      </c>
      <c r="F920" s="76" t="s">
        <v>303</v>
      </c>
      <c r="G920" s="270"/>
      <c r="H920" s="122" t="s">
        <v>321</v>
      </c>
      <c r="I920" s="74">
        <v>11087720</v>
      </c>
      <c r="J920" s="75" t="s">
        <v>240</v>
      </c>
      <c r="K920" s="75" t="s">
        <v>54</v>
      </c>
      <c r="L920" s="134" t="str">
        <f>IF(AND('331-CT'!$E$7=TH!H920,OR(J920="331",K920="331")),"x","")</f>
        <v/>
      </c>
    </row>
    <row r="921" spans="1:12">
      <c r="A921" s="72">
        <f t="shared" si="35"/>
        <v>2015</v>
      </c>
      <c r="B921" s="72">
        <f t="shared" si="36"/>
        <v>10</v>
      </c>
      <c r="C921" s="73">
        <v>42297</v>
      </c>
      <c r="D921" s="73" t="s">
        <v>506</v>
      </c>
      <c r="E921" s="73">
        <v>42297</v>
      </c>
      <c r="F921" s="76" t="s">
        <v>725</v>
      </c>
      <c r="G921" s="270" t="s">
        <v>732</v>
      </c>
      <c r="H921" s="122" t="s">
        <v>727</v>
      </c>
      <c r="I921" s="74">
        <v>15000000</v>
      </c>
      <c r="J921" s="75" t="s">
        <v>655</v>
      </c>
      <c r="K921" s="75" t="s">
        <v>203</v>
      </c>
      <c r="L921" s="134" t="str">
        <f>IF(AND('331-CT'!$E$7=TH!H921,OR(J921="331",K921="331")),"x","")</f>
        <v/>
      </c>
    </row>
    <row r="922" spans="1:12">
      <c r="A922" s="72">
        <f t="shared" si="35"/>
        <v>2015</v>
      </c>
      <c r="B922" s="72">
        <f t="shared" si="36"/>
        <v>10</v>
      </c>
      <c r="C922" s="130">
        <v>42297</v>
      </c>
      <c r="D922" s="130" t="s">
        <v>506</v>
      </c>
      <c r="E922" s="130">
        <v>42297</v>
      </c>
      <c r="F922" s="131" t="s">
        <v>728</v>
      </c>
      <c r="G922" s="271" t="s">
        <v>732</v>
      </c>
      <c r="H922" s="322" t="s">
        <v>727</v>
      </c>
      <c r="I922" s="133">
        <v>1500000</v>
      </c>
      <c r="J922" s="134" t="s">
        <v>19</v>
      </c>
      <c r="K922" s="134" t="s">
        <v>203</v>
      </c>
      <c r="L922" s="134" t="str">
        <f>IF(AND('331-CT'!$E$7=TH!H922,OR(J922="331",K922="331")),"x","")</f>
        <v/>
      </c>
    </row>
    <row r="923" spans="1:12">
      <c r="A923" s="72">
        <f t="shared" si="35"/>
        <v>2015</v>
      </c>
      <c r="B923" s="72">
        <f t="shared" si="36"/>
        <v>10</v>
      </c>
      <c r="C923" s="73">
        <v>42298</v>
      </c>
      <c r="D923" s="73" t="s">
        <v>507</v>
      </c>
      <c r="E923" s="73">
        <v>42298</v>
      </c>
      <c r="F923" s="76" t="s">
        <v>733</v>
      </c>
      <c r="G923" s="265" t="s">
        <v>734</v>
      </c>
      <c r="H923" s="122" t="s">
        <v>727</v>
      </c>
      <c r="I923" s="74">
        <v>13390000</v>
      </c>
      <c r="J923" s="75" t="s">
        <v>655</v>
      </c>
      <c r="K923" s="75" t="s">
        <v>203</v>
      </c>
      <c r="L923" s="134" t="str">
        <f>IF(AND('331-CT'!$E$7=TH!H923,OR(J923="331",K923="331")),"x","")</f>
        <v/>
      </c>
    </row>
    <row r="924" spans="1:12">
      <c r="A924" s="72">
        <f t="shared" si="35"/>
        <v>2015</v>
      </c>
      <c r="B924" s="72">
        <f t="shared" si="36"/>
        <v>10</v>
      </c>
      <c r="C924" s="73">
        <v>42298</v>
      </c>
      <c r="D924" s="73" t="s">
        <v>507</v>
      </c>
      <c r="E924" s="73">
        <v>42298</v>
      </c>
      <c r="F924" s="76" t="s">
        <v>735</v>
      </c>
      <c r="G924" s="265" t="s">
        <v>734</v>
      </c>
      <c r="H924" s="122" t="s">
        <v>727</v>
      </c>
      <c r="I924" s="74">
        <v>1339000</v>
      </c>
      <c r="J924" s="75" t="s">
        <v>19</v>
      </c>
      <c r="K924" s="75" t="s">
        <v>203</v>
      </c>
      <c r="L924" s="134" t="str">
        <f>IF(AND('331-CT'!$E$7=TH!H924,OR(J924="331",K924="331")),"x","")</f>
        <v/>
      </c>
    </row>
    <row r="925" spans="1:12">
      <c r="A925" s="72">
        <f t="shared" si="35"/>
        <v>2015</v>
      </c>
      <c r="B925" s="72">
        <f t="shared" si="36"/>
        <v>10</v>
      </c>
      <c r="C925" s="73">
        <v>42298</v>
      </c>
      <c r="D925" s="73" t="s">
        <v>508</v>
      </c>
      <c r="E925" s="73">
        <v>42298</v>
      </c>
      <c r="F925" s="76" t="s">
        <v>758</v>
      </c>
      <c r="G925" s="265" t="s">
        <v>759</v>
      </c>
      <c r="H925" s="122" t="s">
        <v>188</v>
      </c>
      <c r="I925" s="74">
        <v>4773000</v>
      </c>
      <c r="J925" s="75" t="s">
        <v>242</v>
      </c>
      <c r="K925" s="75" t="s">
        <v>203</v>
      </c>
      <c r="L925" s="134" t="str">
        <f>IF(AND('331-CT'!$E$7=TH!H925,OR(J925="331",K925="331")),"x","")</f>
        <v/>
      </c>
    </row>
    <row r="926" spans="1:12">
      <c r="A926" s="72">
        <f t="shared" si="35"/>
        <v>2015</v>
      </c>
      <c r="B926" s="72">
        <f t="shared" si="36"/>
        <v>10</v>
      </c>
      <c r="C926" s="73">
        <v>42298</v>
      </c>
      <c r="D926" s="73" t="s">
        <v>508</v>
      </c>
      <c r="E926" s="73">
        <v>42298</v>
      </c>
      <c r="F926" s="76" t="s">
        <v>760</v>
      </c>
      <c r="G926" s="265" t="s">
        <v>759</v>
      </c>
      <c r="H926" s="122" t="s">
        <v>188</v>
      </c>
      <c r="I926" s="74">
        <v>238650</v>
      </c>
      <c r="J926" s="75" t="s">
        <v>19</v>
      </c>
      <c r="K926" s="75" t="s">
        <v>203</v>
      </c>
      <c r="L926" s="134" t="str">
        <f>IF(AND('331-CT'!$E$7=TH!H926,OR(J926="331",K926="331")),"x","")</f>
        <v/>
      </c>
    </row>
    <row r="927" spans="1:12">
      <c r="A927" s="72">
        <f t="shared" si="35"/>
        <v>2015</v>
      </c>
      <c r="B927" s="72">
        <f t="shared" si="36"/>
        <v>10</v>
      </c>
      <c r="C927" s="73">
        <v>42299</v>
      </c>
      <c r="D927" s="73" t="s">
        <v>509</v>
      </c>
      <c r="E927" s="73">
        <v>42299</v>
      </c>
      <c r="F927" s="76" t="s">
        <v>576</v>
      </c>
      <c r="G927" s="265"/>
      <c r="H927" s="122" t="s">
        <v>272</v>
      </c>
      <c r="I927" s="74">
        <v>140000000</v>
      </c>
      <c r="J927" s="75" t="s">
        <v>54</v>
      </c>
      <c r="K927" s="75" t="s">
        <v>203</v>
      </c>
      <c r="L927" s="134" t="str">
        <f>IF(AND('331-CT'!$E$7=TH!H927,OR(J927="331",K927="331")),"x","")</f>
        <v/>
      </c>
    </row>
    <row r="928" spans="1:12">
      <c r="A928" s="72">
        <f t="shared" si="35"/>
        <v>2015</v>
      </c>
      <c r="B928" s="72">
        <f t="shared" si="36"/>
        <v>10</v>
      </c>
      <c r="C928" s="73">
        <v>42299</v>
      </c>
      <c r="D928" s="73" t="s">
        <v>17</v>
      </c>
      <c r="E928" s="73">
        <v>42299</v>
      </c>
      <c r="F928" s="76" t="s">
        <v>141</v>
      </c>
      <c r="G928" s="265"/>
      <c r="H928" s="122" t="s">
        <v>315</v>
      </c>
      <c r="I928" s="74">
        <v>15852135</v>
      </c>
      <c r="J928" s="75" t="s">
        <v>240</v>
      </c>
      <c r="K928" s="75" t="s">
        <v>54</v>
      </c>
      <c r="L928" s="134" t="str">
        <f>IF(AND('331-CT'!$E$7=TH!H928,OR(J928="331",K928="331")),"x","")</f>
        <v/>
      </c>
    </row>
    <row r="929" spans="1:12">
      <c r="A929" s="72">
        <f t="shared" si="35"/>
        <v>2015</v>
      </c>
      <c r="B929" s="72">
        <f t="shared" si="36"/>
        <v>10</v>
      </c>
      <c r="C929" s="73">
        <v>42299</v>
      </c>
      <c r="D929" s="73" t="s">
        <v>17</v>
      </c>
      <c r="E929" s="73">
        <v>42299</v>
      </c>
      <c r="F929" s="76" t="s">
        <v>143</v>
      </c>
      <c r="G929" s="265"/>
      <c r="H929" s="122" t="s">
        <v>317</v>
      </c>
      <c r="I929" s="74">
        <v>12681709</v>
      </c>
      <c r="J929" s="75" t="s">
        <v>240</v>
      </c>
      <c r="K929" s="75" t="s">
        <v>54</v>
      </c>
      <c r="L929" s="134" t="str">
        <f>IF(AND('331-CT'!$E$7=TH!H929,OR(J929="331",K929="331")),"x","")</f>
        <v/>
      </c>
    </row>
    <row r="930" spans="1:12">
      <c r="A930" s="72">
        <f t="shared" si="35"/>
        <v>2015</v>
      </c>
      <c r="B930" s="72">
        <f t="shared" si="36"/>
        <v>10</v>
      </c>
      <c r="C930" s="73">
        <v>42299</v>
      </c>
      <c r="D930" s="73" t="s">
        <v>17</v>
      </c>
      <c r="E930" s="73">
        <v>42299</v>
      </c>
      <c r="F930" s="76" t="s">
        <v>144</v>
      </c>
      <c r="G930" s="265"/>
      <c r="H930" s="122" t="s">
        <v>316</v>
      </c>
      <c r="I930" s="74">
        <v>11889102</v>
      </c>
      <c r="J930" s="75" t="s">
        <v>240</v>
      </c>
      <c r="K930" s="75" t="s">
        <v>54</v>
      </c>
      <c r="L930" s="134" t="str">
        <f>IF(AND('331-CT'!$E$7=TH!H930,OR(J930="331",K930="331")),"x","")</f>
        <v/>
      </c>
    </row>
    <row r="931" spans="1:12">
      <c r="A931" s="72">
        <f t="shared" si="35"/>
        <v>2015</v>
      </c>
      <c r="B931" s="72">
        <f t="shared" si="36"/>
        <v>10</v>
      </c>
      <c r="C931" s="73">
        <v>42299</v>
      </c>
      <c r="D931" s="73" t="s">
        <v>17</v>
      </c>
      <c r="E931" s="73">
        <v>42299</v>
      </c>
      <c r="F931" s="76" t="s">
        <v>147</v>
      </c>
      <c r="G931" s="265"/>
      <c r="H931" s="122" t="s">
        <v>319</v>
      </c>
      <c r="I931" s="74">
        <v>11889102</v>
      </c>
      <c r="J931" s="75" t="s">
        <v>240</v>
      </c>
      <c r="K931" s="75" t="s">
        <v>54</v>
      </c>
      <c r="L931" s="134" t="str">
        <f>IF(AND('331-CT'!$E$7=TH!H931,OR(J931="331",K931="331")),"x","")</f>
        <v/>
      </c>
    </row>
    <row r="932" spans="1:12">
      <c r="A932" s="72">
        <f t="shared" si="35"/>
        <v>2015</v>
      </c>
      <c r="B932" s="72">
        <f t="shared" si="36"/>
        <v>10</v>
      </c>
      <c r="C932" s="73">
        <v>42299</v>
      </c>
      <c r="D932" s="73" t="s">
        <v>17</v>
      </c>
      <c r="E932" s="73">
        <v>42299</v>
      </c>
      <c r="F932" s="76" t="s">
        <v>273</v>
      </c>
      <c r="G932" s="265"/>
      <c r="H932" s="122" t="s">
        <v>320</v>
      </c>
      <c r="I932" s="74">
        <v>15852135</v>
      </c>
      <c r="J932" s="75" t="s">
        <v>240</v>
      </c>
      <c r="K932" s="75" t="s">
        <v>54</v>
      </c>
      <c r="L932" s="134" t="str">
        <f>IF(AND('331-CT'!$E$7=TH!H932,OR(J932="331",K932="331")),"x","")</f>
        <v/>
      </c>
    </row>
    <row r="933" spans="1:12">
      <c r="A933" s="72">
        <f t="shared" si="35"/>
        <v>2015</v>
      </c>
      <c r="B933" s="72">
        <f t="shared" si="36"/>
        <v>10</v>
      </c>
      <c r="C933" s="73">
        <v>42299</v>
      </c>
      <c r="D933" s="73" t="s">
        <v>17</v>
      </c>
      <c r="E933" s="73">
        <v>42299</v>
      </c>
      <c r="F933" s="76" t="s">
        <v>304</v>
      </c>
      <c r="G933" s="270"/>
      <c r="H933" s="122" t="s">
        <v>322</v>
      </c>
      <c r="I933" s="74">
        <v>11889102</v>
      </c>
      <c r="J933" s="75" t="s">
        <v>240</v>
      </c>
      <c r="K933" s="75" t="s">
        <v>54</v>
      </c>
      <c r="L933" s="134" t="str">
        <f>IF(AND('331-CT'!$E$7=TH!H933,OR(J933="331",K933="331")),"x","")</f>
        <v/>
      </c>
    </row>
    <row r="934" spans="1:12">
      <c r="A934" s="72">
        <f t="shared" si="35"/>
        <v>2015</v>
      </c>
      <c r="B934" s="72">
        <f t="shared" si="36"/>
        <v>10</v>
      </c>
      <c r="C934" s="73">
        <v>42299</v>
      </c>
      <c r="D934" s="73" t="s">
        <v>17</v>
      </c>
      <c r="E934" s="73">
        <v>42299</v>
      </c>
      <c r="F934" s="76" t="s">
        <v>465</v>
      </c>
      <c r="G934" s="270"/>
      <c r="H934" s="122" t="s">
        <v>326</v>
      </c>
      <c r="I934" s="74">
        <v>11889102</v>
      </c>
      <c r="J934" s="75" t="s">
        <v>240</v>
      </c>
      <c r="K934" s="75" t="s">
        <v>54</v>
      </c>
      <c r="L934" s="134" t="str">
        <f>IF(AND('331-CT'!$E$7=TH!H934,OR(J934="331",K934="331")),"x","")</f>
        <v/>
      </c>
    </row>
    <row r="935" spans="1:12">
      <c r="A935" s="72">
        <f t="shared" si="35"/>
        <v>2015</v>
      </c>
      <c r="B935" s="72">
        <f t="shared" si="36"/>
        <v>10</v>
      </c>
      <c r="C935" s="73">
        <v>42299</v>
      </c>
      <c r="D935" s="73" t="s">
        <v>17</v>
      </c>
      <c r="E935" s="73">
        <v>42299</v>
      </c>
      <c r="F935" s="76" t="s">
        <v>466</v>
      </c>
      <c r="G935" s="270"/>
      <c r="H935" s="122" t="s">
        <v>417</v>
      </c>
      <c r="I935" s="74">
        <v>11889102</v>
      </c>
      <c r="J935" s="75" t="s">
        <v>240</v>
      </c>
      <c r="K935" s="75" t="s">
        <v>54</v>
      </c>
      <c r="L935" s="134" t="str">
        <f>IF(AND('331-CT'!$E$7=TH!H935,OR(J935="331",K935="331")),"x","")</f>
        <v/>
      </c>
    </row>
    <row r="936" spans="1:12">
      <c r="A936" s="72">
        <f t="shared" si="35"/>
        <v>2015</v>
      </c>
      <c r="B936" s="72">
        <f t="shared" si="36"/>
        <v>10</v>
      </c>
      <c r="C936" s="73">
        <v>42299</v>
      </c>
      <c r="D936" s="73" t="s">
        <v>17</v>
      </c>
      <c r="E936" s="73">
        <v>42299</v>
      </c>
      <c r="F936" s="76" t="s">
        <v>580</v>
      </c>
      <c r="G936" s="270"/>
      <c r="H936" s="122" t="s">
        <v>422</v>
      </c>
      <c r="I936" s="74">
        <v>7926068</v>
      </c>
      <c r="J936" s="75" t="s">
        <v>240</v>
      </c>
      <c r="K936" s="75" t="s">
        <v>54</v>
      </c>
      <c r="L936" s="134" t="str">
        <f>IF(AND('331-CT'!$E$7=TH!H936,OR(J936="331",K936="331")),"x","")</f>
        <v/>
      </c>
    </row>
    <row r="937" spans="1:12">
      <c r="A937" s="72">
        <f t="shared" si="35"/>
        <v>2015</v>
      </c>
      <c r="B937" s="72">
        <f t="shared" si="36"/>
        <v>10</v>
      </c>
      <c r="C937" s="73">
        <v>42299</v>
      </c>
      <c r="D937" s="73" t="s">
        <v>17</v>
      </c>
      <c r="E937" s="73">
        <v>42299</v>
      </c>
      <c r="F937" s="76" t="s">
        <v>581</v>
      </c>
      <c r="G937" s="265"/>
      <c r="H937" s="122" t="s">
        <v>456</v>
      </c>
      <c r="I937" s="74">
        <v>7926068</v>
      </c>
      <c r="J937" s="75" t="s">
        <v>240</v>
      </c>
      <c r="K937" s="75" t="s">
        <v>54</v>
      </c>
      <c r="L937" s="134" t="str">
        <f>IF(AND('331-CT'!$E$7=TH!H937,OR(J937="331",K937="331")),"x","")</f>
        <v/>
      </c>
    </row>
    <row r="938" spans="1:12">
      <c r="A938" s="72">
        <f t="shared" si="35"/>
        <v>2015</v>
      </c>
      <c r="B938" s="72">
        <f t="shared" si="36"/>
        <v>10</v>
      </c>
      <c r="C938" s="73">
        <v>42299</v>
      </c>
      <c r="D938" s="73" t="s">
        <v>17</v>
      </c>
      <c r="E938" s="73">
        <v>42299</v>
      </c>
      <c r="F938" s="76" t="s">
        <v>418</v>
      </c>
      <c r="G938" s="265"/>
      <c r="H938" s="122" t="s">
        <v>324</v>
      </c>
      <c r="I938" s="74">
        <v>11889102</v>
      </c>
      <c r="J938" s="75" t="s">
        <v>240</v>
      </c>
      <c r="K938" s="75" t="s">
        <v>54</v>
      </c>
      <c r="L938" s="134" t="str">
        <f>IF(AND('331-CT'!$E$7=TH!H938,OR(J938="331",K938="331")),"x","")</f>
        <v/>
      </c>
    </row>
    <row r="939" spans="1:12">
      <c r="A939" s="72">
        <f t="shared" si="35"/>
        <v>2015</v>
      </c>
      <c r="B939" s="72">
        <f t="shared" si="36"/>
        <v>10</v>
      </c>
      <c r="C939" s="73">
        <v>42301</v>
      </c>
      <c r="D939" s="73" t="s">
        <v>21</v>
      </c>
      <c r="E939" s="73">
        <v>42301</v>
      </c>
      <c r="F939" s="76" t="s">
        <v>420</v>
      </c>
      <c r="G939" s="265"/>
      <c r="H939" s="122"/>
      <c r="I939" s="74">
        <v>400000</v>
      </c>
      <c r="J939" s="75" t="s">
        <v>54</v>
      </c>
      <c r="K939" s="75" t="s">
        <v>244</v>
      </c>
      <c r="L939" s="134" t="str">
        <f>IF(AND('331-CT'!$E$7=TH!H939,OR(J939="331",K939="331")),"x","")</f>
        <v/>
      </c>
    </row>
    <row r="940" spans="1:12">
      <c r="A940" s="72">
        <f t="shared" si="35"/>
        <v>2015</v>
      </c>
      <c r="B940" s="72">
        <f t="shared" si="36"/>
        <v>10</v>
      </c>
      <c r="C940" s="73">
        <v>42301</v>
      </c>
      <c r="D940" s="73" t="s">
        <v>21</v>
      </c>
      <c r="E940" s="73">
        <v>42301</v>
      </c>
      <c r="F940" s="76" t="s">
        <v>98</v>
      </c>
      <c r="G940" s="265"/>
      <c r="H940" s="122"/>
      <c r="I940" s="74">
        <v>9085</v>
      </c>
      <c r="J940" s="75" t="s">
        <v>54</v>
      </c>
      <c r="K940" s="75" t="s">
        <v>99</v>
      </c>
      <c r="L940" s="134" t="str">
        <f>IF(AND('331-CT'!$E$7=TH!H940,OR(J940="331",K940="331")),"x","")</f>
        <v/>
      </c>
    </row>
    <row r="941" spans="1:12">
      <c r="A941" s="72">
        <f t="shared" si="35"/>
        <v>2015</v>
      </c>
      <c r="B941" s="72">
        <f t="shared" si="36"/>
        <v>10</v>
      </c>
      <c r="C941" s="73">
        <v>42301</v>
      </c>
      <c r="D941" s="73" t="s">
        <v>510</v>
      </c>
      <c r="E941" s="73">
        <v>42301</v>
      </c>
      <c r="F941" s="76" t="s">
        <v>736</v>
      </c>
      <c r="G941" s="265" t="s">
        <v>737</v>
      </c>
      <c r="H941" s="122" t="s">
        <v>727</v>
      </c>
      <c r="I941" s="74">
        <v>18000000</v>
      </c>
      <c r="J941" s="75" t="s">
        <v>655</v>
      </c>
      <c r="K941" s="75" t="s">
        <v>203</v>
      </c>
      <c r="L941" s="134" t="str">
        <f>IF(AND('331-CT'!$E$7=TH!H941,OR(J941="331",K941="331")),"x","")</f>
        <v/>
      </c>
    </row>
    <row r="942" spans="1:12">
      <c r="A942" s="72">
        <f t="shared" si="35"/>
        <v>2015</v>
      </c>
      <c r="B942" s="72">
        <f t="shared" si="36"/>
        <v>10</v>
      </c>
      <c r="C942" s="73">
        <v>42301</v>
      </c>
      <c r="D942" s="73" t="s">
        <v>510</v>
      </c>
      <c r="E942" s="73">
        <v>42301</v>
      </c>
      <c r="F942" s="76" t="s">
        <v>738</v>
      </c>
      <c r="G942" s="265" t="s">
        <v>737</v>
      </c>
      <c r="H942" s="122" t="s">
        <v>727</v>
      </c>
      <c r="I942" s="74">
        <v>1800000</v>
      </c>
      <c r="J942" s="75" t="s">
        <v>19</v>
      </c>
      <c r="K942" s="75" t="s">
        <v>203</v>
      </c>
      <c r="L942" s="134" t="str">
        <f>IF(AND('331-CT'!$E$7=TH!H942,OR(J942="331",K942="331")),"x","")</f>
        <v/>
      </c>
    </row>
    <row r="943" spans="1:12">
      <c r="A943" s="72">
        <f t="shared" si="35"/>
        <v>2015</v>
      </c>
      <c r="B943" s="72">
        <f t="shared" si="36"/>
        <v>10</v>
      </c>
      <c r="C943" s="73">
        <v>42303</v>
      </c>
      <c r="D943" s="73" t="s">
        <v>511</v>
      </c>
      <c r="E943" s="73">
        <v>42303</v>
      </c>
      <c r="F943" s="76" t="s">
        <v>664</v>
      </c>
      <c r="G943" s="265" t="s">
        <v>666</v>
      </c>
      <c r="H943" s="122" t="s">
        <v>667</v>
      </c>
      <c r="I943" s="74">
        <v>16000000</v>
      </c>
      <c r="J943" s="75" t="s">
        <v>655</v>
      </c>
      <c r="K943" s="75" t="s">
        <v>203</v>
      </c>
      <c r="L943" s="134" t="str">
        <f>IF(AND('331-CT'!$E$7=TH!H943,OR(J943="331",K943="331")),"x","")</f>
        <v/>
      </c>
    </row>
    <row r="944" spans="1:12">
      <c r="A944" s="72">
        <f t="shared" si="35"/>
        <v>2015</v>
      </c>
      <c r="B944" s="72">
        <f t="shared" si="36"/>
        <v>10</v>
      </c>
      <c r="C944" s="73">
        <v>42303</v>
      </c>
      <c r="D944" s="73" t="s">
        <v>511</v>
      </c>
      <c r="E944" s="73">
        <v>42303</v>
      </c>
      <c r="F944" s="76" t="s">
        <v>665</v>
      </c>
      <c r="G944" s="265" t="s">
        <v>666</v>
      </c>
      <c r="H944" s="122" t="s">
        <v>667</v>
      </c>
      <c r="I944" s="74">
        <v>1600000</v>
      </c>
      <c r="J944" s="75" t="s">
        <v>19</v>
      </c>
      <c r="K944" s="75" t="s">
        <v>203</v>
      </c>
      <c r="L944" s="134" t="str">
        <f>IF(AND('331-CT'!$E$7=TH!H944,OR(J944="331",K944="331")),"x","")</f>
        <v/>
      </c>
    </row>
    <row r="945" spans="1:12">
      <c r="A945" s="72">
        <f t="shared" si="35"/>
        <v>2015</v>
      </c>
      <c r="B945" s="72">
        <f t="shared" si="36"/>
        <v>10</v>
      </c>
      <c r="C945" s="73">
        <v>42303</v>
      </c>
      <c r="D945" s="73" t="s">
        <v>762</v>
      </c>
      <c r="E945" s="73">
        <v>42303</v>
      </c>
      <c r="F945" s="76" t="s">
        <v>576</v>
      </c>
      <c r="G945" s="265"/>
      <c r="H945" s="122" t="s">
        <v>272</v>
      </c>
      <c r="I945" s="74">
        <v>20000000</v>
      </c>
      <c r="J945" s="75" t="s">
        <v>54</v>
      </c>
      <c r="K945" s="75" t="s">
        <v>203</v>
      </c>
      <c r="L945" s="134" t="str">
        <f>IF(AND('331-CT'!$E$7=TH!H945,OR(J945="331",K945="331")),"x","")</f>
        <v/>
      </c>
    </row>
    <row r="946" spans="1:12">
      <c r="A946" s="72">
        <f t="shared" si="35"/>
        <v>2015</v>
      </c>
      <c r="B946" s="72">
        <f t="shared" si="36"/>
        <v>10</v>
      </c>
      <c r="C946" s="73">
        <v>42303</v>
      </c>
      <c r="D946" s="73" t="s">
        <v>763</v>
      </c>
      <c r="E946" s="73">
        <v>42303</v>
      </c>
      <c r="F946" s="76" t="s">
        <v>725</v>
      </c>
      <c r="G946" s="265" t="s">
        <v>739</v>
      </c>
      <c r="H946" s="122" t="s">
        <v>727</v>
      </c>
      <c r="I946" s="74">
        <v>15000000</v>
      </c>
      <c r="J946" s="75" t="s">
        <v>655</v>
      </c>
      <c r="K946" s="75" t="s">
        <v>203</v>
      </c>
      <c r="L946" s="134" t="str">
        <f>IF(AND('331-CT'!$E$7=TH!H946,OR(J946="331",K946="331")),"x","")</f>
        <v/>
      </c>
    </row>
    <row r="947" spans="1:12">
      <c r="A947" s="72">
        <f t="shared" si="35"/>
        <v>2015</v>
      </c>
      <c r="B947" s="72">
        <f t="shared" si="36"/>
        <v>10</v>
      </c>
      <c r="C947" s="73">
        <v>42303</v>
      </c>
      <c r="D947" s="73" t="s">
        <v>763</v>
      </c>
      <c r="E947" s="73">
        <v>42303</v>
      </c>
      <c r="F947" s="76" t="s">
        <v>728</v>
      </c>
      <c r="G947" s="265" t="s">
        <v>739</v>
      </c>
      <c r="H947" s="122" t="s">
        <v>727</v>
      </c>
      <c r="I947" s="74">
        <v>1500000</v>
      </c>
      <c r="J947" s="75" t="s">
        <v>19</v>
      </c>
      <c r="K947" s="75" t="s">
        <v>203</v>
      </c>
      <c r="L947" s="134" t="str">
        <f>IF(AND('331-CT'!$E$7=TH!H947,OR(J947="331",K947="331")),"x","")</f>
        <v/>
      </c>
    </row>
    <row r="948" spans="1:12">
      <c r="A948" s="72">
        <f t="shared" si="35"/>
        <v>2015</v>
      </c>
      <c r="B948" s="72">
        <f t="shared" si="36"/>
        <v>10</v>
      </c>
      <c r="C948" s="73">
        <v>42303</v>
      </c>
      <c r="D948" s="73" t="s">
        <v>78</v>
      </c>
      <c r="E948" s="73">
        <v>42303</v>
      </c>
      <c r="F948" s="76" t="s">
        <v>1050</v>
      </c>
      <c r="G948" s="265" t="s">
        <v>1051</v>
      </c>
      <c r="H948" s="122" t="s">
        <v>649</v>
      </c>
      <c r="I948" s="74">
        <v>27858600</v>
      </c>
      <c r="J948" s="75" t="s">
        <v>242</v>
      </c>
      <c r="K948" s="75" t="s">
        <v>18</v>
      </c>
      <c r="L948" s="134" t="str">
        <f>IF(AND('331-CT'!$E$7=TH!H948,OR(J948="331",K948="331")),"x","")</f>
        <v/>
      </c>
    </row>
    <row r="949" spans="1:12">
      <c r="A949" s="72">
        <f t="shared" si="35"/>
        <v>2015</v>
      </c>
      <c r="B949" s="72">
        <f t="shared" si="36"/>
        <v>10</v>
      </c>
      <c r="C949" s="73">
        <v>42303</v>
      </c>
      <c r="D949" s="73" t="s">
        <v>78</v>
      </c>
      <c r="E949" s="73">
        <v>42303</v>
      </c>
      <c r="F949" s="76" t="s">
        <v>1052</v>
      </c>
      <c r="G949" s="265" t="s">
        <v>1051</v>
      </c>
      <c r="H949" s="122" t="s">
        <v>649</v>
      </c>
      <c r="I949" s="74">
        <v>2785860</v>
      </c>
      <c r="J949" s="75" t="s">
        <v>19</v>
      </c>
      <c r="K949" s="75" t="s">
        <v>18</v>
      </c>
      <c r="L949" s="134" t="str">
        <f>IF(AND('331-CT'!$E$7=TH!H949,OR(J949="331",K949="331")),"x","")</f>
        <v/>
      </c>
    </row>
    <row r="950" spans="1:12">
      <c r="A950" s="72">
        <f t="shared" si="35"/>
        <v>2015</v>
      </c>
      <c r="B950" s="72">
        <f t="shared" si="36"/>
        <v>10</v>
      </c>
      <c r="C950" s="73">
        <v>42304</v>
      </c>
      <c r="D950" s="73" t="s">
        <v>17</v>
      </c>
      <c r="E950" s="73">
        <v>42304</v>
      </c>
      <c r="F950" s="76" t="s">
        <v>723</v>
      </c>
      <c r="G950" s="265"/>
      <c r="H950" s="122" t="s">
        <v>632</v>
      </c>
      <c r="I950" s="74">
        <v>20382000</v>
      </c>
      <c r="J950" s="75" t="s">
        <v>18</v>
      </c>
      <c r="K950" s="75" t="s">
        <v>54</v>
      </c>
      <c r="L950" s="134" t="str">
        <f>IF(AND('331-CT'!$E$7=TH!H950,OR(J950="331",K950="331")),"x","")</f>
        <v/>
      </c>
    </row>
    <row r="951" spans="1:12">
      <c r="A951" s="72">
        <f t="shared" si="35"/>
        <v>2015</v>
      </c>
      <c r="B951" s="72">
        <f t="shared" si="36"/>
        <v>10</v>
      </c>
      <c r="C951" s="73">
        <v>42304</v>
      </c>
      <c r="D951" s="73" t="s">
        <v>17</v>
      </c>
      <c r="E951" s="73">
        <v>42304</v>
      </c>
      <c r="F951" s="76" t="s">
        <v>34</v>
      </c>
      <c r="G951" s="270"/>
      <c r="H951" s="122"/>
      <c r="I951" s="74">
        <v>45000</v>
      </c>
      <c r="J951" s="75" t="s">
        <v>242</v>
      </c>
      <c r="K951" s="75" t="s">
        <v>54</v>
      </c>
      <c r="L951" s="134" t="str">
        <f>IF(AND('331-CT'!$E$7=TH!H951,OR(J951="331",K951="331")),"x","")</f>
        <v/>
      </c>
    </row>
    <row r="952" spans="1:12">
      <c r="A952" s="72">
        <f t="shared" si="35"/>
        <v>2015</v>
      </c>
      <c r="B952" s="72">
        <f t="shared" si="36"/>
        <v>10</v>
      </c>
      <c r="C952" s="73">
        <v>42304</v>
      </c>
      <c r="D952" s="73" t="s">
        <v>17</v>
      </c>
      <c r="E952" s="73">
        <v>42304</v>
      </c>
      <c r="F952" s="76" t="s">
        <v>35</v>
      </c>
      <c r="G952" s="270"/>
      <c r="H952" s="122"/>
      <c r="I952" s="74">
        <v>4500</v>
      </c>
      <c r="J952" s="75" t="s">
        <v>19</v>
      </c>
      <c r="K952" s="75" t="s">
        <v>54</v>
      </c>
      <c r="L952" s="134" t="str">
        <f>IF(AND('331-CT'!$E$7=TH!H952,OR(J952="331",K952="331")),"x","")</f>
        <v/>
      </c>
    </row>
    <row r="953" spans="1:12">
      <c r="A953" s="72">
        <f t="shared" si="35"/>
        <v>2015</v>
      </c>
      <c r="B953" s="72">
        <f t="shared" si="36"/>
        <v>10</v>
      </c>
      <c r="C953" s="73">
        <v>42304</v>
      </c>
      <c r="D953" s="73" t="s">
        <v>78</v>
      </c>
      <c r="E953" s="73">
        <v>42304</v>
      </c>
      <c r="F953" s="76" t="s">
        <v>740</v>
      </c>
      <c r="G953" s="265" t="s">
        <v>741</v>
      </c>
      <c r="H953" s="122" t="s">
        <v>742</v>
      </c>
      <c r="I953" s="74">
        <v>9272640</v>
      </c>
      <c r="J953" s="75" t="s">
        <v>242</v>
      </c>
      <c r="K953" s="75" t="s">
        <v>18</v>
      </c>
      <c r="L953" s="134" t="str">
        <f>IF(AND('331-CT'!$E$7=TH!H953,OR(J953="331",K953="331")),"x","")</f>
        <v/>
      </c>
    </row>
    <row r="954" spans="1:12">
      <c r="A954" s="72">
        <f t="shared" si="35"/>
        <v>2015</v>
      </c>
      <c r="B954" s="72">
        <f t="shared" si="36"/>
        <v>10</v>
      </c>
      <c r="C954" s="73">
        <v>42304</v>
      </c>
      <c r="D954" s="73" t="s">
        <v>78</v>
      </c>
      <c r="E954" s="73">
        <v>42304</v>
      </c>
      <c r="F954" s="76" t="s">
        <v>743</v>
      </c>
      <c r="G954" s="265" t="s">
        <v>741</v>
      </c>
      <c r="H954" s="122" t="s">
        <v>742</v>
      </c>
      <c r="I954" s="74">
        <v>927264</v>
      </c>
      <c r="J954" s="75" t="s">
        <v>19</v>
      </c>
      <c r="K954" s="75" t="s">
        <v>18</v>
      </c>
      <c r="L954" s="134" t="str">
        <f>IF(AND('331-CT'!$E$7=TH!H954,OR(J954="331",K954="331")),"x","")</f>
        <v/>
      </c>
    </row>
    <row r="955" spans="1:12">
      <c r="A955" s="72">
        <f t="shared" si="35"/>
        <v>2015</v>
      </c>
      <c r="B955" s="72">
        <f t="shared" si="36"/>
        <v>10</v>
      </c>
      <c r="C955" s="73">
        <v>42304</v>
      </c>
      <c r="D955" s="73" t="s">
        <v>78</v>
      </c>
      <c r="E955" s="73">
        <v>42304</v>
      </c>
      <c r="F955" s="76" t="s">
        <v>463</v>
      </c>
      <c r="G955" s="265" t="s">
        <v>761</v>
      </c>
      <c r="H955" s="122" t="s">
        <v>190</v>
      </c>
      <c r="I955" s="74">
        <v>10313194</v>
      </c>
      <c r="J955" s="75" t="s">
        <v>655</v>
      </c>
      <c r="K955" s="75" t="s">
        <v>18</v>
      </c>
      <c r="L955" s="134" t="str">
        <f>IF(AND('331-CT'!$E$7=TH!H955,OR(J955="331",K955="331")),"x","")</f>
        <v>x</v>
      </c>
    </row>
    <row r="956" spans="1:12">
      <c r="A956" s="72">
        <f t="shared" si="35"/>
        <v>2015</v>
      </c>
      <c r="B956" s="72">
        <f t="shared" si="36"/>
        <v>10</v>
      </c>
      <c r="C956" s="73">
        <v>42304</v>
      </c>
      <c r="D956" s="73" t="s">
        <v>78</v>
      </c>
      <c r="E956" s="73">
        <v>42304</v>
      </c>
      <c r="F956" s="76" t="s">
        <v>464</v>
      </c>
      <c r="G956" s="270" t="s">
        <v>761</v>
      </c>
      <c r="H956" s="122" t="s">
        <v>190</v>
      </c>
      <c r="I956" s="74">
        <v>1031319</v>
      </c>
      <c r="J956" s="75" t="s">
        <v>19</v>
      </c>
      <c r="K956" s="75" t="s">
        <v>18</v>
      </c>
      <c r="L956" s="134" t="str">
        <f>IF(AND('331-CT'!$E$7=TH!H956,OR(J956="331",K956="331")),"x","")</f>
        <v>x</v>
      </c>
    </row>
    <row r="957" spans="1:12">
      <c r="A957" s="72">
        <f t="shared" si="35"/>
        <v>2015</v>
      </c>
      <c r="B957" s="72">
        <f t="shared" si="36"/>
        <v>10</v>
      </c>
      <c r="C957" s="73">
        <v>42305</v>
      </c>
      <c r="D957" s="73" t="s">
        <v>764</v>
      </c>
      <c r="E957" s="73">
        <v>42303</v>
      </c>
      <c r="F957" s="76" t="s">
        <v>576</v>
      </c>
      <c r="G957" s="270"/>
      <c r="H957" s="122" t="s">
        <v>272</v>
      </c>
      <c r="I957" s="74">
        <v>400000000</v>
      </c>
      <c r="J957" s="75" t="s">
        <v>54</v>
      </c>
      <c r="K957" s="75" t="s">
        <v>203</v>
      </c>
      <c r="L957" s="134" t="str">
        <f>IF(AND('331-CT'!$E$7=TH!H957,OR(J957="331",K957="331")),"x","")</f>
        <v/>
      </c>
    </row>
    <row r="958" spans="1:12">
      <c r="A958" s="72">
        <f t="shared" si="35"/>
        <v>2015</v>
      </c>
      <c r="B958" s="72">
        <f t="shared" si="36"/>
        <v>10</v>
      </c>
      <c r="C958" s="73">
        <v>42305</v>
      </c>
      <c r="D958" s="73" t="s">
        <v>17</v>
      </c>
      <c r="E958" s="73">
        <v>42305</v>
      </c>
      <c r="F958" s="76" t="s">
        <v>301</v>
      </c>
      <c r="G958" s="265"/>
      <c r="H958" s="122" t="s">
        <v>306</v>
      </c>
      <c r="I958" s="74">
        <v>400000000</v>
      </c>
      <c r="J958" s="75" t="s">
        <v>18</v>
      </c>
      <c r="K958" s="75" t="s">
        <v>54</v>
      </c>
      <c r="L958" s="134" t="str">
        <f>IF(AND('331-CT'!$E$7=TH!H958,OR(J958="331",K958="331")),"x","")</f>
        <v/>
      </c>
    </row>
    <row r="959" spans="1:12">
      <c r="A959" s="72">
        <f t="shared" si="35"/>
        <v>2015</v>
      </c>
      <c r="B959" s="72">
        <f t="shared" si="36"/>
        <v>10</v>
      </c>
      <c r="C959" s="73">
        <v>42305</v>
      </c>
      <c r="D959" s="73" t="s">
        <v>17</v>
      </c>
      <c r="E959" s="73">
        <v>42305</v>
      </c>
      <c r="F959" s="76" t="s">
        <v>34</v>
      </c>
      <c r="G959" s="265"/>
      <c r="H959" s="122"/>
      <c r="I959" s="74">
        <v>317438</v>
      </c>
      <c r="J959" s="75" t="s">
        <v>242</v>
      </c>
      <c r="K959" s="75" t="s">
        <v>54</v>
      </c>
      <c r="L959" s="134" t="str">
        <f>IF(AND('331-CT'!$E$7=TH!H959,OR(J959="331",K959="331")),"x","")</f>
        <v/>
      </c>
    </row>
    <row r="960" spans="1:12">
      <c r="A960" s="72">
        <f t="shared" si="35"/>
        <v>2015</v>
      </c>
      <c r="B960" s="72">
        <f t="shared" si="36"/>
        <v>10</v>
      </c>
      <c r="C960" s="73">
        <v>42305</v>
      </c>
      <c r="D960" s="73" t="s">
        <v>17</v>
      </c>
      <c r="E960" s="73">
        <v>42305</v>
      </c>
      <c r="F960" s="76" t="s">
        <v>35</v>
      </c>
      <c r="G960" s="265"/>
      <c r="H960" s="122"/>
      <c r="I960" s="74">
        <v>31744</v>
      </c>
      <c r="J960" s="75" t="s">
        <v>19</v>
      </c>
      <c r="K960" s="75" t="s">
        <v>54</v>
      </c>
      <c r="L960" s="134" t="str">
        <f>IF(AND('331-CT'!$E$7=TH!H960,OR(J960="331",K960="331")),"x","")</f>
        <v/>
      </c>
    </row>
    <row r="961" spans="1:12">
      <c r="A961" s="72">
        <f t="shared" si="35"/>
        <v>2015</v>
      </c>
      <c r="B961" s="72">
        <f t="shared" si="36"/>
        <v>10</v>
      </c>
      <c r="C961" s="73">
        <v>42306</v>
      </c>
      <c r="D961" s="73" t="s">
        <v>765</v>
      </c>
      <c r="E961" s="73">
        <v>42306</v>
      </c>
      <c r="F961" s="76" t="s">
        <v>744</v>
      </c>
      <c r="G961" s="270" t="s">
        <v>745</v>
      </c>
      <c r="H961" s="122" t="s">
        <v>727</v>
      </c>
      <c r="I961" s="74">
        <v>17100000</v>
      </c>
      <c r="J961" s="75" t="s">
        <v>655</v>
      </c>
      <c r="K961" s="75" t="s">
        <v>203</v>
      </c>
      <c r="L961" s="134" t="str">
        <f>IF(AND('331-CT'!$E$7=TH!H961,OR(J961="331",K961="331")),"x","")</f>
        <v/>
      </c>
    </row>
    <row r="962" spans="1:12">
      <c r="A962" s="72">
        <f t="shared" si="35"/>
        <v>2015</v>
      </c>
      <c r="B962" s="72">
        <f t="shared" si="36"/>
        <v>10</v>
      </c>
      <c r="C962" s="73">
        <v>42306</v>
      </c>
      <c r="D962" s="73" t="s">
        <v>765</v>
      </c>
      <c r="E962" s="73">
        <v>42306</v>
      </c>
      <c r="F962" s="76" t="s">
        <v>746</v>
      </c>
      <c r="G962" s="270" t="s">
        <v>745</v>
      </c>
      <c r="H962" s="122" t="s">
        <v>727</v>
      </c>
      <c r="I962" s="74">
        <v>1710000</v>
      </c>
      <c r="J962" s="75" t="s">
        <v>19</v>
      </c>
      <c r="K962" s="75" t="s">
        <v>203</v>
      </c>
      <c r="L962" s="134" t="str">
        <f>IF(AND('331-CT'!$E$7=TH!H962,OR(J962="331",K962="331")),"x","")</f>
        <v/>
      </c>
    </row>
    <row r="963" spans="1:12">
      <c r="A963" s="72">
        <f t="shared" si="35"/>
        <v>2015</v>
      </c>
      <c r="B963" s="72">
        <f t="shared" si="36"/>
        <v>10</v>
      </c>
      <c r="C963" s="73">
        <v>42307</v>
      </c>
      <c r="D963" s="73" t="s">
        <v>766</v>
      </c>
      <c r="E963" s="73">
        <v>42307</v>
      </c>
      <c r="F963" s="76" t="s">
        <v>626</v>
      </c>
      <c r="G963" s="265" t="s">
        <v>714</v>
      </c>
      <c r="H963" s="122" t="s">
        <v>629</v>
      </c>
      <c r="I963" s="74">
        <v>1650000</v>
      </c>
      <c r="J963" s="75" t="s">
        <v>655</v>
      </c>
      <c r="K963" s="75" t="s">
        <v>203</v>
      </c>
      <c r="L963" s="134" t="str">
        <f>IF(AND('331-CT'!$E$7=TH!H963,OR(J963="331",K963="331")),"x","")</f>
        <v/>
      </c>
    </row>
    <row r="964" spans="1:12">
      <c r="A964" s="72">
        <f t="shared" si="35"/>
        <v>2015</v>
      </c>
      <c r="B964" s="72">
        <f t="shared" si="36"/>
        <v>10</v>
      </c>
      <c r="C964" s="73">
        <v>42307</v>
      </c>
      <c r="D964" s="73" t="s">
        <v>766</v>
      </c>
      <c r="E964" s="73">
        <v>42307</v>
      </c>
      <c r="F964" s="76" t="s">
        <v>627</v>
      </c>
      <c r="G964" s="265" t="s">
        <v>714</v>
      </c>
      <c r="H964" s="122" t="s">
        <v>629</v>
      </c>
      <c r="I964" s="74">
        <v>165000</v>
      </c>
      <c r="J964" s="75" t="s">
        <v>19</v>
      </c>
      <c r="K964" s="75" t="s">
        <v>203</v>
      </c>
      <c r="L964" s="134" t="str">
        <f>IF(AND('331-CT'!$E$7=TH!H964,OR(J964="331",K964="331")),"x","")</f>
        <v/>
      </c>
    </row>
    <row r="965" spans="1:12">
      <c r="A965" s="72">
        <f t="shared" si="35"/>
        <v>2015</v>
      </c>
      <c r="B965" s="72">
        <f t="shared" si="36"/>
        <v>10</v>
      </c>
      <c r="C965" s="73">
        <v>42307</v>
      </c>
      <c r="D965" s="73" t="s">
        <v>78</v>
      </c>
      <c r="E965" s="73">
        <v>42307</v>
      </c>
      <c r="F965" s="76" t="s">
        <v>1077</v>
      </c>
      <c r="G965" s="265"/>
      <c r="H965" s="122" t="s">
        <v>520</v>
      </c>
      <c r="I965" s="74">
        <v>1678844208</v>
      </c>
      <c r="J965" s="75" t="s">
        <v>212</v>
      </c>
      <c r="K965" s="75" t="s">
        <v>19</v>
      </c>
      <c r="L965" s="134" t="str">
        <f>IF(AND('331-CT'!$E$7=TH!H965,OR(J965="331",K965="331")),"x","")</f>
        <v/>
      </c>
    </row>
    <row r="966" spans="1:12">
      <c r="A966" s="72">
        <f t="shared" si="35"/>
        <v>2015</v>
      </c>
      <c r="B966" s="72">
        <f t="shared" si="36"/>
        <v>10</v>
      </c>
      <c r="C966" s="73">
        <v>42308</v>
      </c>
      <c r="D966" s="73" t="s">
        <v>771</v>
      </c>
      <c r="E966" s="73">
        <v>42308</v>
      </c>
      <c r="F966" s="76" t="s">
        <v>725</v>
      </c>
      <c r="G966" s="265" t="s">
        <v>747</v>
      </c>
      <c r="H966" s="122" t="s">
        <v>727</v>
      </c>
      <c r="I966" s="74">
        <v>15000000</v>
      </c>
      <c r="J966" s="75" t="s">
        <v>655</v>
      </c>
      <c r="K966" s="75" t="s">
        <v>203</v>
      </c>
      <c r="L966" s="134" t="str">
        <f>IF(AND('331-CT'!$E$7=TH!H966,OR(J966="331",K966="331")),"x","")</f>
        <v/>
      </c>
    </row>
    <row r="967" spans="1:12">
      <c r="A967" s="72">
        <f t="shared" si="35"/>
        <v>2015</v>
      </c>
      <c r="B967" s="72">
        <f t="shared" si="36"/>
        <v>10</v>
      </c>
      <c r="C967" s="73">
        <v>42308</v>
      </c>
      <c r="D967" s="73" t="s">
        <v>771</v>
      </c>
      <c r="E967" s="73">
        <v>42308</v>
      </c>
      <c r="F967" s="76" t="s">
        <v>728</v>
      </c>
      <c r="G967" s="270" t="s">
        <v>747</v>
      </c>
      <c r="H967" s="122" t="s">
        <v>727</v>
      </c>
      <c r="I967" s="74">
        <v>1500000</v>
      </c>
      <c r="J967" s="75" t="s">
        <v>19</v>
      </c>
      <c r="K967" s="75" t="s">
        <v>203</v>
      </c>
      <c r="L967" s="134" t="str">
        <f>IF(AND('331-CT'!$E$7=TH!H967,OR(J967="331",K967="331")),"x","")</f>
        <v/>
      </c>
    </row>
    <row r="968" spans="1:12">
      <c r="A968" s="72">
        <f t="shared" si="35"/>
        <v>2015</v>
      </c>
      <c r="B968" s="72">
        <f t="shared" si="36"/>
        <v>11</v>
      </c>
      <c r="C968" s="73">
        <v>42313</v>
      </c>
      <c r="D968" s="73" t="s">
        <v>776</v>
      </c>
      <c r="E968" s="73">
        <v>42313</v>
      </c>
      <c r="F968" s="76" t="s">
        <v>767</v>
      </c>
      <c r="G968" s="270" t="s">
        <v>768</v>
      </c>
      <c r="H968" s="122" t="s">
        <v>769</v>
      </c>
      <c r="I968" s="74">
        <v>17750000</v>
      </c>
      <c r="J968" s="75" t="s">
        <v>655</v>
      </c>
      <c r="K968" s="75" t="s">
        <v>203</v>
      </c>
      <c r="L968" s="134" t="str">
        <f>IF(AND('331-CT'!$E$7=TH!H968,OR(J968="331",K968="331")),"x","")</f>
        <v/>
      </c>
    </row>
    <row r="969" spans="1:12">
      <c r="A969" s="72">
        <f t="shared" si="35"/>
        <v>2015</v>
      </c>
      <c r="B969" s="72">
        <f t="shared" si="36"/>
        <v>11</v>
      </c>
      <c r="C969" s="73">
        <v>42313</v>
      </c>
      <c r="D969" s="73" t="s">
        <v>776</v>
      </c>
      <c r="E969" s="73">
        <v>42313</v>
      </c>
      <c r="F969" s="76" t="s">
        <v>770</v>
      </c>
      <c r="G969" s="265" t="s">
        <v>768</v>
      </c>
      <c r="H969" s="122" t="s">
        <v>769</v>
      </c>
      <c r="I969" s="74">
        <v>1775000</v>
      </c>
      <c r="J969" s="75" t="s">
        <v>19</v>
      </c>
      <c r="K969" s="75" t="s">
        <v>203</v>
      </c>
      <c r="L969" s="134" t="str">
        <f>IF(AND('331-CT'!$E$7=TH!H969,OR(J969="331",K969="331")),"x","")</f>
        <v/>
      </c>
    </row>
    <row r="970" spans="1:12">
      <c r="A970" s="72">
        <f t="shared" ref="A970:A1033" si="37">IF(C970&lt;&gt;"",YEAR(C970),"")</f>
        <v>2015</v>
      </c>
      <c r="B970" s="72">
        <f t="shared" ref="B970:B1033" si="38">IF(C970&lt;&gt;"",MONTH(C970),"")</f>
        <v>11</v>
      </c>
      <c r="C970" s="73">
        <v>42317</v>
      </c>
      <c r="D970" s="73" t="s">
        <v>778</v>
      </c>
      <c r="E970" s="73">
        <v>42317</v>
      </c>
      <c r="F970" s="76" t="s">
        <v>772</v>
      </c>
      <c r="G970" s="265" t="s">
        <v>773</v>
      </c>
      <c r="H970" s="122" t="s">
        <v>774</v>
      </c>
      <c r="I970" s="74">
        <v>14460700</v>
      </c>
      <c r="J970" s="75" t="s">
        <v>655</v>
      </c>
      <c r="K970" s="75" t="s">
        <v>203</v>
      </c>
      <c r="L970" s="134" t="str">
        <f>IF(AND('331-CT'!$E$7=TH!H970,OR(J970="331",K970="331")),"x","")</f>
        <v/>
      </c>
    </row>
    <row r="971" spans="1:12">
      <c r="A971" s="72">
        <f t="shared" si="37"/>
        <v>2015</v>
      </c>
      <c r="B971" s="72">
        <f t="shared" si="38"/>
        <v>11</v>
      </c>
      <c r="C971" s="73">
        <v>42317</v>
      </c>
      <c r="D971" s="73" t="s">
        <v>778</v>
      </c>
      <c r="E971" s="73">
        <v>42317</v>
      </c>
      <c r="F971" s="76" t="s">
        <v>775</v>
      </c>
      <c r="G971" s="270" t="s">
        <v>773</v>
      </c>
      <c r="H971" s="122" t="s">
        <v>774</v>
      </c>
      <c r="I971" s="74">
        <v>1446070</v>
      </c>
      <c r="J971" s="75" t="s">
        <v>19</v>
      </c>
      <c r="K971" s="75" t="s">
        <v>203</v>
      </c>
      <c r="L971" s="134" t="str">
        <f>IF(AND('331-CT'!$E$7=TH!H971,OR(J971="331",K971="331")),"x","")</f>
        <v/>
      </c>
    </row>
    <row r="972" spans="1:12">
      <c r="A972" s="72">
        <f t="shared" si="37"/>
        <v>2015</v>
      </c>
      <c r="B972" s="72">
        <f t="shared" si="38"/>
        <v>11</v>
      </c>
      <c r="C972" s="73">
        <v>42317</v>
      </c>
      <c r="D972" s="73" t="s">
        <v>780</v>
      </c>
      <c r="E972" s="73">
        <v>42317</v>
      </c>
      <c r="F972" s="76" t="s">
        <v>767</v>
      </c>
      <c r="G972" s="270" t="s">
        <v>777</v>
      </c>
      <c r="H972" s="122" t="s">
        <v>769</v>
      </c>
      <c r="I972" s="74">
        <v>17900000</v>
      </c>
      <c r="J972" s="75" t="s">
        <v>655</v>
      </c>
      <c r="K972" s="75" t="s">
        <v>203</v>
      </c>
      <c r="L972" s="134" t="str">
        <f>IF(AND('331-CT'!$E$7=TH!H972,OR(J972="331",K972="331")),"x","")</f>
        <v/>
      </c>
    </row>
    <row r="973" spans="1:12">
      <c r="A973" s="72">
        <f t="shared" si="37"/>
        <v>2015</v>
      </c>
      <c r="B973" s="72">
        <f t="shared" si="38"/>
        <v>11</v>
      </c>
      <c r="C973" s="73">
        <v>42317</v>
      </c>
      <c r="D973" s="73" t="s">
        <v>780</v>
      </c>
      <c r="E973" s="73">
        <v>42317</v>
      </c>
      <c r="F973" s="76" t="s">
        <v>770</v>
      </c>
      <c r="G973" s="265" t="s">
        <v>777</v>
      </c>
      <c r="H973" s="122" t="s">
        <v>769</v>
      </c>
      <c r="I973" s="74">
        <v>1790000</v>
      </c>
      <c r="J973" s="75" t="s">
        <v>19</v>
      </c>
      <c r="K973" s="75" t="s">
        <v>203</v>
      </c>
      <c r="L973" s="134" t="str">
        <f>IF(AND('331-CT'!$E$7=TH!H973,OR(J973="331",K973="331")),"x","")</f>
        <v/>
      </c>
    </row>
    <row r="974" spans="1:12">
      <c r="A974" s="72">
        <f t="shared" si="37"/>
        <v>2015</v>
      </c>
      <c r="B974" s="72">
        <f t="shared" si="38"/>
        <v>11</v>
      </c>
      <c r="C974" s="73">
        <v>42318</v>
      </c>
      <c r="D974" s="73" t="s">
        <v>785</v>
      </c>
      <c r="E974" s="73">
        <v>42318</v>
      </c>
      <c r="F974" s="76" t="s">
        <v>772</v>
      </c>
      <c r="G974" s="265" t="s">
        <v>779</v>
      </c>
      <c r="H974" s="122" t="s">
        <v>774</v>
      </c>
      <c r="I974" s="74">
        <v>15610550</v>
      </c>
      <c r="J974" s="75" t="s">
        <v>655</v>
      </c>
      <c r="K974" s="75" t="s">
        <v>203</v>
      </c>
      <c r="L974" s="134" t="str">
        <f>IF(AND('331-CT'!$E$7=TH!H974,OR(J974="331",K974="331")),"x","")</f>
        <v/>
      </c>
    </row>
    <row r="975" spans="1:12">
      <c r="A975" s="72">
        <f t="shared" si="37"/>
        <v>2015</v>
      </c>
      <c r="B975" s="72">
        <f t="shared" si="38"/>
        <v>11</v>
      </c>
      <c r="C975" s="73">
        <v>42318</v>
      </c>
      <c r="D975" s="73" t="s">
        <v>785</v>
      </c>
      <c r="E975" s="73">
        <v>42318</v>
      </c>
      <c r="F975" s="76" t="s">
        <v>775</v>
      </c>
      <c r="G975" s="265" t="s">
        <v>779</v>
      </c>
      <c r="H975" s="122" t="s">
        <v>774</v>
      </c>
      <c r="I975" s="74">
        <v>1561055</v>
      </c>
      <c r="J975" s="75" t="s">
        <v>19</v>
      </c>
      <c r="K975" s="75" t="s">
        <v>203</v>
      </c>
      <c r="L975" s="134" t="str">
        <f>IF(AND('331-CT'!$E$7=TH!H975,OR(J975="331",K975="331")),"x","")</f>
        <v/>
      </c>
    </row>
    <row r="976" spans="1:12">
      <c r="A976" s="72">
        <f t="shared" si="37"/>
        <v>2015</v>
      </c>
      <c r="B976" s="72">
        <f t="shared" si="38"/>
        <v>11</v>
      </c>
      <c r="C976" s="73">
        <v>42318</v>
      </c>
      <c r="D976" s="73" t="s">
        <v>793</v>
      </c>
      <c r="E976" s="73">
        <v>42318</v>
      </c>
      <c r="F976" s="76" t="s">
        <v>781</v>
      </c>
      <c r="G976" s="265" t="s">
        <v>782</v>
      </c>
      <c r="H976" s="122" t="s">
        <v>783</v>
      </c>
      <c r="I976" s="74">
        <v>6818182</v>
      </c>
      <c r="J976" s="75" t="s">
        <v>242</v>
      </c>
      <c r="K976" s="75" t="s">
        <v>203</v>
      </c>
      <c r="L976" s="134" t="str">
        <f>IF(AND('331-CT'!$E$7=TH!H976,OR(J976="331",K976="331")),"x","")</f>
        <v/>
      </c>
    </row>
    <row r="977" spans="1:12">
      <c r="A977" s="72">
        <f t="shared" si="37"/>
        <v>2015</v>
      </c>
      <c r="B977" s="72">
        <f t="shared" si="38"/>
        <v>11</v>
      </c>
      <c r="C977" s="73">
        <v>42318</v>
      </c>
      <c r="D977" s="73" t="s">
        <v>793</v>
      </c>
      <c r="E977" s="73">
        <v>42318</v>
      </c>
      <c r="F977" s="76" t="s">
        <v>784</v>
      </c>
      <c r="G977" s="265" t="s">
        <v>782</v>
      </c>
      <c r="H977" s="122" t="s">
        <v>783</v>
      </c>
      <c r="I977" s="74">
        <v>681818</v>
      </c>
      <c r="J977" s="75" t="s">
        <v>19</v>
      </c>
      <c r="K977" s="75" t="s">
        <v>203</v>
      </c>
      <c r="L977" s="134" t="str">
        <f>IF(AND('331-CT'!$E$7=TH!H977,OR(J977="331",K977="331")),"x","")</f>
        <v/>
      </c>
    </row>
    <row r="978" spans="1:12">
      <c r="A978" s="72">
        <f t="shared" si="37"/>
        <v>2015</v>
      </c>
      <c r="B978" s="72">
        <f t="shared" si="38"/>
        <v>11</v>
      </c>
      <c r="C978" s="73">
        <v>42318</v>
      </c>
      <c r="D978" s="73" t="s">
        <v>797</v>
      </c>
      <c r="E978" s="73">
        <v>42318</v>
      </c>
      <c r="F978" s="76" t="s">
        <v>786</v>
      </c>
      <c r="G978" s="265" t="s">
        <v>787</v>
      </c>
      <c r="H978" s="122" t="s">
        <v>788</v>
      </c>
      <c r="I978" s="74">
        <v>7960000</v>
      </c>
      <c r="J978" s="75" t="s">
        <v>655</v>
      </c>
      <c r="K978" s="75" t="s">
        <v>203</v>
      </c>
      <c r="L978" s="134" t="str">
        <f>IF(AND('331-CT'!$E$7=TH!H978,OR(J978="331",K978="331")),"x","")</f>
        <v/>
      </c>
    </row>
    <row r="979" spans="1:12">
      <c r="A979" s="72">
        <f t="shared" si="37"/>
        <v>2015</v>
      </c>
      <c r="B979" s="72">
        <f t="shared" si="38"/>
        <v>11</v>
      </c>
      <c r="C979" s="73">
        <v>42318</v>
      </c>
      <c r="D979" s="73" t="s">
        <v>78</v>
      </c>
      <c r="E979" s="73">
        <v>42318</v>
      </c>
      <c r="F979" s="76" t="s">
        <v>789</v>
      </c>
      <c r="G979" s="265" t="s">
        <v>790</v>
      </c>
      <c r="H979" s="122" t="s">
        <v>791</v>
      </c>
      <c r="I979" s="74">
        <v>15221000</v>
      </c>
      <c r="J979" s="75" t="s">
        <v>655</v>
      </c>
      <c r="K979" s="75" t="s">
        <v>18</v>
      </c>
      <c r="L979" s="134" t="str">
        <f>IF(AND('331-CT'!$E$7=TH!H979,OR(J979="331",K979="331")),"x","")</f>
        <v/>
      </c>
    </row>
    <row r="980" spans="1:12">
      <c r="A980" s="72">
        <f t="shared" si="37"/>
        <v>2015</v>
      </c>
      <c r="B980" s="72">
        <f t="shared" si="38"/>
        <v>11</v>
      </c>
      <c r="C980" s="73">
        <v>42318</v>
      </c>
      <c r="D980" s="73" t="s">
        <v>78</v>
      </c>
      <c r="E980" s="73">
        <v>42318</v>
      </c>
      <c r="F980" s="76" t="s">
        <v>792</v>
      </c>
      <c r="G980" s="265" t="s">
        <v>790</v>
      </c>
      <c r="H980" s="122" t="s">
        <v>791</v>
      </c>
      <c r="I980" s="74">
        <v>1522100</v>
      </c>
      <c r="J980" s="75" t="s">
        <v>19</v>
      </c>
      <c r="K980" s="75" t="s">
        <v>18</v>
      </c>
      <c r="L980" s="134" t="str">
        <f>IF(AND('331-CT'!$E$7=TH!H980,OR(J980="331",K980="331")),"x","")</f>
        <v/>
      </c>
    </row>
    <row r="981" spans="1:12">
      <c r="A981" s="72">
        <f t="shared" si="37"/>
        <v>2015</v>
      </c>
      <c r="B981" s="72">
        <f t="shared" si="38"/>
        <v>11</v>
      </c>
      <c r="C981" s="73">
        <v>42319</v>
      </c>
      <c r="D981" s="73" t="s">
        <v>802</v>
      </c>
      <c r="E981" s="73">
        <v>42319</v>
      </c>
      <c r="F981" s="76" t="s">
        <v>794</v>
      </c>
      <c r="G981" s="265" t="s">
        <v>795</v>
      </c>
      <c r="H981" s="122" t="s">
        <v>774</v>
      </c>
      <c r="I981" s="74">
        <v>15000000</v>
      </c>
      <c r="J981" s="75" t="s">
        <v>655</v>
      </c>
      <c r="K981" s="75" t="s">
        <v>203</v>
      </c>
      <c r="L981" s="134" t="str">
        <f>IF(AND('331-CT'!$E$7=TH!H981,OR(J981="331",K981="331")),"x","")</f>
        <v/>
      </c>
    </row>
    <row r="982" spans="1:12">
      <c r="A982" s="72">
        <f t="shared" si="37"/>
        <v>2015</v>
      </c>
      <c r="B982" s="72">
        <f t="shared" si="38"/>
        <v>11</v>
      </c>
      <c r="C982" s="73">
        <v>42319</v>
      </c>
      <c r="D982" s="73" t="s">
        <v>802</v>
      </c>
      <c r="E982" s="73">
        <v>42319</v>
      </c>
      <c r="F982" s="76" t="s">
        <v>796</v>
      </c>
      <c r="G982" s="265" t="s">
        <v>795</v>
      </c>
      <c r="H982" s="122" t="s">
        <v>774</v>
      </c>
      <c r="I982" s="74">
        <v>1500000</v>
      </c>
      <c r="J982" s="75" t="s">
        <v>19</v>
      </c>
      <c r="K982" s="75" t="s">
        <v>203</v>
      </c>
      <c r="L982" s="134" t="str">
        <f>IF(AND('331-CT'!$E$7=TH!H982,OR(J982="331",K982="331")),"x","")</f>
        <v/>
      </c>
    </row>
    <row r="983" spans="1:12">
      <c r="A983" s="72">
        <f t="shared" si="37"/>
        <v>2015</v>
      </c>
      <c r="B983" s="72">
        <f t="shared" si="38"/>
        <v>11</v>
      </c>
      <c r="C983" s="73">
        <v>42319</v>
      </c>
      <c r="D983" s="73" t="s">
        <v>803</v>
      </c>
      <c r="E983" s="73">
        <v>42319</v>
      </c>
      <c r="F983" s="76" t="s">
        <v>798</v>
      </c>
      <c r="G983" s="265" t="s">
        <v>799</v>
      </c>
      <c r="H983" s="122" t="s">
        <v>800</v>
      </c>
      <c r="I983" s="74">
        <v>8181816</v>
      </c>
      <c r="J983" s="75" t="s">
        <v>655</v>
      </c>
      <c r="K983" s="75" t="s">
        <v>203</v>
      </c>
      <c r="L983" s="134" t="str">
        <f>IF(AND('331-CT'!$E$7=TH!H983,OR(J983="331",K983="331")),"x","")</f>
        <v/>
      </c>
    </row>
    <row r="984" spans="1:12">
      <c r="A984" s="72">
        <f t="shared" si="37"/>
        <v>2015</v>
      </c>
      <c r="B984" s="72">
        <f t="shared" si="38"/>
        <v>11</v>
      </c>
      <c r="C984" s="73">
        <v>42319</v>
      </c>
      <c r="D984" s="73" t="s">
        <v>803</v>
      </c>
      <c r="E984" s="73">
        <v>42319</v>
      </c>
      <c r="F984" s="76" t="s">
        <v>801</v>
      </c>
      <c r="G984" s="265" t="s">
        <v>799</v>
      </c>
      <c r="H984" s="122" t="s">
        <v>800</v>
      </c>
      <c r="I984" s="74">
        <v>818181</v>
      </c>
      <c r="J984" s="75" t="s">
        <v>19</v>
      </c>
      <c r="K984" s="75" t="s">
        <v>203</v>
      </c>
      <c r="L984" s="134" t="str">
        <f>IF(AND('331-CT'!$E$7=TH!H984,OR(J984="331",K984="331")),"x","")</f>
        <v/>
      </c>
    </row>
    <row r="985" spans="1:12">
      <c r="A985" s="72">
        <f t="shared" si="37"/>
        <v>2015</v>
      </c>
      <c r="B985" s="72">
        <f t="shared" si="38"/>
        <v>11</v>
      </c>
      <c r="C985" s="73">
        <v>42319</v>
      </c>
      <c r="D985" s="73" t="s">
        <v>804</v>
      </c>
      <c r="E985" s="73">
        <v>42319</v>
      </c>
      <c r="F985" s="76" t="s">
        <v>576</v>
      </c>
      <c r="G985" s="265"/>
      <c r="H985" s="122" t="s">
        <v>272</v>
      </c>
      <c r="I985" s="74">
        <v>50000000</v>
      </c>
      <c r="J985" s="75" t="s">
        <v>54</v>
      </c>
      <c r="K985" s="75" t="s">
        <v>203</v>
      </c>
      <c r="L985" s="134" t="str">
        <f>IF(AND('331-CT'!$E$7=TH!H985,OR(J985="331",K985="331")),"x","")</f>
        <v/>
      </c>
    </row>
    <row r="986" spans="1:12">
      <c r="A986" s="72">
        <f t="shared" si="37"/>
        <v>2015</v>
      </c>
      <c r="B986" s="72">
        <f t="shared" si="38"/>
        <v>11</v>
      </c>
      <c r="C986" s="73">
        <v>42319</v>
      </c>
      <c r="D986" s="73" t="s">
        <v>17</v>
      </c>
      <c r="E986" s="73">
        <v>42319</v>
      </c>
      <c r="F986" s="76" t="s">
        <v>301</v>
      </c>
      <c r="G986" s="265"/>
      <c r="H986" s="122" t="s">
        <v>151</v>
      </c>
      <c r="I986" s="74">
        <v>50000000</v>
      </c>
      <c r="J986" s="75" t="s">
        <v>18</v>
      </c>
      <c r="K986" s="75" t="s">
        <v>54</v>
      </c>
      <c r="L986" s="134" t="str">
        <f>IF(AND('331-CT'!$E$7=TH!H986,OR(J986="331",K986="331")),"x","")</f>
        <v/>
      </c>
    </row>
    <row r="987" spans="1:12">
      <c r="A987" s="72">
        <f t="shared" si="37"/>
        <v>2015</v>
      </c>
      <c r="B987" s="72">
        <f t="shared" si="38"/>
        <v>11</v>
      </c>
      <c r="C987" s="73">
        <v>42319</v>
      </c>
      <c r="D987" s="73" t="s">
        <v>17</v>
      </c>
      <c r="E987" s="73">
        <v>42319</v>
      </c>
      <c r="F987" s="76" t="s">
        <v>34</v>
      </c>
      <c r="G987" s="265"/>
      <c r="H987" s="122"/>
      <c r="I987" s="74">
        <v>45000</v>
      </c>
      <c r="J987" s="75" t="s">
        <v>242</v>
      </c>
      <c r="K987" s="75" t="s">
        <v>54</v>
      </c>
      <c r="L987" s="134" t="str">
        <f>IF(AND('331-CT'!$E$7=TH!H987,OR(J987="331",K987="331")),"x","")</f>
        <v/>
      </c>
    </row>
    <row r="988" spans="1:12">
      <c r="A988" s="72">
        <f t="shared" si="37"/>
        <v>2015</v>
      </c>
      <c r="B988" s="72">
        <f t="shared" si="38"/>
        <v>11</v>
      </c>
      <c r="C988" s="73">
        <v>42319</v>
      </c>
      <c r="D988" s="73" t="s">
        <v>17</v>
      </c>
      <c r="E988" s="73">
        <v>42319</v>
      </c>
      <c r="F988" s="76" t="s">
        <v>35</v>
      </c>
      <c r="G988" s="265"/>
      <c r="H988" s="122"/>
      <c r="I988" s="74">
        <v>4500</v>
      </c>
      <c r="J988" s="75" t="s">
        <v>19</v>
      </c>
      <c r="K988" s="75" t="s">
        <v>54</v>
      </c>
      <c r="L988" s="134" t="str">
        <f>IF(AND('331-CT'!$E$7=TH!H988,OR(J988="331",K988="331")),"x","")</f>
        <v/>
      </c>
    </row>
    <row r="989" spans="1:12">
      <c r="A989" s="72">
        <f t="shared" si="37"/>
        <v>2015</v>
      </c>
      <c r="B989" s="72">
        <f t="shared" si="38"/>
        <v>11</v>
      </c>
      <c r="C989" s="73">
        <v>42319</v>
      </c>
      <c r="D989" s="73" t="s">
        <v>78</v>
      </c>
      <c r="E989" s="73">
        <v>42319</v>
      </c>
      <c r="F989" s="76" t="s">
        <v>865</v>
      </c>
      <c r="G989" s="265" t="s">
        <v>866</v>
      </c>
      <c r="H989" s="122" t="s">
        <v>649</v>
      </c>
      <c r="I989" s="74">
        <v>35145400</v>
      </c>
      <c r="J989" s="75" t="s">
        <v>242</v>
      </c>
      <c r="K989" s="75" t="s">
        <v>18</v>
      </c>
      <c r="L989" s="134" t="str">
        <f>IF(AND('331-CT'!$E$7=TH!H989,OR(J989="331",K989="331")),"x","")</f>
        <v/>
      </c>
    </row>
    <row r="990" spans="1:12">
      <c r="A990" s="72">
        <f t="shared" si="37"/>
        <v>2015</v>
      </c>
      <c r="B990" s="72">
        <f t="shared" si="38"/>
        <v>11</v>
      </c>
      <c r="C990" s="73">
        <v>42319</v>
      </c>
      <c r="D990" s="73" t="s">
        <v>78</v>
      </c>
      <c r="E990" s="73">
        <v>42319</v>
      </c>
      <c r="F990" s="76" t="s">
        <v>867</v>
      </c>
      <c r="G990" s="265" t="s">
        <v>866</v>
      </c>
      <c r="H990" s="122" t="s">
        <v>649</v>
      </c>
      <c r="I990" s="74">
        <v>3514540</v>
      </c>
      <c r="J990" s="75" t="s">
        <v>19</v>
      </c>
      <c r="K990" s="75" t="s">
        <v>18</v>
      </c>
      <c r="L990" s="134" t="str">
        <f>IF(AND('331-CT'!$E$7=TH!H990,OR(J990="331",K990="331")),"x","")</f>
        <v/>
      </c>
    </row>
    <row r="991" spans="1:12">
      <c r="A991" s="72">
        <f t="shared" si="37"/>
        <v>2015</v>
      </c>
      <c r="B991" s="72">
        <f t="shared" si="38"/>
        <v>11</v>
      </c>
      <c r="C991" s="73">
        <v>42321</v>
      </c>
      <c r="D991" s="73" t="s">
        <v>808</v>
      </c>
      <c r="E991" s="73">
        <v>42321</v>
      </c>
      <c r="F991" s="76" t="s">
        <v>576</v>
      </c>
      <c r="G991" s="265"/>
      <c r="H991" s="122" t="s">
        <v>272</v>
      </c>
      <c r="I991" s="74">
        <v>50000000</v>
      </c>
      <c r="J991" s="75" t="s">
        <v>54</v>
      </c>
      <c r="K991" s="75" t="s">
        <v>203</v>
      </c>
      <c r="L991" s="134" t="str">
        <f>IF(AND('331-CT'!$E$7=TH!H991,OR(J991="331",K991="331")),"x","")</f>
        <v/>
      </c>
    </row>
    <row r="992" spans="1:12">
      <c r="A992" s="72">
        <f t="shared" si="37"/>
        <v>2015</v>
      </c>
      <c r="B992" s="72">
        <f t="shared" si="38"/>
        <v>11</v>
      </c>
      <c r="C992" s="73">
        <v>42321</v>
      </c>
      <c r="D992" s="73" t="s">
        <v>17</v>
      </c>
      <c r="E992" s="73">
        <v>42321</v>
      </c>
      <c r="F992" s="76" t="s">
        <v>840</v>
      </c>
      <c r="G992" s="265"/>
      <c r="H992" s="122" t="s">
        <v>742</v>
      </c>
      <c r="I992" s="74">
        <v>10199904</v>
      </c>
      <c r="J992" s="75" t="s">
        <v>18</v>
      </c>
      <c r="K992" s="75" t="s">
        <v>54</v>
      </c>
      <c r="L992" s="134" t="str">
        <f>IF(AND('331-CT'!$E$7=TH!H992,OR(J992="331",K992="331")),"x","")</f>
        <v/>
      </c>
    </row>
    <row r="993" spans="1:12">
      <c r="A993" s="72">
        <f t="shared" si="37"/>
        <v>2015</v>
      </c>
      <c r="B993" s="72">
        <f t="shared" si="38"/>
        <v>11</v>
      </c>
      <c r="C993" s="73">
        <v>42321</v>
      </c>
      <c r="D993" s="73" t="s">
        <v>17</v>
      </c>
      <c r="E993" s="73">
        <v>42321</v>
      </c>
      <c r="F993" s="76" t="s">
        <v>34</v>
      </c>
      <c r="G993" s="265"/>
      <c r="H993" s="122"/>
      <c r="I993" s="74">
        <v>45000</v>
      </c>
      <c r="J993" s="75" t="s">
        <v>242</v>
      </c>
      <c r="K993" s="75" t="s">
        <v>54</v>
      </c>
      <c r="L993" s="134" t="str">
        <f>IF(AND('331-CT'!$E$7=TH!H993,OR(J993="331",K993="331")),"x","")</f>
        <v/>
      </c>
    </row>
    <row r="994" spans="1:12">
      <c r="A994" s="72">
        <f t="shared" si="37"/>
        <v>2015</v>
      </c>
      <c r="B994" s="72">
        <f t="shared" si="38"/>
        <v>11</v>
      </c>
      <c r="C994" s="73">
        <v>42321</v>
      </c>
      <c r="D994" s="73" t="s">
        <v>17</v>
      </c>
      <c r="E994" s="73">
        <v>42321</v>
      </c>
      <c r="F994" s="76" t="s">
        <v>35</v>
      </c>
      <c r="G994" s="265"/>
      <c r="H994" s="122"/>
      <c r="I994" s="74">
        <v>4500</v>
      </c>
      <c r="J994" s="75" t="s">
        <v>19</v>
      </c>
      <c r="K994" s="75" t="s">
        <v>54</v>
      </c>
      <c r="L994" s="134" t="str">
        <f>IF(AND('331-CT'!$E$7=TH!H994,OR(J994="331",K994="331")),"x","")</f>
        <v/>
      </c>
    </row>
    <row r="995" spans="1:12">
      <c r="A995" s="72">
        <f t="shared" si="37"/>
        <v>2015</v>
      </c>
      <c r="B995" s="72">
        <f t="shared" si="38"/>
        <v>11</v>
      </c>
      <c r="C995" s="73">
        <v>42321</v>
      </c>
      <c r="D995" s="73" t="s">
        <v>17</v>
      </c>
      <c r="E995" s="73">
        <v>42321</v>
      </c>
      <c r="F995" s="76" t="s">
        <v>841</v>
      </c>
      <c r="G995" s="265"/>
      <c r="H995" s="122" t="s">
        <v>649</v>
      </c>
      <c r="I995" s="74">
        <v>30644460</v>
      </c>
      <c r="J995" s="75" t="s">
        <v>18</v>
      </c>
      <c r="K995" s="75" t="s">
        <v>54</v>
      </c>
      <c r="L995" s="134" t="str">
        <f>IF(AND('331-CT'!$E$7=TH!H995,OR(J995="331",K995="331")),"x","")</f>
        <v/>
      </c>
    </row>
    <row r="996" spans="1:12">
      <c r="A996" s="72">
        <f t="shared" si="37"/>
        <v>2015</v>
      </c>
      <c r="B996" s="72">
        <f t="shared" si="38"/>
        <v>11</v>
      </c>
      <c r="C996" s="73">
        <v>42321</v>
      </c>
      <c r="D996" s="73" t="s">
        <v>17</v>
      </c>
      <c r="E996" s="73">
        <v>42321</v>
      </c>
      <c r="F996" s="76" t="s">
        <v>34</v>
      </c>
      <c r="G996" s="265"/>
      <c r="H996" s="122"/>
      <c r="I996" s="74">
        <v>45000</v>
      </c>
      <c r="J996" s="75" t="s">
        <v>242</v>
      </c>
      <c r="K996" s="75" t="s">
        <v>54</v>
      </c>
      <c r="L996" s="134" t="str">
        <f>IF(AND('331-CT'!$E$7=TH!H996,OR(J996="331",K996="331")),"x","")</f>
        <v/>
      </c>
    </row>
    <row r="997" spans="1:12">
      <c r="A997" s="72">
        <f t="shared" si="37"/>
        <v>2015</v>
      </c>
      <c r="B997" s="72">
        <f t="shared" si="38"/>
        <v>11</v>
      </c>
      <c r="C997" s="73">
        <v>42321</v>
      </c>
      <c r="D997" s="73" t="s">
        <v>17</v>
      </c>
      <c r="E997" s="73">
        <v>42321</v>
      </c>
      <c r="F997" s="76" t="s">
        <v>35</v>
      </c>
      <c r="G997" s="265"/>
      <c r="H997" s="122"/>
      <c r="I997" s="74">
        <v>4500</v>
      </c>
      <c r="J997" s="75" t="s">
        <v>19</v>
      </c>
      <c r="K997" s="75" t="s">
        <v>54</v>
      </c>
      <c r="L997" s="134" t="str">
        <f>IF(AND('331-CT'!$E$7=TH!H997,OR(J997="331",K997="331")),"x","")</f>
        <v/>
      </c>
    </row>
    <row r="998" spans="1:12">
      <c r="A998" s="72">
        <f t="shared" si="37"/>
        <v>2015</v>
      </c>
      <c r="B998" s="72">
        <f t="shared" si="38"/>
        <v>11</v>
      </c>
      <c r="C998" s="73">
        <v>42322</v>
      </c>
      <c r="D998" s="73" t="s">
        <v>812</v>
      </c>
      <c r="E998" s="73">
        <v>42322</v>
      </c>
      <c r="F998" s="76" t="s">
        <v>1089</v>
      </c>
      <c r="G998" s="265" t="s">
        <v>474</v>
      </c>
      <c r="H998" s="122" t="s">
        <v>1131</v>
      </c>
      <c r="I998" s="74">
        <v>16500000</v>
      </c>
      <c r="J998" s="75" t="s">
        <v>655</v>
      </c>
      <c r="K998" s="75" t="s">
        <v>203</v>
      </c>
      <c r="L998" s="134" t="str">
        <f>IF(AND('331-CT'!$E$7=TH!H998,OR(J998="331",K998="331")),"x","")</f>
        <v/>
      </c>
    </row>
    <row r="999" spans="1:12">
      <c r="A999" s="72">
        <f t="shared" si="37"/>
        <v>2015</v>
      </c>
      <c r="B999" s="72">
        <f t="shared" si="38"/>
        <v>11</v>
      </c>
      <c r="C999" s="73">
        <v>42322</v>
      </c>
      <c r="D999" s="73" t="s">
        <v>812</v>
      </c>
      <c r="E999" s="73">
        <v>42322</v>
      </c>
      <c r="F999" s="76" t="s">
        <v>1092</v>
      </c>
      <c r="G999" s="265" t="s">
        <v>474</v>
      </c>
      <c r="H999" s="122" t="s">
        <v>1131</v>
      </c>
      <c r="I999" s="74">
        <v>1650000</v>
      </c>
      <c r="J999" s="75" t="s">
        <v>19</v>
      </c>
      <c r="K999" s="75" t="s">
        <v>203</v>
      </c>
      <c r="L999" s="134" t="str">
        <f>IF(AND('331-CT'!$E$7=TH!H999,OR(J999="331",K999="331")),"x","")</f>
        <v/>
      </c>
    </row>
    <row r="1000" spans="1:12">
      <c r="A1000" s="72">
        <f t="shared" si="37"/>
        <v>2015</v>
      </c>
      <c r="B1000" s="72">
        <f t="shared" si="38"/>
        <v>11</v>
      </c>
      <c r="C1000" s="73">
        <v>42324</v>
      </c>
      <c r="D1000" s="73" t="s">
        <v>814</v>
      </c>
      <c r="E1000" s="73">
        <v>42324</v>
      </c>
      <c r="F1000" s="76" t="s">
        <v>1084</v>
      </c>
      <c r="G1000" s="265" t="s">
        <v>1085</v>
      </c>
      <c r="H1000" s="122" t="s">
        <v>1086</v>
      </c>
      <c r="I1000" s="74">
        <v>277273</v>
      </c>
      <c r="J1000" s="75" t="s">
        <v>242</v>
      </c>
      <c r="K1000" s="75" t="s">
        <v>203</v>
      </c>
      <c r="L1000" s="134" t="str">
        <f>IF(AND('331-CT'!$E$7=TH!H1000,OR(J1000="331",K1000="331")),"x","")</f>
        <v/>
      </c>
    </row>
    <row r="1001" spans="1:12">
      <c r="A1001" s="72">
        <f t="shared" si="37"/>
        <v>2015</v>
      </c>
      <c r="B1001" s="72">
        <f t="shared" si="38"/>
        <v>11</v>
      </c>
      <c r="C1001" s="73">
        <v>42324</v>
      </c>
      <c r="D1001" s="73" t="s">
        <v>814</v>
      </c>
      <c r="E1001" s="73">
        <v>42324</v>
      </c>
      <c r="F1001" s="76" t="s">
        <v>1087</v>
      </c>
      <c r="G1001" s="265" t="s">
        <v>1085</v>
      </c>
      <c r="H1001" s="122" t="s">
        <v>1086</v>
      </c>
      <c r="I1001" s="74">
        <v>27727</v>
      </c>
      <c r="J1001" s="75" t="s">
        <v>19</v>
      </c>
      <c r="K1001" s="75" t="s">
        <v>203</v>
      </c>
      <c r="L1001" s="134" t="str">
        <f>IF(AND('331-CT'!$E$7=TH!H1001,OR(J1001="331",K1001="331")),"x","")</f>
        <v/>
      </c>
    </row>
    <row r="1002" spans="1:12">
      <c r="A1002" s="72">
        <f t="shared" si="37"/>
        <v>2015</v>
      </c>
      <c r="B1002" s="72">
        <f t="shared" si="38"/>
        <v>11</v>
      </c>
      <c r="C1002" s="73">
        <v>42325</v>
      </c>
      <c r="D1002" s="73" t="s">
        <v>78</v>
      </c>
      <c r="E1002" s="73">
        <v>42325</v>
      </c>
      <c r="F1002" s="76" t="s">
        <v>463</v>
      </c>
      <c r="G1002" s="265" t="s">
        <v>819</v>
      </c>
      <c r="H1002" s="122" t="s">
        <v>300</v>
      </c>
      <c r="I1002" s="74">
        <v>83901727</v>
      </c>
      <c r="J1002" s="75" t="s">
        <v>655</v>
      </c>
      <c r="K1002" s="75" t="s">
        <v>18</v>
      </c>
      <c r="L1002" s="134" t="str">
        <f>IF(AND('331-CT'!$E$7=TH!H1002,OR(J1002="331",K1002="331")),"x","")</f>
        <v/>
      </c>
    </row>
    <row r="1003" spans="1:12">
      <c r="A1003" s="72">
        <f t="shared" si="37"/>
        <v>2015</v>
      </c>
      <c r="B1003" s="72">
        <f t="shared" si="38"/>
        <v>11</v>
      </c>
      <c r="C1003" s="73">
        <v>42325</v>
      </c>
      <c r="D1003" s="73" t="s">
        <v>78</v>
      </c>
      <c r="E1003" s="73">
        <v>42325</v>
      </c>
      <c r="F1003" s="76" t="s">
        <v>464</v>
      </c>
      <c r="G1003" s="265" t="s">
        <v>819</v>
      </c>
      <c r="H1003" s="122" t="s">
        <v>300</v>
      </c>
      <c r="I1003" s="74">
        <v>8390173</v>
      </c>
      <c r="J1003" s="75" t="s">
        <v>19</v>
      </c>
      <c r="K1003" s="75" t="s">
        <v>18</v>
      </c>
      <c r="L1003" s="134" t="str">
        <f>IF(AND('331-CT'!$E$7=TH!H1003,OR(J1003="331",K1003="331")),"x","")</f>
        <v/>
      </c>
    </row>
    <row r="1004" spans="1:12">
      <c r="A1004" s="72">
        <f t="shared" si="37"/>
        <v>2015</v>
      </c>
      <c r="B1004" s="72">
        <f t="shared" si="38"/>
        <v>11</v>
      </c>
      <c r="C1004" s="73">
        <v>42327</v>
      </c>
      <c r="D1004" s="73" t="s">
        <v>815</v>
      </c>
      <c r="E1004" s="73">
        <v>42327</v>
      </c>
      <c r="F1004" s="76" t="s">
        <v>1089</v>
      </c>
      <c r="G1004" s="265" t="s">
        <v>1132</v>
      </c>
      <c r="H1004" s="122" t="s">
        <v>1131</v>
      </c>
      <c r="I1004" s="74">
        <v>17250000</v>
      </c>
      <c r="J1004" s="75" t="s">
        <v>655</v>
      </c>
      <c r="K1004" s="75" t="s">
        <v>203</v>
      </c>
      <c r="L1004" s="134" t="str">
        <f>IF(AND('331-CT'!$E$7=TH!H1004,OR(J1004="331",K1004="331")),"x","")</f>
        <v/>
      </c>
    </row>
    <row r="1005" spans="1:12">
      <c r="A1005" s="72">
        <f t="shared" si="37"/>
        <v>2015</v>
      </c>
      <c r="B1005" s="72">
        <f t="shared" si="38"/>
        <v>11</v>
      </c>
      <c r="C1005" s="73">
        <v>42327</v>
      </c>
      <c r="D1005" s="73" t="s">
        <v>815</v>
      </c>
      <c r="E1005" s="73">
        <v>42327</v>
      </c>
      <c r="F1005" s="76" t="s">
        <v>1092</v>
      </c>
      <c r="G1005" s="265" t="s">
        <v>1132</v>
      </c>
      <c r="H1005" s="122" t="s">
        <v>1131</v>
      </c>
      <c r="I1005" s="74">
        <v>1725000</v>
      </c>
      <c r="J1005" s="75" t="s">
        <v>19</v>
      </c>
      <c r="K1005" s="75" t="s">
        <v>203</v>
      </c>
      <c r="L1005" s="134" t="str">
        <f>IF(AND('331-CT'!$E$7=TH!H1005,OR(J1005="331",K1005="331")),"x","")</f>
        <v/>
      </c>
    </row>
    <row r="1006" spans="1:12">
      <c r="A1006" s="72">
        <f t="shared" si="37"/>
        <v>2015</v>
      </c>
      <c r="B1006" s="72">
        <f t="shared" si="38"/>
        <v>11</v>
      </c>
      <c r="C1006" s="73">
        <v>42328</v>
      </c>
      <c r="D1006" s="73" t="s">
        <v>826</v>
      </c>
      <c r="E1006" s="73">
        <v>42328</v>
      </c>
      <c r="F1006" s="76" t="s">
        <v>805</v>
      </c>
      <c r="G1006" s="265" t="s">
        <v>806</v>
      </c>
      <c r="H1006" s="122" t="s">
        <v>280</v>
      </c>
      <c r="I1006" s="74">
        <v>280531</v>
      </c>
      <c r="J1006" s="75" t="s">
        <v>242</v>
      </c>
      <c r="K1006" s="75" t="s">
        <v>203</v>
      </c>
      <c r="L1006" s="134" t="str">
        <f>IF(AND('331-CT'!$E$7=TH!H1006,OR(J1006="331",K1006="331")),"x","")</f>
        <v/>
      </c>
    </row>
    <row r="1007" spans="1:12">
      <c r="A1007" s="72">
        <f t="shared" si="37"/>
        <v>2015</v>
      </c>
      <c r="B1007" s="72">
        <f t="shared" si="38"/>
        <v>11</v>
      </c>
      <c r="C1007" s="73">
        <v>42328</v>
      </c>
      <c r="D1007" s="73" t="s">
        <v>826</v>
      </c>
      <c r="E1007" s="73">
        <v>42328</v>
      </c>
      <c r="F1007" s="76" t="s">
        <v>807</v>
      </c>
      <c r="G1007" s="265" t="s">
        <v>806</v>
      </c>
      <c r="H1007" s="122" t="s">
        <v>280</v>
      </c>
      <c r="I1007" s="74">
        <v>28053</v>
      </c>
      <c r="J1007" s="75" t="s">
        <v>19</v>
      </c>
      <c r="K1007" s="75" t="s">
        <v>203</v>
      </c>
      <c r="L1007" s="134" t="str">
        <f>IF(AND('331-CT'!$E$7=TH!H1007,OR(J1007="331",K1007="331")),"x","")</f>
        <v/>
      </c>
    </row>
    <row r="1008" spans="1:12">
      <c r="A1008" s="72">
        <f t="shared" si="37"/>
        <v>2015</v>
      </c>
      <c r="B1008" s="72">
        <f t="shared" si="38"/>
        <v>11</v>
      </c>
      <c r="C1008" s="73">
        <v>42328</v>
      </c>
      <c r="D1008" s="73" t="s">
        <v>830</v>
      </c>
      <c r="E1008" s="73">
        <v>42328</v>
      </c>
      <c r="F1008" s="76" t="s">
        <v>809</v>
      </c>
      <c r="G1008" s="265" t="s">
        <v>810</v>
      </c>
      <c r="H1008" s="122" t="s">
        <v>280</v>
      </c>
      <c r="I1008" s="74">
        <v>305830</v>
      </c>
      <c r="J1008" s="75" t="s">
        <v>242</v>
      </c>
      <c r="K1008" s="75" t="s">
        <v>203</v>
      </c>
      <c r="L1008" s="134" t="str">
        <f>IF(AND('331-CT'!$E$7=TH!H1008,OR(J1008="331",K1008="331")),"x","")</f>
        <v/>
      </c>
    </row>
    <row r="1009" spans="1:12">
      <c r="A1009" s="72">
        <f t="shared" si="37"/>
        <v>2015</v>
      </c>
      <c r="B1009" s="72">
        <f t="shared" si="38"/>
        <v>11</v>
      </c>
      <c r="C1009" s="73">
        <v>42328</v>
      </c>
      <c r="D1009" s="73" t="s">
        <v>830</v>
      </c>
      <c r="E1009" s="73">
        <v>42328</v>
      </c>
      <c r="F1009" s="76" t="s">
        <v>811</v>
      </c>
      <c r="G1009" s="265" t="s">
        <v>810</v>
      </c>
      <c r="H1009" s="122" t="s">
        <v>280</v>
      </c>
      <c r="I1009" s="74">
        <v>30583</v>
      </c>
      <c r="J1009" s="75" t="s">
        <v>19</v>
      </c>
      <c r="K1009" s="75" t="s">
        <v>203</v>
      </c>
      <c r="L1009" s="134" t="str">
        <f>IF(AND('331-CT'!$E$7=TH!H1009,OR(J1009="331",K1009="331")),"x","")</f>
        <v/>
      </c>
    </row>
    <row r="1010" spans="1:12">
      <c r="A1010" s="72">
        <f t="shared" si="37"/>
        <v>2015</v>
      </c>
      <c r="B1010" s="72">
        <f t="shared" si="38"/>
        <v>11</v>
      </c>
      <c r="C1010" s="73">
        <v>42328</v>
      </c>
      <c r="D1010" s="73" t="s">
        <v>834</v>
      </c>
      <c r="E1010" s="73">
        <v>42328</v>
      </c>
      <c r="F1010" s="76" t="s">
        <v>626</v>
      </c>
      <c r="G1010" s="265" t="s">
        <v>813</v>
      </c>
      <c r="H1010" s="122" t="s">
        <v>629</v>
      </c>
      <c r="I1010" s="74">
        <v>6700000</v>
      </c>
      <c r="J1010" s="75" t="s">
        <v>242</v>
      </c>
      <c r="K1010" s="75" t="s">
        <v>203</v>
      </c>
      <c r="L1010" s="134" t="str">
        <f>IF(AND('331-CT'!$E$7=TH!H1010,OR(J1010="331",K1010="331")),"x","")</f>
        <v/>
      </c>
    </row>
    <row r="1011" spans="1:12">
      <c r="A1011" s="72">
        <f t="shared" si="37"/>
        <v>2015</v>
      </c>
      <c r="B1011" s="72">
        <f t="shared" si="38"/>
        <v>11</v>
      </c>
      <c r="C1011" s="73">
        <v>42328</v>
      </c>
      <c r="D1011" s="73" t="s">
        <v>834</v>
      </c>
      <c r="E1011" s="73">
        <v>42328</v>
      </c>
      <c r="F1011" s="76" t="s">
        <v>627</v>
      </c>
      <c r="G1011" s="265" t="s">
        <v>813</v>
      </c>
      <c r="H1011" s="122" t="s">
        <v>629</v>
      </c>
      <c r="I1011" s="74">
        <v>670000</v>
      </c>
      <c r="J1011" s="75" t="s">
        <v>19</v>
      </c>
      <c r="K1011" s="75" t="s">
        <v>203</v>
      </c>
      <c r="L1011" s="134" t="str">
        <f>IF(AND('331-CT'!$E$7=TH!H1011,OR(J1011="331",K1011="331")),"x","")</f>
        <v/>
      </c>
    </row>
    <row r="1012" spans="1:12">
      <c r="A1012" s="72">
        <f t="shared" si="37"/>
        <v>2015</v>
      </c>
      <c r="B1012" s="72">
        <f t="shared" si="38"/>
        <v>11</v>
      </c>
      <c r="C1012" s="73">
        <v>42328</v>
      </c>
      <c r="D1012" s="73" t="s">
        <v>78</v>
      </c>
      <c r="E1012" s="73">
        <v>42328</v>
      </c>
      <c r="F1012" s="76" t="s">
        <v>820</v>
      </c>
      <c r="G1012" s="265" t="s">
        <v>821</v>
      </c>
      <c r="H1012" s="122" t="s">
        <v>111</v>
      </c>
      <c r="I1012" s="74">
        <v>280636364</v>
      </c>
      <c r="J1012" s="75" t="s">
        <v>655</v>
      </c>
      <c r="K1012" s="75" t="s">
        <v>18</v>
      </c>
      <c r="L1012" s="134" t="str">
        <f>IF(AND('331-CT'!$E$7=TH!H1012,OR(J1012="331",K1012="331")),"x","")</f>
        <v/>
      </c>
    </row>
    <row r="1013" spans="1:12">
      <c r="A1013" s="72">
        <f t="shared" si="37"/>
        <v>2015</v>
      </c>
      <c r="B1013" s="72">
        <f t="shared" si="38"/>
        <v>11</v>
      </c>
      <c r="C1013" s="73">
        <v>42328</v>
      </c>
      <c r="D1013" s="73" t="s">
        <v>78</v>
      </c>
      <c r="E1013" s="73">
        <v>42328</v>
      </c>
      <c r="F1013" s="76" t="s">
        <v>822</v>
      </c>
      <c r="G1013" s="265" t="s">
        <v>821</v>
      </c>
      <c r="H1013" s="122" t="s">
        <v>111</v>
      </c>
      <c r="I1013" s="74">
        <v>28063636</v>
      </c>
      <c r="J1013" s="75" t="s">
        <v>19</v>
      </c>
      <c r="K1013" s="75" t="s">
        <v>18</v>
      </c>
      <c r="L1013" s="134" t="str">
        <f>IF(AND('331-CT'!$E$7=TH!H1013,OR(J1013="331",K1013="331")),"x","")</f>
        <v/>
      </c>
    </row>
    <row r="1014" spans="1:12">
      <c r="A1014" s="72">
        <f t="shared" si="37"/>
        <v>2015</v>
      </c>
      <c r="B1014" s="72">
        <f t="shared" si="38"/>
        <v>11</v>
      </c>
      <c r="C1014" s="73">
        <v>42328</v>
      </c>
      <c r="D1014" s="73" t="s">
        <v>17</v>
      </c>
      <c r="E1014" s="73">
        <v>42328</v>
      </c>
      <c r="F1014" s="76" t="s">
        <v>119</v>
      </c>
      <c r="G1014" s="265"/>
      <c r="H1014" s="122" t="s">
        <v>314</v>
      </c>
      <c r="I1014" s="74">
        <v>8183794</v>
      </c>
      <c r="J1014" s="75" t="s">
        <v>240</v>
      </c>
      <c r="K1014" s="75" t="s">
        <v>54</v>
      </c>
      <c r="L1014" s="134" t="str">
        <f>IF(AND('331-CT'!$E$7=TH!H1014,OR(J1014="331",K1014="331")),"x","")</f>
        <v/>
      </c>
    </row>
    <row r="1015" spans="1:12">
      <c r="A1015" s="72">
        <f t="shared" si="37"/>
        <v>2015</v>
      </c>
      <c r="B1015" s="72">
        <f t="shared" si="38"/>
        <v>11</v>
      </c>
      <c r="C1015" s="73">
        <v>42329</v>
      </c>
      <c r="D1015" s="73" t="s">
        <v>835</v>
      </c>
      <c r="E1015" s="73">
        <v>42329</v>
      </c>
      <c r="F1015" s="76" t="s">
        <v>576</v>
      </c>
      <c r="G1015" s="265"/>
      <c r="H1015" s="122" t="s">
        <v>272</v>
      </c>
      <c r="I1015" s="74">
        <v>165000000</v>
      </c>
      <c r="J1015" s="75" t="s">
        <v>54</v>
      </c>
      <c r="K1015" s="75" t="s">
        <v>203</v>
      </c>
      <c r="L1015" s="134" t="str">
        <f>IF(AND('331-CT'!$E$7=TH!H1015,OR(J1015="331",K1015="331")),"x","")</f>
        <v/>
      </c>
    </row>
    <row r="1016" spans="1:12">
      <c r="A1016" s="72">
        <f t="shared" si="37"/>
        <v>2015</v>
      </c>
      <c r="B1016" s="72">
        <f t="shared" si="38"/>
        <v>11</v>
      </c>
      <c r="C1016" s="73">
        <v>42329</v>
      </c>
      <c r="D1016" s="73" t="s">
        <v>1088</v>
      </c>
      <c r="E1016" s="73">
        <v>42329</v>
      </c>
      <c r="F1016" s="76" t="s">
        <v>816</v>
      </c>
      <c r="G1016" s="265" t="s">
        <v>817</v>
      </c>
      <c r="H1016" s="122" t="s">
        <v>188</v>
      </c>
      <c r="I1016" s="74">
        <v>9042800</v>
      </c>
      <c r="J1016" s="75" t="s">
        <v>242</v>
      </c>
      <c r="K1016" s="75" t="s">
        <v>203</v>
      </c>
      <c r="L1016" s="134" t="str">
        <f>IF(AND('331-CT'!$E$7=TH!H1016,OR(J1016="331",K1016="331")),"x","")</f>
        <v/>
      </c>
    </row>
    <row r="1017" spans="1:12">
      <c r="A1017" s="72">
        <f t="shared" si="37"/>
        <v>2015</v>
      </c>
      <c r="B1017" s="72">
        <f t="shared" si="38"/>
        <v>11</v>
      </c>
      <c r="C1017" s="73">
        <v>42329</v>
      </c>
      <c r="D1017" s="73" t="s">
        <v>1088</v>
      </c>
      <c r="E1017" s="73">
        <v>42329</v>
      </c>
      <c r="F1017" s="76" t="s">
        <v>818</v>
      </c>
      <c r="G1017" s="265" t="s">
        <v>817</v>
      </c>
      <c r="H1017" s="122" t="s">
        <v>188</v>
      </c>
      <c r="I1017" s="74">
        <v>452140</v>
      </c>
      <c r="J1017" s="75" t="s">
        <v>19</v>
      </c>
      <c r="K1017" s="75" t="s">
        <v>203</v>
      </c>
      <c r="L1017" s="134" t="str">
        <f>IF(AND('331-CT'!$E$7=TH!H1017,OR(J1017="331",K1017="331")),"x","")</f>
        <v/>
      </c>
    </row>
    <row r="1018" spans="1:12">
      <c r="A1018" s="72">
        <f t="shared" si="37"/>
        <v>2015</v>
      </c>
      <c r="B1018" s="72">
        <f t="shared" si="38"/>
        <v>11</v>
      </c>
      <c r="C1018" s="73">
        <v>42329</v>
      </c>
      <c r="D1018" s="73" t="s">
        <v>78</v>
      </c>
      <c r="E1018" s="73">
        <v>42329</v>
      </c>
      <c r="F1018" s="76" t="s">
        <v>823</v>
      </c>
      <c r="G1018" s="265" t="s">
        <v>824</v>
      </c>
      <c r="H1018" s="122" t="s">
        <v>111</v>
      </c>
      <c r="I1018" s="74">
        <v>455818182</v>
      </c>
      <c r="J1018" s="75" t="s">
        <v>655</v>
      </c>
      <c r="K1018" s="75" t="s">
        <v>18</v>
      </c>
      <c r="L1018" s="134" t="str">
        <f>IF(AND('331-CT'!$E$7=TH!H1018,OR(J1018="331",K1018="331")),"x","")</f>
        <v/>
      </c>
    </row>
    <row r="1019" spans="1:12">
      <c r="A1019" s="72">
        <f t="shared" si="37"/>
        <v>2015</v>
      </c>
      <c r="B1019" s="72">
        <f t="shared" si="38"/>
        <v>11</v>
      </c>
      <c r="C1019" s="73">
        <v>42329</v>
      </c>
      <c r="D1019" s="73" t="s">
        <v>78</v>
      </c>
      <c r="E1019" s="73">
        <v>42329</v>
      </c>
      <c r="F1019" s="76" t="s">
        <v>825</v>
      </c>
      <c r="G1019" s="265" t="s">
        <v>824</v>
      </c>
      <c r="H1019" s="122" t="s">
        <v>111</v>
      </c>
      <c r="I1019" s="74">
        <v>45581818</v>
      </c>
      <c r="J1019" s="75" t="s">
        <v>19</v>
      </c>
      <c r="K1019" s="75" t="s">
        <v>18</v>
      </c>
      <c r="L1019" s="134" t="str">
        <f>IF(AND('331-CT'!$E$7=TH!H1019,OR(J1019="331",K1019="331")),"x","")</f>
        <v/>
      </c>
    </row>
    <row r="1020" spans="1:12">
      <c r="A1020" s="72">
        <f t="shared" si="37"/>
        <v>2015</v>
      </c>
      <c r="B1020" s="72">
        <f t="shared" si="38"/>
        <v>11</v>
      </c>
      <c r="C1020" s="73">
        <v>42329</v>
      </c>
      <c r="D1020" s="73" t="s">
        <v>17</v>
      </c>
      <c r="E1020" s="73">
        <v>42329</v>
      </c>
      <c r="F1020" s="76" t="s">
        <v>141</v>
      </c>
      <c r="G1020" s="265"/>
      <c r="H1020" s="122" t="s">
        <v>315</v>
      </c>
      <c r="I1020" s="74">
        <v>16374064</v>
      </c>
      <c r="J1020" s="75" t="s">
        <v>240</v>
      </c>
      <c r="K1020" s="75" t="s">
        <v>54</v>
      </c>
      <c r="L1020" s="134" t="str">
        <f>IF(AND('331-CT'!$E$7=TH!H1020,OR(J1020="331",K1020="331")),"x","")</f>
        <v/>
      </c>
    </row>
    <row r="1021" spans="1:12">
      <c r="A1021" s="72">
        <f t="shared" si="37"/>
        <v>2015</v>
      </c>
      <c r="B1021" s="72">
        <f t="shared" si="38"/>
        <v>11</v>
      </c>
      <c r="C1021" s="73">
        <v>42329</v>
      </c>
      <c r="D1021" s="73" t="s">
        <v>17</v>
      </c>
      <c r="E1021" s="73">
        <v>42329</v>
      </c>
      <c r="F1021" s="76" t="s">
        <v>143</v>
      </c>
      <c r="G1021" s="265"/>
      <c r="H1021" s="122" t="s">
        <v>317</v>
      </c>
      <c r="I1021" s="74">
        <v>13099251</v>
      </c>
      <c r="J1021" s="75" t="s">
        <v>240</v>
      </c>
      <c r="K1021" s="75" t="s">
        <v>54</v>
      </c>
      <c r="L1021" s="134" t="str">
        <f>IF(AND('331-CT'!$E$7=TH!H1021,OR(J1021="331",K1021="331")),"x","")</f>
        <v/>
      </c>
    </row>
    <row r="1022" spans="1:12">
      <c r="A1022" s="72">
        <f t="shared" si="37"/>
        <v>2015</v>
      </c>
      <c r="B1022" s="72">
        <f t="shared" si="38"/>
        <v>11</v>
      </c>
      <c r="C1022" s="73">
        <v>42329</v>
      </c>
      <c r="D1022" s="73" t="s">
        <v>17</v>
      </c>
      <c r="E1022" s="73">
        <v>42329</v>
      </c>
      <c r="F1022" s="76" t="s">
        <v>144</v>
      </c>
      <c r="G1022" s="265"/>
      <c r="H1022" s="122" t="s">
        <v>316</v>
      </c>
      <c r="I1022" s="74">
        <v>12280547</v>
      </c>
      <c r="J1022" s="75" t="s">
        <v>240</v>
      </c>
      <c r="K1022" s="75" t="s">
        <v>54</v>
      </c>
      <c r="L1022" s="134" t="str">
        <f>IF(AND('331-CT'!$E$7=TH!H1022,OR(J1022="331",K1022="331")),"x","")</f>
        <v/>
      </c>
    </row>
    <row r="1023" spans="1:12">
      <c r="A1023" s="72">
        <f t="shared" si="37"/>
        <v>2015</v>
      </c>
      <c r="B1023" s="72">
        <f t="shared" si="38"/>
        <v>11</v>
      </c>
      <c r="C1023" s="73">
        <v>42329</v>
      </c>
      <c r="D1023" s="73" t="s">
        <v>17</v>
      </c>
      <c r="E1023" s="73">
        <v>42329</v>
      </c>
      <c r="F1023" s="76" t="s">
        <v>145</v>
      </c>
      <c r="G1023" s="265"/>
      <c r="H1023" s="122" t="s">
        <v>318</v>
      </c>
      <c r="I1023" s="74">
        <v>8187032</v>
      </c>
      <c r="J1023" s="75" t="s">
        <v>240</v>
      </c>
      <c r="K1023" s="75" t="s">
        <v>54</v>
      </c>
      <c r="L1023" s="134" t="str">
        <f>IF(AND('331-CT'!$E$7=TH!H1023,OR(J1023="331",K1023="331")),"x","")</f>
        <v/>
      </c>
    </row>
    <row r="1024" spans="1:12">
      <c r="A1024" s="72">
        <f t="shared" si="37"/>
        <v>2015</v>
      </c>
      <c r="B1024" s="72">
        <f t="shared" si="38"/>
        <v>11</v>
      </c>
      <c r="C1024" s="73">
        <v>42329</v>
      </c>
      <c r="D1024" s="73" t="s">
        <v>17</v>
      </c>
      <c r="E1024" s="73">
        <v>42329</v>
      </c>
      <c r="F1024" s="76" t="s">
        <v>147</v>
      </c>
      <c r="G1024" s="265"/>
      <c r="H1024" s="122" t="s">
        <v>319</v>
      </c>
      <c r="I1024" s="74">
        <v>12280547</v>
      </c>
      <c r="J1024" s="75" t="s">
        <v>240</v>
      </c>
      <c r="K1024" s="75" t="s">
        <v>54</v>
      </c>
      <c r="L1024" s="134" t="str">
        <f>IF(AND('331-CT'!$E$7=TH!H1024,OR(J1024="331",K1024="331")),"x","")</f>
        <v/>
      </c>
    </row>
    <row r="1025" spans="1:12">
      <c r="A1025" s="72">
        <f t="shared" si="37"/>
        <v>2015</v>
      </c>
      <c r="B1025" s="72">
        <f t="shared" si="38"/>
        <v>11</v>
      </c>
      <c r="C1025" s="73">
        <v>42329</v>
      </c>
      <c r="D1025" s="73" t="s">
        <v>17</v>
      </c>
      <c r="E1025" s="73">
        <v>42329</v>
      </c>
      <c r="F1025" s="76" t="s">
        <v>273</v>
      </c>
      <c r="G1025" s="265"/>
      <c r="H1025" s="122" t="s">
        <v>320</v>
      </c>
      <c r="I1025" s="74">
        <v>16374064</v>
      </c>
      <c r="J1025" s="75" t="s">
        <v>240</v>
      </c>
      <c r="K1025" s="75" t="s">
        <v>54</v>
      </c>
      <c r="L1025" s="134" t="str">
        <f>IF(AND('331-CT'!$E$7=TH!H1025,OR(J1025="331",K1025="331")),"x","")</f>
        <v/>
      </c>
    </row>
    <row r="1026" spans="1:12">
      <c r="A1026" s="72">
        <f t="shared" si="37"/>
        <v>2015</v>
      </c>
      <c r="B1026" s="72">
        <f t="shared" si="38"/>
        <v>11</v>
      </c>
      <c r="C1026" s="73">
        <v>42329</v>
      </c>
      <c r="D1026" s="73" t="s">
        <v>17</v>
      </c>
      <c r="E1026" s="73">
        <v>42329</v>
      </c>
      <c r="F1026" s="76" t="s">
        <v>303</v>
      </c>
      <c r="G1026" s="265"/>
      <c r="H1026" s="122" t="s">
        <v>321</v>
      </c>
      <c r="I1026" s="74">
        <v>11461845</v>
      </c>
      <c r="J1026" s="75" t="s">
        <v>240</v>
      </c>
      <c r="K1026" s="75" t="s">
        <v>54</v>
      </c>
      <c r="L1026" s="134" t="str">
        <f>IF(AND('331-CT'!$E$7=TH!H1026,OR(J1026="331",K1026="331")),"x","")</f>
        <v/>
      </c>
    </row>
    <row r="1027" spans="1:12">
      <c r="A1027" s="72">
        <f t="shared" si="37"/>
        <v>2015</v>
      </c>
      <c r="B1027" s="72">
        <f t="shared" si="38"/>
        <v>11</v>
      </c>
      <c r="C1027" s="73">
        <v>42329</v>
      </c>
      <c r="D1027" s="73" t="s">
        <v>17</v>
      </c>
      <c r="E1027" s="73">
        <v>42329</v>
      </c>
      <c r="F1027" s="76" t="s">
        <v>304</v>
      </c>
      <c r="G1027" s="265"/>
      <c r="H1027" s="122" t="s">
        <v>322</v>
      </c>
      <c r="I1027" s="74">
        <v>12280547</v>
      </c>
      <c r="J1027" s="75" t="s">
        <v>240</v>
      </c>
      <c r="K1027" s="75" t="s">
        <v>54</v>
      </c>
      <c r="L1027" s="134" t="str">
        <f>IF(AND('331-CT'!$E$7=TH!H1027,OR(J1027="331",K1027="331")),"x","")</f>
        <v/>
      </c>
    </row>
    <row r="1028" spans="1:12">
      <c r="A1028" s="72">
        <f t="shared" si="37"/>
        <v>2015</v>
      </c>
      <c r="B1028" s="72">
        <f t="shared" si="38"/>
        <v>11</v>
      </c>
      <c r="C1028" s="73">
        <v>42329</v>
      </c>
      <c r="D1028" s="73" t="s">
        <v>17</v>
      </c>
      <c r="E1028" s="73">
        <v>42329</v>
      </c>
      <c r="F1028" s="76" t="s">
        <v>418</v>
      </c>
      <c r="G1028" s="265"/>
      <c r="H1028" s="122" t="s">
        <v>324</v>
      </c>
      <c r="I1028" s="74">
        <v>12280547</v>
      </c>
      <c r="J1028" s="75" t="s">
        <v>240</v>
      </c>
      <c r="K1028" s="75" t="s">
        <v>54</v>
      </c>
      <c r="L1028" s="134" t="str">
        <f>IF(AND('331-CT'!$E$7=TH!H1028,OR(J1028="331",K1028="331")),"x","")</f>
        <v/>
      </c>
    </row>
    <row r="1029" spans="1:12">
      <c r="A1029" s="72">
        <f t="shared" si="37"/>
        <v>2015</v>
      </c>
      <c r="B1029" s="72">
        <f t="shared" si="38"/>
        <v>11</v>
      </c>
      <c r="C1029" s="73">
        <v>42329</v>
      </c>
      <c r="D1029" s="73" t="s">
        <v>17</v>
      </c>
      <c r="E1029" s="73">
        <v>42329</v>
      </c>
      <c r="F1029" s="76" t="s">
        <v>465</v>
      </c>
      <c r="G1029" s="265"/>
      <c r="H1029" s="122" t="s">
        <v>326</v>
      </c>
      <c r="I1029" s="74">
        <v>12280547</v>
      </c>
      <c r="J1029" s="75" t="s">
        <v>240</v>
      </c>
      <c r="K1029" s="75" t="s">
        <v>54</v>
      </c>
      <c r="L1029" s="134" t="str">
        <f>IF(AND('331-CT'!$E$7=TH!H1029,OR(J1029="331",K1029="331")),"x","")</f>
        <v/>
      </c>
    </row>
    <row r="1030" spans="1:12">
      <c r="A1030" s="72">
        <f t="shared" si="37"/>
        <v>2015</v>
      </c>
      <c r="B1030" s="72">
        <f t="shared" si="38"/>
        <v>11</v>
      </c>
      <c r="C1030" s="73">
        <v>42329</v>
      </c>
      <c r="D1030" s="73" t="s">
        <v>17</v>
      </c>
      <c r="E1030" s="73">
        <v>42329</v>
      </c>
      <c r="F1030" s="76" t="s">
        <v>466</v>
      </c>
      <c r="G1030" s="265"/>
      <c r="H1030" s="122" t="s">
        <v>417</v>
      </c>
      <c r="I1030" s="74">
        <v>12280547</v>
      </c>
      <c r="J1030" s="75" t="s">
        <v>240</v>
      </c>
      <c r="K1030" s="75" t="s">
        <v>54</v>
      </c>
      <c r="L1030" s="134" t="str">
        <f>IF(AND('331-CT'!$E$7=TH!H1030,OR(J1030="331",K1030="331")),"x","")</f>
        <v/>
      </c>
    </row>
    <row r="1031" spans="1:12">
      <c r="A1031" s="72">
        <f t="shared" si="37"/>
        <v>2015</v>
      </c>
      <c r="B1031" s="72">
        <f t="shared" si="38"/>
        <v>11</v>
      </c>
      <c r="C1031" s="73">
        <v>42329</v>
      </c>
      <c r="D1031" s="73" t="s">
        <v>17</v>
      </c>
      <c r="E1031" s="73">
        <v>42329</v>
      </c>
      <c r="F1031" s="76" t="s">
        <v>580</v>
      </c>
      <c r="G1031" s="265"/>
      <c r="H1031" s="122" t="s">
        <v>422</v>
      </c>
      <c r="I1031" s="74">
        <v>8187032</v>
      </c>
      <c r="J1031" s="75" t="s">
        <v>240</v>
      </c>
      <c r="K1031" s="75" t="s">
        <v>54</v>
      </c>
      <c r="L1031" s="134" t="str">
        <f>IF(AND('331-CT'!$E$7=TH!H1031,OR(J1031="331",K1031="331")),"x","")</f>
        <v/>
      </c>
    </row>
    <row r="1032" spans="1:12">
      <c r="A1032" s="72">
        <f t="shared" si="37"/>
        <v>2015</v>
      </c>
      <c r="B1032" s="72">
        <f t="shared" si="38"/>
        <v>11</v>
      </c>
      <c r="C1032" s="73">
        <v>42329</v>
      </c>
      <c r="D1032" s="73" t="s">
        <v>17</v>
      </c>
      <c r="E1032" s="73">
        <v>42329</v>
      </c>
      <c r="F1032" s="76" t="s">
        <v>581</v>
      </c>
      <c r="G1032" s="265"/>
      <c r="H1032" s="122" t="s">
        <v>456</v>
      </c>
      <c r="I1032" s="74">
        <v>8187032</v>
      </c>
      <c r="J1032" s="75" t="s">
        <v>240</v>
      </c>
      <c r="K1032" s="75" t="s">
        <v>54</v>
      </c>
      <c r="L1032" s="134" t="str">
        <f>IF(AND('331-CT'!$E$7=TH!H1032,OR(J1032="331",K1032="331")),"x","")</f>
        <v/>
      </c>
    </row>
    <row r="1033" spans="1:12">
      <c r="A1033" s="72">
        <f t="shared" si="37"/>
        <v>2015</v>
      </c>
      <c r="B1033" s="72">
        <f t="shared" si="38"/>
        <v>11</v>
      </c>
      <c r="C1033" s="73">
        <v>42334</v>
      </c>
      <c r="D1033" s="73" t="s">
        <v>78</v>
      </c>
      <c r="E1033" s="73">
        <v>42334</v>
      </c>
      <c r="F1033" s="76" t="s">
        <v>868</v>
      </c>
      <c r="G1033" s="265" t="s">
        <v>1082</v>
      </c>
      <c r="H1033" s="122" t="s">
        <v>649</v>
      </c>
      <c r="I1033" s="74">
        <v>36579400</v>
      </c>
      <c r="J1033" s="75" t="s">
        <v>242</v>
      </c>
      <c r="K1033" s="75" t="s">
        <v>18</v>
      </c>
      <c r="L1033" s="134" t="str">
        <f>IF(AND('331-CT'!$E$7=TH!H1033,OR(J1033="331",K1033="331")),"x","")</f>
        <v/>
      </c>
    </row>
    <row r="1034" spans="1:12">
      <c r="A1034" s="72">
        <f t="shared" ref="A1034" si="39">IF(C1034&lt;&gt;"",YEAR(C1034),"")</f>
        <v>2015</v>
      </c>
      <c r="B1034" s="72">
        <f t="shared" ref="B1034" si="40">IF(C1034&lt;&gt;"",MONTH(C1034),"")</f>
        <v>11</v>
      </c>
      <c r="C1034" s="73">
        <v>42334</v>
      </c>
      <c r="D1034" s="73" t="s">
        <v>78</v>
      </c>
      <c r="E1034" s="73">
        <v>42334</v>
      </c>
      <c r="F1034" s="76" t="s">
        <v>869</v>
      </c>
      <c r="G1034" s="265" t="s">
        <v>1082</v>
      </c>
      <c r="H1034" s="122" t="s">
        <v>649</v>
      </c>
      <c r="I1034" s="74">
        <v>3657940</v>
      </c>
      <c r="J1034" s="75" t="s">
        <v>19</v>
      </c>
      <c r="K1034" s="75" t="s">
        <v>18</v>
      </c>
      <c r="L1034" s="134" t="str">
        <f>IF(AND('331-CT'!$E$7=TH!H1034,OR(J1034="331",K1034="331")),"x","")</f>
        <v/>
      </c>
    </row>
    <row r="1035" spans="1:12">
      <c r="A1035" s="72">
        <f t="shared" ref="A1035:A1045" si="41">IF(C1035&lt;&gt;"",YEAR(C1035),"")</f>
        <v>2015</v>
      </c>
      <c r="B1035" s="72">
        <f t="shared" ref="B1035:B1045" si="42">IF(C1035&lt;&gt;"",MONTH(C1035),"")</f>
        <v>11</v>
      </c>
      <c r="C1035" s="73">
        <v>42335</v>
      </c>
      <c r="D1035" s="73" t="s">
        <v>848</v>
      </c>
      <c r="E1035" s="73">
        <v>42335</v>
      </c>
      <c r="F1035" s="76" t="s">
        <v>827</v>
      </c>
      <c r="G1035" s="265" t="s">
        <v>828</v>
      </c>
      <c r="H1035" s="122" t="s">
        <v>829</v>
      </c>
      <c r="I1035" s="74">
        <v>4937000</v>
      </c>
      <c r="J1035" s="75" t="s">
        <v>655</v>
      </c>
      <c r="K1035" s="75" t="s">
        <v>203</v>
      </c>
      <c r="L1035" s="134" t="str">
        <f>IF(AND('331-CT'!$E$7=TH!H1035,OR(J1035="331",K1035="331")),"x","")</f>
        <v/>
      </c>
    </row>
    <row r="1036" spans="1:12">
      <c r="A1036" s="72">
        <f t="shared" si="41"/>
        <v>2015</v>
      </c>
      <c r="B1036" s="72">
        <f t="shared" si="42"/>
        <v>11</v>
      </c>
      <c r="C1036" s="73">
        <v>42336</v>
      </c>
      <c r="D1036" s="73" t="s">
        <v>851</v>
      </c>
      <c r="E1036" s="73">
        <v>42336</v>
      </c>
      <c r="F1036" s="76" t="s">
        <v>831</v>
      </c>
      <c r="G1036" s="265" t="s">
        <v>832</v>
      </c>
      <c r="H1036" s="122" t="s">
        <v>774</v>
      </c>
      <c r="I1036" s="74">
        <v>3856320</v>
      </c>
      <c r="J1036" s="75" t="s">
        <v>655</v>
      </c>
      <c r="K1036" s="75" t="s">
        <v>203</v>
      </c>
      <c r="L1036" s="134" t="str">
        <f>IF(AND('331-CT'!$E$7=TH!H1036,OR(J1036="331",K1036="331")),"x","")</f>
        <v/>
      </c>
    </row>
    <row r="1037" spans="1:12">
      <c r="A1037" s="72">
        <f t="shared" si="41"/>
        <v>2015</v>
      </c>
      <c r="B1037" s="72">
        <f t="shared" si="42"/>
        <v>11</v>
      </c>
      <c r="C1037" s="73">
        <v>42336</v>
      </c>
      <c r="D1037" s="73" t="s">
        <v>851</v>
      </c>
      <c r="E1037" s="73">
        <v>42336</v>
      </c>
      <c r="F1037" s="76" t="s">
        <v>833</v>
      </c>
      <c r="G1037" s="265" t="s">
        <v>832</v>
      </c>
      <c r="H1037" s="122" t="s">
        <v>774</v>
      </c>
      <c r="I1037" s="74">
        <v>385632</v>
      </c>
      <c r="J1037" s="75" t="s">
        <v>19</v>
      </c>
      <c r="K1037" s="75" t="s">
        <v>203</v>
      </c>
      <c r="L1037" s="134" t="str">
        <f>IF(AND('331-CT'!$E$7=TH!H1037,OR(J1037="331",K1037="331")),"x","")</f>
        <v/>
      </c>
    </row>
    <row r="1038" spans="1:12">
      <c r="A1038" s="72">
        <f t="shared" si="41"/>
        <v>2015</v>
      </c>
      <c r="B1038" s="72">
        <f t="shared" si="42"/>
        <v>11</v>
      </c>
      <c r="C1038" s="73">
        <v>42336</v>
      </c>
      <c r="D1038" s="73" t="s">
        <v>855</v>
      </c>
      <c r="E1038" s="73">
        <v>42336</v>
      </c>
      <c r="F1038" s="76" t="s">
        <v>576</v>
      </c>
      <c r="G1038" s="265"/>
      <c r="H1038" s="122" t="s">
        <v>272</v>
      </c>
      <c r="I1038" s="74">
        <v>40000000</v>
      </c>
      <c r="J1038" s="75" t="s">
        <v>54</v>
      </c>
      <c r="K1038" s="75" t="s">
        <v>203</v>
      </c>
      <c r="L1038" s="134" t="str">
        <f>IF(AND('331-CT'!$E$7=TH!H1038,OR(J1038="331",K1038="331")),"x","")</f>
        <v/>
      </c>
    </row>
    <row r="1039" spans="1:12">
      <c r="A1039" s="72">
        <f t="shared" si="41"/>
        <v>2015</v>
      </c>
      <c r="B1039" s="72">
        <f t="shared" si="42"/>
        <v>11</v>
      </c>
      <c r="C1039" s="73">
        <v>42337</v>
      </c>
      <c r="D1039" s="73" t="s">
        <v>858</v>
      </c>
      <c r="E1039" s="73">
        <v>42337</v>
      </c>
      <c r="F1039" s="76" t="s">
        <v>836</v>
      </c>
      <c r="G1039" s="265" t="s">
        <v>837</v>
      </c>
      <c r="H1039" s="122" t="s">
        <v>838</v>
      </c>
      <c r="I1039" s="74">
        <v>2418182</v>
      </c>
      <c r="J1039" s="75" t="s">
        <v>242</v>
      </c>
      <c r="K1039" s="75" t="s">
        <v>203</v>
      </c>
      <c r="L1039" s="134" t="str">
        <f>IF(AND('331-CT'!$E$7=TH!H1039,OR(J1039="331",K1039="331")),"x","")</f>
        <v/>
      </c>
    </row>
    <row r="1040" spans="1:12">
      <c r="A1040" s="72">
        <f t="shared" si="41"/>
        <v>2015</v>
      </c>
      <c r="B1040" s="72">
        <f t="shared" si="42"/>
        <v>11</v>
      </c>
      <c r="C1040" s="73">
        <v>42337</v>
      </c>
      <c r="D1040" s="73" t="s">
        <v>858</v>
      </c>
      <c r="E1040" s="73">
        <v>42337</v>
      </c>
      <c r="F1040" s="76" t="s">
        <v>839</v>
      </c>
      <c r="G1040" s="265" t="s">
        <v>837</v>
      </c>
      <c r="H1040" s="122" t="s">
        <v>838</v>
      </c>
      <c r="I1040" s="74">
        <v>241818</v>
      </c>
      <c r="J1040" s="75" t="s">
        <v>19</v>
      </c>
      <c r="K1040" s="75" t="s">
        <v>203</v>
      </c>
      <c r="L1040" s="134" t="str">
        <f>IF(AND('331-CT'!$E$7=TH!H1040,OR(J1040="331",K1040="331")),"x","")</f>
        <v/>
      </c>
    </row>
    <row r="1041" spans="1:12">
      <c r="A1041" s="72">
        <f t="shared" si="41"/>
        <v>2015</v>
      </c>
      <c r="B1041" s="72">
        <f t="shared" si="42"/>
        <v>11</v>
      </c>
      <c r="C1041" s="73">
        <v>42337</v>
      </c>
      <c r="D1041" s="73" t="s">
        <v>860</v>
      </c>
      <c r="E1041" s="73">
        <v>42337</v>
      </c>
      <c r="F1041" s="76" t="s">
        <v>1089</v>
      </c>
      <c r="G1041" s="265" t="s">
        <v>1090</v>
      </c>
      <c r="H1041" s="122" t="s">
        <v>1091</v>
      </c>
      <c r="I1041" s="74">
        <v>11730210</v>
      </c>
      <c r="J1041" s="75" t="s">
        <v>242</v>
      </c>
      <c r="K1041" s="75" t="s">
        <v>203</v>
      </c>
      <c r="L1041" s="134" t="str">
        <f>IF(AND('331-CT'!$E$7=TH!H1041,OR(J1041="331",K1041="331")),"x","")</f>
        <v/>
      </c>
    </row>
    <row r="1042" spans="1:12">
      <c r="A1042" s="72">
        <f t="shared" si="41"/>
        <v>2015</v>
      </c>
      <c r="B1042" s="72">
        <f t="shared" si="42"/>
        <v>11</v>
      </c>
      <c r="C1042" s="73">
        <v>42337</v>
      </c>
      <c r="D1042" s="73" t="s">
        <v>860</v>
      </c>
      <c r="E1042" s="73">
        <v>42337</v>
      </c>
      <c r="F1042" s="76" t="s">
        <v>1092</v>
      </c>
      <c r="G1042" s="265" t="s">
        <v>1090</v>
      </c>
      <c r="H1042" s="122" t="s">
        <v>1091</v>
      </c>
      <c r="I1042" s="74">
        <v>1173021</v>
      </c>
      <c r="J1042" s="75" t="s">
        <v>19</v>
      </c>
      <c r="K1042" s="75" t="s">
        <v>203</v>
      </c>
      <c r="L1042" s="134" t="str">
        <f>IF(AND('331-CT'!$E$7=TH!H1042,OR(J1042="331",K1042="331")),"x","")</f>
        <v/>
      </c>
    </row>
    <row r="1043" spans="1:12">
      <c r="A1043" s="72">
        <f t="shared" si="41"/>
        <v>2015</v>
      </c>
      <c r="B1043" s="72">
        <f t="shared" si="42"/>
        <v>11</v>
      </c>
      <c r="C1043" s="73">
        <v>42338</v>
      </c>
      <c r="D1043" s="73" t="s">
        <v>17</v>
      </c>
      <c r="E1043" s="73">
        <v>42338</v>
      </c>
      <c r="F1043" s="76" t="s">
        <v>842</v>
      </c>
      <c r="G1043" s="265"/>
      <c r="H1043" s="122" t="s">
        <v>649</v>
      </c>
      <c r="I1043" s="74">
        <v>38659940</v>
      </c>
      <c r="J1043" s="75" t="s">
        <v>18</v>
      </c>
      <c r="K1043" s="75" t="s">
        <v>54</v>
      </c>
      <c r="L1043" s="134" t="str">
        <f>IF(AND('331-CT'!$E$7=TH!H1043,OR(J1043="331",K1043="331")),"x","")</f>
        <v/>
      </c>
    </row>
    <row r="1044" spans="1:12">
      <c r="A1044" s="72">
        <f t="shared" si="41"/>
        <v>2015</v>
      </c>
      <c r="B1044" s="72">
        <f t="shared" si="42"/>
        <v>11</v>
      </c>
      <c r="C1044" s="73">
        <v>42338</v>
      </c>
      <c r="D1044" s="73" t="s">
        <v>17</v>
      </c>
      <c r="E1044" s="73">
        <v>42338</v>
      </c>
      <c r="F1044" s="76" t="s">
        <v>34</v>
      </c>
      <c r="G1044" s="265"/>
      <c r="H1044" s="122"/>
      <c r="I1044" s="74">
        <v>45000</v>
      </c>
      <c r="J1044" s="75" t="s">
        <v>242</v>
      </c>
      <c r="K1044" s="75" t="s">
        <v>54</v>
      </c>
      <c r="L1044" s="134" t="str">
        <f>IF(AND('331-CT'!$E$7=TH!H1044,OR(J1044="331",K1044="331")),"x","")</f>
        <v/>
      </c>
    </row>
    <row r="1045" spans="1:12">
      <c r="A1045" s="72">
        <f t="shared" si="41"/>
        <v>2015</v>
      </c>
      <c r="B1045" s="72">
        <f t="shared" si="42"/>
        <v>11</v>
      </c>
      <c r="C1045" s="73">
        <v>42338</v>
      </c>
      <c r="D1045" s="73" t="s">
        <v>17</v>
      </c>
      <c r="E1045" s="73">
        <v>42338</v>
      </c>
      <c r="F1045" s="76" t="s">
        <v>35</v>
      </c>
      <c r="G1045" s="265"/>
      <c r="H1045" s="122"/>
      <c r="I1045" s="74">
        <v>4500</v>
      </c>
      <c r="J1045" s="75" t="s">
        <v>19</v>
      </c>
      <c r="K1045" s="75" t="s">
        <v>54</v>
      </c>
      <c r="L1045" s="134" t="str">
        <f>IF(AND('331-CT'!$E$7=TH!H1045,OR(J1045="331",K1045="331")),"x","")</f>
        <v/>
      </c>
    </row>
    <row r="1046" spans="1:12">
      <c r="A1046" s="72">
        <f t="shared" ref="A1046:A1109" si="43">IF(C1046&lt;&gt;"",YEAR(C1046),"")</f>
        <v>2015</v>
      </c>
      <c r="B1046" s="72">
        <f t="shared" ref="B1046:B1109" si="44">IF(C1046&lt;&gt;"",MONTH(C1046),"")</f>
        <v>11</v>
      </c>
      <c r="C1046" s="73">
        <v>42338</v>
      </c>
      <c r="D1046" s="73" t="s">
        <v>17</v>
      </c>
      <c r="E1046" s="73">
        <v>42338</v>
      </c>
      <c r="F1046" s="76" t="s">
        <v>843</v>
      </c>
      <c r="G1046" s="265"/>
      <c r="H1046" s="122" t="s">
        <v>267</v>
      </c>
      <c r="I1046" s="74">
        <v>10000000</v>
      </c>
      <c r="J1046" s="75" t="s">
        <v>212</v>
      </c>
      <c r="K1046" s="75" t="s">
        <v>54</v>
      </c>
      <c r="L1046" s="134" t="str">
        <f>IF(AND('331-CT'!$E$7=TH!H1046,OR(J1046="331",K1046="331")),"x","")</f>
        <v/>
      </c>
    </row>
    <row r="1047" spans="1:12">
      <c r="A1047" s="72">
        <f t="shared" si="43"/>
        <v>2015</v>
      </c>
      <c r="B1047" s="72">
        <f t="shared" si="44"/>
        <v>11</v>
      </c>
      <c r="C1047" s="73">
        <v>42338</v>
      </c>
      <c r="D1047" s="73" t="s">
        <v>22</v>
      </c>
      <c r="E1047" s="73">
        <v>42338</v>
      </c>
      <c r="F1047" s="76" t="s">
        <v>844</v>
      </c>
      <c r="G1047" s="265"/>
      <c r="H1047" s="122" t="s">
        <v>267</v>
      </c>
      <c r="I1047" s="74">
        <v>10000000</v>
      </c>
      <c r="J1047" s="75" t="s">
        <v>203</v>
      </c>
      <c r="K1047" s="75" t="s">
        <v>212</v>
      </c>
      <c r="L1047" s="134" t="str">
        <f>IF(AND('331-CT'!$E$7=TH!H1047,OR(J1047="331",K1047="331")),"x","")</f>
        <v/>
      </c>
    </row>
    <row r="1048" spans="1:12">
      <c r="A1048" s="72">
        <f t="shared" si="43"/>
        <v>2015</v>
      </c>
      <c r="B1048" s="72">
        <f t="shared" si="44"/>
        <v>11</v>
      </c>
      <c r="C1048" s="73">
        <v>42338</v>
      </c>
      <c r="D1048" s="73" t="s">
        <v>78</v>
      </c>
      <c r="E1048" s="73">
        <v>42338</v>
      </c>
      <c r="F1048" s="76" t="s">
        <v>870</v>
      </c>
      <c r="G1048" s="265" t="s">
        <v>871</v>
      </c>
      <c r="H1048" s="122" t="s">
        <v>150</v>
      </c>
      <c r="I1048" s="74">
        <v>1689997900</v>
      </c>
      <c r="J1048" s="75" t="s">
        <v>655</v>
      </c>
      <c r="K1048" s="75" t="s">
        <v>18</v>
      </c>
      <c r="L1048" s="134" t="str">
        <f>IF(AND('331-CT'!$E$7=TH!H1048,OR(J1048="331",K1048="331")),"x","")</f>
        <v/>
      </c>
    </row>
    <row r="1049" spans="1:12">
      <c r="A1049" s="72">
        <f t="shared" si="43"/>
        <v>2015</v>
      </c>
      <c r="B1049" s="72">
        <f t="shared" si="44"/>
        <v>11</v>
      </c>
      <c r="C1049" s="73">
        <v>42338</v>
      </c>
      <c r="D1049" s="73" t="s">
        <v>78</v>
      </c>
      <c r="E1049" s="73">
        <v>42338</v>
      </c>
      <c r="F1049" s="76" t="s">
        <v>872</v>
      </c>
      <c r="G1049" s="265" t="s">
        <v>871</v>
      </c>
      <c r="H1049" s="122" t="s">
        <v>150</v>
      </c>
      <c r="I1049" s="74">
        <v>168999790</v>
      </c>
      <c r="J1049" s="75" t="s">
        <v>19</v>
      </c>
      <c r="K1049" s="75" t="s">
        <v>18</v>
      </c>
      <c r="L1049" s="134" t="str">
        <f>IF(AND('331-CT'!$E$7=TH!H1049,OR(J1049="331",K1049="331")),"x","")</f>
        <v/>
      </c>
    </row>
    <row r="1050" spans="1:12">
      <c r="A1050" s="72">
        <f t="shared" si="43"/>
        <v>2015</v>
      </c>
      <c r="B1050" s="72">
        <f t="shared" si="44"/>
        <v>12</v>
      </c>
      <c r="C1050" s="73">
        <v>42339</v>
      </c>
      <c r="D1050" s="73" t="s">
        <v>1053</v>
      </c>
      <c r="E1050" s="73">
        <v>42339</v>
      </c>
      <c r="F1050" s="76" t="s">
        <v>845</v>
      </c>
      <c r="G1050" s="265" t="s">
        <v>846</v>
      </c>
      <c r="H1050" s="122" t="s">
        <v>847</v>
      </c>
      <c r="I1050" s="74">
        <v>1520000</v>
      </c>
      <c r="J1050" s="75" t="s">
        <v>655</v>
      </c>
      <c r="K1050" s="75" t="s">
        <v>203</v>
      </c>
      <c r="L1050" s="134" t="str">
        <f>IF(AND('331-CT'!$E$7=TH!H1050,OR(J1050="331",K1050="331")),"x","")</f>
        <v/>
      </c>
    </row>
    <row r="1051" spans="1:12">
      <c r="A1051" s="72">
        <f t="shared" si="43"/>
        <v>2015</v>
      </c>
      <c r="B1051" s="72">
        <f t="shared" si="44"/>
        <v>12</v>
      </c>
      <c r="C1051" s="73">
        <v>42340</v>
      </c>
      <c r="D1051" s="73" t="s">
        <v>1054</v>
      </c>
      <c r="E1051" s="73">
        <v>42340</v>
      </c>
      <c r="F1051" s="76" t="s">
        <v>849</v>
      </c>
      <c r="G1051" s="265" t="s">
        <v>850</v>
      </c>
      <c r="H1051" s="122" t="s">
        <v>829</v>
      </c>
      <c r="I1051" s="74">
        <v>3778000</v>
      </c>
      <c r="J1051" s="75" t="s">
        <v>655</v>
      </c>
      <c r="K1051" s="75" t="s">
        <v>203</v>
      </c>
      <c r="L1051" s="134" t="str">
        <f>IF(AND('331-CT'!$E$7=TH!H1051,OR(J1051="331",K1051="331")),"x","")</f>
        <v/>
      </c>
    </row>
    <row r="1052" spans="1:12">
      <c r="A1052" s="72">
        <f t="shared" si="43"/>
        <v>2015</v>
      </c>
      <c r="B1052" s="72">
        <f t="shared" si="44"/>
        <v>12</v>
      </c>
      <c r="C1052" s="73">
        <v>42340</v>
      </c>
      <c r="D1052" s="73" t="s">
        <v>1055</v>
      </c>
      <c r="E1052" s="73">
        <v>42340</v>
      </c>
      <c r="F1052" s="76" t="s">
        <v>579</v>
      </c>
      <c r="G1052" s="265"/>
      <c r="H1052" s="122" t="s">
        <v>431</v>
      </c>
      <c r="I1052" s="74">
        <v>1000000000</v>
      </c>
      <c r="J1052" s="75" t="s">
        <v>203</v>
      </c>
      <c r="K1052" s="75" t="s">
        <v>39</v>
      </c>
      <c r="L1052" s="134" t="str">
        <f>IF(AND('331-CT'!$E$7=TH!H1052,OR(J1052="331",K1052="331")),"x","")</f>
        <v/>
      </c>
    </row>
    <row r="1053" spans="1:12">
      <c r="A1053" s="72">
        <f t="shared" si="43"/>
        <v>2015</v>
      </c>
      <c r="B1053" s="72">
        <f t="shared" si="44"/>
        <v>12</v>
      </c>
      <c r="C1053" s="73">
        <v>42340</v>
      </c>
      <c r="D1053" s="73" t="s">
        <v>885</v>
      </c>
      <c r="E1053" s="73">
        <v>42340</v>
      </c>
      <c r="F1053" s="76" t="s">
        <v>576</v>
      </c>
      <c r="G1053" s="265"/>
      <c r="H1053" s="122" t="s">
        <v>272</v>
      </c>
      <c r="I1053" s="74">
        <v>250000000</v>
      </c>
      <c r="J1053" s="75" t="s">
        <v>54</v>
      </c>
      <c r="K1053" s="75" t="s">
        <v>203</v>
      </c>
      <c r="L1053" s="134" t="str">
        <f>IF(AND('331-CT'!$E$7=TH!H1053,OR(J1053="331",K1053="331")),"x","")</f>
        <v/>
      </c>
    </row>
    <row r="1054" spans="1:12">
      <c r="A1054" s="72">
        <f t="shared" si="43"/>
        <v>2015</v>
      </c>
      <c r="B1054" s="72">
        <f t="shared" si="44"/>
        <v>12</v>
      </c>
      <c r="C1054" s="73">
        <v>42341</v>
      </c>
      <c r="D1054" s="73" t="s">
        <v>1083</v>
      </c>
      <c r="E1054" s="73">
        <v>42341</v>
      </c>
      <c r="F1054" s="76" t="s">
        <v>1089</v>
      </c>
      <c r="G1054" s="265" t="s">
        <v>646</v>
      </c>
      <c r="H1054" s="122" t="s">
        <v>1131</v>
      </c>
      <c r="I1054" s="74">
        <v>16200000</v>
      </c>
      <c r="J1054" s="75" t="s">
        <v>655</v>
      </c>
      <c r="K1054" s="75" t="s">
        <v>203</v>
      </c>
      <c r="L1054" s="134" t="str">
        <f>IF(AND('331-CT'!$E$7=TH!H1054,OR(J1054="331",K1054="331")),"x","")</f>
        <v/>
      </c>
    </row>
    <row r="1055" spans="1:12">
      <c r="A1055" s="72">
        <f t="shared" si="43"/>
        <v>2015</v>
      </c>
      <c r="B1055" s="72">
        <f t="shared" si="44"/>
        <v>12</v>
      </c>
      <c r="C1055" s="73">
        <v>42341</v>
      </c>
      <c r="D1055" s="73" t="s">
        <v>1083</v>
      </c>
      <c r="E1055" s="73">
        <v>42341</v>
      </c>
      <c r="F1055" s="76" t="s">
        <v>1092</v>
      </c>
      <c r="G1055" s="265" t="s">
        <v>646</v>
      </c>
      <c r="H1055" s="122" t="s">
        <v>1131</v>
      </c>
      <c r="I1055" s="74">
        <v>1620000</v>
      </c>
      <c r="J1055" s="75" t="s">
        <v>19</v>
      </c>
      <c r="K1055" s="75" t="s">
        <v>203</v>
      </c>
      <c r="L1055" s="134" t="str">
        <f>IF(AND('331-CT'!$E$7=TH!H1055,OR(J1055="331",K1055="331")),"x","")</f>
        <v/>
      </c>
    </row>
    <row r="1056" spans="1:12">
      <c r="A1056" s="72">
        <f t="shared" si="43"/>
        <v>2015</v>
      </c>
      <c r="B1056" s="72">
        <f t="shared" si="44"/>
        <v>12</v>
      </c>
      <c r="C1056" s="73">
        <v>42342</v>
      </c>
      <c r="D1056" s="73" t="s">
        <v>1066</v>
      </c>
      <c r="E1056" s="73">
        <v>42342</v>
      </c>
      <c r="F1056" s="76" t="s">
        <v>852</v>
      </c>
      <c r="G1056" s="265" t="s">
        <v>853</v>
      </c>
      <c r="H1056" s="122" t="s">
        <v>854</v>
      </c>
      <c r="I1056" s="74">
        <v>2990000</v>
      </c>
      <c r="J1056" s="75" t="s">
        <v>655</v>
      </c>
      <c r="K1056" s="75" t="s">
        <v>203</v>
      </c>
      <c r="L1056" s="134" t="str">
        <f>IF(AND('331-CT'!$E$7=TH!H1056,OR(J1056="331",K1056="331")),"x","")</f>
        <v/>
      </c>
    </row>
    <row r="1057" spans="1:12">
      <c r="A1057" s="72">
        <f t="shared" si="43"/>
        <v>2015</v>
      </c>
      <c r="B1057" s="72">
        <f t="shared" si="44"/>
        <v>12</v>
      </c>
      <c r="C1057" s="73">
        <v>42342</v>
      </c>
      <c r="D1057" s="73" t="s">
        <v>17</v>
      </c>
      <c r="E1057" s="73">
        <v>42342</v>
      </c>
      <c r="F1057" s="76" t="s">
        <v>301</v>
      </c>
      <c r="G1057" s="265"/>
      <c r="H1057" s="122" t="s">
        <v>407</v>
      </c>
      <c r="I1057" s="74">
        <v>30000000</v>
      </c>
      <c r="J1057" s="75" t="s">
        <v>18</v>
      </c>
      <c r="K1057" s="75" t="s">
        <v>54</v>
      </c>
      <c r="L1057" s="134" t="str">
        <f>IF(AND('331-CT'!$E$7=TH!H1057,OR(J1057="331",K1057="331")),"x","")</f>
        <v/>
      </c>
    </row>
    <row r="1058" spans="1:12">
      <c r="A1058" s="72">
        <f t="shared" si="43"/>
        <v>2015</v>
      </c>
      <c r="B1058" s="72">
        <f t="shared" si="44"/>
        <v>12</v>
      </c>
      <c r="C1058" s="73">
        <v>42342</v>
      </c>
      <c r="D1058" s="73" t="s">
        <v>17</v>
      </c>
      <c r="E1058" s="73">
        <v>42342</v>
      </c>
      <c r="F1058" s="76" t="s">
        <v>34</v>
      </c>
      <c r="G1058" s="265"/>
      <c r="H1058" s="122"/>
      <c r="I1058" s="74">
        <v>25000</v>
      </c>
      <c r="J1058" s="75" t="s">
        <v>242</v>
      </c>
      <c r="K1058" s="75" t="s">
        <v>54</v>
      </c>
      <c r="L1058" s="134" t="str">
        <f>IF(AND('331-CT'!$E$7=TH!H1058,OR(J1058="331",K1058="331")),"x","")</f>
        <v/>
      </c>
    </row>
    <row r="1059" spans="1:12">
      <c r="A1059" s="72">
        <f t="shared" si="43"/>
        <v>2015</v>
      </c>
      <c r="B1059" s="72">
        <f t="shared" si="44"/>
        <v>12</v>
      </c>
      <c r="C1059" s="73">
        <v>42342</v>
      </c>
      <c r="D1059" s="73" t="s">
        <v>17</v>
      </c>
      <c r="E1059" s="73">
        <v>42342</v>
      </c>
      <c r="F1059" s="76" t="s">
        <v>35</v>
      </c>
      <c r="G1059" s="265"/>
      <c r="H1059" s="122"/>
      <c r="I1059" s="74">
        <v>2500</v>
      </c>
      <c r="J1059" s="75" t="s">
        <v>19</v>
      </c>
      <c r="K1059" s="75" t="s">
        <v>54</v>
      </c>
      <c r="L1059" s="134" t="str">
        <f>IF(AND('331-CT'!$E$7=TH!H1059,OR(J1059="331",K1059="331")),"x","")</f>
        <v/>
      </c>
    </row>
    <row r="1060" spans="1:12">
      <c r="A1060" s="72">
        <f t="shared" si="43"/>
        <v>2015</v>
      </c>
      <c r="B1060" s="72">
        <f t="shared" si="44"/>
        <v>12</v>
      </c>
      <c r="C1060" s="73">
        <v>42342</v>
      </c>
      <c r="D1060" s="73" t="s">
        <v>17</v>
      </c>
      <c r="E1060" s="73">
        <v>42342</v>
      </c>
      <c r="F1060" s="76" t="s">
        <v>301</v>
      </c>
      <c r="G1060" s="265"/>
      <c r="H1060" s="122" t="s">
        <v>85</v>
      </c>
      <c r="I1060" s="74">
        <v>200000000</v>
      </c>
      <c r="J1060" s="75" t="s">
        <v>18</v>
      </c>
      <c r="K1060" s="75" t="s">
        <v>54</v>
      </c>
      <c r="L1060" s="134" t="str">
        <f>IF(AND('331-CT'!$E$7=TH!H1060,OR(J1060="331",K1060="331")),"x","")</f>
        <v/>
      </c>
    </row>
    <row r="1061" spans="1:12">
      <c r="A1061" s="72">
        <f t="shared" si="43"/>
        <v>2015</v>
      </c>
      <c r="B1061" s="72">
        <f t="shared" si="44"/>
        <v>12</v>
      </c>
      <c r="C1061" s="73">
        <v>42342</v>
      </c>
      <c r="D1061" s="73" t="s">
        <v>17</v>
      </c>
      <c r="E1061" s="73">
        <v>42342</v>
      </c>
      <c r="F1061" s="76" t="s">
        <v>34</v>
      </c>
      <c r="G1061" s="265"/>
      <c r="H1061" s="122"/>
      <c r="I1061" s="74">
        <v>100000</v>
      </c>
      <c r="J1061" s="75" t="s">
        <v>242</v>
      </c>
      <c r="K1061" s="75" t="s">
        <v>54</v>
      </c>
      <c r="L1061" s="134" t="str">
        <f>IF(AND('331-CT'!$E$7=TH!H1061,OR(J1061="331",K1061="331")),"x","")</f>
        <v/>
      </c>
    </row>
    <row r="1062" spans="1:12">
      <c r="A1062" s="72">
        <f t="shared" si="43"/>
        <v>2015</v>
      </c>
      <c r="B1062" s="72">
        <f t="shared" si="44"/>
        <v>12</v>
      </c>
      <c r="C1062" s="73">
        <v>42342</v>
      </c>
      <c r="D1062" s="73" t="s">
        <v>17</v>
      </c>
      <c r="E1062" s="73">
        <v>42342</v>
      </c>
      <c r="F1062" s="76" t="s">
        <v>35</v>
      </c>
      <c r="G1062" s="265"/>
      <c r="H1062" s="122"/>
      <c r="I1062" s="74">
        <v>10000</v>
      </c>
      <c r="J1062" s="75" t="s">
        <v>19</v>
      </c>
      <c r="K1062" s="75" t="s">
        <v>54</v>
      </c>
      <c r="L1062" s="134" t="str">
        <f>IF(AND('331-CT'!$E$7=TH!H1062,OR(J1062="331",K1062="331")),"x","")</f>
        <v/>
      </c>
    </row>
    <row r="1063" spans="1:12">
      <c r="A1063" s="72">
        <f t="shared" si="43"/>
        <v>2015</v>
      </c>
      <c r="B1063" s="72">
        <f t="shared" si="44"/>
        <v>12</v>
      </c>
      <c r="C1063" s="73">
        <v>42343</v>
      </c>
      <c r="D1063" s="73" t="s">
        <v>1095</v>
      </c>
      <c r="E1063" s="73">
        <v>42343</v>
      </c>
      <c r="F1063" s="76" t="s">
        <v>827</v>
      </c>
      <c r="G1063" s="265" t="s">
        <v>856</v>
      </c>
      <c r="H1063" s="122" t="s">
        <v>857</v>
      </c>
      <c r="I1063" s="74">
        <v>692000</v>
      </c>
      <c r="J1063" s="75" t="s">
        <v>655</v>
      </c>
      <c r="K1063" s="75" t="s">
        <v>203</v>
      </c>
      <c r="L1063" s="134" t="str">
        <f>IF(AND('331-CT'!$E$7=TH!H1063,OR(J1063="331",K1063="331")),"x","")</f>
        <v/>
      </c>
    </row>
    <row r="1064" spans="1:12">
      <c r="A1064" s="72">
        <f t="shared" si="43"/>
        <v>2015</v>
      </c>
      <c r="B1064" s="72">
        <f t="shared" si="44"/>
        <v>12</v>
      </c>
      <c r="C1064" s="73">
        <v>42345</v>
      </c>
      <c r="D1064" s="73" t="s">
        <v>1099</v>
      </c>
      <c r="E1064" s="73">
        <v>42345</v>
      </c>
      <c r="F1064" s="76" t="s">
        <v>827</v>
      </c>
      <c r="G1064" s="265" t="s">
        <v>859</v>
      </c>
      <c r="H1064" s="122" t="s">
        <v>857</v>
      </c>
      <c r="I1064" s="74">
        <v>3739000</v>
      </c>
      <c r="J1064" s="75" t="s">
        <v>655</v>
      </c>
      <c r="K1064" s="75" t="s">
        <v>203</v>
      </c>
      <c r="L1064" s="134" t="str">
        <f>IF(AND('331-CT'!$E$7=TH!H1064,OR(J1064="331",K1064="331")),"x","")</f>
        <v/>
      </c>
    </row>
    <row r="1065" spans="1:12">
      <c r="A1065" s="72">
        <f t="shared" si="43"/>
        <v>2015</v>
      </c>
      <c r="B1065" s="72">
        <f t="shared" si="44"/>
        <v>12</v>
      </c>
      <c r="C1065" s="73">
        <v>42345</v>
      </c>
      <c r="D1065" s="73" t="s">
        <v>1103</v>
      </c>
      <c r="E1065" s="73">
        <v>42345</v>
      </c>
      <c r="F1065" s="76" t="s">
        <v>1078</v>
      </c>
      <c r="G1065" s="265" t="s">
        <v>1079</v>
      </c>
      <c r="H1065" s="122" t="s">
        <v>1080</v>
      </c>
      <c r="I1065" s="74">
        <v>7090909</v>
      </c>
      <c r="J1065" s="75" t="s">
        <v>242</v>
      </c>
      <c r="K1065" s="75" t="s">
        <v>203</v>
      </c>
      <c r="L1065" s="134" t="str">
        <f>IF(AND('331-CT'!$E$7=TH!H1065,OR(J1065="331",K1065="331")),"x","")</f>
        <v/>
      </c>
    </row>
    <row r="1066" spans="1:12">
      <c r="A1066" s="72">
        <f t="shared" si="43"/>
        <v>2015</v>
      </c>
      <c r="B1066" s="72">
        <f t="shared" si="44"/>
        <v>12</v>
      </c>
      <c r="C1066" s="73">
        <v>42345</v>
      </c>
      <c r="D1066" s="73" t="s">
        <v>1103</v>
      </c>
      <c r="E1066" s="73">
        <v>42345</v>
      </c>
      <c r="F1066" s="76" t="s">
        <v>1081</v>
      </c>
      <c r="G1066" s="265" t="s">
        <v>1079</v>
      </c>
      <c r="H1066" s="122" t="s">
        <v>1080</v>
      </c>
      <c r="I1066" s="74">
        <v>709091</v>
      </c>
      <c r="J1066" s="75" t="s">
        <v>19</v>
      </c>
      <c r="K1066" s="75" t="s">
        <v>203</v>
      </c>
      <c r="L1066" s="134" t="str">
        <f>IF(AND('331-CT'!$E$7=TH!H1066,OR(J1066="331",K1066="331")),"x","")</f>
        <v/>
      </c>
    </row>
    <row r="1067" spans="1:12">
      <c r="A1067" s="72">
        <f t="shared" si="43"/>
        <v>2015</v>
      </c>
      <c r="B1067" s="72">
        <f t="shared" si="44"/>
        <v>12</v>
      </c>
      <c r="C1067" s="73">
        <v>42346</v>
      </c>
      <c r="D1067" s="73" t="s">
        <v>1105</v>
      </c>
      <c r="E1067" s="73">
        <v>42346</v>
      </c>
      <c r="F1067" s="76" t="s">
        <v>1133</v>
      </c>
      <c r="G1067" s="265" t="s">
        <v>412</v>
      </c>
      <c r="H1067" s="122" t="s">
        <v>1126</v>
      </c>
      <c r="I1067" s="74">
        <v>11700000</v>
      </c>
      <c r="J1067" s="75" t="s">
        <v>655</v>
      </c>
      <c r="K1067" s="75" t="s">
        <v>203</v>
      </c>
      <c r="L1067" s="134" t="str">
        <f>IF(AND('331-CT'!$E$7=TH!H1067,OR(J1067="331",K1067="331")),"x","")</f>
        <v/>
      </c>
    </row>
    <row r="1068" spans="1:12">
      <c r="A1068" s="72">
        <f t="shared" si="43"/>
        <v>2015</v>
      </c>
      <c r="B1068" s="72">
        <f t="shared" si="44"/>
        <v>12</v>
      </c>
      <c r="C1068" s="73">
        <v>42346</v>
      </c>
      <c r="D1068" s="73" t="s">
        <v>1105</v>
      </c>
      <c r="E1068" s="73">
        <v>42346</v>
      </c>
      <c r="F1068" s="76" t="s">
        <v>1134</v>
      </c>
      <c r="G1068" s="265" t="s">
        <v>412</v>
      </c>
      <c r="H1068" s="122" t="s">
        <v>1126</v>
      </c>
      <c r="I1068" s="74">
        <v>1170000</v>
      </c>
      <c r="J1068" s="75" t="s">
        <v>19</v>
      </c>
      <c r="K1068" s="75" t="s">
        <v>203</v>
      </c>
      <c r="L1068" s="134" t="str">
        <f>IF(AND('331-CT'!$E$7=TH!H1068,OR(J1068="331",K1068="331")),"x","")</f>
        <v/>
      </c>
    </row>
    <row r="1069" spans="1:12">
      <c r="A1069" s="72">
        <f t="shared" si="43"/>
        <v>2015</v>
      </c>
      <c r="B1069" s="72">
        <f t="shared" si="44"/>
        <v>12</v>
      </c>
      <c r="C1069" s="73">
        <v>42347</v>
      </c>
      <c r="D1069" s="73" t="s">
        <v>1106</v>
      </c>
      <c r="E1069" s="73">
        <v>42347</v>
      </c>
      <c r="F1069" s="76" t="s">
        <v>861</v>
      </c>
      <c r="G1069" s="265" t="s">
        <v>862</v>
      </c>
      <c r="H1069" s="122" t="s">
        <v>280</v>
      </c>
      <c r="I1069" s="74">
        <v>472127</v>
      </c>
      <c r="J1069" s="75" t="s">
        <v>242</v>
      </c>
      <c r="K1069" s="75" t="s">
        <v>203</v>
      </c>
      <c r="L1069" s="134" t="str">
        <f>IF(AND('331-CT'!$E$7=TH!H1069,OR(J1069="331",K1069="331")),"x","")</f>
        <v/>
      </c>
    </row>
    <row r="1070" spans="1:12">
      <c r="A1070" s="72">
        <f t="shared" si="43"/>
        <v>2015</v>
      </c>
      <c r="B1070" s="72">
        <f t="shared" si="44"/>
        <v>12</v>
      </c>
      <c r="C1070" s="73">
        <v>42347</v>
      </c>
      <c r="D1070" s="73" t="s">
        <v>1106</v>
      </c>
      <c r="E1070" s="73">
        <v>42347</v>
      </c>
      <c r="F1070" s="76" t="s">
        <v>1093</v>
      </c>
      <c r="G1070" s="265" t="s">
        <v>862</v>
      </c>
      <c r="H1070" s="122" t="s">
        <v>280</v>
      </c>
      <c r="I1070" s="74">
        <v>47213</v>
      </c>
      <c r="J1070" s="75" t="s">
        <v>19</v>
      </c>
      <c r="K1070" s="75" t="s">
        <v>203</v>
      </c>
      <c r="L1070" s="134" t="str">
        <f>IF(AND('331-CT'!$E$7=TH!H1070,OR(J1070="331",K1070="331")),"x","")</f>
        <v/>
      </c>
    </row>
    <row r="1071" spans="1:12">
      <c r="A1071" s="72">
        <f t="shared" si="43"/>
        <v>2015</v>
      </c>
      <c r="B1071" s="72">
        <f t="shared" si="44"/>
        <v>12</v>
      </c>
      <c r="C1071" s="73">
        <v>42348</v>
      </c>
      <c r="D1071" s="73" t="s">
        <v>1110</v>
      </c>
      <c r="E1071" s="73">
        <v>42348</v>
      </c>
      <c r="F1071" s="76" t="s">
        <v>863</v>
      </c>
      <c r="G1071" s="265" t="s">
        <v>864</v>
      </c>
      <c r="H1071" s="122" t="s">
        <v>783</v>
      </c>
      <c r="I1071" s="74">
        <v>6818182</v>
      </c>
      <c r="J1071" s="75" t="s">
        <v>242</v>
      </c>
      <c r="K1071" s="75" t="s">
        <v>203</v>
      </c>
      <c r="L1071" s="134" t="str">
        <f>IF(AND('331-CT'!$E$7=TH!H1071,OR(J1071="331",K1071="331")),"x","")</f>
        <v/>
      </c>
    </row>
    <row r="1072" spans="1:12">
      <c r="A1072" s="72">
        <f t="shared" si="43"/>
        <v>2015</v>
      </c>
      <c r="B1072" s="72">
        <f t="shared" si="44"/>
        <v>12</v>
      </c>
      <c r="C1072" s="73">
        <v>42348</v>
      </c>
      <c r="D1072" s="73" t="s">
        <v>1110</v>
      </c>
      <c r="E1072" s="73">
        <v>42348</v>
      </c>
      <c r="F1072" s="76" t="s">
        <v>1094</v>
      </c>
      <c r="G1072" s="265" t="s">
        <v>864</v>
      </c>
      <c r="H1072" s="122" t="s">
        <v>783</v>
      </c>
      <c r="I1072" s="74">
        <v>681818</v>
      </c>
      <c r="J1072" s="75" t="s">
        <v>19</v>
      </c>
      <c r="K1072" s="75" t="s">
        <v>203</v>
      </c>
      <c r="L1072" s="134" t="str">
        <f>IF(AND('331-CT'!$E$7=TH!H1072,OR(J1072="331",K1072="331")),"x","")</f>
        <v/>
      </c>
    </row>
    <row r="1073" spans="1:12">
      <c r="A1073" s="72">
        <f t="shared" si="43"/>
        <v>2015</v>
      </c>
      <c r="B1073" s="72">
        <f t="shared" si="44"/>
        <v>12</v>
      </c>
      <c r="C1073" s="73">
        <v>42348</v>
      </c>
      <c r="D1073" s="73" t="s">
        <v>1118</v>
      </c>
      <c r="E1073" s="73">
        <v>42348</v>
      </c>
      <c r="F1073" s="76" t="s">
        <v>1133</v>
      </c>
      <c r="G1073" s="265" t="s">
        <v>413</v>
      </c>
      <c r="H1073" s="122" t="s">
        <v>1126</v>
      </c>
      <c r="I1073" s="74">
        <v>11700000</v>
      </c>
      <c r="J1073" s="75" t="s">
        <v>655</v>
      </c>
      <c r="K1073" s="75" t="s">
        <v>203</v>
      </c>
      <c r="L1073" s="134" t="str">
        <f>IF(AND('331-CT'!$E$7=TH!H1073,OR(J1073="331",K1073="331")),"x","")</f>
        <v/>
      </c>
    </row>
    <row r="1074" spans="1:12">
      <c r="A1074" s="72">
        <f t="shared" si="43"/>
        <v>2015</v>
      </c>
      <c r="B1074" s="72">
        <f t="shared" si="44"/>
        <v>12</v>
      </c>
      <c r="C1074" s="73">
        <v>42348</v>
      </c>
      <c r="D1074" s="73" t="s">
        <v>1118</v>
      </c>
      <c r="E1074" s="73">
        <v>42348</v>
      </c>
      <c r="F1074" s="76" t="s">
        <v>1134</v>
      </c>
      <c r="G1074" s="265" t="s">
        <v>413</v>
      </c>
      <c r="H1074" s="122" t="s">
        <v>1126</v>
      </c>
      <c r="I1074" s="74">
        <v>1170000</v>
      </c>
      <c r="J1074" s="75" t="s">
        <v>19</v>
      </c>
      <c r="K1074" s="75" t="s">
        <v>203</v>
      </c>
      <c r="L1074" s="134" t="str">
        <f>IF(AND('331-CT'!$E$7=TH!H1074,OR(J1074="331",K1074="331")),"x","")</f>
        <v/>
      </c>
    </row>
    <row r="1075" spans="1:12">
      <c r="A1075" s="72">
        <f t="shared" si="43"/>
        <v>2015</v>
      </c>
      <c r="B1075" s="72">
        <f t="shared" si="44"/>
        <v>12</v>
      </c>
      <c r="C1075" s="73">
        <v>42349</v>
      </c>
      <c r="D1075" s="73" t="s">
        <v>1122</v>
      </c>
      <c r="E1075" s="73">
        <v>42349</v>
      </c>
      <c r="F1075" s="76" t="s">
        <v>576</v>
      </c>
      <c r="G1075" s="265"/>
      <c r="H1075" s="122" t="s">
        <v>272</v>
      </c>
      <c r="I1075" s="74">
        <v>450000000</v>
      </c>
      <c r="J1075" s="75" t="s">
        <v>54</v>
      </c>
      <c r="K1075" s="75" t="s">
        <v>203</v>
      </c>
      <c r="L1075" s="134" t="str">
        <f>IF(AND('331-CT'!$E$7=TH!H1075,OR(J1075="331",K1075="331")),"x","")</f>
        <v/>
      </c>
    </row>
    <row r="1076" spans="1:12">
      <c r="A1076" s="72">
        <f t="shared" si="43"/>
        <v>2015</v>
      </c>
      <c r="B1076" s="72">
        <f t="shared" si="44"/>
        <v>12</v>
      </c>
      <c r="C1076" s="73">
        <v>42349</v>
      </c>
      <c r="D1076" s="73" t="s">
        <v>17</v>
      </c>
      <c r="E1076" s="73">
        <v>42349</v>
      </c>
      <c r="F1076" s="76" t="s">
        <v>868</v>
      </c>
      <c r="G1076" s="265"/>
      <c r="H1076" s="122" t="s">
        <v>649</v>
      </c>
      <c r="I1076" s="74">
        <v>40237340</v>
      </c>
      <c r="J1076" s="75" t="s">
        <v>18</v>
      </c>
      <c r="K1076" s="75" t="s">
        <v>54</v>
      </c>
      <c r="L1076" s="134" t="str">
        <f>IF(AND('331-CT'!$E$7=TH!H1076,OR(J1076="331",K1076="331")),"x","")</f>
        <v/>
      </c>
    </row>
    <row r="1077" spans="1:12">
      <c r="A1077" s="72">
        <f t="shared" si="43"/>
        <v>2015</v>
      </c>
      <c r="B1077" s="72">
        <f t="shared" si="44"/>
        <v>12</v>
      </c>
      <c r="C1077" s="73">
        <v>42349</v>
      </c>
      <c r="D1077" s="73" t="s">
        <v>17</v>
      </c>
      <c r="E1077" s="73">
        <v>42349</v>
      </c>
      <c r="F1077" s="76" t="s">
        <v>34</v>
      </c>
      <c r="G1077" s="265"/>
      <c r="H1077" s="122"/>
      <c r="I1077" s="74">
        <v>45000</v>
      </c>
      <c r="J1077" s="75" t="s">
        <v>242</v>
      </c>
      <c r="K1077" s="75" t="s">
        <v>54</v>
      </c>
      <c r="L1077" s="134" t="str">
        <f>IF(AND('331-CT'!$E$7=TH!H1077,OR(J1077="331",K1077="331")),"x","")</f>
        <v/>
      </c>
    </row>
    <row r="1078" spans="1:12">
      <c r="A1078" s="72">
        <f t="shared" si="43"/>
        <v>2015</v>
      </c>
      <c r="B1078" s="72">
        <f t="shared" si="44"/>
        <v>12</v>
      </c>
      <c r="C1078" s="73">
        <v>42349</v>
      </c>
      <c r="D1078" s="73" t="s">
        <v>17</v>
      </c>
      <c r="E1078" s="73">
        <v>42349</v>
      </c>
      <c r="F1078" s="76" t="s">
        <v>35</v>
      </c>
      <c r="G1078" s="265"/>
      <c r="H1078" s="122"/>
      <c r="I1078" s="74">
        <v>4500</v>
      </c>
      <c r="J1078" s="75" t="s">
        <v>19</v>
      </c>
      <c r="K1078" s="75" t="s">
        <v>54</v>
      </c>
      <c r="L1078" s="134" t="str">
        <f>IF(AND('331-CT'!$E$7=TH!H1078,OR(J1078="331",K1078="331")),"x","")</f>
        <v/>
      </c>
    </row>
    <row r="1079" spans="1:12">
      <c r="A1079" s="72">
        <f t="shared" si="43"/>
        <v>2015</v>
      </c>
      <c r="B1079" s="72">
        <f t="shared" si="44"/>
        <v>12</v>
      </c>
      <c r="C1079" s="73">
        <v>42349</v>
      </c>
      <c r="D1079" s="73" t="s">
        <v>17</v>
      </c>
      <c r="E1079" s="73">
        <v>42349</v>
      </c>
      <c r="F1079" s="76" t="s">
        <v>886</v>
      </c>
      <c r="G1079" s="265"/>
      <c r="H1079" s="122" t="s">
        <v>481</v>
      </c>
      <c r="I1079" s="74">
        <v>200000000</v>
      </c>
      <c r="J1079" s="75" t="s">
        <v>18</v>
      </c>
      <c r="K1079" s="75" t="s">
        <v>54</v>
      </c>
      <c r="L1079" s="134" t="str">
        <f>IF(AND('331-CT'!$E$7=TH!H1079,OR(J1079="331",K1079="331")),"x","")</f>
        <v/>
      </c>
    </row>
    <row r="1080" spans="1:12">
      <c r="A1080" s="72">
        <f t="shared" si="43"/>
        <v>2015</v>
      </c>
      <c r="B1080" s="72">
        <f t="shared" si="44"/>
        <v>12</v>
      </c>
      <c r="C1080" s="73">
        <v>42349</v>
      </c>
      <c r="D1080" s="73" t="s">
        <v>17</v>
      </c>
      <c r="E1080" s="73">
        <v>42349</v>
      </c>
      <c r="F1080" s="76" t="s">
        <v>34</v>
      </c>
      <c r="G1080" s="265"/>
      <c r="H1080" s="122"/>
      <c r="I1080" s="74">
        <v>120000</v>
      </c>
      <c r="J1080" s="75" t="s">
        <v>242</v>
      </c>
      <c r="K1080" s="75" t="s">
        <v>54</v>
      </c>
      <c r="L1080" s="134" t="str">
        <f>IF(AND('331-CT'!$E$7=TH!H1080,OR(J1080="331",K1080="331")),"x","")</f>
        <v/>
      </c>
    </row>
    <row r="1081" spans="1:12">
      <c r="A1081" s="72">
        <f t="shared" si="43"/>
        <v>2015</v>
      </c>
      <c r="B1081" s="72">
        <f t="shared" si="44"/>
        <v>12</v>
      </c>
      <c r="C1081" s="73">
        <v>42349</v>
      </c>
      <c r="D1081" s="73" t="s">
        <v>17</v>
      </c>
      <c r="E1081" s="73">
        <v>42349</v>
      </c>
      <c r="F1081" s="76" t="s">
        <v>35</v>
      </c>
      <c r="G1081" s="265"/>
      <c r="H1081" s="122"/>
      <c r="I1081" s="74">
        <v>12000</v>
      </c>
      <c r="J1081" s="75" t="s">
        <v>19</v>
      </c>
      <c r="K1081" s="75" t="s">
        <v>54</v>
      </c>
      <c r="L1081" s="134" t="str">
        <f>IF(AND('331-CT'!$E$7=TH!H1081,OR(J1081="331",K1081="331")),"x","")</f>
        <v/>
      </c>
    </row>
    <row r="1082" spans="1:12">
      <c r="A1082" s="72">
        <f t="shared" si="43"/>
        <v>2015</v>
      </c>
      <c r="B1082" s="72">
        <f t="shared" si="44"/>
        <v>12</v>
      </c>
      <c r="C1082" s="73">
        <v>42349</v>
      </c>
      <c r="D1082" s="73" t="s">
        <v>17</v>
      </c>
      <c r="E1082" s="73">
        <v>42349</v>
      </c>
      <c r="F1082" s="76" t="s">
        <v>887</v>
      </c>
      <c r="G1082" s="265"/>
      <c r="H1082" s="122" t="s">
        <v>791</v>
      </c>
      <c r="I1082" s="74">
        <v>16743100</v>
      </c>
      <c r="J1082" s="75" t="s">
        <v>18</v>
      </c>
      <c r="K1082" s="75" t="s">
        <v>54</v>
      </c>
      <c r="L1082" s="134" t="str">
        <f>IF(AND('331-CT'!$E$7=TH!H1082,OR(J1082="331",K1082="331")),"x","")</f>
        <v/>
      </c>
    </row>
    <row r="1083" spans="1:12">
      <c r="A1083" s="72">
        <f t="shared" si="43"/>
        <v>2015</v>
      </c>
      <c r="B1083" s="72">
        <f t="shared" si="44"/>
        <v>12</v>
      </c>
      <c r="C1083" s="73">
        <v>42349</v>
      </c>
      <c r="D1083" s="73" t="s">
        <v>17</v>
      </c>
      <c r="E1083" s="73">
        <v>42349</v>
      </c>
      <c r="F1083" s="76" t="s">
        <v>34</v>
      </c>
      <c r="G1083" s="265"/>
      <c r="H1083" s="122"/>
      <c r="I1083" s="74">
        <v>40000</v>
      </c>
      <c r="J1083" s="75" t="s">
        <v>242</v>
      </c>
      <c r="K1083" s="75" t="s">
        <v>54</v>
      </c>
      <c r="L1083" s="134" t="str">
        <f>IF(AND('331-CT'!$E$7=TH!H1083,OR(J1083="331",K1083="331")),"x","")</f>
        <v/>
      </c>
    </row>
    <row r="1084" spans="1:12">
      <c r="A1084" s="72">
        <f t="shared" si="43"/>
        <v>2015</v>
      </c>
      <c r="B1084" s="72">
        <f t="shared" si="44"/>
        <v>12</v>
      </c>
      <c r="C1084" s="73">
        <v>42349</v>
      </c>
      <c r="D1084" s="73" t="s">
        <v>17</v>
      </c>
      <c r="E1084" s="73">
        <v>42349</v>
      </c>
      <c r="F1084" s="76" t="s">
        <v>35</v>
      </c>
      <c r="G1084" s="265"/>
      <c r="H1084" s="122"/>
      <c r="I1084" s="74">
        <v>4000</v>
      </c>
      <c r="J1084" s="75" t="s">
        <v>19</v>
      </c>
      <c r="K1084" s="75" t="s">
        <v>54</v>
      </c>
      <c r="L1084" s="134" t="str">
        <f>IF(AND('331-CT'!$E$7=TH!H1084,OR(J1084="331",K1084="331")),"x","")</f>
        <v/>
      </c>
    </row>
    <row r="1085" spans="1:12">
      <c r="A1085" s="72">
        <f t="shared" si="43"/>
        <v>2015</v>
      </c>
      <c r="B1085" s="72">
        <f t="shared" si="44"/>
        <v>12</v>
      </c>
      <c r="C1085" s="73">
        <v>42349</v>
      </c>
      <c r="D1085" s="73" t="s">
        <v>17</v>
      </c>
      <c r="E1085" s="73">
        <v>42349</v>
      </c>
      <c r="F1085" s="76" t="s">
        <v>888</v>
      </c>
      <c r="G1085" s="265"/>
      <c r="H1085" s="122" t="s">
        <v>300</v>
      </c>
      <c r="I1085" s="74">
        <v>114906620</v>
      </c>
      <c r="J1085" s="75" t="s">
        <v>18</v>
      </c>
      <c r="K1085" s="75" t="s">
        <v>54</v>
      </c>
      <c r="L1085" s="134" t="str">
        <f>IF(AND('331-CT'!$E$7=TH!H1085,OR(J1085="331",K1085="331")),"x","")</f>
        <v/>
      </c>
    </row>
    <row r="1086" spans="1:12">
      <c r="A1086" s="72">
        <f t="shared" si="43"/>
        <v>2015</v>
      </c>
      <c r="B1086" s="72">
        <f t="shared" si="44"/>
        <v>12</v>
      </c>
      <c r="C1086" s="73">
        <v>42349</v>
      </c>
      <c r="D1086" s="73" t="s">
        <v>17</v>
      </c>
      <c r="E1086" s="73">
        <v>42349</v>
      </c>
      <c r="F1086" s="76" t="s">
        <v>34</v>
      </c>
      <c r="G1086" s="265"/>
      <c r="H1086" s="122"/>
      <c r="I1086" s="74">
        <v>91925</v>
      </c>
      <c r="J1086" s="75" t="s">
        <v>242</v>
      </c>
      <c r="K1086" s="75" t="s">
        <v>54</v>
      </c>
      <c r="L1086" s="134" t="str">
        <f>IF(AND('331-CT'!$E$7=TH!H1086,OR(J1086="331",K1086="331")),"x","")</f>
        <v/>
      </c>
    </row>
    <row r="1087" spans="1:12">
      <c r="A1087" s="72">
        <f t="shared" si="43"/>
        <v>2015</v>
      </c>
      <c r="B1087" s="72">
        <f t="shared" si="44"/>
        <v>12</v>
      </c>
      <c r="C1087" s="73">
        <v>42349</v>
      </c>
      <c r="D1087" s="73" t="s">
        <v>17</v>
      </c>
      <c r="E1087" s="73">
        <v>42349</v>
      </c>
      <c r="F1087" s="76" t="s">
        <v>35</v>
      </c>
      <c r="G1087" s="265"/>
      <c r="H1087" s="122"/>
      <c r="I1087" s="74">
        <v>9192</v>
      </c>
      <c r="J1087" s="75" t="s">
        <v>19</v>
      </c>
      <c r="K1087" s="75" t="s">
        <v>54</v>
      </c>
      <c r="L1087" s="134" t="str">
        <f>IF(AND('331-CT'!$E$7=TH!H1087,OR(J1087="331",K1087="331")),"x","")</f>
        <v/>
      </c>
    </row>
    <row r="1088" spans="1:12">
      <c r="A1088" s="72">
        <f t="shared" si="43"/>
        <v>2015</v>
      </c>
      <c r="B1088" s="72">
        <f t="shared" si="44"/>
        <v>12</v>
      </c>
      <c r="C1088" s="73">
        <v>42349</v>
      </c>
      <c r="D1088" s="73" t="s">
        <v>17</v>
      </c>
      <c r="E1088" s="73">
        <v>42349</v>
      </c>
      <c r="F1088" s="76" t="s">
        <v>889</v>
      </c>
      <c r="G1088" s="265"/>
      <c r="H1088" s="122" t="s">
        <v>602</v>
      </c>
      <c r="I1088" s="74">
        <v>75000000</v>
      </c>
      <c r="J1088" s="75" t="s">
        <v>18</v>
      </c>
      <c r="K1088" s="75" t="s">
        <v>54</v>
      </c>
      <c r="L1088" s="134" t="str">
        <f>IF(AND('331-CT'!$E$7=TH!H1088,OR(J1088="331",K1088="331")),"x","")</f>
        <v/>
      </c>
    </row>
    <row r="1089" spans="1:12">
      <c r="A1089" s="72">
        <f t="shared" si="43"/>
        <v>2015</v>
      </c>
      <c r="B1089" s="72">
        <f t="shared" si="44"/>
        <v>12</v>
      </c>
      <c r="C1089" s="73">
        <v>42349</v>
      </c>
      <c r="D1089" s="73" t="s">
        <v>17</v>
      </c>
      <c r="E1089" s="73">
        <v>42349</v>
      </c>
      <c r="F1089" s="76" t="s">
        <v>34</v>
      </c>
      <c r="G1089" s="265"/>
      <c r="H1089" s="122"/>
      <c r="I1089" s="74">
        <v>45000</v>
      </c>
      <c r="J1089" s="75" t="s">
        <v>242</v>
      </c>
      <c r="K1089" s="75" t="s">
        <v>54</v>
      </c>
      <c r="L1089" s="134" t="str">
        <f>IF(AND('331-CT'!$E$7=TH!H1089,OR(J1089="331",K1089="331")),"x","")</f>
        <v/>
      </c>
    </row>
    <row r="1090" spans="1:12">
      <c r="A1090" s="72">
        <f t="shared" si="43"/>
        <v>2015</v>
      </c>
      <c r="B1090" s="72">
        <f t="shared" si="44"/>
        <v>12</v>
      </c>
      <c r="C1090" s="73">
        <v>42349</v>
      </c>
      <c r="D1090" s="73" t="s">
        <v>17</v>
      </c>
      <c r="E1090" s="73">
        <v>42349</v>
      </c>
      <c r="F1090" s="76" t="s">
        <v>35</v>
      </c>
      <c r="G1090" s="265"/>
      <c r="H1090" s="122"/>
      <c r="I1090" s="74">
        <v>4500</v>
      </c>
      <c r="J1090" s="75" t="s">
        <v>19</v>
      </c>
      <c r="K1090" s="75" t="s">
        <v>54</v>
      </c>
      <c r="L1090" s="134" t="str">
        <f>IF(AND('331-CT'!$E$7=TH!H1090,OR(J1090="331",K1090="331")),"x","")</f>
        <v/>
      </c>
    </row>
    <row r="1091" spans="1:12">
      <c r="A1091" s="72">
        <f t="shared" si="43"/>
        <v>2015</v>
      </c>
      <c r="B1091" s="72">
        <f t="shared" si="44"/>
        <v>12</v>
      </c>
      <c r="C1091" s="73">
        <v>42349</v>
      </c>
      <c r="D1091" s="73" t="s">
        <v>78</v>
      </c>
      <c r="E1091" s="73">
        <v>42349</v>
      </c>
      <c r="F1091" s="76" t="s">
        <v>1072</v>
      </c>
      <c r="G1091" s="265" t="s">
        <v>1073</v>
      </c>
      <c r="H1091" s="122" t="s">
        <v>649</v>
      </c>
      <c r="I1091" s="74">
        <v>34392600</v>
      </c>
      <c r="J1091" s="75" t="s">
        <v>242</v>
      </c>
      <c r="K1091" s="75" t="s">
        <v>18</v>
      </c>
      <c r="L1091" s="134" t="str">
        <f>IF(AND('331-CT'!$E$7=TH!H1091,OR(J1091="331",K1091="331")),"x","")</f>
        <v/>
      </c>
    </row>
    <row r="1092" spans="1:12">
      <c r="A1092" s="72">
        <f t="shared" si="43"/>
        <v>2015</v>
      </c>
      <c r="B1092" s="72">
        <f t="shared" si="44"/>
        <v>12</v>
      </c>
      <c r="C1092" s="73">
        <v>42349</v>
      </c>
      <c r="D1092" s="73" t="s">
        <v>78</v>
      </c>
      <c r="E1092" s="73">
        <v>42349</v>
      </c>
      <c r="F1092" s="76" t="s">
        <v>1074</v>
      </c>
      <c r="G1092" s="265" t="s">
        <v>1073</v>
      </c>
      <c r="H1092" s="122" t="s">
        <v>649</v>
      </c>
      <c r="I1092" s="74">
        <v>3439260</v>
      </c>
      <c r="J1092" s="75" t="s">
        <v>19</v>
      </c>
      <c r="K1092" s="75" t="s">
        <v>18</v>
      </c>
      <c r="L1092" s="134" t="str">
        <f>IF(AND('331-CT'!$E$7=TH!H1092,OR(J1092="331",K1092="331")),"x","")</f>
        <v/>
      </c>
    </row>
    <row r="1093" spans="1:12">
      <c r="A1093" s="72">
        <f t="shared" si="43"/>
        <v>2015</v>
      </c>
      <c r="B1093" s="72">
        <f t="shared" si="44"/>
        <v>12</v>
      </c>
      <c r="C1093" s="73">
        <v>42357</v>
      </c>
      <c r="D1093" s="73" t="s">
        <v>17</v>
      </c>
      <c r="E1093" s="73">
        <v>42357</v>
      </c>
      <c r="F1093" s="76" t="s">
        <v>119</v>
      </c>
      <c r="G1093" s="265"/>
      <c r="H1093" s="122" t="s">
        <v>314</v>
      </c>
      <c r="I1093" s="74">
        <v>7916667</v>
      </c>
      <c r="J1093" s="75" t="s">
        <v>240</v>
      </c>
      <c r="K1093" s="75" t="s">
        <v>54</v>
      </c>
      <c r="L1093" s="134" t="str">
        <f>IF(AND('331-CT'!$E$7=TH!H1093,OR(J1093="331",K1093="331")),"x","")</f>
        <v/>
      </c>
    </row>
    <row r="1094" spans="1:12">
      <c r="A1094" s="72">
        <f t="shared" si="43"/>
        <v>2015</v>
      </c>
      <c r="B1094" s="72">
        <f t="shared" si="44"/>
        <v>12</v>
      </c>
      <c r="C1094" s="73">
        <v>42357</v>
      </c>
      <c r="D1094" s="73" t="s">
        <v>17</v>
      </c>
      <c r="E1094" s="73">
        <v>42357</v>
      </c>
      <c r="F1094" s="76" t="s">
        <v>145</v>
      </c>
      <c r="G1094" s="265"/>
      <c r="H1094" s="122" t="s">
        <v>318</v>
      </c>
      <c r="I1094" s="74">
        <v>7916667</v>
      </c>
      <c r="J1094" s="75" t="s">
        <v>240</v>
      </c>
      <c r="K1094" s="75" t="s">
        <v>54</v>
      </c>
      <c r="L1094" s="134" t="str">
        <f>IF(AND('331-CT'!$E$7=TH!H1094,OR(J1094="331",K1094="331")),"x","")</f>
        <v/>
      </c>
    </row>
    <row r="1095" spans="1:12">
      <c r="A1095" s="72">
        <f t="shared" si="43"/>
        <v>2015</v>
      </c>
      <c r="B1095" s="72">
        <f t="shared" si="44"/>
        <v>12</v>
      </c>
      <c r="C1095" s="73">
        <v>42357</v>
      </c>
      <c r="D1095" s="73" t="s">
        <v>17</v>
      </c>
      <c r="E1095" s="73">
        <v>42357</v>
      </c>
      <c r="F1095" s="76" t="s">
        <v>141</v>
      </c>
      <c r="G1095" s="265"/>
      <c r="H1095" s="122" t="s">
        <v>315</v>
      </c>
      <c r="I1095" s="74">
        <v>15833333</v>
      </c>
      <c r="J1095" s="75" t="s">
        <v>240</v>
      </c>
      <c r="K1095" s="75" t="s">
        <v>54</v>
      </c>
      <c r="L1095" s="134" t="str">
        <f>IF(AND('331-CT'!$E$7=TH!H1095,OR(J1095="331",K1095="331")),"x","")</f>
        <v/>
      </c>
    </row>
    <row r="1096" spans="1:12">
      <c r="A1096" s="72">
        <f t="shared" si="43"/>
        <v>2015</v>
      </c>
      <c r="B1096" s="72">
        <f t="shared" si="44"/>
        <v>12</v>
      </c>
      <c r="C1096" s="73">
        <v>42359</v>
      </c>
      <c r="D1096" s="73" t="s">
        <v>78</v>
      </c>
      <c r="E1096" s="73">
        <v>42359</v>
      </c>
      <c r="F1096" s="76" t="s">
        <v>1096</v>
      </c>
      <c r="G1096" s="265" t="s">
        <v>1097</v>
      </c>
      <c r="H1096" s="122" t="s">
        <v>150</v>
      </c>
      <c r="I1096" s="74">
        <v>31372800</v>
      </c>
      <c r="J1096" s="75" t="s">
        <v>655</v>
      </c>
      <c r="K1096" s="75" t="s">
        <v>18</v>
      </c>
      <c r="L1096" s="134" t="str">
        <f>IF(AND('331-CT'!$E$7=TH!H1096,OR(J1096="331",K1096="331")),"x","")</f>
        <v/>
      </c>
    </row>
    <row r="1097" spans="1:12">
      <c r="A1097" s="72">
        <f t="shared" si="43"/>
        <v>2015</v>
      </c>
      <c r="B1097" s="72">
        <f t="shared" si="44"/>
        <v>12</v>
      </c>
      <c r="C1097" s="73">
        <v>42359</v>
      </c>
      <c r="D1097" s="73" t="s">
        <v>78</v>
      </c>
      <c r="E1097" s="73">
        <v>42359</v>
      </c>
      <c r="F1097" s="76" t="s">
        <v>1098</v>
      </c>
      <c r="G1097" s="265" t="s">
        <v>1097</v>
      </c>
      <c r="H1097" s="122" t="s">
        <v>150</v>
      </c>
      <c r="I1097" s="74">
        <v>3137280</v>
      </c>
      <c r="J1097" s="75" t="s">
        <v>19</v>
      </c>
      <c r="K1097" s="75" t="s">
        <v>18</v>
      </c>
      <c r="L1097" s="134" t="str">
        <f>IF(AND('331-CT'!$E$7=TH!H1097,OR(J1097="331",K1097="331")),"x","")</f>
        <v/>
      </c>
    </row>
    <row r="1098" spans="1:12">
      <c r="A1098" s="72">
        <f t="shared" si="43"/>
        <v>2015</v>
      </c>
      <c r="B1098" s="72">
        <f t="shared" si="44"/>
        <v>12</v>
      </c>
      <c r="C1098" s="73">
        <v>42360</v>
      </c>
      <c r="D1098" s="73" t="s">
        <v>1123</v>
      </c>
      <c r="E1098" s="73">
        <v>42360</v>
      </c>
      <c r="F1098" s="76" t="s">
        <v>576</v>
      </c>
      <c r="G1098" s="265"/>
      <c r="H1098" s="122" t="s">
        <v>272</v>
      </c>
      <c r="I1098" s="74">
        <v>170000000</v>
      </c>
      <c r="J1098" s="75" t="s">
        <v>54</v>
      </c>
      <c r="K1098" s="75" t="s">
        <v>203</v>
      </c>
      <c r="L1098" s="134" t="str">
        <f>IF(AND('331-CT'!$E$7=TH!H1098,OR(J1098="331",K1098="331")),"x","")</f>
        <v/>
      </c>
    </row>
    <row r="1099" spans="1:12">
      <c r="A1099" s="72">
        <f t="shared" si="43"/>
        <v>2015</v>
      </c>
      <c r="B1099" s="72">
        <f t="shared" si="44"/>
        <v>12</v>
      </c>
      <c r="C1099" s="73">
        <v>42360</v>
      </c>
      <c r="D1099" s="73" t="s">
        <v>17</v>
      </c>
      <c r="E1099" s="73">
        <v>42360</v>
      </c>
      <c r="F1099" s="76" t="s">
        <v>143</v>
      </c>
      <c r="G1099" s="265"/>
      <c r="H1099" s="122" t="s">
        <v>317</v>
      </c>
      <c r="I1099" s="74">
        <v>12681709</v>
      </c>
      <c r="J1099" s="75" t="s">
        <v>240</v>
      </c>
      <c r="K1099" s="75" t="s">
        <v>54</v>
      </c>
      <c r="L1099" s="134" t="str">
        <f>IF(AND('331-CT'!$E$7=TH!H1099,OR(J1099="331",K1099="331")),"x","")</f>
        <v/>
      </c>
    </row>
    <row r="1100" spans="1:12">
      <c r="A1100" s="72">
        <f t="shared" si="43"/>
        <v>2015</v>
      </c>
      <c r="B1100" s="72">
        <f t="shared" si="44"/>
        <v>12</v>
      </c>
      <c r="C1100" s="73">
        <v>42360</v>
      </c>
      <c r="D1100" s="73" t="s">
        <v>17</v>
      </c>
      <c r="E1100" s="73">
        <v>42360</v>
      </c>
      <c r="F1100" s="76" t="s">
        <v>144</v>
      </c>
      <c r="G1100" s="265"/>
      <c r="H1100" s="122" t="s">
        <v>316</v>
      </c>
      <c r="I1100" s="74">
        <v>11889102</v>
      </c>
      <c r="J1100" s="75" t="s">
        <v>240</v>
      </c>
      <c r="K1100" s="75" t="s">
        <v>54</v>
      </c>
      <c r="L1100" s="134" t="str">
        <f>IF(AND('331-CT'!$E$7=TH!H1100,OR(J1100="331",K1100="331")),"x","")</f>
        <v/>
      </c>
    </row>
    <row r="1101" spans="1:12">
      <c r="A1101" s="72">
        <f t="shared" si="43"/>
        <v>2015</v>
      </c>
      <c r="B1101" s="72">
        <f t="shared" si="44"/>
        <v>12</v>
      </c>
      <c r="C1101" s="73">
        <v>42360</v>
      </c>
      <c r="D1101" s="73" t="s">
        <v>17</v>
      </c>
      <c r="E1101" s="73">
        <v>42360</v>
      </c>
      <c r="F1101" s="76" t="s">
        <v>147</v>
      </c>
      <c r="G1101" s="265"/>
      <c r="H1101" s="122" t="s">
        <v>319</v>
      </c>
      <c r="I1101" s="74">
        <v>11889102</v>
      </c>
      <c r="J1101" s="75" t="s">
        <v>240</v>
      </c>
      <c r="K1101" s="75" t="s">
        <v>54</v>
      </c>
      <c r="L1101" s="134" t="str">
        <f>IF(AND('331-CT'!$E$7=TH!H1101,OR(J1101="331",K1101="331")),"x","")</f>
        <v/>
      </c>
    </row>
    <row r="1102" spans="1:12">
      <c r="A1102" s="72">
        <f t="shared" si="43"/>
        <v>2015</v>
      </c>
      <c r="B1102" s="72">
        <f t="shared" si="44"/>
        <v>12</v>
      </c>
      <c r="C1102" s="73">
        <v>42360</v>
      </c>
      <c r="D1102" s="73" t="s">
        <v>17</v>
      </c>
      <c r="E1102" s="73">
        <v>42360</v>
      </c>
      <c r="F1102" s="76" t="s">
        <v>273</v>
      </c>
      <c r="G1102" s="265"/>
      <c r="H1102" s="122" t="s">
        <v>320</v>
      </c>
      <c r="I1102" s="74">
        <v>15852135</v>
      </c>
      <c r="J1102" s="75" t="s">
        <v>240</v>
      </c>
      <c r="K1102" s="75" t="s">
        <v>54</v>
      </c>
      <c r="L1102" s="134" t="str">
        <f>IF(AND('331-CT'!$E$7=TH!H1102,OR(J1102="331",K1102="331")),"x","")</f>
        <v/>
      </c>
    </row>
    <row r="1103" spans="1:12">
      <c r="A1103" s="72">
        <f t="shared" si="43"/>
        <v>2015</v>
      </c>
      <c r="B1103" s="72">
        <f t="shared" si="44"/>
        <v>12</v>
      </c>
      <c r="C1103" s="73">
        <v>42360</v>
      </c>
      <c r="D1103" s="73" t="s">
        <v>17</v>
      </c>
      <c r="E1103" s="73">
        <v>42360</v>
      </c>
      <c r="F1103" s="76" t="s">
        <v>303</v>
      </c>
      <c r="G1103" s="265"/>
      <c r="H1103" s="122" t="s">
        <v>321</v>
      </c>
      <c r="I1103" s="74">
        <v>11096494</v>
      </c>
      <c r="J1103" s="75" t="s">
        <v>240</v>
      </c>
      <c r="K1103" s="75" t="s">
        <v>54</v>
      </c>
      <c r="L1103" s="134" t="str">
        <f>IF(AND('331-CT'!$E$7=TH!H1103,OR(J1103="331",K1103="331")),"x","")</f>
        <v/>
      </c>
    </row>
    <row r="1104" spans="1:12">
      <c r="A1104" s="72">
        <f t="shared" si="43"/>
        <v>2015</v>
      </c>
      <c r="B1104" s="72">
        <f t="shared" si="44"/>
        <v>12</v>
      </c>
      <c r="C1104" s="73">
        <v>42360</v>
      </c>
      <c r="D1104" s="73" t="s">
        <v>17</v>
      </c>
      <c r="E1104" s="73">
        <v>42360</v>
      </c>
      <c r="F1104" s="76" t="s">
        <v>304</v>
      </c>
      <c r="G1104" s="265"/>
      <c r="H1104" s="122" t="s">
        <v>322</v>
      </c>
      <c r="I1104" s="74">
        <v>11889102</v>
      </c>
      <c r="J1104" s="75" t="s">
        <v>240</v>
      </c>
      <c r="K1104" s="75" t="s">
        <v>54</v>
      </c>
      <c r="L1104" s="134" t="str">
        <f>IF(AND('331-CT'!$E$7=TH!H1104,OR(J1104="331",K1104="331")),"x","")</f>
        <v/>
      </c>
    </row>
    <row r="1105" spans="1:13">
      <c r="A1105" s="72">
        <f t="shared" si="43"/>
        <v>2015</v>
      </c>
      <c r="B1105" s="72">
        <f t="shared" si="44"/>
        <v>12</v>
      </c>
      <c r="C1105" s="73">
        <v>42360</v>
      </c>
      <c r="D1105" s="73" t="s">
        <v>17</v>
      </c>
      <c r="E1105" s="73">
        <v>42360</v>
      </c>
      <c r="F1105" s="76" t="s">
        <v>465</v>
      </c>
      <c r="G1105" s="265"/>
      <c r="H1105" s="122" t="s">
        <v>326</v>
      </c>
      <c r="I1105" s="74">
        <v>11889102</v>
      </c>
      <c r="J1105" s="75" t="s">
        <v>240</v>
      </c>
      <c r="K1105" s="75" t="s">
        <v>54</v>
      </c>
      <c r="L1105" s="134" t="str">
        <f>IF(AND('331-CT'!$E$7=TH!H1105,OR(J1105="331",K1105="331")),"x","")</f>
        <v/>
      </c>
    </row>
    <row r="1106" spans="1:13" ht="15">
      <c r="A1106" s="72">
        <f t="shared" si="43"/>
        <v>2015</v>
      </c>
      <c r="B1106" s="72">
        <f t="shared" si="44"/>
        <v>12</v>
      </c>
      <c r="C1106" s="73">
        <v>42360</v>
      </c>
      <c r="D1106" s="73" t="s">
        <v>17</v>
      </c>
      <c r="E1106" s="73">
        <v>42360</v>
      </c>
      <c r="F1106" s="76" t="s">
        <v>466</v>
      </c>
      <c r="G1106" s="265"/>
      <c r="H1106" s="122" t="s">
        <v>417</v>
      </c>
      <c r="I1106" s="74">
        <v>11889102</v>
      </c>
      <c r="J1106" s="75" t="s">
        <v>240</v>
      </c>
      <c r="K1106" s="75" t="s">
        <v>54</v>
      </c>
      <c r="L1106" s="134" t="str">
        <f>IF(AND('331-CT'!$E$7=TH!H1106,OR(J1106="331",K1106="331")),"x","")</f>
        <v/>
      </c>
      <c r="M1106" s="391"/>
    </row>
    <row r="1107" spans="1:13">
      <c r="A1107" s="72">
        <f t="shared" si="43"/>
        <v>2015</v>
      </c>
      <c r="B1107" s="72">
        <f t="shared" si="44"/>
        <v>12</v>
      </c>
      <c r="C1107" s="73">
        <v>42360</v>
      </c>
      <c r="D1107" s="73" t="s">
        <v>17</v>
      </c>
      <c r="E1107" s="73">
        <v>42360</v>
      </c>
      <c r="F1107" s="76" t="s">
        <v>580</v>
      </c>
      <c r="G1107" s="265"/>
      <c r="H1107" s="122" t="s">
        <v>422</v>
      </c>
      <c r="I1107" s="74">
        <v>7926068</v>
      </c>
      <c r="J1107" s="75" t="s">
        <v>240</v>
      </c>
      <c r="K1107" s="75" t="s">
        <v>54</v>
      </c>
      <c r="L1107" s="134" t="str">
        <f>IF(AND('331-CT'!$E$7=TH!H1107,OR(J1107="331",K1107="331")),"x","")</f>
        <v/>
      </c>
    </row>
    <row r="1108" spans="1:13">
      <c r="A1108" s="72">
        <f t="shared" si="43"/>
        <v>2015</v>
      </c>
      <c r="B1108" s="72">
        <f t="shared" si="44"/>
        <v>12</v>
      </c>
      <c r="C1108" s="73">
        <v>42360</v>
      </c>
      <c r="D1108" s="73" t="s">
        <v>17</v>
      </c>
      <c r="E1108" s="73">
        <v>42360</v>
      </c>
      <c r="F1108" s="76" t="s">
        <v>581</v>
      </c>
      <c r="G1108" s="265"/>
      <c r="H1108" s="122" t="s">
        <v>456</v>
      </c>
      <c r="I1108" s="74">
        <v>7926068</v>
      </c>
      <c r="J1108" s="75" t="s">
        <v>240</v>
      </c>
      <c r="K1108" s="75" t="s">
        <v>54</v>
      </c>
      <c r="L1108" s="134" t="str">
        <f>IF(AND('331-CT'!$E$7=TH!H1108,OR(J1108="331",K1108="331")),"x","")</f>
        <v/>
      </c>
    </row>
    <row r="1109" spans="1:13">
      <c r="A1109" s="72">
        <f t="shared" si="43"/>
        <v>2015</v>
      </c>
      <c r="B1109" s="72">
        <f t="shared" si="44"/>
        <v>12</v>
      </c>
      <c r="C1109" s="313">
        <v>42360</v>
      </c>
      <c r="D1109" s="313" t="s">
        <v>17</v>
      </c>
      <c r="E1109" s="313">
        <v>42360</v>
      </c>
      <c r="F1109" s="314" t="s">
        <v>418</v>
      </c>
      <c r="G1109" s="409"/>
      <c r="H1109" s="316" t="s">
        <v>324</v>
      </c>
      <c r="I1109" s="74">
        <v>11889102</v>
      </c>
      <c r="J1109" s="317" t="s">
        <v>240</v>
      </c>
      <c r="K1109" s="317" t="s">
        <v>54</v>
      </c>
      <c r="L1109" s="134" t="str">
        <f>IF(AND('331-CT'!$E$7=TH!H1109,OR(J1109="331",K1109="331")),"x","")</f>
        <v/>
      </c>
    </row>
    <row r="1110" spans="1:13">
      <c r="A1110" s="72">
        <f t="shared" ref="A1110:A1116" si="45">IF(C1110&lt;&gt;"",YEAR(C1110),"")</f>
        <v>2015</v>
      </c>
      <c r="B1110" s="72">
        <f t="shared" ref="B1110:B1116" si="46">IF(C1110&lt;&gt;"",MONTH(C1110),"")</f>
        <v>12</v>
      </c>
      <c r="C1110" s="313">
        <v>42361</v>
      </c>
      <c r="D1110" s="313" t="s">
        <v>17</v>
      </c>
      <c r="E1110" s="313">
        <v>42361</v>
      </c>
      <c r="F1110" s="314" t="s">
        <v>1057</v>
      </c>
      <c r="G1110" s="409"/>
      <c r="H1110" s="316" t="s">
        <v>649</v>
      </c>
      <c r="I1110" s="74">
        <v>37831860</v>
      </c>
      <c r="J1110" s="317" t="s">
        <v>18</v>
      </c>
      <c r="K1110" s="317" t="s">
        <v>54</v>
      </c>
      <c r="L1110" s="134" t="str">
        <f>IF(AND('331-CT'!$E$7=TH!H1110,OR(J1110="331",K1110="331")),"x","")</f>
        <v/>
      </c>
    </row>
    <row r="1111" spans="1:13">
      <c r="A1111" s="72">
        <f t="shared" si="45"/>
        <v>2015</v>
      </c>
      <c r="B1111" s="72">
        <f t="shared" si="46"/>
        <v>12</v>
      </c>
      <c r="C1111" s="313">
        <v>42361</v>
      </c>
      <c r="D1111" s="313" t="s">
        <v>17</v>
      </c>
      <c r="E1111" s="313">
        <v>42361</v>
      </c>
      <c r="F1111" s="314" t="s">
        <v>34</v>
      </c>
      <c r="G1111" s="409"/>
      <c r="H1111" s="316"/>
      <c r="I1111" s="74">
        <v>45000</v>
      </c>
      <c r="J1111" s="317" t="s">
        <v>242</v>
      </c>
      <c r="K1111" s="317" t="s">
        <v>54</v>
      </c>
      <c r="L1111" s="134" t="str">
        <f>IF(AND('331-CT'!$E$7=TH!H1111,OR(J1111="331",K1111="331")),"x","")</f>
        <v/>
      </c>
    </row>
    <row r="1112" spans="1:13">
      <c r="A1112" s="72">
        <f t="shared" si="45"/>
        <v>2015</v>
      </c>
      <c r="B1112" s="72">
        <f t="shared" si="46"/>
        <v>12</v>
      </c>
      <c r="C1112" s="313">
        <v>42361</v>
      </c>
      <c r="D1112" s="313" t="s">
        <v>17</v>
      </c>
      <c r="E1112" s="313">
        <v>42361</v>
      </c>
      <c r="F1112" s="314" t="s">
        <v>35</v>
      </c>
      <c r="G1112" s="409"/>
      <c r="H1112" s="316"/>
      <c r="I1112" s="74">
        <v>4500</v>
      </c>
      <c r="J1112" s="317" t="s">
        <v>19</v>
      </c>
      <c r="K1112" s="317" t="s">
        <v>54</v>
      </c>
      <c r="L1112" s="134" t="str">
        <f>IF(AND('331-CT'!$E$7=TH!H1112,OR(J1112="331",K1112="331")),"x","")</f>
        <v/>
      </c>
    </row>
    <row r="1113" spans="1:13">
      <c r="A1113" s="72">
        <f t="shared" si="45"/>
        <v>2015</v>
      </c>
      <c r="B1113" s="72">
        <f t="shared" si="46"/>
        <v>12</v>
      </c>
      <c r="C1113" s="313">
        <v>42362</v>
      </c>
      <c r="D1113" s="313" t="s">
        <v>21</v>
      </c>
      <c r="E1113" s="313">
        <v>42362</v>
      </c>
      <c r="F1113" s="314" t="s">
        <v>1058</v>
      </c>
      <c r="G1113" s="409"/>
      <c r="H1113" s="316" t="s">
        <v>1059</v>
      </c>
      <c r="I1113" s="74">
        <v>1982640000</v>
      </c>
      <c r="J1113" s="317" t="s">
        <v>54</v>
      </c>
      <c r="K1113" s="317" t="s">
        <v>227</v>
      </c>
      <c r="L1113" s="134" t="str">
        <f>IF(AND('331-CT'!$E$7=TH!H1113,OR(J1113="331",K1113="331")),"x","")</f>
        <v/>
      </c>
    </row>
    <row r="1114" spans="1:13">
      <c r="A1114" s="72">
        <f t="shared" si="45"/>
        <v>2015</v>
      </c>
      <c r="B1114" s="72">
        <f t="shared" si="46"/>
        <v>12</v>
      </c>
      <c r="C1114" s="410">
        <v>42362</v>
      </c>
      <c r="D1114" s="410" t="s">
        <v>21</v>
      </c>
      <c r="E1114" s="410">
        <v>42362</v>
      </c>
      <c r="F1114" s="411" t="s">
        <v>98</v>
      </c>
      <c r="G1114" s="412"/>
      <c r="H1114" s="413"/>
      <c r="I1114" s="414">
        <v>26816</v>
      </c>
      <c r="J1114" s="415" t="s">
        <v>54</v>
      </c>
      <c r="K1114" s="415" t="s">
        <v>99</v>
      </c>
      <c r="L1114" s="134" t="str">
        <f>IF(AND('331-CT'!$E$7=TH!H1114,OR(J1114="331",K1114="331")),"x","")</f>
        <v/>
      </c>
    </row>
    <row r="1115" spans="1:13">
      <c r="A1115" s="72">
        <f t="shared" si="45"/>
        <v>2015</v>
      </c>
      <c r="B1115" s="72">
        <f t="shared" si="46"/>
        <v>12</v>
      </c>
      <c r="C1115" s="410">
        <v>42362</v>
      </c>
      <c r="D1115" s="410" t="s">
        <v>78</v>
      </c>
      <c r="E1115" s="410">
        <v>42362</v>
      </c>
      <c r="F1115" s="411" t="s">
        <v>1100</v>
      </c>
      <c r="G1115" s="412" t="s">
        <v>1101</v>
      </c>
      <c r="H1115" s="413" t="s">
        <v>190</v>
      </c>
      <c r="I1115" s="414">
        <v>34528697</v>
      </c>
      <c r="J1115" s="415" t="s">
        <v>655</v>
      </c>
      <c r="K1115" s="415" t="s">
        <v>18</v>
      </c>
      <c r="L1115" s="134" t="str">
        <f>IF(AND('331-CT'!$E$7=TH!H1115,OR(J1115="331",K1115="331")),"x","")</f>
        <v>x</v>
      </c>
    </row>
    <row r="1116" spans="1:13">
      <c r="A1116" s="72">
        <f t="shared" si="45"/>
        <v>2015</v>
      </c>
      <c r="B1116" s="72">
        <f t="shared" si="46"/>
        <v>12</v>
      </c>
      <c r="C1116" s="313">
        <v>42362</v>
      </c>
      <c r="D1116" s="313" t="s">
        <v>78</v>
      </c>
      <c r="E1116" s="313">
        <v>42362</v>
      </c>
      <c r="F1116" s="314" t="s">
        <v>1102</v>
      </c>
      <c r="G1116" s="420" t="s">
        <v>1101</v>
      </c>
      <c r="H1116" s="316" t="s">
        <v>190</v>
      </c>
      <c r="I1116" s="74">
        <v>3452869</v>
      </c>
      <c r="J1116" s="317" t="s">
        <v>19</v>
      </c>
      <c r="K1116" s="317" t="s">
        <v>18</v>
      </c>
      <c r="L1116" s="134" t="str">
        <f>IF(AND('331-CT'!$E$7=TH!H1116,OR(J1116="331",K1116="331")),"x","")</f>
        <v>x</v>
      </c>
    </row>
    <row r="1117" spans="1:13">
      <c r="A1117" s="72">
        <f t="shared" ref="A1117:A1180" si="47">IF(C1117&lt;&gt;"",YEAR(C1117),"")</f>
        <v>2015</v>
      </c>
      <c r="B1117" s="72">
        <f t="shared" ref="B1117:B1180" si="48">IF(C1117&lt;&gt;"",MONTH(C1117),"")</f>
        <v>12</v>
      </c>
      <c r="C1117" s="313">
        <v>42363</v>
      </c>
      <c r="D1117" s="313" t="s">
        <v>1135</v>
      </c>
      <c r="E1117" s="313">
        <v>42363</v>
      </c>
      <c r="F1117" s="314" t="s">
        <v>576</v>
      </c>
      <c r="G1117" s="318"/>
      <c r="H1117" s="316" t="s">
        <v>272</v>
      </c>
      <c r="I1117" s="74">
        <v>13000000</v>
      </c>
      <c r="J1117" s="317" t="s">
        <v>54</v>
      </c>
      <c r="K1117" s="317" t="s">
        <v>203</v>
      </c>
      <c r="L1117" s="134" t="str">
        <f>IF(AND('331-CT'!$E$7=TH!H1117,OR(J1117="331",K1117="331")),"x","")</f>
        <v/>
      </c>
    </row>
    <row r="1118" spans="1:13">
      <c r="A1118" s="72">
        <f t="shared" si="47"/>
        <v>2015</v>
      </c>
      <c r="B1118" s="72">
        <f t="shared" si="48"/>
        <v>12</v>
      </c>
      <c r="C1118" s="313">
        <v>42363</v>
      </c>
      <c r="D1118" s="313" t="s">
        <v>1104</v>
      </c>
      <c r="E1118" s="313">
        <v>42363</v>
      </c>
      <c r="F1118" s="314" t="s">
        <v>1060</v>
      </c>
      <c r="G1118" s="318"/>
      <c r="H1118" s="316" t="s">
        <v>272</v>
      </c>
      <c r="I1118" s="74">
        <v>2000000000</v>
      </c>
      <c r="J1118" s="317" t="s">
        <v>203</v>
      </c>
      <c r="K1118" s="317" t="s">
        <v>54</v>
      </c>
      <c r="L1118" s="134" t="str">
        <f>IF(AND('331-CT'!$E$7=TH!H1118,OR(J1118="331",K1118="331")),"x","")</f>
        <v/>
      </c>
    </row>
    <row r="1119" spans="1:13">
      <c r="A1119" s="72">
        <f t="shared" si="47"/>
        <v>2015</v>
      </c>
      <c r="B1119" s="72">
        <f t="shared" si="48"/>
        <v>12</v>
      </c>
      <c r="C1119" s="313">
        <v>42363</v>
      </c>
      <c r="D1119" s="313" t="s">
        <v>17</v>
      </c>
      <c r="E1119" s="313">
        <v>42363</v>
      </c>
      <c r="F1119" s="314" t="s">
        <v>34</v>
      </c>
      <c r="G1119" s="318"/>
      <c r="H1119" s="316"/>
      <c r="I1119" s="74">
        <v>20000</v>
      </c>
      <c r="J1119" s="317" t="s">
        <v>242</v>
      </c>
      <c r="K1119" s="317" t="s">
        <v>54</v>
      </c>
      <c r="L1119" s="134" t="str">
        <f>IF(AND('331-CT'!$E$7=TH!H1119,OR(J1119="331",K1119="331")),"x","")</f>
        <v/>
      </c>
    </row>
    <row r="1120" spans="1:13">
      <c r="A1120" s="72">
        <f t="shared" si="47"/>
        <v>2015</v>
      </c>
      <c r="B1120" s="72">
        <f t="shared" si="48"/>
        <v>12</v>
      </c>
      <c r="C1120" s="313">
        <v>42363</v>
      </c>
      <c r="D1120" s="313" t="s">
        <v>17</v>
      </c>
      <c r="E1120" s="313">
        <v>42363</v>
      </c>
      <c r="F1120" s="314" t="s">
        <v>35</v>
      </c>
      <c r="G1120" s="318"/>
      <c r="H1120" s="316"/>
      <c r="I1120" s="74">
        <v>2000</v>
      </c>
      <c r="J1120" s="317" t="s">
        <v>19</v>
      </c>
      <c r="K1120" s="317" t="s">
        <v>54</v>
      </c>
      <c r="L1120" s="134" t="str">
        <f>IF(AND('331-CT'!$E$7=TH!H1120,OR(J1120="331",K1120="331")),"x","")</f>
        <v/>
      </c>
    </row>
    <row r="1121" spans="1:12">
      <c r="A1121" s="72">
        <f t="shared" si="47"/>
        <v>2015</v>
      </c>
      <c r="B1121" s="72">
        <f t="shared" si="48"/>
        <v>12</v>
      </c>
      <c r="C1121" s="313">
        <v>42363</v>
      </c>
      <c r="D1121" s="313" t="s">
        <v>1136</v>
      </c>
      <c r="E1121" s="313">
        <v>42363</v>
      </c>
      <c r="F1121" s="314" t="s">
        <v>576</v>
      </c>
      <c r="G1121" s="318"/>
      <c r="H1121" s="316" t="s">
        <v>272</v>
      </c>
      <c r="I1121" s="74">
        <v>600000000</v>
      </c>
      <c r="J1121" s="317" t="s">
        <v>54</v>
      </c>
      <c r="K1121" s="317" t="s">
        <v>203</v>
      </c>
      <c r="L1121" s="134" t="str">
        <f>IF(AND('331-CT'!$E$7=TH!H1121,OR(J1121="331",K1121="331")),"x","")</f>
        <v/>
      </c>
    </row>
    <row r="1122" spans="1:12">
      <c r="A1122" s="72">
        <f t="shared" si="47"/>
        <v>2015</v>
      </c>
      <c r="B1122" s="72">
        <f t="shared" si="48"/>
        <v>12</v>
      </c>
      <c r="C1122" s="313">
        <v>42363</v>
      </c>
      <c r="D1122" s="313" t="s">
        <v>17</v>
      </c>
      <c r="E1122" s="313">
        <v>42363</v>
      </c>
      <c r="F1122" s="314" t="s">
        <v>613</v>
      </c>
      <c r="G1122" s="318"/>
      <c r="H1122" s="316"/>
      <c r="I1122" s="74">
        <v>50000</v>
      </c>
      <c r="J1122" s="317" t="s">
        <v>242</v>
      </c>
      <c r="K1122" s="317" t="s">
        <v>54</v>
      </c>
      <c r="L1122" s="134" t="str">
        <f>IF(AND('331-CT'!$E$7=TH!H1122,OR(J1122="331",K1122="331")),"x","")</f>
        <v/>
      </c>
    </row>
    <row r="1123" spans="1:12">
      <c r="A1123" s="72">
        <f t="shared" si="47"/>
        <v>2015</v>
      </c>
      <c r="B1123" s="72">
        <f t="shared" si="48"/>
        <v>12</v>
      </c>
      <c r="C1123" s="313">
        <v>42363</v>
      </c>
      <c r="D1123" s="313" t="s">
        <v>17</v>
      </c>
      <c r="E1123" s="313">
        <v>42363</v>
      </c>
      <c r="F1123" s="314" t="s">
        <v>44</v>
      </c>
      <c r="G1123" s="318"/>
      <c r="H1123" s="316"/>
      <c r="I1123" s="74">
        <v>5000</v>
      </c>
      <c r="J1123" s="317" t="s">
        <v>19</v>
      </c>
      <c r="K1123" s="317" t="s">
        <v>54</v>
      </c>
      <c r="L1123" s="134" t="str">
        <f>IF(AND('331-CT'!$E$7=TH!H1123,OR(J1123="331",K1123="331")),"x","")</f>
        <v/>
      </c>
    </row>
    <row r="1124" spans="1:12">
      <c r="A1124" s="72">
        <f t="shared" si="47"/>
        <v>2015</v>
      </c>
      <c r="B1124" s="72">
        <f t="shared" si="48"/>
        <v>12</v>
      </c>
      <c r="C1124" s="313">
        <v>42363</v>
      </c>
      <c r="D1124" s="313" t="s">
        <v>17</v>
      </c>
      <c r="E1124" s="313">
        <v>42363</v>
      </c>
      <c r="F1124" s="314" t="s">
        <v>614</v>
      </c>
      <c r="G1124" s="420"/>
      <c r="H1124" s="316"/>
      <c r="I1124" s="74">
        <v>50000</v>
      </c>
      <c r="J1124" s="317" t="s">
        <v>242</v>
      </c>
      <c r="K1124" s="317" t="s">
        <v>54</v>
      </c>
      <c r="L1124" s="134" t="str">
        <f>IF(AND('331-CT'!$E$7=TH!H1124,OR(J1124="331",K1124="331")),"x","")</f>
        <v/>
      </c>
    </row>
    <row r="1125" spans="1:12">
      <c r="A1125" s="72">
        <f t="shared" si="47"/>
        <v>2015</v>
      </c>
      <c r="B1125" s="72">
        <f t="shared" si="48"/>
        <v>12</v>
      </c>
      <c r="C1125" s="73">
        <v>42363</v>
      </c>
      <c r="D1125" s="73" t="s">
        <v>17</v>
      </c>
      <c r="E1125" s="73">
        <v>42363</v>
      </c>
      <c r="F1125" s="76" t="s">
        <v>44</v>
      </c>
      <c r="G1125" s="265"/>
      <c r="H1125" s="122"/>
      <c r="I1125" s="74">
        <v>5000</v>
      </c>
      <c r="J1125" s="75" t="s">
        <v>19</v>
      </c>
      <c r="K1125" s="75" t="s">
        <v>54</v>
      </c>
      <c r="L1125" s="134" t="str">
        <f>IF(AND('331-CT'!$E$7=TH!H1125,OR(J1125="331",K1125="331")),"x","")</f>
        <v/>
      </c>
    </row>
    <row r="1126" spans="1:12">
      <c r="A1126" s="72">
        <f t="shared" si="47"/>
        <v>2015</v>
      </c>
      <c r="B1126" s="72">
        <f t="shared" si="48"/>
        <v>12</v>
      </c>
      <c r="C1126" s="73">
        <v>42363</v>
      </c>
      <c r="D1126" s="73" t="s">
        <v>1137</v>
      </c>
      <c r="E1126" s="73">
        <v>42363</v>
      </c>
      <c r="F1126" s="76" t="s">
        <v>1107</v>
      </c>
      <c r="G1126" s="265" t="s">
        <v>1108</v>
      </c>
      <c r="H1126" s="122" t="s">
        <v>188</v>
      </c>
      <c r="I1126" s="74">
        <v>11817800</v>
      </c>
      <c r="J1126" s="75" t="s">
        <v>242</v>
      </c>
      <c r="K1126" s="75" t="s">
        <v>203</v>
      </c>
      <c r="L1126" s="134" t="str">
        <f>IF(AND('331-CT'!$E$7=TH!H1126,OR(J1126="331",K1126="331")),"x","")</f>
        <v/>
      </c>
    </row>
    <row r="1127" spans="1:12">
      <c r="A1127" s="72">
        <f t="shared" si="47"/>
        <v>2015</v>
      </c>
      <c r="B1127" s="72">
        <f t="shared" si="48"/>
        <v>12</v>
      </c>
      <c r="C1127" s="73">
        <v>42363</v>
      </c>
      <c r="D1127" s="73" t="s">
        <v>1137</v>
      </c>
      <c r="E1127" s="73">
        <v>42363</v>
      </c>
      <c r="F1127" s="76" t="s">
        <v>1109</v>
      </c>
      <c r="G1127" s="265" t="s">
        <v>1108</v>
      </c>
      <c r="H1127" s="122" t="s">
        <v>188</v>
      </c>
      <c r="I1127" s="74">
        <v>590890</v>
      </c>
      <c r="J1127" s="75" t="s">
        <v>19</v>
      </c>
      <c r="K1127" s="75" t="s">
        <v>203</v>
      </c>
      <c r="L1127" s="134" t="str">
        <f>IF(AND('331-CT'!$E$7=TH!H1127,OR(J1127="331",K1127="331")),"x","")</f>
        <v/>
      </c>
    </row>
    <row r="1128" spans="1:12">
      <c r="A1128" s="72">
        <f t="shared" si="47"/>
        <v>2015</v>
      </c>
      <c r="B1128" s="72">
        <f t="shared" si="48"/>
        <v>12</v>
      </c>
      <c r="C1128" s="73">
        <v>42364</v>
      </c>
      <c r="D1128" s="73" t="s">
        <v>78</v>
      </c>
      <c r="E1128" s="73">
        <v>42364</v>
      </c>
      <c r="F1128" s="76" t="s">
        <v>1138</v>
      </c>
      <c r="G1128" s="265" t="s">
        <v>1139</v>
      </c>
      <c r="H1128" s="122" t="s">
        <v>649</v>
      </c>
      <c r="I1128" s="74">
        <v>33866400</v>
      </c>
      <c r="J1128" s="75" t="s">
        <v>242</v>
      </c>
      <c r="K1128" s="75" t="s">
        <v>18</v>
      </c>
      <c r="L1128" s="134" t="str">
        <f>IF(AND('331-CT'!$E$7=TH!H1128,OR(J1128="331",K1128="331")),"x","")</f>
        <v/>
      </c>
    </row>
    <row r="1129" spans="1:12">
      <c r="A1129" s="72">
        <f t="shared" si="47"/>
        <v>2015</v>
      </c>
      <c r="B1129" s="72">
        <f t="shared" si="48"/>
        <v>12</v>
      </c>
      <c r="C1129" s="73">
        <v>42364</v>
      </c>
      <c r="D1129" s="73" t="s">
        <v>78</v>
      </c>
      <c r="E1129" s="73">
        <v>42364</v>
      </c>
      <c r="F1129" s="76" t="s">
        <v>1140</v>
      </c>
      <c r="G1129" s="265" t="s">
        <v>1139</v>
      </c>
      <c r="H1129" s="122" t="s">
        <v>649</v>
      </c>
      <c r="I1129" s="74">
        <v>3386640</v>
      </c>
      <c r="J1129" s="75" t="s">
        <v>19</v>
      </c>
      <c r="K1129" s="75" t="s">
        <v>18</v>
      </c>
      <c r="L1129" s="134" t="str">
        <f>IF(AND('331-CT'!$E$7=TH!H1129,OR(J1129="331",K1129="331")),"x","")</f>
        <v/>
      </c>
    </row>
    <row r="1130" spans="1:12">
      <c r="A1130" s="72">
        <f t="shared" si="47"/>
        <v>2015</v>
      </c>
      <c r="B1130" s="72">
        <f t="shared" si="48"/>
        <v>12</v>
      </c>
      <c r="C1130" s="73">
        <v>42366</v>
      </c>
      <c r="D1130" s="73" t="s">
        <v>1141</v>
      </c>
      <c r="E1130" s="73">
        <v>42366</v>
      </c>
      <c r="F1130" s="76" t="s">
        <v>827</v>
      </c>
      <c r="G1130" s="265" t="s">
        <v>1067</v>
      </c>
      <c r="H1130" s="122" t="s">
        <v>857</v>
      </c>
      <c r="I1130" s="74">
        <v>910000</v>
      </c>
      <c r="J1130" s="75" t="s">
        <v>242</v>
      </c>
      <c r="K1130" s="75" t="s">
        <v>203</v>
      </c>
      <c r="L1130" s="134" t="str">
        <f>IF(AND('331-CT'!$E$7=TH!H1130,OR(J1130="331",K1130="331")),"x","")</f>
        <v/>
      </c>
    </row>
    <row r="1131" spans="1:12">
      <c r="A1131" s="72">
        <f t="shared" si="47"/>
        <v>2015</v>
      </c>
      <c r="B1131" s="72">
        <f t="shared" si="48"/>
        <v>12</v>
      </c>
      <c r="C1131" s="73">
        <v>42366</v>
      </c>
      <c r="D1131" s="73" t="s">
        <v>78</v>
      </c>
      <c r="E1131" s="73">
        <v>42366</v>
      </c>
      <c r="F1131" s="76" t="s">
        <v>1068</v>
      </c>
      <c r="G1131" s="265" t="s">
        <v>1069</v>
      </c>
      <c r="H1131" s="122" t="s">
        <v>1070</v>
      </c>
      <c r="I1131" s="74">
        <v>25721367</v>
      </c>
      <c r="J1131" s="75" t="s">
        <v>242</v>
      </c>
      <c r="K1131" s="75" t="s">
        <v>18</v>
      </c>
      <c r="L1131" s="134" t="str">
        <f>IF(AND('331-CT'!$E$7=TH!H1131,OR(J1131="331",K1131="331")),"x","")</f>
        <v/>
      </c>
    </row>
    <row r="1132" spans="1:12">
      <c r="A1132" s="72">
        <f t="shared" si="47"/>
        <v>2015</v>
      </c>
      <c r="B1132" s="72">
        <f t="shared" si="48"/>
        <v>12</v>
      </c>
      <c r="C1132" s="73">
        <v>42366</v>
      </c>
      <c r="D1132" s="73" t="s">
        <v>78</v>
      </c>
      <c r="E1132" s="73">
        <v>42366</v>
      </c>
      <c r="F1132" s="76" t="s">
        <v>1071</v>
      </c>
      <c r="G1132" s="265" t="s">
        <v>1069</v>
      </c>
      <c r="H1132" s="122" t="s">
        <v>1070</v>
      </c>
      <c r="I1132" s="74">
        <v>2572137</v>
      </c>
      <c r="J1132" s="75" t="s">
        <v>19</v>
      </c>
      <c r="K1132" s="75" t="s">
        <v>18</v>
      </c>
      <c r="L1132" s="134" t="str">
        <f>IF(AND('331-CT'!$E$7=TH!H1132,OR(J1132="331",K1132="331")),"x","")</f>
        <v/>
      </c>
    </row>
    <row r="1133" spans="1:12">
      <c r="A1133" s="72">
        <f t="shared" si="47"/>
        <v>2015</v>
      </c>
      <c r="B1133" s="72">
        <f t="shared" si="48"/>
        <v>12</v>
      </c>
      <c r="C1133" s="73">
        <v>42366</v>
      </c>
      <c r="D1133" s="73" t="s">
        <v>17</v>
      </c>
      <c r="E1133" s="73">
        <v>42366</v>
      </c>
      <c r="F1133" s="76" t="s">
        <v>301</v>
      </c>
      <c r="G1133" s="265"/>
      <c r="H1133" s="122" t="s">
        <v>111</v>
      </c>
      <c r="I1133" s="74">
        <v>406490000</v>
      </c>
      <c r="J1133" s="75" t="s">
        <v>18</v>
      </c>
      <c r="K1133" s="75" t="s">
        <v>54</v>
      </c>
      <c r="L1133" s="134" t="str">
        <f>IF(AND('331-CT'!$E$7=TH!H1133,OR(J1133="331",K1133="331")),"x","")</f>
        <v/>
      </c>
    </row>
    <row r="1134" spans="1:12">
      <c r="A1134" s="72">
        <f t="shared" si="47"/>
        <v>2015</v>
      </c>
      <c r="B1134" s="72">
        <f t="shared" si="48"/>
        <v>12</v>
      </c>
      <c r="C1134" s="73">
        <v>42366</v>
      </c>
      <c r="D1134" s="73" t="s">
        <v>17</v>
      </c>
      <c r="E1134" s="73">
        <v>42366</v>
      </c>
      <c r="F1134" s="76" t="s">
        <v>34</v>
      </c>
      <c r="G1134" s="265"/>
      <c r="H1134" s="122"/>
      <c r="I1134" s="74">
        <v>121947</v>
      </c>
      <c r="J1134" s="75" t="s">
        <v>242</v>
      </c>
      <c r="K1134" s="75" t="s">
        <v>54</v>
      </c>
      <c r="L1134" s="134" t="str">
        <f>IF(AND('331-CT'!$E$7=TH!H1134,OR(J1134="331",K1134="331")),"x","")</f>
        <v/>
      </c>
    </row>
    <row r="1135" spans="1:12">
      <c r="A1135" s="72">
        <f t="shared" si="47"/>
        <v>2015</v>
      </c>
      <c r="B1135" s="72">
        <f t="shared" si="48"/>
        <v>12</v>
      </c>
      <c r="C1135" s="73">
        <v>42366</v>
      </c>
      <c r="D1135" s="73" t="s">
        <v>17</v>
      </c>
      <c r="E1135" s="73">
        <v>42366</v>
      </c>
      <c r="F1135" s="76" t="s">
        <v>35</v>
      </c>
      <c r="G1135" s="265"/>
      <c r="H1135" s="122"/>
      <c r="I1135" s="74">
        <v>12195</v>
      </c>
      <c r="J1135" s="75" t="s">
        <v>19</v>
      </c>
      <c r="K1135" s="75" t="s">
        <v>54</v>
      </c>
      <c r="L1135" s="134" t="str">
        <f>IF(AND('331-CT'!$E$7=TH!H1135,OR(J1135="331",K1135="331")),"x","")</f>
        <v/>
      </c>
    </row>
    <row r="1136" spans="1:12">
      <c r="A1136" s="72">
        <f t="shared" si="47"/>
        <v>2015</v>
      </c>
      <c r="B1136" s="72">
        <f t="shared" si="48"/>
        <v>12</v>
      </c>
      <c r="C1136" s="73">
        <v>42366</v>
      </c>
      <c r="D1136" s="73" t="s">
        <v>17</v>
      </c>
      <c r="E1136" s="73">
        <v>42366</v>
      </c>
      <c r="F1136" s="76" t="s">
        <v>301</v>
      </c>
      <c r="G1136" s="265"/>
      <c r="H1136" s="122" t="s">
        <v>190</v>
      </c>
      <c r="I1136" s="74">
        <v>123128513</v>
      </c>
      <c r="J1136" s="75" t="s">
        <v>18</v>
      </c>
      <c r="K1136" s="75" t="s">
        <v>54</v>
      </c>
      <c r="L1136" s="134" t="str">
        <f>IF(AND('331-CT'!$E$7=TH!H1136,OR(J1136="331",K1136="331")),"x","")</f>
        <v>x</v>
      </c>
    </row>
    <row r="1137" spans="1:12">
      <c r="A1137" s="72">
        <f t="shared" si="47"/>
        <v>2015</v>
      </c>
      <c r="B1137" s="72">
        <f t="shared" si="48"/>
        <v>12</v>
      </c>
      <c r="C1137" s="73">
        <v>42366</v>
      </c>
      <c r="D1137" s="73" t="s">
        <v>17</v>
      </c>
      <c r="E1137" s="73">
        <v>42366</v>
      </c>
      <c r="F1137" s="76" t="s">
        <v>34</v>
      </c>
      <c r="G1137" s="265"/>
      <c r="H1137" s="122"/>
      <c r="I1137" s="74">
        <v>61564</v>
      </c>
      <c r="J1137" s="75" t="s">
        <v>242</v>
      </c>
      <c r="K1137" s="75" t="s">
        <v>54</v>
      </c>
      <c r="L1137" s="134" t="str">
        <f>IF(AND('331-CT'!$E$7=TH!H1137,OR(J1137="331",K1137="331")),"x","")</f>
        <v/>
      </c>
    </row>
    <row r="1138" spans="1:12">
      <c r="A1138" s="72">
        <f t="shared" si="47"/>
        <v>2015</v>
      </c>
      <c r="B1138" s="72">
        <f t="shared" si="48"/>
        <v>12</v>
      </c>
      <c r="C1138" s="73">
        <v>42366</v>
      </c>
      <c r="D1138" s="73" t="s">
        <v>17</v>
      </c>
      <c r="E1138" s="73">
        <v>42366</v>
      </c>
      <c r="F1138" s="76" t="s">
        <v>35</v>
      </c>
      <c r="G1138" s="265"/>
      <c r="H1138" s="122"/>
      <c r="I1138" s="74">
        <v>6156</v>
      </c>
      <c r="J1138" s="75" t="s">
        <v>19</v>
      </c>
      <c r="K1138" s="75" t="s">
        <v>54</v>
      </c>
      <c r="L1138" s="134" t="str">
        <f>IF(AND('331-CT'!$E$7=TH!H1138,OR(J1138="331",K1138="331")),"x","")</f>
        <v/>
      </c>
    </row>
    <row r="1139" spans="1:12">
      <c r="A1139" s="72">
        <f t="shared" si="47"/>
        <v>2015</v>
      </c>
      <c r="B1139" s="72">
        <f t="shared" si="48"/>
        <v>12</v>
      </c>
      <c r="C1139" s="73">
        <v>42366</v>
      </c>
      <c r="D1139" s="73" t="s">
        <v>17</v>
      </c>
      <c r="E1139" s="73">
        <v>42366</v>
      </c>
      <c r="F1139" s="76" t="s">
        <v>1061</v>
      </c>
      <c r="G1139" s="265"/>
      <c r="H1139" s="122" t="s">
        <v>1070</v>
      </c>
      <c r="I1139" s="74">
        <v>28293504</v>
      </c>
      <c r="J1139" s="75" t="s">
        <v>18</v>
      </c>
      <c r="K1139" s="75" t="s">
        <v>54</v>
      </c>
      <c r="L1139" s="134" t="str">
        <f>IF(AND('331-CT'!$E$7=TH!H1139,OR(J1139="331",K1139="331")),"x","")</f>
        <v/>
      </c>
    </row>
    <row r="1140" spans="1:12">
      <c r="A1140" s="72">
        <f t="shared" si="47"/>
        <v>2015</v>
      </c>
      <c r="B1140" s="72">
        <f t="shared" si="48"/>
        <v>12</v>
      </c>
      <c r="C1140" s="73">
        <v>42366</v>
      </c>
      <c r="D1140" s="73" t="s">
        <v>17</v>
      </c>
      <c r="E1140" s="73">
        <v>42366</v>
      </c>
      <c r="F1140" s="76" t="s">
        <v>34</v>
      </c>
      <c r="G1140" s="265"/>
      <c r="H1140" s="122"/>
      <c r="I1140" s="74">
        <v>20000</v>
      </c>
      <c r="J1140" s="75" t="s">
        <v>242</v>
      </c>
      <c r="K1140" s="75" t="s">
        <v>54</v>
      </c>
      <c r="L1140" s="134" t="str">
        <f>IF(AND('331-CT'!$E$7=TH!H1140,OR(J1140="331",K1140="331")),"x","")</f>
        <v/>
      </c>
    </row>
    <row r="1141" spans="1:12">
      <c r="A1141" s="72">
        <f t="shared" si="47"/>
        <v>2015</v>
      </c>
      <c r="B1141" s="72">
        <f t="shared" si="48"/>
        <v>12</v>
      </c>
      <c r="C1141" s="73">
        <v>42366</v>
      </c>
      <c r="D1141" s="73" t="s">
        <v>17</v>
      </c>
      <c r="E1141" s="73">
        <v>42366</v>
      </c>
      <c r="F1141" s="76" t="s">
        <v>35</v>
      </c>
      <c r="G1141" s="265"/>
      <c r="H1141" s="122"/>
      <c r="I1141" s="74">
        <v>2000</v>
      </c>
      <c r="J1141" s="75" t="s">
        <v>19</v>
      </c>
      <c r="K1141" s="75" t="s">
        <v>54</v>
      </c>
      <c r="L1141" s="134" t="str">
        <f>IF(AND('331-CT'!$E$7=TH!H1141,OR(J1141="331",K1141="331")),"x","")</f>
        <v/>
      </c>
    </row>
    <row r="1142" spans="1:12">
      <c r="A1142" s="72">
        <f t="shared" si="47"/>
        <v>2015</v>
      </c>
      <c r="B1142" s="72">
        <f t="shared" si="48"/>
        <v>12</v>
      </c>
      <c r="C1142" s="73">
        <v>42366</v>
      </c>
      <c r="D1142" s="73" t="s">
        <v>78</v>
      </c>
      <c r="E1142" s="73">
        <v>42366</v>
      </c>
      <c r="F1142" s="76" t="s">
        <v>1115</v>
      </c>
      <c r="G1142" s="265" t="s">
        <v>1116</v>
      </c>
      <c r="H1142" s="122" t="s">
        <v>151</v>
      </c>
      <c r="I1142" s="74">
        <v>636500000</v>
      </c>
      <c r="J1142" s="75" t="s">
        <v>655</v>
      </c>
      <c r="K1142" s="75" t="s">
        <v>18</v>
      </c>
      <c r="L1142" s="134" t="str">
        <f>IF(AND('331-CT'!$E$7=TH!H1142,OR(J1142="331",K1142="331")),"x","")</f>
        <v/>
      </c>
    </row>
    <row r="1143" spans="1:12">
      <c r="A1143" s="72">
        <f t="shared" si="47"/>
        <v>2015</v>
      </c>
      <c r="B1143" s="72">
        <f t="shared" si="48"/>
        <v>12</v>
      </c>
      <c r="C1143" s="73">
        <v>42366</v>
      </c>
      <c r="D1143" s="73" t="s">
        <v>78</v>
      </c>
      <c r="E1143" s="73">
        <v>42366</v>
      </c>
      <c r="F1143" s="76" t="s">
        <v>1117</v>
      </c>
      <c r="G1143" s="265" t="s">
        <v>1116</v>
      </c>
      <c r="H1143" s="122" t="s">
        <v>151</v>
      </c>
      <c r="I1143" s="74">
        <v>63650000</v>
      </c>
      <c r="J1143" s="75" t="s">
        <v>19</v>
      </c>
      <c r="K1143" s="75" t="s">
        <v>18</v>
      </c>
      <c r="L1143" s="134" t="str">
        <f>IF(AND('331-CT'!$E$7=TH!H1143,OR(J1143="331",K1143="331")),"x","")</f>
        <v/>
      </c>
    </row>
    <row r="1144" spans="1:12">
      <c r="A1144" s="72">
        <f t="shared" si="47"/>
        <v>2015</v>
      </c>
      <c r="B1144" s="72">
        <f t="shared" si="48"/>
        <v>12</v>
      </c>
      <c r="C1144" s="73">
        <v>42366</v>
      </c>
      <c r="D1144" s="73" t="s">
        <v>1142</v>
      </c>
      <c r="E1144" s="73">
        <v>42366</v>
      </c>
      <c r="F1144" s="76" t="s">
        <v>836</v>
      </c>
      <c r="G1144" s="265" t="s">
        <v>1168</v>
      </c>
      <c r="H1144" s="122" t="s">
        <v>838</v>
      </c>
      <c r="I1144" s="74">
        <v>3636364</v>
      </c>
      <c r="J1144" s="75" t="s">
        <v>655</v>
      </c>
      <c r="K1144" s="75" t="s">
        <v>203</v>
      </c>
      <c r="L1144" s="134" t="str">
        <f>IF(AND('331-CT'!$E$7=TH!H1144,OR(J1144="331",K1144="331")),"x","")</f>
        <v/>
      </c>
    </row>
    <row r="1145" spans="1:12">
      <c r="A1145" s="72">
        <f t="shared" si="47"/>
        <v>2015</v>
      </c>
      <c r="B1145" s="72">
        <f t="shared" si="48"/>
        <v>12</v>
      </c>
      <c r="C1145" s="73">
        <v>42366</v>
      </c>
      <c r="D1145" s="73" t="s">
        <v>1142</v>
      </c>
      <c r="E1145" s="73">
        <v>42366</v>
      </c>
      <c r="F1145" s="76" t="s">
        <v>839</v>
      </c>
      <c r="G1145" s="265" t="s">
        <v>1168</v>
      </c>
      <c r="H1145" s="122" t="s">
        <v>838</v>
      </c>
      <c r="I1145" s="74">
        <v>363636</v>
      </c>
      <c r="J1145" s="75" t="s">
        <v>19</v>
      </c>
      <c r="K1145" s="75" t="s">
        <v>203</v>
      </c>
      <c r="L1145" s="134" t="str">
        <f>IF(AND('331-CT'!$E$7=TH!H1145,OR(J1145="331",K1145="331")),"x","")</f>
        <v/>
      </c>
    </row>
    <row r="1146" spans="1:12">
      <c r="A1146" s="72">
        <f t="shared" si="47"/>
        <v>2015</v>
      </c>
      <c r="B1146" s="72">
        <f t="shared" si="48"/>
        <v>12</v>
      </c>
      <c r="C1146" s="73">
        <v>42367</v>
      </c>
      <c r="D1146" s="73" t="s">
        <v>1143</v>
      </c>
      <c r="E1146" s="73">
        <v>42367</v>
      </c>
      <c r="F1146" s="76" t="s">
        <v>1119</v>
      </c>
      <c r="G1146" s="265" t="s">
        <v>1120</v>
      </c>
      <c r="H1146" s="122" t="s">
        <v>1121</v>
      </c>
      <c r="I1146" s="74">
        <v>840000</v>
      </c>
      <c r="J1146" s="75" t="s">
        <v>655</v>
      </c>
      <c r="K1146" s="75" t="s">
        <v>203</v>
      </c>
      <c r="L1146" s="134" t="str">
        <f>IF(AND('331-CT'!$E$7=TH!H1146,OR(J1146="331",K1146="331")),"x","")</f>
        <v/>
      </c>
    </row>
    <row r="1147" spans="1:12">
      <c r="A1147" s="72">
        <f t="shared" si="47"/>
        <v>2015</v>
      </c>
      <c r="B1147" s="72">
        <f t="shared" si="48"/>
        <v>12</v>
      </c>
      <c r="C1147" s="73">
        <v>42368</v>
      </c>
      <c r="D1147" s="73" t="s">
        <v>1144</v>
      </c>
      <c r="E1147" s="73">
        <v>42368</v>
      </c>
      <c r="F1147" s="76" t="s">
        <v>576</v>
      </c>
      <c r="G1147" s="265"/>
      <c r="H1147" s="122" t="s">
        <v>1075</v>
      </c>
      <c r="I1147" s="74">
        <v>10000000</v>
      </c>
      <c r="J1147" s="75" t="s">
        <v>54</v>
      </c>
      <c r="K1147" s="75" t="s">
        <v>203</v>
      </c>
      <c r="L1147" s="134" t="str">
        <f>IF(AND('331-CT'!$E$7=TH!H1147,OR(J1147="331",K1147="331")),"x","")</f>
        <v/>
      </c>
    </row>
    <row r="1148" spans="1:12">
      <c r="A1148" s="72">
        <f t="shared" si="47"/>
        <v>2015</v>
      </c>
      <c r="B1148" s="72">
        <f t="shared" si="48"/>
        <v>12</v>
      </c>
      <c r="C1148" s="73">
        <v>42368</v>
      </c>
      <c r="D1148" s="73" t="s">
        <v>17</v>
      </c>
      <c r="E1148" s="73">
        <v>42368</v>
      </c>
      <c r="F1148" s="76" t="s">
        <v>1076</v>
      </c>
      <c r="G1148" s="265"/>
      <c r="H1148" s="122" t="s">
        <v>649</v>
      </c>
      <c r="I1148" s="74">
        <v>37253040</v>
      </c>
      <c r="J1148" s="75" t="s">
        <v>18</v>
      </c>
      <c r="K1148" s="75" t="s">
        <v>54</v>
      </c>
      <c r="L1148" s="134" t="str">
        <f>IF(AND('331-CT'!$E$7=TH!H1148,OR(J1148="331",K1148="331")),"x","")</f>
        <v/>
      </c>
    </row>
    <row r="1149" spans="1:12">
      <c r="A1149" s="72">
        <f t="shared" si="47"/>
        <v>2015</v>
      </c>
      <c r="B1149" s="72">
        <f t="shared" si="48"/>
        <v>12</v>
      </c>
      <c r="C1149" s="73">
        <v>42368</v>
      </c>
      <c r="D1149" s="73" t="s">
        <v>17</v>
      </c>
      <c r="E1149" s="73">
        <v>42368</v>
      </c>
      <c r="F1149" s="76" t="s">
        <v>34</v>
      </c>
      <c r="G1149" s="265"/>
      <c r="H1149" s="122"/>
      <c r="I1149" s="74">
        <v>25000</v>
      </c>
      <c r="J1149" s="75" t="s">
        <v>242</v>
      </c>
      <c r="K1149" s="75" t="s">
        <v>54</v>
      </c>
      <c r="L1149" s="134" t="str">
        <f>IF(AND('331-CT'!$E$7=TH!H1149,OR(J1149="331",K1149="331")),"x","")</f>
        <v/>
      </c>
    </row>
    <row r="1150" spans="1:12">
      <c r="A1150" s="72">
        <f t="shared" si="47"/>
        <v>2015</v>
      </c>
      <c r="B1150" s="72">
        <f t="shared" si="48"/>
        <v>12</v>
      </c>
      <c r="C1150" s="73">
        <v>42368</v>
      </c>
      <c r="D1150" s="73" t="s">
        <v>17</v>
      </c>
      <c r="E1150" s="73">
        <v>42368</v>
      </c>
      <c r="F1150" s="76" t="s">
        <v>35</v>
      </c>
      <c r="G1150" s="265"/>
      <c r="H1150" s="122"/>
      <c r="I1150" s="74">
        <v>2500</v>
      </c>
      <c r="J1150" s="75" t="s">
        <v>19</v>
      </c>
      <c r="K1150" s="75" t="s">
        <v>54</v>
      </c>
      <c r="L1150" s="134" t="str">
        <f>IF(AND('331-CT'!$E$7=TH!H1150,OR(J1150="331",K1150="331")),"x","")</f>
        <v/>
      </c>
    </row>
    <row r="1151" spans="1:12">
      <c r="A1151" s="72">
        <f t="shared" si="47"/>
        <v>2015</v>
      </c>
      <c r="B1151" s="72">
        <f t="shared" si="48"/>
        <v>12</v>
      </c>
      <c r="C1151" s="73">
        <v>42368</v>
      </c>
      <c r="D1151" s="73" t="s">
        <v>1145</v>
      </c>
      <c r="E1151" s="73">
        <v>42368</v>
      </c>
      <c r="F1151" s="76" t="s">
        <v>576</v>
      </c>
      <c r="G1151" s="265"/>
      <c r="H1151" s="122" t="s">
        <v>272</v>
      </c>
      <c r="I1151" s="74">
        <v>200000000</v>
      </c>
      <c r="J1151" s="75" t="s">
        <v>54</v>
      </c>
      <c r="K1151" s="75" t="s">
        <v>203</v>
      </c>
      <c r="L1151" s="134" t="str">
        <f>IF(AND('331-CT'!$E$7=TH!H1151,OR(J1151="331",K1151="331")),"x","")</f>
        <v/>
      </c>
    </row>
    <row r="1152" spans="1:12">
      <c r="A1152" s="72">
        <f t="shared" si="47"/>
        <v>2015</v>
      </c>
      <c r="B1152" s="72">
        <f t="shared" si="48"/>
        <v>12</v>
      </c>
      <c r="C1152" s="73">
        <v>42368</v>
      </c>
      <c r="D1152" s="73" t="s">
        <v>17</v>
      </c>
      <c r="E1152" s="73">
        <v>42368</v>
      </c>
      <c r="F1152" s="76" t="s">
        <v>301</v>
      </c>
      <c r="G1152" s="265"/>
      <c r="H1152" s="122" t="s">
        <v>172</v>
      </c>
      <c r="I1152" s="74">
        <v>200000000</v>
      </c>
      <c r="J1152" s="75" t="s">
        <v>18</v>
      </c>
      <c r="K1152" s="75" t="s">
        <v>54</v>
      </c>
      <c r="L1152" s="134" t="str">
        <f>IF(AND('331-CT'!$E$7=TH!H1152,OR(J1152="331",K1152="331")),"x","")</f>
        <v/>
      </c>
    </row>
    <row r="1153" spans="1:12">
      <c r="A1153" s="72">
        <f t="shared" si="47"/>
        <v>2015</v>
      </c>
      <c r="B1153" s="72">
        <f t="shared" si="48"/>
        <v>12</v>
      </c>
      <c r="C1153" s="73">
        <v>42368</v>
      </c>
      <c r="D1153" s="73" t="s">
        <v>17</v>
      </c>
      <c r="E1153" s="73">
        <v>42368</v>
      </c>
      <c r="F1153" s="76" t="s">
        <v>34</v>
      </c>
      <c r="G1153" s="265"/>
      <c r="H1153" s="122"/>
      <c r="I1153" s="74">
        <v>158169</v>
      </c>
      <c r="J1153" s="75" t="s">
        <v>242</v>
      </c>
      <c r="K1153" s="75" t="s">
        <v>54</v>
      </c>
      <c r="L1153" s="134" t="str">
        <f>IF(AND('331-CT'!$E$7=TH!H1153,OR(J1153="331",K1153="331")),"x","")</f>
        <v/>
      </c>
    </row>
    <row r="1154" spans="1:12">
      <c r="A1154" s="72">
        <f t="shared" si="47"/>
        <v>2015</v>
      </c>
      <c r="B1154" s="72">
        <f t="shared" si="48"/>
        <v>12</v>
      </c>
      <c r="C1154" s="73">
        <v>42368</v>
      </c>
      <c r="D1154" s="73" t="s">
        <v>17</v>
      </c>
      <c r="E1154" s="73">
        <v>42368</v>
      </c>
      <c r="F1154" s="76" t="s">
        <v>35</v>
      </c>
      <c r="G1154" s="265"/>
      <c r="H1154" s="122"/>
      <c r="I1154" s="74">
        <v>15817</v>
      </c>
      <c r="J1154" s="75" t="s">
        <v>19</v>
      </c>
      <c r="K1154" s="75" t="s">
        <v>54</v>
      </c>
      <c r="L1154" s="134" t="str">
        <f>IF(AND('331-CT'!$E$7=TH!H1154,OR(J1154="331",K1154="331")),"x","")</f>
        <v/>
      </c>
    </row>
    <row r="1155" spans="1:12">
      <c r="A1155" s="72">
        <f t="shared" si="47"/>
        <v>2015</v>
      </c>
      <c r="B1155" s="72">
        <f t="shared" si="48"/>
        <v>12</v>
      </c>
      <c r="C1155" s="73">
        <v>42369</v>
      </c>
      <c r="D1155" s="73" t="s">
        <v>1167</v>
      </c>
      <c r="E1155" s="73">
        <v>42369</v>
      </c>
      <c r="F1155" s="76" t="s">
        <v>1111</v>
      </c>
      <c r="G1155" s="265" t="s">
        <v>1112</v>
      </c>
      <c r="H1155" s="122" t="s">
        <v>1113</v>
      </c>
      <c r="I1155" s="74">
        <v>7397273</v>
      </c>
      <c r="J1155" s="75" t="s">
        <v>655</v>
      </c>
      <c r="K1155" s="75" t="s">
        <v>203</v>
      </c>
      <c r="L1155" s="134" t="str">
        <f>IF(AND('331-CT'!$E$7=TH!H1155,OR(J1155="331",K1155="331")),"x","")</f>
        <v/>
      </c>
    </row>
    <row r="1156" spans="1:12">
      <c r="A1156" s="72">
        <f t="shared" si="47"/>
        <v>2015</v>
      </c>
      <c r="B1156" s="72">
        <f t="shared" si="48"/>
        <v>12</v>
      </c>
      <c r="C1156" s="73">
        <v>42369</v>
      </c>
      <c r="D1156" s="73" t="s">
        <v>1167</v>
      </c>
      <c r="E1156" s="73">
        <v>42369</v>
      </c>
      <c r="F1156" s="76" t="s">
        <v>1114</v>
      </c>
      <c r="G1156" s="265" t="s">
        <v>1112</v>
      </c>
      <c r="H1156" s="122" t="s">
        <v>1113</v>
      </c>
      <c r="I1156" s="74">
        <v>739727</v>
      </c>
      <c r="J1156" s="75" t="s">
        <v>19</v>
      </c>
      <c r="K1156" s="75" t="s">
        <v>203</v>
      </c>
      <c r="L1156" s="134" t="str">
        <f>IF(AND('331-CT'!$E$7=TH!H1156,OR(J1156="331",K1156="331")),"x","")</f>
        <v/>
      </c>
    </row>
    <row r="1157" spans="1:12">
      <c r="A1157" s="72">
        <f t="shared" si="47"/>
        <v>2015</v>
      </c>
      <c r="B1157" s="72">
        <f t="shared" si="48"/>
        <v>12</v>
      </c>
      <c r="C1157" s="73">
        <v>42369</v>
      </c>
      <c r="D1157" s="73" t="s">
        <v>21</v>
      </c>
      <c r="E1157" s="73">
        <v>42369</v>
      </c>
      <c r="F1157" s="76" t="s">
        <v>1077</v>
      </c>
      <c r="G1157" s="265"/>
      <c r="H1157" s="122" t="s">
        <v>520</v>
      </c>
      <c r="I1157" s="74">
        <v>1678844208</v>
      </c>
      <c r="J1157" s="75" t="s">
        <v>54</v>
      </c>
      <c r="K1157" s="75" t="s">
        <v>212</v>
      </c>
      <c r="L1157" s="134" t="str">
        <f>IF(AND('331-CT'!$E$7=TH!H1157,OR(J1157="331",K1157="331")),"x","")</f>
        <v/>
      </c>
    </row>
    <row r="1158" spans="1:12">
      <c r="A1158" s="72">
        <f t="shared" si="47"/>
        <v>2015</v>
      </c>
      <c r="B1158" s="72">
        <f t="shared" si="48"/>
        <v>12</v>
      </c>
      <c r="C1158" s="73">
        <v>42369</v>
      </c>
      <c r="D1158" s="73" t="s">
        <v>78</v>
      </c>
      <c r="E1158" s="73">
        <v>42369</v>
      </c>
      <c r="F1158" s="76" t="s">
        <v>1146</v>
      </c>
      <c r="G1158" s="265" t="s">
        <v>1147</v>
      </c>
      <c r="H1158" s="122" t="s">
        <v>109</v>
      </c>
      <c r="I1158" s="74">
        <v>181818182</v>
      </c>
      <c r="J1158" s="75" t="s">
        <v>655</v>
      </c>
      <c r="K1158" s="75" t="s">
        <v>18</v>
      </c>
      <c r="L1158" s="134" t="str">
        <f>IF(AND('331-CT'!$E$7=TH!H1158,OR(J1158="331",K1158="331")),"x","")</f>
        <v/>
      </c>
    </row>
    <row r="1159" spans="1:12">
      <c r="A1159" s="72">
        <f t="shared" si="47"/>
        <v>2015</v>
      </c>
      <c r="B1159" s="72">
        <f t="shared" si="48"/>
        <v>12</v>
      </c>
      <c r="C1159" s="73">
        <v>42369</v>
      </c>
      <c r="D1159" s="73" t="s">
        <v>78</v>
      </c>
      <c r="E1159" s="73">
        <v>42369</v>
      </c>
      <c r="F1159" s="76" t="s">
        <v>1148</v>
      </c>
      <c r="G1159" s="265" t="s">
        <v>1147</v>
      </c>
      <c r="H1159" s="122" t="s">
        <v>109</v>
      </c>
      <c r="I1159" s="74">
        <v>18181818</v>
      </c>
      <c r="J1159" s="75" t="s">
        <v>19</v>
      </c>
      <c r="K1159" s="75" t="s">
        <v>18</v>
      </c>
      <c r="L1159" s="134" t="str">
        <f>IF(AND('331-CT'!$E$7=TH!H1159,OR(J1159="331",K1159="331")),"x","")</f>
        <v/>
      </c>
    </row>
    <row r="1160" spans="1:12">
      <c r="A1160" s="72">
        <f t="shared" si="47"/>
        <v>2016</v>
      </c>
      <c r="B1160" s="72">
        <f t="shared" si="48"/>
        <v>1</v>
      </c>
      <c r="C1160" s="73">
        <v>42374</v>
      </c>
      <c r="D1160" s="73" t="s">
        <v>17</v>
      </c>
      <c r="E1160" s="73">
        <v>42374</v>
      </c>
      <c r="F1160" s="76" t="s">
        <v>301</v>
      </c>
      <c r="G1160" s="265"/>
      <c r="H1160" s="122" t="s">
        <v>306</v>
      </c>
      <c r="I1160" s="74">
        <v>300000000</v>
      </c>
      <c r="J1160" s="75" t="s">
        <v>18</v>
      </c>
      <c r="K1160" s="75" t="s">
        <v>54</v>
      </c>
      <c r="L1160" s="134" t="str">
        <f>IF(AND('331-CT'!$E$7=TH!H1160,OR(J1160="331",K1160="331")),"x","")</f>
        <v/>
      </c>
    </row>
    <row r="1161" spans="1:12">
      <c r="A1161" s="72">
        <f t="shared" si="47"/>
        <v>2016</v>
      </c>
      <c r="B1161" s="72">
        <f t="shared" si="48"/>
        <v>1</v>
      </c>
      <c r="C1161" s="73">
        <v>42374</v>
      </c>
      <c r="D1161" s="73" t="s">
        <v>17</v>
      </c>
      <c r="E1161" s="73">
        <v>42374</v>
      </c>
      <c r="F1161" s="76" t="s">
        <v>34</v>
      </c>
      <c r="G1161" s="265"/>
      <c r="H1161" s="122"/>
      <c r="I1161" s="74">
        <v>150000</v>
      </c>
      <c r="J1161" s="75" t="s">
        <v>242</v>
      </c>
      <c r="K1161" s="75" t="s">
        <v>54</v>
      </c>
      <c r="L1161" s="134" t="str">
        <f>IF(AND('331-CT'!$E$7=TH!H1161,OR(J1161="331",K1161="331")),"x","")</f>
        <v/>
      </c>
    </row>
    <row r="1162" spans="1:12">
      <c r="A1162" s="72">
        <f t="shared" si="47"/>
        <v>2016</v>
      </c>
      <c r="B1162" s="72">
        <f t="shared" si="48"/>
        <v>1</v>
      </c>
      <c r="C1162" s="73">
        <v>42374</v>
      </c>
      <c r="D1162" s="73" t="s">
        <v>17</v>
      </c>
      <c r="E1162" s="73">
        <v>42374</v>
      </c>
      <c r="F1162" s="76" t="s">
        <v>35</v>
      </c>
      <c r="G1162" s="265"/>
      <c r="H1162" s="122"/>
      <c r="I1162" s="74">
        <v>15000</v>
      </c>
      <c r="J1162" s="75" t="s">
        <v>19</v>
      </c>
      <c r="K1162" s="75" t="s">
        <v>54</v>
      </c>
      <c r="L1162" s="134" t="str">
        <f>IF(AND('331-CT'!$E$7=TH!H1162,OR(J1162="331",K1162="331")),"x","")</f>
        <v/>
      </c>
    </row>
    <row r="1163" spans="1:12">
      <c r="A1163" s="72">
        <f t="shared" si="47"/>
        <v>2016</v>
      </c>
      <c r="B1163" s="72">
        <f t="shared" si="48"/>
        <v>1</v>
      </c>
      <c r="C1163" s="73">
        <v>42375</v>
      </c>
      <c r="D1163" s="73" t="s">
        <v>17</v>
      </c>
      <c r="E1163" s="73">
        <v>42375</v>
      </c>
      <c r="F1163" s="76" t="s">
        <v>301</v>
      </c>
      <c r="G1163" s="265"/>
      <c r="H1163" s="122" t="s">
        <v>151</v>
      </c>
      <c r="I1163" s="74">
        <v>314955000</v>
      </c>
      <c r="J1163" s="75" t="s">
        <v>18</v>
      </c>
      <c r="K1163" s="75" t="s">
        <v>54</v>
      </c>
      <c r="L1163" s="134" t="str">
        <f>IF(AND('331-CT'!$E$7=TH!H1163,OR(J1163="331",K1163="331")),"x","")</f>
        <v/>
      </c>
    </row>
    <row r="1164" spans="1:12">
      <c r="A1164" s="72">
        <f t="shared" si="47"/>
        <v>2016</v>
      </c>
      <c r="B1164" s="72">
        <f t="shared" si="48"/>
        <v>1</v>
      </c>
      <c r="C1164" s="73">
        <v>42375</v>
      </c>
      <c r="D1164" s="73" t="s">
        <v>17</v>
      </c>
      <c r="E1164" s="73">
        <v>42375</v>
      </c>
      <c r="F1164" s="76" t="s">
        <v>34</v>
      </c>
      <c r="G1164" s="265"/>
      <c r="H1164" s="122"/>
      <c r="I1164" s="74"/>
      <c r="J1164" s="75" t="s">
        <v>242</v>
      </c>
      <c r="K1164" s="75" t="s">
        <v>54</v>
      </c>
      <c r="L1164" s="134" t="str">
        <f>IF(AND('331-CT'!$E$7=TH!H1164,OR(J1164="331",K1164="331")),"x","")</f>
        <v/>
      </c>
    </row>
    <row r="1165" spans="1:12">
      <c r="A1165" s="72">
        <f t="shared" si="47"/>
        <v>2016</v>
      </c>
      <c r="B1165" s="72">
        <f t="shared" si="48"/>
        <v>1</v>
      </c>
      <c r="C1165" s="73">
        <v>42375</v>
      </c>
      <c r="D1165" s="73" t="s">
        <v>17</v>
      </c>
      <c r="E1165" s="73">
        <v>42375</v>
      </c>
      <c r="F1165" s="76" t="s">
        <v>35</v>
      </c>
      <c r="G1165" s="265"/>
      <c r="H1165" s="122"/>
      <c r="I1165" s="74"/>
      <c r="J1165" s="75" t="s">
        <v>19</v>
      </c>
      <c r="K1165" s="75" t="s">
        <v>54</v>
      </c>
      <c r="L1165" s="134" t="str">
        <f>IF(AND('331-CT'!$E$7=TH!H1165,OR(J1165="331",K1165="331")),"x","")</f>
        <v/>
      </c>
    </row>
    <row r="1166" spans="1:12">
      <c r="A1166" s="72">
        <f t="shared" si="47"/>
        <v>2016</v>
      </c>
      <c r="B1166" s="72">
        <f t="shared" si="48"/>
        <v>1</v>
      </c>
      <c r="C1166" s="73">
        <v>42371</v>
      </c>
      <c r="D1166" s="73"/>
      <c r="E1166" s="73">
        <v>42371</v>
      </c>
      <c r="F1166" s="76" t="s">
        <v>1149</v>
      </c>
      <c r="G1166" s="270" t="s">
        <v>643</v>
      </c>
      <c r="H1166" s="316" t="s">
        <v>436</v>
      </c>
      <c r="I1166" s="74">
        <v>4500000</v>
      </c>
      <c r="J1166" s="75" t="s">
        <v>655</v>
      </c>
      <c r="K1166" s="75" t="s">
        <v>203</v>
      </c>
      <c r="L1166" s="134" t="str">
        <f>IF(AND('331-CT'!$E$7=TH!H1166,OR(J1166="331",K1166="331")),"x","")</f>
        <v/>
      </c>
    </row>
    <row r="1167" spans="1:12">
      <c r="A1167" s="72">
        <f t="shared" si="47"/>
        <v>2016</v>
      </c>
      <c r="B1167" s="72">
        <f t="shared" si="48"/>
        <v>1</v>
      </c>
      <c r="C1167" s="73">
        <v>42371</v>
      </c>
      <c r="D1167" s="73"/>
      <c r="E1167" s="73">
        <v>42371</v>
      </c>
      <c r="F1167" s="76" t="s">
        <v>1150</v>
      </c>
      <c r="G1167" s="270" t="s">
        <v>643</v>
      </c>
      <c r="H1167" s="316" t="s">
        <v>436</v>
      </c>
      <c r="I1167" s="74">
        <v>450000</v>
      </c>
      <c r="J1167" s="75" t="s">
        <v>19</v>
      </c>
      <c r="K1167" s="75" t="s">
        <v>203</v>
      </c>
      <c r="L1167" s="134" t="str">
        <f>IF(AND('331-CT'!$E$7=TH!H1167,OR(J1167="331",K1167="331")),"x","")</f>
        <v/>
      </c>
    </row>
    <row r="1168" spans="1:12">
      <c r="A1168" s="72">
        <f t="shared" si="47"/>
        <v>2016</v>
      </c>
      <c r="B1168" s="72">
        <f t="shared" si="48"/>
        <v>1</v>
      </c>
      <c r="C1168" s="73">
        <v>42373</v>
      </c>
      <c r="D1168" s="73"/>
      <c r="E1168" s="73">
        <v>42373</v>
      </c>
      <c r="F1168" s="76" t="s">
        <v>1149</v>
      </c>
      <c r="G1168" s="270" t="s">
        <v>646</v>
      </c>
      <c r="H1168" s="316" t="s">
        <v>436</v>
      </c>
      <c r="I1168" s="74">
        <v>18000000</v>
      </c>
      <c r="J1168" s="75" t="s">
        <v>655</v>
      </c>
      <c r="K1168" s="75" t="s">
        <v>203</v>
      </c>
      <c r="L1168" s="134" t="str">
        <f>IF(AND('331-CT'!$E$7=TH!H1168,OR(J1168="331",K1168="331")),"x","")</f>
        <v/>
      </c>
    </row>
    <row r="1169" spans="1:12">
      <c r="A1169" s="72">
        <f t="shared" si="47"/>
        <v>2016</v>
      </c>
      <c r="B1169" s="72">
        <f t="shared" si="48"/>
        <v>1</v>
      </c>
      <c r="C1169" s="73">
        <v>42373</v>
      </c>
      <c r="D1169" s="73"/>
      <c r="E1169" s="73">
        <v>42373</v>
      </c>
      <c r="F1169" s="76" t="s">
        <v>1150</v>
      </c>
      <c r="G1169" s="270" t="s">
        <v>646</v>
      </c>
      <c r="H1169" s="316" t="s">
        <v>436</v>
      </c>
      <c r="I1169" s="74">
        <v>1800000</v>
      </c>
      <c r="J1169" s="75" t="s">
        <v>19</v>
      </c>
      <c r="K1169" s="75" t="s">
        <v>203</v>
      </c>
      <c r="L1169" s="134" t="str">
        <f>IF(AND('331-CT'!$E$7=TH!H1169,OR(J1169="331",K1169="331")),"x","")</f>
        <v/>
      </c>
    </row>
    <row r="1170" spans="1:12">
      <c r="A1170" s="72">
        <f t="shared" si="47"/>
        <v>2016</v>
      </c>
      <c r="B1170" s="72">
        <f t="shared" si="48"/>
        <v>1</v>
      </c>
      <c r="C1170" s="73">
        <v>42374</v>
      </c>
      <c r="D1170" s="73"/>
      <c r="E1170" s="73">
        <v>42374</v>
      </c>
      <c r="F1170" s="76" t="s">
        <v>1151</v>
      </c>
      <c r="G1170" s="270" t="s">
        <v>1155</v>
      </c>
      <c r="H1170" s="122" t="s">
        <v>331</v>
      </c>
      <c r="I1170" s="74">
        <v>1653598</v>
      </c>
      <c r="J1170" s="75" t="s">
        <v>655</v>
      </c>
      <c r="K1170" s="75" t="s">
        <v>203</v>
      </c>
      <c r="L1170" s="134" t="str">
        <f>IF(AND('331-CT'!$E$7=TH!H1170,OR(J1170="331",K1170="331")),"x","")</f>
        <v/>
      </c>
    </row>
    <row r="1171" spans="1:12">
      <c r="A1171" s="72">
        <f t="shared" si="47"/>
        <v>2016</v>
      </c>
      <c r="B1171" s="72">
        <f t="shared" si="48"/>
        <v>1</v>
      </c>
      <c r="C1171" s="73">
        <v>42374</v>
      </c>
      <c r="D1171" s="73"/>
      <c r="E1171" s="73">
        <v>42374</v>
      </c>
      <c r="F1171" s="76" t="s">
        <v>1152</v>
      </c>
      <c r="G1171" s="270" t="s">
        <v>1155</v>
      </c>
      <c r="H1171" s="122" t="s">
        <v>331</v>
      </c>
      <c r="I1171" s="74">
        <v>165359</v>
      </c>
      <c r="J1171" s="75" t="s">
        <v>19</v>
      </c>
      <c r="K1171" s="75" t="s">
        <v>203</v>
      </c>
      <c r="L1171" s="134" t="str">
        <f>IF(AND('331-CT'!$E$7=TH!H1171,OR(J1171="331",K1171="331")),"x","")</f>
        <v/>
      </c>
    </row>
    <row r="1172" spans="1:12">
      <c r="A1172" s="72">
        <f t="shared" si="47"/>
        <v>2016</v>
      </c>
      <c r="B1172" s="72">
        <f t="shared" si="48"/>
        <v>1</v>
      </c>
      <c r="C1172" s="73">
        <v>42379</v>
      </c>
      <c r="D1172" s="73"/>
      <c r="E1172" s="73">
        <v>42379</v>
      </c>
      <c r="F1172" s="76" t="s">
        <v>1153</v>
      </c>
      <c r="G1172" s="270" t="s">
        <v>1156</v>
      </c>
      <c r="H1172" s="122" t="s">
        <v>783</v>
      </c>
      <c r="I1172" s="74">
        <v>6818182</v>
      </c>
      <c r="J1172" s="75" t="s">
        <v>242</v>
      </c>
      <c r="K1172" s="75" t="s">
        <v>203</v>
      </c>
      <c r="L1172" s="134" t="str">
        <f>IF(AND('331-CT'!$E$7=TH!H1172,OR(J1172="331",K1172="331")),"x","")</f>
        <v/>
      </c>
    </row>
    <row r="1173" spans="1:12">
      <c r="A1173" s="72">
        <f t="shared" si="47"/>
        <v>2016</v>
      </c>
      <c r="B1173" s="72">
        <f t="shared" si="48"/>
        <v>1</v>
      </c>
      <c r="C1173" s="73">
        <v>42379</v>
      </c>
      <c r="D1173" s="73"/>
      <c r="E1173" s="73">
        <v>42379</v>
      </c>
      <c r="F1173" s="76" t="s">
        <v>1154</v>
      </c>
      <c r="G1173" s="270" t="s">
        <v>1156</v>
      </c>
      <c r="H1173" s="122" t="s">
        <v>783</v>
      </c>
      <c r="I1173" s="74">
        <v>681818</v>
      </c>
      <c r="J1173" s="75" t="s">
        <v>19</v>
      </c>
      <c r="K1173" s="75" t="s">
        <v>203</v>
      </c>
      <c r="L1173" s="134" t="str">
        <f>IF(AND('331-CT'!$E$7=TH!H1173,OR(J1173="331",K1173="331")),"x","")</f>
        <v/>
      </c>
    </row>
    <row r="1174" spans="1:12">
      <c r="A1174" s="72">
        <f t="shared" si="47"/>
        <v>2016</v>
      </c>
      <c r="B1174" s="72">
        <f t="shared" si="48"/>
        <v>1</v>
      </c>
      <c r="C1174" s="73">
        <v>42380</v>
      </c>
      <c r="D1174" s="73"/>
      <c r="E1174" s="73">
        <v>42380</v>
      </c>
      <c r="F1174" s="76" t="s">
        <v>861</v>
      </c>
      <c r="G1174" s="270" t="s">
        <v>1157</v>
      </c>
      <c r="H1174" s="122" t="s">
        <v>280</v>
      </c>
      <c r="I1174" s="74">
        <v>547308</v>
      </c>
      <c r="J1174" s="75" t="s">
        <v>242</v>
      </c>
      <c r="K1174" s="75" t="s">
        <v>203</v>
      </c>
      <c r="L1174" s="134" t="str">
        <f>IF(AND('331-CT'!$E$7=TH!H1174,OR(J1174="331",K1174="331")),"x","")</f>
        <v/>
      </c>
    </row>
    <row r="1175" spans="1:12">
      <c r="A1175" s="72">
        <f t="shared" si="47"/>
        <v>2016</v>
      </c>
      <c r="B1175" s="72">
        <f t="shared" si="48"/>
        <v>1</v>
      </c>
      <c r="C1175" s="73">
        <v>42380</v>
      </c>
      <c r="D1175" s="73"/>
      <c r="E1175" s="73">
        <v>42380</v>
      </c>
      <c r="F1175" s="76" t="s">
        <v>1093</v>
      </c>
      <c r="G1175" s="270" t="s">
        <v>1157</v>
      </c>
      <c r="H1175" s="122" t="s">
        <v>280</v>
      </c>
      <c r="I1175" s="74">
        <v>54730</v>
      </c>
      <c r="J1175" s="75" t="s">
        <v>19</v>
      </c>
      <c r="K1175" s="75" t="s">
        <v>203</v>
      </c>
      <c r="L1175" s="134" t="str">
        <f>IF(AND('331-CT'!$E$7=TH!H1175,OR(J1175="331",K1175="331")),"x","")</f>
        <v/>
      </c>
    </row>
    <row r="1176" spans="1:12">
      <c r="A1176" s="72">
        <f t="shared" si="47"/>
        <v>2016</v>
      </c>
      <c r="B1176" s="72">
        <f t="shared" si="48"/>
        <v>1</v>
      </c>
      <c r="C1176" s="73">
        <v>42375</v>
      </c>
      <c r="D1176" s="73" t="s">
        <v>78</v>
      </c>
      <c r="E1176" s="73">
        <v>42375</v>
      </c>
      <c r="F1176" s="76" t="s">
        <v>1161</v>
      </c>
      <c r="G1176" s="270" t="s">
        <v>1158</v>
      </c>
      <c r="H1176" s="122" t="s">
        <v>302</v>
      </c>
      <c r="I1176" s="74">
        <v>155454545</v>
      </c>
      <c r="J1176" s="75" t="s">
        <v>655</v>
      </c>
      <c r="K1176" s="75" t="s">
        <v>18</v>
      </c>
      <c r="L1176" s="134" t="str">
        <f>IF(AND('331-CT'!$E$7=TH!H1176,OR(J1176="331",K1176="331")),"x","")</f>
        <v/>
      </c>
    </row>
    <row r="1177" spans="1:12">
      <c r="A1177" s="72">
        <f t="shared" si="47"/>
        <v>2016</v>
      </c>
      <c r="B1177" s="72">
        <f t="shared" si="48"/>
        <v>1</v>
      </c>
      <c r="C1177" s="73">
        <v>42375</v>
      </c>
      <c r="D1177" s="73" t="s">
        <v>78</v>
      </c>
      <c r="E1177" s="73">
        <v>42375</v>
      </c>
      <c r="F1177" s="76" t="s">
        <v>1162</v>
      </c>
      <c r="G1177" s="270" t="s">
        <v>1158</v>
      </c>
      <c r="H1177" s="122" t="s">
        <v>302</v>
      </c>
      <c r="I1177" s="74">
        <v>15545455</v>
      </c>
      <c r="J1177" s="75" t="s">
        <v>19</v>
      </c>
      <c r="K1177" s="75" t="s">
        <v>18</v>
      </c>
      <c r="L1177" s="134" t="str">
        <f>IF(AND('331-CT'!$E$7=TH!H1177,OR(J1177="331",K1177="331")),"x","")</f>
        <v/>
      </c>
    </row>
    <row r="1178" spans="1:12">
      <c r="A1178" s="72">
        <f t="shared" si="47"/>
        <v>2016</v>
      </c>
      <c r="B1178" s="72">
        <f t="shared" si="48"/>
        <v>1</v>
      </c>
      <c r="C1178" s="73">
        <v>42374</v>
      </c>
      <c r="D1178" s="73" t="s">
        <v>78</v>
      </c>
      <c r="E1178" s="73">
        <v>42374</v>
      </c>
      <c r="F1178" s="76" t="s">
        <v>1163</v>
      </c>
      <c r="G1178" s="270" t="s">
        <v>1159</v>
      </c>
      <c r="H1178" s="122" t="s">
        <v>172</v>
      </c>
      <c r="I1178" s="74">
        <v>809090909</v>
      </c>
      <c r="J1178" s="75" t="s">
        <v>655</v>
      </c>
      <c r="K1178" s="75" t="s">
        <v>18</v>
      </c>
      <c r="L1178" s="134" t="str">
        <f>IF(AND('331-CT'!$E$7=TH!H1178,OR(J1178="331",K1178="331")),"x","")</f>
        <v/>
      </c>
    </row>
    <row r="1179" spans="1:12">
      <c r="A1179" s="72">
        <f t="shared" si="47"/>
        <v>2016</v>
      </c>
      <c r="B1179" s="72">
        <f t="shared" si="48"/>
        <v>1</v>
      </c>
      <c r="C1179" s="73">
        <v>42374</v>
      </c>
      <c r="D1179" s="73" t="s">
        <v>78</v>
      </c>
      <c r="E1179" s="73">
        <v>42374</v>
      </c>
      <c r="F1179" s="76" t="s">
        <v>1164</v>
      </c>
      <c r="G1179" s="270" t="s">
        <v>1159</v>
      </c>
      <c r="H1179" s="122" t="s">
        <v>172</v>
      </c>
      <c r="I1179" s="74">
        <v>80909091</v>
      </c>
      <c r="J1179" s="75" t="s">
        <v>19</v>
      </c>
      <c r="K1179" s="75" t="s">
        <v>18</v>
      </c>
      <c r="L1179" s="134" t="str">
        <f>IF(AND('331-CT'!$E$7=TH!H1179,OR(J1179="331",K1179="331")),"x","")</f>
        <v/>
      </c>
    </row>
    <row r="1180" spans="1:12">
      <c r="A1180" s="72">
        <f t="shared" si="47"/>
        <v>2016</v>
      </c>
      <c r="B1180" s="72">
        <f t="shared" si="48"/>
        <v>1</v>
      </c>
      <c r="C1180" s="73">
        <v>42381</v>
      </c>
      <c r="D1180" s="73" t="s">
        <v>78</v>
      </c>
      <c r="E1180" s="73">
        <v>42381</v>
      </c>
      <c r="F1180" s="76" t="s">
        <v>1165</v>
      </c>
      <c r="G1180" s="270" t="s">
        <v>1160</v>
      </c>
      <c r="H1180" s="122" t="s">
        <v>152</v>
      </c>
      <c r="I1180" s="74">
        <v>358272727</v>
      </c>
      <c r="J1180" s="75" t="s">
        <v>655</v>
      </c>
      <c r="K1180" s="75" t="s">
        <v>18</v>
      </c>
      <c r="L1180" s="134" t="str">
        <f>IF(AND('331-CT'!$E$7=TH!H1180,OR(J1180="331",K1180="331")),"x","")</f>
        <v/>
      </c>
    </row>
    <row r="1181" spans="1:12">
      <c r="A1181" s="72">
        <f t="shared" ref="A1181:A1209" si="49">IF(C1181&lt;&gt;"",YEAR(C1181),"")</f>
        <v>2016</v>
      </c>
      <c r="B1181" s="72">
        <f t="shared" ref="B1181:B1209" si="50">IF(C1181&lt;&gt;"",MONTH(C1181),"")</f>
        <v>1</v>
      </c>
      <c r="C1181" s="73">
        <v>42381</v>
      </c>
      <c r="D1181" s="73" t="s">
        <v>78</v>
      </c>
      <c r="E1181" s="73">
        <v>42381</v>
      </c>
      <c r="F1181" s="76" t="s">
        <v>1166</v>
      </c>
      <c r="G1181" s="270" t="s">
        <v>1160</v>
      </c>
      <c r="H1181" s="122" t="s">
        <v>152</v>
      </c>
      <c r="I1181" s="74">
        <v>35827273</v>
      </c>
      <c r="J1181" s="75" t="s">
        <v>19</v>
      </c>
      <c r="K1181" s="75" t="s">
        <v>18</v>
      </c>
      <c r="L1181" s="134" t="str">
        <f>IF(AND('331-CT'!$E$7=TH!H1181,OR(J1181="331",K1181="331")),"x","")</f>
        <v/>
      </c>
    </row>
    <row r="1182" spans="1:12">
      <c r="A1182" s="72" t="str">
        <f t="shared" si="49"/>
        <v/>
      </c>
      <c r="B1182" s="72" t="str">
        <f t="shared" si="50"/>
        <v/>
      </c>
      <c r="C1182" s="73"/>
      <c r="D1182" s="73"/>
      <c r="E1182" s="73">
        <f t="shared" ref="E1167:E1183" si="51">C1182</f>
        <v>0</v>
      </c>
      <c r="F1182" s="76"/>
      <c r="G1182" s="265"/>
      <c r="H1182" s="122"/>
      <c r="I1182" s="74"/>
      <c r="J1182" s="75"/>
      <c r="K1182" s="75"/>
      <c r="L1182" s="134" t="str">
        <f>IF(AND('331-CT'!$E$7=TH!H1182,OR(J1182="331",K1182="331")),"x","")</f>
        <v/>
      </c>
    </row>
    <row r="1183" spans="1:12">
      <c r="A1183" s="72" t="str">
        <f t="shared" si="49"/>
        <v/>
      </c>
      <c r="B1183" s="72" t="str">
        <f t="shared" si="50"/>
        <v/>
      </c>
      <c r="C1183" s="73"/>
      <c r="D1183" s="73"/>
      <c r="E1183" s="73">
        <f t="shared" si="51"/>
        <v>0</v>
      </c>
      <c r="F1183" s="76"/>
      <c r="G1183" s="265"/>
      <c r="H1183" s="122"/>
      <c r="I1183" s="74"/>
      <c r="J1183" s="75"/>
      <c r="K1183" s="75"/>
      <c r="L1183" s="134" t="str">
        <f>IF(AND('331-CT'!$E$7=TH!H1183,OR(J1183="331",K1183="331")),"x","")</f>
        <v/>
      </c>
    </row>
    <row r="1184" spans="1:12">
      <c r="A1184" s="72" t="str">
        <f t="shared" si="49"/>
        <v/>
      </c>
      <c r="B1184" s="72" t="str">
        <f t="shared" si="50"/>
        <v/>
      </c>
      <c r="C1184" s="73"/>
      <c r="D1184" s="73"/>
      <c r="E1184" s="73"/>
      <c r="F1184" s="76"/>
      <c r="G1184" s="265"/>
      <c r="H1184" s="122"/>
      <c r="I1184" s="74"/>
      <c r="J1184" s="75"/>
      <c r="K1184" s="75"/>
      <c r="L1184" s="134" t="str">
        <f>IF(AND('331-CT'!$E$7=TH!H1184,OR(J1184="331",K1184="331")),"x","")</f>
        <v/>
      </c>
    </row>
    <row r="1185" spans="1:12">
      <c r="A1185" s="72" t="str">
        <f t="shared" si="49"/>
        <v/>
      </c>
      <c r="B1185" s="72" t="str">
        <f t="shared" si="50"/>
        <v/>
      </c>
      <c r="C1185" s="73"/>
      <c r="D1185" s="73"/>
      <c r="E1185" s="73"/>
      <c r="F1185" s="76"/>
      <c r="G1185" s="265"/>
      <c r="H1185" s="122"/>
      <c r="I1185" s="74"/>
      <c r="J1185" s="75"/>
      <c r="K1185" s="75"/>
      <c r="L1185" s="134" t="str">
        <f>IF(AND('331-CT'!$E$7=TH!H1185,OR(J1185="331",K1185="331")),"x","")</f>
        <v/>
      </c>
    </row>
    <row r="1186" spans="1:12">
      <c r="A1186" s="72" t="str">
        <f t="shared" si="49"/>
        <v/>
      </c>
      <c r="B1186" s="72" t="str">
        <f t="shared" si="50"/>
        <v/>
      </c>
      <c r="C1186" s="73"/>
      <c r="D1186" s="73"/>
      <c r="E1186" s="73"/>
      <c r="F1186" s="76"/>
      <c r="G1186" s="265"/>
      <c r="H1186" s="122"/>
      <c r="I1186" s="74"/>
      <c r="J1186" s="75"/>
      <c r="K1186" s="75"/>
      <c r="L1186" s="134" t="str">
        <f>IF(AND('331-CT'!$E$7=TH!H1186,OR(J1186="331",K1186="331")),"x","")</f>
        <v/>
      </c>
    </row>
    <row r="1187" spans="1:12">
      <c r="A1187" s="72" t="str">
        <f t="shared" si="49"/>
        <v/>
      </c>
      <c r="B1187" s="72" t="str">
        <f t="shared" si="50"/>
        <v/>
      </c>
      <c r="C1187" s="73"/>
      <c r="D1187" s="73"/>
      <c r="E1187" s="73"/>
      <c r="F1187" s="76"/>
      <c r="G1187" s="265"/>
      <c r="H1187" s="122"/>
      <c r="I1187" s="74"/>
      <c r="J1187" s="75"/>
      <c r="K1187" s="75"/>
      <c r="L1187" s="134" t="str">
        <f>IF(AND('331-CT'!$E$7=TH!H1187,OR(J1187="331",K1187="331")),"x","")</f>
        <v/>
      </c>
    </row>
    <row r="1188" spans="1:12">
      <c r="A1188" s="72" t="str">
        <f t="shared" si="49"/>
        <v/>
      </c>
      <c r="B1188" s="72" t="str">
        <f t="shared" si="50"/>
        <v/>
      </c>
      <c r="C1188" s="73"/>
      <c r="D1188" s="73"/>
      <c r="E1188" s="73"/>
      <c r="F1188" s="76"/>
      <c r="G1188" s="265"/>
      <c r="H1188" s="122"/>
      <c r="I1188" s="74"/>
      <c r="J1188" s="75"/>
      <c r="K1188" s="75"/>
      <c r="L1188" s="134" t="str">
        <f>IF(AND('331-CT'!$E$7=TH!H1188,OR(J1188="331",K1188="331")),"x","")</f>
        <v/>
      </c>
    </row>
    <row r="1189" spans="1:12">
      <c r="A1189" s="72" t="str">
        <f t="shared" si="49"/>
        <v/>
      </c>
      <c r="B1189" s="72" t="str">
        <f t="shared" si="50"/>
        <v/>
      </c>
      <c r="C1189" s="73"/>
      <c r="D1189" s="73"/>
      <c r="E1189" s="73"/>
      <c r="F1189" s="76"/>
      <c r="G1189" s="265"/>
      <c r="H1189" s="122"/>
      <c r="I1189" s="74"/>
      <c r="J1189" s="75"/>
      <c r="K1189" s="75"/>
      <c r="L1189" s="134" t="str">
        <f>IF(AND('331-CT'!$E$7=TH!H1189,OR(J1189="331",K1189="331")),"x","")</f>
        <v/>
      </c>
    </row>
    <row r="1190" spans="1:12">
      <c r="A1190" s="72" t="str">
        <f t="shared" si="49"/>
        <v/>
      </c>
      <c r="B1190" s="72" t="str">
        <f t="shared" si="50"/>
        <v/>
      </c>
      <c r="C1190" s="73"/>
      <c r="D1190" s="73"/>
      <c r="E1190" s="73"/>
      <c r="F1190" s="76"/>
      <c r="G1190" s="265"/>
      <c r="H1190" s="122"/>
      <c r="I1190" s="74"/>
      <c r="J1190" s="75"/>
      <c r="K1190" s="75"/>
      <c r="L1190" s="134" t="str">
        <f>IF(AND('331-CT'!$E$7=TH!H1190,OR(J1190="331",K1190="331")),"x","")</f>
        <v/>
      </c>
    </row>
    <row r="1191" spans="1:12">
      <c r="A1191" s="72" t="str">
        <f t="shared" si="49"/>
        <v/>
      </c>
      <c r="B1191" s="72" t="str">
        <f t="shared" si="50"/>
        <v/>
      </c>
      <c r="C1191" s="73"/>
      <c r="D1191" s="73"/>
      <c r="E1191" s="73"/>
      <c r="F1191" s="76"/>
      <c r="G1191" s="265"/>
      <c r="H1191" s="122"/>
      <c r="I1191" s="74"/>
      <c r="J1191" s="75"/>
      <c r="K1191" s="75"/>
      <c r="L1191" s="134" t="str">
        <f>IF(AND('331-CT'!$E$7=TH!H1191,OR(J1191="331",K1191="331")),"x","")</f>
        <v/>
      </c>
    </row>
    <row r="1192" spans="1:12">
      <c r="A1192" s="72" t="str">
        <f t="shared" si="49"/>
        <v/>
      </c>
      <c r="B1192" s="72" t="str">
        <f t="shared" si="50"/>
        <v/>
      </c>
      <c r="C1192" s="73"/>
      <c r="D1192" s="73"/>
      <c r="E1192" s="73"/>
      <c r="F1192" s="76"/>
      <c r="G1192" s="265"/>
      <c r="H1192" s="122"/>
      <c r="I1192" s="74"/>
      <c r="J1192" s="75"/>
      <c r="K1192" s="75"/>
      <c r="L1192" s="134" t="str">
        <f>IF(AND('331-CT'!$E$7=TH!H1192,OR(J1192="331",K1192="331")),"x","")</f>
        <v/>
      </c>
    </row>
    <row r="1193" spans="1:12">
      <c r="A1193" s="72" t="str">
        <f t="shared" si="49"/>
        <v/>
      </c>
      <c r="B1193" s="72" t="str">
        <f t="shared" si="50"/>
        <v/>
      </c>
      <c r="C1193" s="73"/>
      <c r="D1193" s="73"/>
      <c r="E1193" s="73"/>
      <c r="F1193" s="76"/>
      <c r="G1193" s="265"/>
      <c r="H1193" s="122"/>
      <c r="I1193" s="74"/>
      <c r="J1193" s="75"/>
      <c r="K1193" s="75"/>
      <c r="L1193" s="134" t="str">
        <f>IF(AND('331-CT'!$E$7=TH!H1193,OR(J1193="331",K1193="331")),"x","")</f>
        <v/>
      </c>
    </row>
    <row r="1194" spans="1:12">
      <c r="A1194" s="72" t="str">
        <f t="shared" si="49"/>
        <v/>
      </c>
      <c r="B1194" s="72" t="str">
        <f t="shared" si="50"/>
        <v/>
      </c>
      <c r="C1194" s="73"/>
      <c r="D1194" s="73"/>
      <c r="E1194" s="73"/>
      <c r="F1194" s="76"/>
      <c r="G1194" s="265"/>
      <c r="H1194" s="122"/>
      <c r="I1194" s="74"/>
      <c r="J1194" s="75"/>
      <c r="K1194" s="75"/>
      <c r="L1194" s="134" t="str">
        <f>IF(AND('331-CT'!$E$7=TH!H1194,OR(J1194="331",K1194="331")),"x","")</f>
        <v/>
      </c>
    </row>
    <row r="1195" spans="1:12">
      <c r="A1195" s="72" t="str">
        <f t="shared" si="49"/>
        <v/>
      </c>
      <c r="B1195" s="72" t="str">
        <f t="shared" si="50"/>
        <v/>
      </c>
      <c r="C1195" s="73"/>
      <c r="D1195" s="73"/>
      <c r="E1195" s="73"/>
      <c r="F1195" s="76"/>
      <c r="G1195" s="265"/>
      <c r="H1195" s="122"/>
      <c r="I1195" s="74"/>
      <c r="J1195" s="75"/>
      <c r="K1195" s="75"/>
      <c r="L1195" s="134" t="str">
        <f>IF(AND('331-CT'!$E$7=TH!H1195,OR(J1195="331",K1195="331")),"x","")</f>
        <v/>
      </c>
    </row>
    <row r="1196" spans="1:12">
      <c r="A1196" s="72" t="str">
        <f t="shared" si="49"/>
        <v/>
      </c>
      <c r="B1196" s="72" t="str">
        <f t="shared" si="50"/>
        <v/>
      </c>
      <c r="C1196" s="73"/>
      <c r="D1196" s="73"/>
      <c r="E1196" s="73"/>
      <c r="F1196" s="76"/>
      <c r="G1196" s="265"/>
      <c r="H1196" s="122"/>
      <c r="I1196" s="74"/>
      <c r="J1196" s="75"/>
      <c r="K1196" s="75"/>
      <c r="L1196" s="134" t="str">
        <f>IF(AND('331-CT'!$E$7=TH!H1196,OR(J1196="331",K1196="331")),"x","")</f>
        <v/>
      </c>
    </row>
    <row r="1197" spans="1:12">
      <c r="A1197" s="72" t="str">
        <f t="shared" si="49"/>
        <v/>
      </c>
      <c r="B1197" s="72" t="str">
        <f t="shared" si="50"/>
        <v/>
      </c>
      <c r="C1197" s="73"/>
      <c r="D1197" s="73"/>
      <c r="E1197" s="73"/>
      <c r="F1197" s="76"/>
      <c r="G1197" s="265"/>
      <c r="H1197" s="122"/>
      <c r="I1197" s="74"/>
      <c r="J1197" s="75"/>
      <c r="K1197" s="75"/>
      <c r="L1197" s="134" t="str">
        <f>IF(AND('331-CT'!$E$7=TH!H1197,OR(J1197="331",K1197="331")),"x","")</f>
        <v/>
      </c>
    </row>
    <row r="1198" spans="1:12">
      <c r="A1198" s="72" t="str">
        <f t="shared" si="49"/>
        <v/>
      </c>
      <c r="B1198" s="72" t="str">
        <f t="shared" si="50"/>
        <v/>
      </c>
      <c r="C1198" s="73"/>
      <c r="D1198" s="73"/>
      <c r="E1198" s="73"/>
      <c r="F1198" s="76"/>
      <c r="G1198" s="265"/>
      <c r="H1198" s="122"/>
      <c r="I1198" s="74"/>
      <c r="J1198" s="75"/>
      <c r="K1198" s="75"/>
      <c r="L1198" s="134" t="str">
        <f>IF(AND('331-CT'!$E$7=TH!H1198,OR(J1198="331",K1198="331")),"x","")</f>
        <v/>
      </c>
    </row>
    <row r="1199" spans="1:12">
      <c r="A1199" s="72" t="str">
        <f t="shared" si="49"/>
        <v/>
      </c>
      <c r="B1199" s="72" t="str">
        <f t="shared" si="50"/>
        <v/>
      </c>
      <c r="C1199" s="73"/>
      <c r="D1199" s="73"/>
      <c r="E1199" s="73"/>
      <c r="F1199" s="76"/>
      <c r="G1199" s="265"/>
      <c r="H1199" s="122"/>
      <c r="I1199" s="74"/>
      <c r="J1199" s="75"/>
      <c r="K1199" s="75"/>
      <c r="L1199" s="134" t="str">
        <f>IF(AND('331-CT'!$E$7=TH!H1199,OR(J1199="331",K1199="331")),"x","")</f>
        <v/>
      </c>
    </row>
    <row r="1200" spans="1:12">
      <c r="A1200" s="72" t="str">
        <f t="shared" si="49"/>
        <v/>
      </c>
      <c r="B1200" s="72" t="str">
        <f t="shared" si="50"/>
        <v/>
      </c>
      <c r="C1200" s="73"/>
      <c r="D1200" s="73"/>
      <c r="E1200" s="73"/>
      <c r="F1200" s="76"/>
      <c r="G1200" s="265"/>
      <c r="H1200" s="122"/>
      <c r="I1200" s="74"/>
      <c r="J1200" s="75"/>
      <c r="K1200" s="75"/>
      <c r="L1200" s="134" t="str">
        <f>IF(AND('331-CT'!$E$7=TH!H1200,OR(J1200="331",K1200="331")),"x","")</f>
        <v/>
      </c>
    </row>
    <row r="1201" spans="1:12">
      <c r="A1201" s="72" t="str">
        <f t="shared" si="49"/>
        <v/>
      </c>
      <c r="B1201" s="72" t="str">
        <f t="shared" si="50"/>
        <v/>
      </c>
      <c r="C1201" s="73"/>
      <c r="D1201" s="73"/>
      <c r="E1201" s="73"/>
      <c r="F1201" s="76"/>
      <c r="G1201" s="265"/>
      <c r="H1201" s="122"/>
      <c r="I1201" s="74"/>
      <c r="J1201" s="75"/>
      <c r="K1201" s="75"/>
      <c r="L1201" s="134" t="str">
        <f>IF(AND('331-CT'!$E$7=TH!H1201,OR(J1201="331",K1201="331")),"x","")</f>
        <v/>
      </c>
    </row>
    <row r="1202" spans="1:12">
      <c r="A1202" s="72" t="str">
        <f t="shared" si="49"/>
        <v/>
      </c>
      <c r="B1202" s="72" t="str">
        <f t="shared" si="50"/>
        <v/>
      </c>
      <c r="C1202" s="73"/>
      <c r="D1202" s="73"/>
      <c r="E1202" s="73"/>
      <c r="F1202" s="76"/>
      <c r="G1202" s="265"/>
      <c r="H1202" s="122"/>
      <c r="I1202" s="74"/>
      <c r="J1202" s="75"/>
      <c r="K1202" s="75"/>
      <c r="L1202" s="134" t="str">
        <f>IF(AND('331-CT'!$E$7=TH!H1202,OR(J1202="331",K1202="331")),"x","")</f>
        <v/>
      </c>
    </row>
    <row r="1203" spans="1:12" ht="13.5" customHeight="1">
      <c r="A1203" s="72" t="str">
        <f t="shared" si="49"/>
        <v/>
      </c>
      <c r="B1203" s="72" t="str">
        <f t="shared" si="50"/>
        <v/>
      </c>
      <c r="C1203" s="73"/>
      <c r="D1203" s="73"/>
      <c r="E1203" s="73"/>
      <c r="F1203" s="76"/>
      <c r="G1203" s="265"/>
      <c r="H1203" s="122"/>
      <c r="I1203" s="74"/>
      <c r="J1203" s="75"/>
      <c r="K1203" s="75"/>
      <c r="L1203" s="134" t="str">
        <f>IF(AND('331-CT'!$E$7=TH!H1203,OR(J1203="331",K1203="331")),"x","")</f>
        <v/>
      </c>
    </row>
    <row r="1204" spans="1:12">
      <c r="A1204" s="72" t="str">
        <f t="shared" si="49"/>
        <v/>
      </c>
      <c r="B1204" s="72" t="str">
        <f t="shared" si="50"/>
        <v/>
      </c>
      <c r="C1204" s="73"/>
      <c r="D1204" s="73"/>
      <c r="E1204" s="73"/>
      <c r="F1204" s="76"/>
      <c r="G1204" s="265"/>
      <c r="H1204" s="122"/>
      <c r="I1204" s="74"/>
      <c r="J1204" s="75"/>
      <c r="K1204" s="75"/>
      <c r="L1204" s="134" t="str">
        <f>IF(AND('331-CT'!$E$7=TH!H1204,OR(J1204="331",K1204="331")),"x","")</f>
        <v/>
      </c>
    </row>
    <row r="1205" spans="1:12">
      <c r="A1205" s="72" t="str">
        <f t="shared" si="49"/>
        <v/>
      </c>
      <c r="B1205" s="72" t="str">
        <f t="shared" si="50"/>
        <v/>
      </c>
      <c r="C1205" s="73"/>
      <c r="D1205" s="73"/>
      <c r="E1205" s="73"/>
      <c r="F1205" s="76"/>
      <c r="G1205" s="265"/>
      <c r="H1205" s="122"/>
      <c r="I1205" s="74"/>
      <c r="J1205" s="75"/>
      <c r="K1205" s="75"/>
      <c r="L1205" s="134" t="str">
        <f>IF(AND('331-CT'!$E$7=TH!H1205,OR(J1205="331",K1205="331")),"x","")</f>
        <v/>
      </c>
    </row>
    <row r="1206" spans="1:12">
      <c r="A1206" s="72" t="str">
        <f t="shared" si="49"/>
        <v/>
      </c>
      <c r="B1206" s="72" t="str">
        <f t="shared" si="50"/>
        <v/>
      </c>
      <c r="C1206" s="73"/>
      <c r="D1206" s="73"/>
      <c r="E1206" s="73"/>
      <c r="F1206" s="76"/>
      <c r="G1206" s="265"/>
      <c r="H1206" s="122"/>
      <c r="I1206" s="74"/>
      <c r="J1206" s="75"/>
      <c r="K1206" s="75"/>
      <c r="L1206" s="134" t="str">
        <f>IF(AND('331-CT'!$E$7=TH!H1206,OR(J1206="331",K1206="331")),"x","")</f>
        <v/>
      </c>
    </row>
    <row r="1207" spans="1:12">
      <c r="A1207" s="72" t="str">
        <f t="shared" si="49"/>
        <v/>
      </c>
      <c r="B1207" s="72" t="str">
        <f t="shared" si="50"/>
        <v/>
      </c>
      <c r="C1207" s="73"/>
      <c r="D1207" s="73"/>
      <c r="E1207" s="73"/>
      <c r="F1207" s="76"/>
      <c r="G1207" s="265"/>
      <c r="H1207" s="122"/>
      <c r="I1207" s="74"/>
      <c r="J1207" s="75"/>
      <c r="K1207" s="75"/>
      <c r="L1207" s="134" t="str">
        <f>IF(AND('331-CT'!$E$7=TH!H1207,OR(J1207="331",K1207="331")),"x","")</f>
        <v/>
      </c>
    </row>
    <row r="1208" spans="1:12">
      <c r="A1208" s="72" t="str">
        <f t="shared" si="49"/>
        <v/>
      </c>
      <c r="B1208" s="72" t="str">
        <f t="shared" si="50"/>
        <v/>
      </c>
      <c r="C1208" s="73"/>
      <c r="D1208" s="73"/>
      <c r="E1208" s="73"/>
      <c r="F1208" s="76"/>
      <c r="G1208" s="265"/>
      <c r="H1208" s="122"/>
      <c r="I1208" s="74"/>
      <c r="J1208" s="75"/>
      <c r="K1208" s="75"/>
      <c r="L1208" s="134" t="str">
        <f>IF(AND('331-CT'!$E$7=TH!H1208,OR(J1208="331",K1208="331")),"x","")</f>
        <v/>
      </c>
    </row>
    <row r="1209" spans="1:12">
      <c r="A1209" s="72" t="str">
        <f t="shared" si="49"/>
        <v/>
      </c>
      <c r="B1209" s="72" t="str">
        <f t="shared" si="50"/>
        <v/>
      </c>
      <c r="C1209" s="73"/>
      <c r="D1209" s="73"/>
      <c r="E1209" s="73"/>
      <c r="F1209" s="76"/>
      <c r="G1209" s="265"/>
      <c r="H1209" s="122"/>
      <c r="I1209" s="74"/>
      <c r="J1209" s="75"/>
      <c r="K1209" s="75"/>
      <c r="L1209" s="134" t="str">
        <f>IF(AND('331-CT'!$E$7=TH!H1209,OR(J1209="331",K1209="331")),"x","")</f>
        <v/>
      </c>
    </row>
  </sheetData>
  <autoFilter ref="A9:M1209"/>
  <sortState ref="A843:M949">
    <sortCondition ref="C843:C949"/>
  </sortState>
  <mergeCells count="12">
    <mergeCell ref="B7:B8"/>
    <mergeCell ref="A7:A8"/>
    <mergeCell ref="H7:H8"/>
    <mergeCell ref="L7:L8"/>
    <mergeCell ref="C4:K4"/>
    <mergeCell ref="C5:K5"/>
    <mergeCell ref="C7:C8"/>
    <mergeCell ref="D7:E7"/>
    <mergeCell ref="F7:F8"/>
    <mergeCell ref="I7:I8"/>
    <mergeCell ref="J7:K7"/>
    <mergeCell ref="G7:G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pane ySplit="4" topLeftCell="A32" activePane="bottomLeft" state="frozen"/>
      <selection pane="bottomLeft" activeCell="A34" sqref="A34"/>
    </sheetView>
  </sheetViews>
  <sheetFormatPr defaultColWidth="9.140625" defaultRowHeight="30" customHeight="1"/>
  <cols>
    <col min="1" max="1" width="4.7109375" style="394" customWidth="1"/>
    <col min="2" max="2" width="13" style="393" customWidth="1"/>
    <col min="3" max="3" width="21.5703125" style="394" customWidth="1"/>
    <col min="4" max="4" width="21.85546875" style="394" customWidth="1"/>
    <col min="5" max="12" width="14" style="394" customWidth="1"/>
    <col min="13" max="13" width="11.5703125" style="394" customWidth="1"/>
    <col min="14" max="14" width="14" style="394" hidden="1" customWidth="1"/>
    <col min="15" max="15" width="12" style="394" customWidth="1"/>
    <col min="16" max="261" width="8.85546875" style="394"/>
    <col min="262" max="262" width="4.7109375" style="394" customWidth="1"/>
    <col min="263" max="263" width="28" style="394" customWidth="1"/>
    <col min="264" max="264" width="33.42578125" style="394" customWidth="1"/>
    <col min="265" max="265" width="19.7109375" style="394" customWidth="1"/>
    <col min="266" max="269" width="13.85546875" style="394" customWidth="1"/>
    <col min="270" max="270" width="12.28515625" style="394" customWidth="1"/>
    <col min="271" max="517" width="8.85546875" style="394"/>
    <col min="518" max="518" width="4.7109375" style="394" customWidth="1"/>
    <col min="519" max="519" width="28" style="394" customWidth="1"/>
    <col min="520" max="520" width="33.42578125" style="394" customWidth="1"/>
    <col min="521" max="521" width="19.7109375" style="394" customWidth="1"/>
    <col min="522" max="525" width="13.85546875" style="394" customWidth="1"/>
    <col min="526" max="526" width="12.28515625" style="394" customWidth="1"/>
    <col min="527" max="773" width="8.85546875" style="394"/>
    <col min="774" max="774" width="4.7109375" style="394" customWidth="1"/>
    <col min="775" max="775" width="28" style="394" customWidth="1"/>
    <col min="776" max="776" width="33.42578125" style="394" customWidth="1"/>
    <col min="777" max="777" width="19.7109375" style="394" customWidth="1"/>
    <col min="778" max="781" width="13.85546875" style="394" customWidth="1"/>
    <col min="782" max="782" width="12.28515625" style="394" customWidth="1"/>
    <col min="783" max="1029" width="8.85546875" style="394"/>
    <col min="1030" max="1030" width="4.7109375" style="394" customWidth="1"/>
    <col min="1031" max="1031" width="28" style="394" customWidth="1"/>
    <col min="1032" max="1032" width="33.42578125" style="394" customWidth="1"/>
    <col min="1033" max="1033" width="19.7109375" style="394" customWidth="1"/>
    <col min="1034" max="1037" width="13.85546875" style="394" customWidth="1"/>
    <col min="1038" max="1038" width="12.28515625" style="394" customWidth="1"/>
    <col min="1039" max="1285" width="8.85546875" style="394"/>
    <col min="1286" max="1286" width="4.7109375" style="394" customWidth="1"/>
    <col min="1287" max="1287" width="28" style="394" customWidth="1"/>
    <col min="1288" max="1288" width="33.42578125" style="394" customWidth="1"/>
    <col min="1289" max="1289" width="19.7109375" style="394" customWidth="1"/>
    <col min="1290" max="1293" width="13.85546875" style="394" customWidth="1"/>
    <col min="1294" max="1294" width="12.28515625" style="394" customWidth="1"/>
    <col min="1295" max="1541" width="8.85546875" style="394"/>
    <col min="1542" max="1542" width="4.7109375" style="394" customWidth="1"/>
    <col min="1543" max="1543" width="28" style="394" customWidth="1"/>
    <col min="1544" max="1544" width="33.42578125" style="394" customWidth="1"/>
    <col min="1545" max="1545" width="19.7109375" style="394" customWidth="1"/>
    <col min="1546" max="1549" width="13.85546875" style="394" customWidth="1"/>
    <col min="1550" max="1550" width="12.28515625" style="394" customWidth="1"/>
    <col min="1551" max="1797" width="8.85546875" style="394"/>
    <col min="1798" max="1798" width="4.7109375" style="394" customWidth="1"/>
    <col min="1799" max="1799" width="28" style="394" customWidth="1"/>
    <col min="1800" max="1800" width="33.42578125" style="394" customWidth="1"/>
    <col min="1801" max="1801" width="19.7109375" style="394" customWidth="1"/>
    <col min="1802" max="1805" width="13.85546875" style="394" customWidth="1"/>
    <col min="1806" max="1806" width="12.28515625" style="394" customWidth="1"/>
    <col min="1807" max="2053" width="8.85546875" style="394"/>
    <col min="2054" max="2054" width="4.7109375" style="394" customWidth="1"/>
    <col min="2055" max="2055" width="28" style="394" customWidth="1"/>
    <col min="2056" max="2056" width="33.42578125" style="394" customWidth="1"/>
    <col min="2057" max="2057" width="19.7109375" style="394" customWidth="1"/>
    <col min="2058" max="2061" width="13.85546875" style="394" customWidth="1"/>
    <col min="2062" max="2062" width="12.28515625" style="394" customWidth="1"/>
    <col min="2063" max="2309" width="8.85546875" style="394"/>
    <col min="2310" max="2310" width="4.7109375" style="394" customWidth="1"/>
    <col min="2311" max="2311" width="28" style="394" customWidth="1"/>
    <col min="2312" max="2312" width="33.42578125" style="394" customWidth="1"/>
    <col min="2313" max="2313" width="19.7109375" style="394" customWidth="1"/>
    <col min="2314" max="2317" width="13.85546875" style="394" customWidth="1"/>
    <col min="2318" max="2318" width="12.28515625" style="394" customWidth="1"/>
    <col min="2319" max="2565" width="8.85546875" style="394"/>
    <col min="2566" max="2566" width="4.7109375" style="394" customWidth="1"/>
    <col min="2567" max="2567" width="28" style="394" customWidth="1"/>
    <col min="2568" max="2568" width="33.42578125" style="394" customWidth="1"/>
    <col min="2569" max="2569" width="19.7109375" style="394" customWidth="1"/>
    <col min="2570" max="2573" width="13.85546875" style="394" customWidth="1"/>
    <col min="2574" max="2574" width="12.28515625" style="394" customWidth="1"/>
    <col min="2575" max="2821" width="8.85546875" style="394"/>
    <col min="2822" max="2822" width="4.7109375" style="394" customWidth="1"/>
    <col min="2823" max="2823" width="28" style="394" customWidth="1"/>
    <col min="2824" max="2824" width="33.42578125" style="394" customWidth="1"/>
    <col min="2825" max="2825" width="19.7109375" style="394" customWidth="1"/>
    <col min="2826" max="2829" width="13.85546875" style="394" customWidth="1"/>
    <col min="2830" max="2830" width="12.28515625" style="394" customWidth="1"/>
    <col min="2831" max="3077" width="8.85546875" style="394"/>
    <col min="3078" max="3078" width="4.7109375" style="394" customWidth="1"/>
    <col min="3079" max="3079" width="28" style="394" customWidth="1"/>
    <col min="3080" max="3080" width="33.42578125" style="394" customWidth="1"/>
    <col min="3081" max="3081" width="19.7109375" style="394" customWidth="1"/>
    <col min="3082" max="3085" width="13.85546875" style="394" customWidth="1"/>
    <col min="3086" max="3086" width="12.28515625" style="394" customWidth="1"/>
    <col min="3087" max="3333" width="8.85546875" style="394"/>
    <col min="3334" max="3334" width="4.7109375" style="394" customWidth="1"/>
    <col min="3335" max="3335" width="28" style="394" customWidth="1"/>
    <col min="3336" max="3336" width="33.42578125" style="394" customWidth="1"/>
    <col min="3337" max="3337" width="19.7109375" style="394" customWidth="1"/>
    <col min="3338" max="3341" width="13.85546875" style="394" customWidth="1"/>
    <col min="3342" max="3342" width="12.28515625" style="394" customWidth="1"/>
    <col min="3343" max="3589" width="8.85546875" style="394"/>
    <col min="3590" max="3590" width="4.7109375" style="394" customWidth="1"/>
    <col min="3591" max="3591" width="28" style="394" customWidth="1"/>
    <col min="3592" max="3592" width="33.42578125" style="394" customWidth="1"/>
    <col min="3593" max="3593" width="19.7109375" style="394" customWidth="1"/>
    <col min="3594" max="3597" width="13.85546875" style="394" customWidth="1"/>
    <col min="3598" max="3598" width="12.28515625" style="394" customWidth="1"/>
    <col min="3599" max="3845" width="8.85546875" style="394"/>
    <col min="3846" max="3846" width="4.7109375" style="394" customWidth="1"/>
    <col min="3847" max="3847" width="28" style="394" customWidth="1"/>
    <col min="3848" max="3848" width="33.42578125" style="394" customWidth="1"/>
    <col min="3849" max="3849" width="19.7109375" style="394" customWidth="1"/>
    <col min="3850" max="3853" width="13.85546875" style="394" customWidth="1"/>
    <col min="3854" max="3854" width="12.28515625" style="394" customWidth="1"/>
    <col min="3855" max="4101" width="8.85546875" style="394"/>
    <col min="4102" max="4102" width="4.7109375" style="394" customWidth="1"/>
    <col min="4103" max="4103" width="28" style="394" customWidth="1"/>
    <col min="4104" max="4104" width="33.42578125" style="394" customWidth="1"/>
    <col min="4105" max="4105" width="19.7109375" style="394" customWidth="1"/>
    <col min="4106" max="4109" width="13.85546875" style="394" customWidth="1"/>
    <col min="4110" max="4110" width="12.28515625" style="394" customWidth="1"/>
    <col min="4111" max="4357" width="8.85546875" style="394"/>
    <col min="4358" max="4358" width="4.7109375" style="394" customWidth="1"/>
    <col min="4359" max="4359" width="28" style="394" customWidth="1"/>
    <col min="4360" max="4360" width="33.42578125" style="394" customWidth="1"/>
    <col min="4361" max="4361" width="19.7109375" style="394" customWidth="1"/>
    <col min="4362" max="4365" width="13.85546875" style="394" customWidth="1"/>
    <col min="4366" max="4366" width="12.28515625" style="394" customWidth="1"/>
    <col min="4367" max="4613" width="8.85546875" style="394"/>
    <col min="4614" max="4614" width="4.7109375" style="394" customWidth="1"/>
    <col min="4615" max="4615" width="28" style="394" customWidth="1"/>
    <col min="4616" max="4616" width="33.42578125" style="394" customWidth="1"/>
    <col min="4617" max="4617" width="19.7109375" style="394" customWidth="1"/>
    <col min="4618" max="4621" width="13.85546875" style="394" customWidth="1"/>
    <col min="4622" max="4622" width="12.28515625" style="394" customWidth="1"/>
    <col min="4623" max="4869" width="8.85546875" style="394"/>
    <col min="4870" max="4870" width="4.7109375" style="394" customWidth="1"/>
    <col min="4871" max="4871" width="28" style="394" customWidth="1"/>
    <col min="4872" max="4872" width="33.42578125" style="394" customWidth="1"/>
    <col min="4873" max="4873" width="19.7109375" style="394" customWidth="1"/>
    <col min="4874" max="4877" width="13.85546875" style="394" customWidth="1"/>
    <col min="4878" max="4878" width="12.28515625" style="394" customWidth="1"/>
    <col min="4879" max="5125" width="8.85546875" style="394"/>
    <col min="5126" max="5126" width="4.7109375" style="394" customWidth="1"/>
    <col min="5127" max="5127" width="28" style="394" customWidth="1"/>
    <col min="5128" max="5128" width="33.42578125" style="394" customWidth="1"/>
    <col min="5129" max="5129" width="19.7109375" style="394" customWidth="1"/>
    <col min="5130" max="5133" width="13.85546875" style="394" customWidth="1"/>
    <col min="5134" max="5134" width="12.28515625" style="394" customWidth="1"/>
    <col min="5135" max="5381" width="8.85546875" style="394"/>
    <col min="5382" max="5382" width="4.7109375" style="394" customWidth="1"/>
    <col min="5383" max="5383" width="28" style="394" customWidth="1"/>
    <col min="5384" max="5384" width="33.42578125" style="394" customWidth="1"/>
    <col min="5385" max="5385" width="19.7109375" style="394" customWidth="1"/>
    <col min="5386" max="5389" width="13.85546875" style="394" customWidth="1"/>
    <col min="5390" max="5390" width="12.28515625" style="394" customWidth="1"/>
    <col min="5391" max="5637" width="8.85546875" style="394"/>
    <col min="5638" max="5638" width="4.7109375" style="394" customWidth="1"/>
    <col min="5639" max="5639" width="28" style="394" customWidth="1"/>
    <col min="5640" max="5640" width="33.42578125" style="394" customWidth="1"/>
    <col min="5641" max="5641" width="19.7109375" style="394" customWidth="1"/>
    <col min="5642" max="5645" width="13.85546875" style="394" customWidth="1"/>
    <col min="5646" max="5646" width="12.28515625" style="394" customWidth="1"/>
    <col min="5647" max="5893" width="8.85546875" style="394"/>
    <col min="5894" max="5894" width="4.7109375" style="394" customWidth="1"/>
    <col min="5895" max="5895" width="28" style="394" customWidth="1"/>
    <col min="5896" max="5896" width="33.42578125" style="394" customWidth="1"/>
    <col min="5897" max="5897" width="19.7109375" style="394" customWidth="1"/>
    <col min="5898" max="5901" width="13.85546875" style="394" customWidth="1"/>
    <col min="5902" max="5902" width="12.28515625" style="394" customWidth="1"/>
    <col min="5903" max="6149" width="8.85546875" style="394"/>
    <col min="6150" max="6150" width="4.7109375" style="394" customWidth="1"/>
    <col min="6151" max="6151" width="28" style="394" customWidth="1"/>
    <col min="6152" max="6152" width="33.42578125" style="394" customWidth="1"/>
    <col min="6153" max="6153" width="19.7109375" style="394" customWidth="1"/>
    <col min="6154" max="6157" width="13.85546875" style="394" customWidth="1"/>
    <col min="6158" max="6158" width="12.28515625" style="394" customWidth="1"/>
    <col min="6159" max="6405" width="8.85546875" style="394"/>
    <col min="6406" max="6406" width="4.7109375" style="394" customWidth="1"/>
    <col min="6407" max="6407" width="28" style="394" customWidth="1"/>
    <col min="6408" max="6408" width="33.42578125" style="394" customWidth="1"/>
    <col min="6409" max="6409" width="19.7109375" style="394" customWidth="1"/>
    <col min="6410" max="6413" width="13.85546875" style="394" customWidth="1"/>
    <col min="6414" max="6414" width="12.28515625" style="394" customWidth="1"/>
    <col min="6415" max="6661" width="8.85546875" style="394"/>
    <col min="6662" max="6662" width="4.7109375" style="394" customWidth="1"/>
    <col min="6663" max="6663" width="28" style="394" customWidth="1"/>
    <col min="6664" max="6664" width="33.42578125" style="394" customWidth="1"/>
    <col min="6665" max="6665" width="19.7109375" style="394" customWidth="1"/>
    <col min="6666" max="6669" width="13.85546875" style="394" customWidth="1"/>
    <col min="6670" max="6670" width="12.28515625" style="394" customWidth="1"/>
    <col min="6671" max="6917" width="8.85546875" style="394"/>
    <col min="6918" max="6918" width="4.7109375" style="394" customWidth="1"/>
    <col min="6919" max="6919" width="28" style="394" customWidth="1"/>
    <col min="6920" max="6920" width="33.42578125" style="394" customWidth="1"/>
    <col min="6921" max="6921" width="19.7109375" style="394" customWidth="1"/>
    <col min="6922" max="6925" width="13.85546875" style="394" customWidth="1"/>
    <col min="6926" max="6926" width="12.28515625" style="394" customWidth="1"/>
    <col min="6927" max="7173" width="8.85546875" style="394"/>
    <col min="7174" max="7174" width="4.7109375" style="394" customWidth="1"/>
    <col min="7175" max="7175" width="28" style="394" customWidth="1"/>
    <col min="7176" max="7176" width="33.42578125" style="394" customWidth="1"/>
    <col min="7177" max="7177" width="19.7109375" style="394" customWidth="1"/>
    <col min="7178" max="7181" width="13.85546875" style="394" customWidth="1"/>
    <col min="7182" max="7182" width="12.28515625" style="394" customWidth="1"/>
    <col min="7183" max="7429" width="8.85546875" style="394"/>
    <col min="7430" max="7430" width="4.7109375" style="394" customWidth="1"/>
    <col min="7431" max="7431" width="28" style="394" customWidth="1"/>
    <col min="7432" max="7432" width="33.42578125" style="394" customWidth="1"/>
    <col min="7433" max="7433" width="19.7109375" style="394" customWidth="1"/>
    <col min="7434" max="7437" width="13.85546875" style="394" customWidth="1"/>
    <col min="7438" max="7438" width="12.28515625" style="394" customWidth="1"/>
    <col min="7439" max="7685" width="8.85546875" style="394"/>
    <col min="7686" max="7686" width="4.7109375" style="394" customWidth="1"/>
    <col min="7687" max="7687" width="28" style="394" customWidth="1"/>
    <col min="7688" max="7688" width="33.42578125" style="394" customWidth="1"/>
    <col min="7689" max="7689" width="19.7109375" style="394" customWidth="1"/>
    <col min="7690" max="7693" width="13.85546875" style="394" customWidth="1"/>
    <col min="7694" max="7694" width="12.28515625" style="394" customWidth="1"/>
    <col min="7695" max="7941" width="8.85546875" style="394"/>
    <col min="7942" max="7942" width="4.7109375" style="394" customWidth="1"/>
    <col min="7943" max="7943" width="28" style="394" customWidth="1"/>
    <col min="7944" max="7944" width="33.42578125" style="394" customWidth="1"/>
    <col min="7945" max="7945" width="19.7109375" style="394" customWidth="1"/>
    <col min="7946" max="7949" width="13.85546875" style="394" customWidth="1"/>
    <col min="7950" max="7950" width="12.28515625" style="394" customWidth="1"/>
    <col min="7951" max="8197" width="8.85546875" style="394"/>
    <col min="8198" max="8198" width="4.7109375" style="394" customWidth="1"/>
    <col min="8199" max="8199" width="28" style="394" customWidth="1"/>
    <col min="8200" max="8200" width="33.42578125" style="394" customWidth="1"/>
    <col min="8201" max="8201" width="19.7109375" style="394" customWidth="1"/>
    <col min="8202" max="8205" width="13.85546875" style="394" customWidth="1"/>
    <col min="8206" max="8206" width="12.28515625" style="394" customWidth="1"/>
    <col min="8207" max="8453" width="8.85546875" style="394"/>
    <col min="8454" max="8454" width="4.7109375" style="394" customWidth="1"/>
    <col min="8455" max="8455" width="28" style="394" customWidth="1"/>
    <col min="8456" max="8456" width="33.42578125" style="394" customWidth="1"/>
    <col min="8457" max="8457" width="19.7109375" style="394" customWidth="1"/>
    <col min="8458" max="8461" width="13.85546875" style="394" customWidth="1"/>
    <col min="8462" max="8462" width="12.28515625" style="394" customWidth="1"/>
    <col min="8463" max="8709" width="8.85546875" style="394"/>
    <col min="8710" max="8710" width="4.7109375" style="394" customWidth="1"/>
    <col min="8711" max="8711" width="28" style="394" customWidth="1"/>
    <col min="8712" max="8712" width="33.42578125" style="394" customWidth="1"/>
    <col min="8713" max="8713" width="19.7109375" style="394" customWidth="1"/>
    <col min="8714" max="8717" width="13.85546875" style="394" customWidth="1"/>
    <col min="8718" max="8718" width="12.28515625" style="394" customWidth="1"/>
    <col min="8719" max="8965" width="8.85546875" style="394"/>
    <col min="8966" max="8966" width="4.7109375" style="394" customWidth="1"/>
    <col min="8967" max="8967" width="28" style="394" customWidth="1"/>
    <col min="8968" max="8968" width="33.42578125" style="394" customWidth="1"/>
    <col min="8969" max="8969" width="19.7109375" style="394" customWidth="1"/>
    <col min="8970" max="8973" width="13.85546875" style="394" customWidth="1"/>
    <col min="8974" max="8974" width="12.28515625" style="394" customWidth="1"/>
    <col min="8975" max="9221" width="8.85546875" style="394"/>
    <col min="9222" max="9222" width="4.7109375" style="394" customWidth="1"/>
    <col min="9223" max="9223" width="28" style="394" customWidth="1"/>
    <col min="9224" max="9224" width="33.42578125" style="394" customWidth="1"/>
    <col min="9225" max="9225" width="19.7109375" style="394" customWidth="1"/>
    <col min="9226" max="9229" width="13.85546875" style="394" customWidth="1"/>
    <col min="9230" max="9230" width="12.28515625" style="394" customWidth="1"/>
    <col min="9231" max="9477" width="8.85546875" style="394"/>
    <col min="9478" max="9478" width="4.7109375" style="394" customWidth="1"/>
    <col min="9479" max="9479" width="28" style="394" customWidth="1"/>
    <col min="9480" max="9480" width="33.42578125" style="394" customWidth="1"/>
    <col min="9481" max="9481" width="19.7109375" style="394" customWidth="1"/>
    <col min="9482" max="9485" width="13.85546875" style="394" customWidth="1"/>
    <col min="9486" max="9486" width="12.28515625" style="394" customWidth="1"/>
    <col min="9487" max="9733" width="8.85546875" style="394"/>
    <col min="9734" max="9734" width="4.7109375" style="394" customWidth="1"/>
    <col min="9735" max="9735" width="28" style="394" customWidth="1"/>
    <col min="9736" max="9736" width="33.42578125" style="394" customWidth="1"/>
    <col min="9737" max="9737" width="19.7109375" style="394" customWidth="1"/>
    <col min="9738" max="9741" width="13.85546875" style="394" customWidth="1"/>
    <col min="9742" max="9742" width="12.28515625" style="394" customWidth="1"/>
    <col min="9743" max="9989" width="8.85546875" style="394"/>
    <col min="9990" max="9990" width="4.7109375" style="394" customWidth="1"/>
    <col min="9991" max="9991" width="28" style="394" customWidth="1"/>
    <col min="9992" max="9992" width="33.42578125" style="394" customWidth="1"/>
    <col min="9993" max="9993" width="19.7109375" style="394" customWidth="1"/>
    <col min="9994" max="9997" width="13.85546875" style="394" customWidth="1"/>
    <col min="9998" max="9998" width="12.28515625" style="394" customWidth="1"/>
    <col min="9999" max="10245" width="8.85546875" style="394"/>
    <col min="10246" max="10246" width="4.7109375" style="394" customWidth="1"/>
    <col min="10247" max="10247" width="28" style="394" customWidth="1"/>
    <col min="10248" max="10248" width="33.42578125" style="394" customWidth="1"/>
    <col min="10249" max="10249" width="19.7109375" style="394" customWidth="1"/>
    <col min="10250" max="10253" width="13.85546875" style="394" customWidth="1"/>
    <col min="10254" max="10254" width="12.28515625" style="394" customWidth="1"/>
    <col min="10255" max="10501" width="8.85546875" style="394"/>
    <col min="10502" max="10502" width="4.7109375" style="394" customWidth="1"/>
    <col min="10503" max="10503" width="28" style="394" customWidth="1"/>
    <col min="10504" max="10504" width="33.42578125" style="394" customWidth="1"/>
    <col min="10505" max="10505" width="19.7109375" style="394" customWidth="1"/>
    <col min="10506" max="10509" width="13.85546875" style="394" customWidth="1"/>
    <col min="10510" max="10510" width="12.28515625" style="394" customWidth="1"/>
    <col min="10511" max="10757" width="8.85546875" style="394"/>
    <col min="10758" max="10758" width="4.7109375" style="394" customWidth="1"/>
    <col min="10759" max="10759" width="28" style="394" customWidth="1"/>
    <col min="10760" max="10760" width="33.42578125" style="394" customWidth="1"/>
    <col min="10761" max="10761" width="19.7109375" style="394" customWidth="1"/>
    <col min="10762" max="10765" width="13.85546875" style="394" customWidth="1"/>
    <col min="10766" max="10766" width="12.28515625" style="394" customWidth="1"/>
    <col min="10767" max="11013" width="8.85546875" style="394"/>
    <col min="11014" max="11014" width="4.7109375" style="394" customWidth="1"/>
    <col min="11015" max="11015" width="28" style="394" customWidth="1"/>
    <col min="11016" max="11016" width="33.42578125" style="394" customWidth="1"/>
    <col min="11017" max="11017" width="19.7109375" style="394" customWidth="1"/>
    <col min="11018" max="11021" width="13.85546875" style="394" customWidth="1"/>
    <col min="11022" max="11022" width="12.28515625" style="394" customWidth="1"/>
    <col min="11023" max="11269" width="8.85546875" style="394"/>
    <col min="11270" max="11270" width="4.7109375" style="394" customWidth="1"/>
    <col min="11271" max="11271" width="28" style="394" customWidth="1"/>
    <col min="11272" max="11272" width="33.42578125" style="394" customWidth="1"/>
    <col min="11273" max="11273" width="19.7109375" style="394" customWidth="1"/>
    <col min="11274" max="11277" width="13.85546875" style="394" customWidth="1"/>
    <col min="11278" max="11278" width="12.28515625" style="394" customWidth="1"/>
    <col min="11279" max="11525" width="8.85546875" style="394"/>
    <col min="11526" max="11526" width="4.7109375" style="394" customWidth="1"/>
    <col min="11527" max="11527" width="28" style="394" customWidth="1"/>
    <col min="11528" max="11528" width="33.42578125" style="394" customWidth="1"/>
    <col min="11529" max="11529" width="19.7109375" style="394" customWidth="1"/>
    <col min="11530" max="11533" width="13.85546875" style="394" customWidth="1"/>
    <col min="11534" max="11534" width="12.28515625" style="394" customWidth="1"/>
    <col min="11535" max="11781" width="8.85546875" style="394"/>
    <col min="11782" max="11782" width="4.7109375" style="394" customWidth="1"/>
    <col min="11783" max="11783" width="28" style="394" customWidth="1"/>
    <col min="11784" max="11784" width="33.42578125" style="394" customWidth="1"/>
    <col min="11785" max="11785" width="19.7109375" style="394" customWidth="1"/>
    <col min="11786" max="11789" width="13.85546875" style="394" customWidth="1"/>
    <col min="11790" max="11790" width="12.28515625" style="394" customWidth="1"/>
    <col min="11791" max="12037" width="8.85546875" style="394"/>
    <col min="12038" max="12038" width="4.7109375" style="394" customWidth="1"/>
    <col min="12039" max="12039" width="28" style="394" customWidth="1"/>
    <col min="12040" max="12040" width="33.42578125" style="394" customWidth="1"/>
    <col min="12041" max="12041" width="19.7109375" style="394" customWidth="1"/>
    <col min="12042" max="12045" width="13.85546875" style="394" customWidth="1"/>
    <col min="12046" max="12046" width="12.28515625" style="394" customWidth="1"/>
    <col min="12047" max="12293" width="8.85546875" style="394"/>
    <col min="12294" max="12294" width="4.7109375" style="394" customWidth="1"/>
    <col min="12295" max="12295" width="28" style="394" customWidth="1"/>
    <col min="12296" max="12296" width="33.42578125" style="394" customWidth="1"/>
    <col min="12297" max="12297" width="19.7109375" style="394" customWidth="1"/>
    <col min="12298" max="12301" width="13.85546875" style="394" customWidth="1"/>
    <col min="12302" max="12302" width="12.28515625" style="394" customWidth="1"/>
    <col min="12303" max="12549" width="8.85546875" style="394"/>
    <col min="12550" max="12550" width="4.7109375" style="394" customWidth="1"/>
    <col min="12551" max="12551" width="28" style="394" customWidth="1"/>
    <col min="12552" max="12552" width="33.42578125" style="394" customWidth="1"/>
    <col min="12553" max="12553" width="19.7109375" style="394" customWidth="1"/>
    <col min="12554" max="12557" width="13.85546875" style="394" customWidth="1"/>
    <col min="12558" max="12558" width="12.28515625" style="394" customWidth="1"/>
    <col min="12559" max="12805" width="8.85546875" style="394"/>
    <col min="12806" max="12806" width="4.7109375" style="394" customWidth="1"/>
    <col min="12807" max="12807" width="28" style="394" customWidth="1"/>
    <col min="12808" max="12808" width="33.42578125" style="394" customWidth="1"/>
    <col min="12809" max="12809" width="19.7109375" style="394" customWidth="1"/>
    <col min="12810" max="12813" width="13.85546875" style="394" customWidth="1"/>
    <col min="12814" max="12814" width="12.28515625" style="394" customWidth="1"/>
    <col min="12815" max="13061" width="8.85546875" style="394"/>
    <col min="13062" max="13062" width="4.7109375" style="394" customWidth="1"/>
    <col min="13063" max="13063" width="28" style="394" customWidth="1"/>
    <col min="13064" max="13064" width="33.42578125" style="394" customWidth="1"/>
    <col min="13065" max="13065" width="19.7109375" style="394" customWidth="1"/>
    <col min="13066" max="13069" width="13.85546875" style="394" customWidth="1"/>
    <col min="13070" max="13070" width="12.28515625" style="394" customWidth="1"/>
    <col min="13071" max="13317" width="8.85546875" style="394"/>
    <col min="13318" max="13318" width="4.7109375" style="394" customWidth="1"/>
    <col min="13319" max="13319" width="28" style="394" customWidth="1"/>
    <col min="13320" max="13320" width="33.42578125" style="394" customWidth="1"/>
    <col min="13321" max="13321" width="19.7109375" style="394" customWidth="1"/>
    <col min="13322" max="13325" width="13.85546875" style="394" customWidth="1"/>
    <col min="13326" max="13326" width="12.28515625" style="394" customWidth="1"/>
    <col min="13327" max="13573" width="8.85546875" style="394"/>
    <col min="13574" max="13574" width="4.7109375" style="394" customWidth="1"/>
    <col min="13575" max="13575" width="28" style="394" customWidth="1"/>
    <col min="13576" max="13576" width="33.42578125" style="394" customWidth="1"/>
    <col min="13577" max="13577" width="19.7109375" style="394" customWidth="1"/>
    <col min="13578" max="13581" width="13.85546875" style="394" customWidth="1"/>
    <col min="13582" max="13582" width="12.28515625" style="394" customWidth="1"/>
    <col min="13583" max="13829" width="8.85546875" style="394"/>
    <col min="13830" max="13830" width="4.7109375" style="394" customWidth="1"/>
    <col min="13831" max="13831" width="28" style="394" customWidth="1"/>
    <col min="13832" max="13832" width="33.42578125" style="394" customWidth="1"/>
    <col min="13833" max="13833" width="19.7109375" style="394" customWidth="1"/>
    <col min="13834" max="13837" width="13.85546875" style="394" customWidth="1"/>
    <col min="13838" max="13838" width="12.28515625" style="394" customWidth="1"/>
    <col min="13839" max="14085" width="8.85546875" style="394"/>
    <col min="14086" max="14086" width="4.7109375" style="394" customWidth="1"/>
    <col min="14087" max="14087" width="28" style="394" customWidth="1"/>
    <col min="14088" max="14088" width="33.42578125" style="394" customWidth="1"/>
    <col min="14089" max="14089" width="19.7109375" style="394" customWidth="1"/>
    <col min="14090" max="14093" width="13.85546875" style="394" customWidth="1"/>
    <col min="14094" max="14094" width="12.28515625" style="394" customWidth="1"/>
    <col min="14095" max="14341" width="8.85546875" style="394"/>
    <col min="14342" max="14342" width="4.7109375" style="394" customWidth="1"/>
    <col min="14343" max="14343" width="28" style="394" customWidth="1"/>
    <col min="14344" max="14344" width="33.42578125" style="394" customWidth="1"/>
    <col min="14345" max="14345" width="19.7109375" style="394" customWidth="1"/>
    <col min="14346" max="14349" width="13.85546875" style="394" customWidth="1"/>
    <col min="14350" max="14350" width="12.28515625" style="394" customWidth="1"/>
    <col min="14351" max="14597" width="8.85546875" style="394"/>
    <col min="14598" max="14598" width="4.7109375" style="394" customWidth="1"/>
    <col min="14599" max="14599" width="28" style="394" customWidth="1"/>
    <col min="14600" max="14600" width="33.42578125" style="394" customWidth="1"/>
    <col min="14601" max="14601" width="19.7109375" style="394" customWidth="1"/>
    <col min="14602" max="14605" width="13.85546875" style="394" customWidth="1"/>
    <col min="14606" max="14606" width="12.28515625" style="394" customWidth="1"/>
    <col min="14607" max="14853" width="8.85546875" style="394"/>
    <col min="14854" max="14854" width="4.7109375" style="394" customWidth="1"/>
    <col min="14855" max="14855" width="28" style="394" customWidth="1"/>
    <col min="14856" max="14856" width="33.42578125" style="394" customWidth="1"/>
    <col min="14857" max="14857" width="19.7109375" style="394" customWidth="1"/>
    <col min="14858" max="14861" width="13.85546875" style="394" customWidth="1"/>
    <col min="14862" max="14862" width="12.28515625" style="394" customWidth="1"/>
    <col min="14863" max="15109" width="8.85546875" style="394"/>
    <col min="15110" max="15110" width="4.7109375" style="394" customWidth="1"/>
    <col min="15111" max="15111" width="28" style="394" customWidth="1"/>
    <col min="15112" max="15112" width="33.42578125" style="394" customWidth="1"/>
    <col min="15113" max="15113" width="19.7109375" style="394" customWidth="1"/>
    <col min="15114" max="15117" width="13.85546875" style="394" customWidth="1"/>
    <col min="15118" max="15118" width="12.28515625" style="394" customWidth="1"/>
    <col min="15119" max="15365" width="8.85546875" style="394"/>
    <col min="15366" max="15366" width="4.7109375" style="394" customWidth="1"/>
    <col min="15367" max="15367" width="28" style="394" customWidth="1"/>
    <col min="15368" max="15368" width="33.42578125" style="394" customWidth="1"/>
    <col min="15369" max="15369" width="19.7109375" style="394" customWidth="1"/>
    <col min="15370" max="15373" width="13.85546875" style="394" customWidth="1"/>
    <col min="15374" max="15374" width="12.28515625" style="394" customWidth="1"/>
    <col min="15375" max="15621" width="8.85546875" style="394"/>
    <col min="15622" max="15622" width="4.7109375" style="394" customWidth="1"/>
    <col min="15623" max="15623" width="28" style="394" customWidth="1"/>
    <col min="15624" max="15624" width="33.42578125" style="394" customWidth="1"/>
    <col min="15625" max="15625" width="19.7109375" style="394" customWidth="1"/>
    <col min="15626" max="15629" width="13.85546875" style="394" customWidth="1"/>
    <col min="15630" max="15630" width="12.28515625" style="394" customWidth="1"/>
    <col min="15631" max="15877" width="8.85546875" style="394"/>
    <col min="15878" max="15878" width="4.7109375" style="394" customWidth="1"/>
    <col min="15879" max="15879" width="28" style="394" customWidth="1"/>
    <col min="15880" max="15880" width="33.42578125" style="394" customWidth="1"/>
    <col min="15881" max="15881" width="19.7109375" style="394" customWidth="1"/>
    <col min="15882" max="15885" width="13.85546875" style="394" customWidth="1"/>
    <col min="15886" max="15886" width="12.28515625" style="394" customWidth="1"/>
    <col min="15887" max="16133" width="8.85546875" style="394"/>
    <col min="16134" max="16134" width="4.7109375" style="394" customWidth="1"/>
    <col min="16135" max="16135" width="28" style="394" customWidth="1"/>
    <col min="16136" max="16136" width="33.42578125" style="394" customWidth="1"/>
    <col min="16137" max="16137" width="19.7109375" style="394" customWidth="1"/>
    <col min="16138" max="16141" width="13.85546875" style="394" customWidth="1"/>
    <col min="16142" max="16142" width="12.28515625" style="394" customWidth="1"/>
    <col min="16143" max="16143" width="8.85546875" style="394"/>
    <col min="16144" max="16384" width="9.140625" style="394"/>
  </cols>
  <sheetData>
    <row r="1" spans="1:15" ht="18.75" customHeight="1">
      <c r="A1" s="392"/>
    </row>
    <row r="2" spans="1:15" s="392" customFormat="1" ht="23.25" customHeight="1">
      <c r="A2" s="436" t="s">
        <v>79</v>
      </c>
      <c r="B2" s="437" t="s">
        <v>668</v>
      </c>
      <c r="C2" s="437" t="s">
        <v>669</v>
      </c>
      <c r="D2" s="437" t="s">
        <v>670</v>
      </c>
      <c r="E2" s="440" t="s">
        <v>876</v>
      </c>
      <c r="F2" s="442"/>
      <c r="G2" s="442"/>
      <c r="H2" s="442"/>
      <c r="I2" s="441"/>
      <c r="J2" s="436" t="s">
        <v>877</v>
      </c>
      <c r="K2" s="436"/>
      <c r="L2" s="436"/>
      <c r="M2" s="436"/>
      <c r="N2" s="437" t="s">
        <v>724</v>
      </c>
    </row>
    <row r="3" spans="1:15" ht="23.25" customHeight="1">
      <c r="A3" s="436"/>
      <c r="B3" s="439"/>
      <c r="C3" s="439"/>
      <c r="D3" s="439"/>
      <c r="E3" s="437" t="s">
        <v>671</v>
      </c>
      <c r="F3" s="440" t="s">
        <v>672</v>
      </c>
      <c r="G3" s="441"/>
      <c r="H3" s="437" t="s">
        <v>673</v>
      </c>
      <c r="I3" s="437" t="s">
        <v>1056</v>
      </c>
      <c r="J3" s="439" t="s">
        <v>671</v>
      </c>
      <c r="K3" s="439" t="s">
        <v>673</v>
      </c>
      <c r="L3" s="439" t="s">
        <v>1056</v>
      </c>
      <c r="M3" s="439" t="s">
        <v>1064</v>
      </c>
      <c r="N3" s="439"/>
    </row>
    <row r="4" spans="1:15" ht="32.25" customHeight="1">
      <c r="A4" s="436"/>
      <c r="B4" s="438"/>
      <c r="C4" s="438"/>
      <c r="D4" s="438"/>
      <c r="E4" s="438"/>
      <c r="F4" s="395" t="s">
        <v>882</v>
      </c>
      <c r="G4" s="395" t="s">
        <v>883</v>
      </c>
      <c r="H4" s="438"/>
      <c r="I4" s="438"/>
      <c r="J4" s="438"/>
      <c r="K4" s="438"/>
      <c r="L4" s="438"/>
      <c r="M4" s="438"/>
      <c r="N4" s="438"/>
    </row>
    <row r="5" spans="1:15" ht="40.5" customHeight="1">
      <c r="A5" s="408">
        <f>ROW()-4</f>
        <v>1</v>
      </c>
      <c r="B5" s="396"/>
      <c r="C5" s="397" t="s">
        <v>83</v>
      </c>
      <c r="D5" s="397"/>
      <c r="E5" s="398"/>
      <c r="F5" s="398">
        <f t="shared" ref="F5:F35" si="0">SUMIFS(TH,KHN,"2412",KHC,"331",KH,C5)</f>
        <v>0</v>
      </c>
      <c r="G5" s="398">
        <f t="array" ref="G5">SUM(IF("331"&amp;C5=KHC&amp;KH,TH))</f>
        <v>199400666</v>
      </c>
      <c r="H5" s="398">
        <f t="array" ref="H5">SUM(IF("331"&amp;C5=KHN&amp;KH,TH))</f>
        <v>199400666</v>
      </c>
      <c r="I5" s="398">
        <f>G5-H5</f>
        <v>0</v>
      </c>
      <c r="J5" s="398">
        <f>IF(E5&gt;G5,E5,G5)</f>
        <v>199400666</v>
      </c>
      <c r="K5" s="398">
        <f>H5</f>
        <v>199400666</v>
      </c>
      <c r="L5" s="398">
        <f>J5-K5</f>
        <v>0</v>
      </c>
      <c r="M5" s="398"/>
      <c r="N5" s="398">
        <f>IF(E5&gt;F5,E5,F5)</f>
        <v>0</v>
      </c>
      <c r="O5" s="399"/>
    </row>
    <row r="6" spans="1:15" ht="40.5" customHeight="1">
      <c r="A6" s="408">
        <f t="shared" ref="A6:A37" si="1">ROW()-4</f>
        <v>2</v>
      </c>
      <c r="B6" s="396" t="s">
        <v>382</v>
      </c>
      <c r="C6" s="397" t="s">
        <v>108</v>
      </c>
      <c r="D6" s="397" t="s">
        <v>674</v>
      </c>
      <c r="E6" s="398">
        <v>80000000</v>
      </c>
      <c r="F6" s="398">
        <f t="shared" si="0"/>
        <v>72727273</v>
      </c>
      <c r="G6" s="398">
        <f t="array" ref="G6">SUM(IF("331"&amp;C6=KHC&amp;KH,TH))</f>
        <v>80000000</v>
      </c>
      <c r="H6" s="398">
        <f t="array" ref="H6">SUM(IF("331"&amp;C6=KHN&amp;KH,TH))</f>
        <v>80000000</v>
      </c>
      <c r="I6" s="398">
        <f t="shared" ref="I6:I35" si="2">G6-H6</f>
        <v>0</v>
      </c>
      <c r="J6" s="398">
        <f t="shared" ref="J6:J21" si="3">IF(E6&gt;G6,E6,G6)</f>
        <v>80000000</v>
      </c>
      <c r="K6" s="398">
        <f t="shared" ref="K6:K21" si="4">H6</f>
        <v>80000000</v>
      </c>
      <c r="L6" s="398">
        <f t="shared" ref="L6:L35" si="5">J6-K6</f>
        <v>0</v>
      </c>
      <c r="M6" s="398"/>
      <c r="N6" s="398">
        <f t="shared" ref="N6:N37" si="6">IF(E6&gt;F6,E6,F6)</f>
        <v>80000000</v>
      </c>
      <c r="O6" s="399"/>
    </row>
    <row r="7" spans="1:15" ht="40.5" customHeight="1">
      <c r="A7" s="408">
        <f t="shared" si="1"/>
        <v>3</v>
      </c>
      <c r="B7" s="400" t="s">
        <v>675</v>
      </c>
      <c r="C7" s="401" t="s">
        <v>132</v>
      </c>
      <c r="D7" s="401" t="s">
        <v>676</v>
      </c>
      <c r="E7" s="402"/>
      <c r="F7" s="398">
        <f t="shared" si="0"/>
        <v>28000005</v>
      </c>
      <c r="G7" s="398">
        <f t="array" ref="G7">SUM(IF("331"&amp;C7=KHC&amp;KH,TH))</f>
        <v>30800005</v>
      </c>
      <c r="H7" s="398">
        <f t="array" ref="H7">SUM(IF("331"&amp;C7=KHN&amp;KH,TH))</f>
        <v>30800005</v>
      </c>
      <c r="I7" s="398">
        <f t="shared" si="2"/>
        <v>0</v>
      </c>
      <c r="J7" s="398">
        <f t="shared" si="3"/>
        <v>30800005</v>
      </c>
      <c r="K7" s="398">
        <f t="shared" si="4"/>
        <v>30800005</v>
      </c>
      <c r="L7" s="398">
        <f t="shared" si="5"/>
        <v>0</v>
      </c>
      <c r="M7" s="398"/>
      <c r="N7" s="398">
        <f t="shared" si="6"/>
        <v>28000005</v>
      </c>
      <c r="O7" s="399"/>
    </row>
    <row r="8" spans="1:15" ht="40.5" customHeight="1">
      <c r="A8" s="408">
        <f t="shared" si="1"/>
        <v>4</v>
      </c>
      <c r="B8" s="400" t="s">
        <v>702</v>
      </c>
      <c r="C8" s="401" t="s">
        <v>285</v>
      </c>
      <c r="D8" s="401" t="s">
        <v>703</v>
      </c>
      <c r="E8" s="402"/>
      <c r="F8" s="398">
        <f t="shared" si="0"/>
        <v>30440000</v>
      </c>
      <c r="G8" s="398">
        <f t="array" ref="G8">SUM(IF("331"&amp;C8=KHC&amp;KH,TH))</f>
        <v>30440000</v>
      </c>
      <c r="H8" s="398">
        <f t="array" ref="H8">SUM(IF("331"&amp;C8=KHN&amp;KH,TH))</f>
        <v>30440000</v>
      </c>
      <c r="I8" s="398">
        <f t="shared" si="2"/>
        <v>0</v>
      </c>
      <c r="J8" s="398">
        <f t="shared" si="3"/>
        <v>30440000</v>
      </c>
      <c r="K8" s="398">
        <f t="shared" si="4"/>
        <v>30440000</v>
      </c>
      <c r="L8" s="398">
        <f t="shared" si="5"/>
        <v>0</v>
      </c>
      <c r="M8" s="398"/>
      <c r="N8" s="398">
        <f t="shared" si="6"/>
        <v>30440000</v>
      </c>
      <c r="O8" s="399"/>
    </row>
    <row r="9" spans="1:15" ht="40.5" customHeight="1">
      <c r="A9" s="408">
        <f t="shared" si="1"/>
        <v>5</v>
      </c>
      <c r="B9" s="400"/>
      <c r="C9" s="401" t="s">
        <v>312</v>
      </c>
      <c r="D9" s="401" t="s">
        <v>884</v>
      </c>
      <c r="E9" s="402"/>
      <c r="F9" s="398">
        <f t="shared" si="0"/>
        <v>19645867</v>
      </c>
      <c r="G9" s="398">
        <f t="array" ref="G9">SUM(IF("331"&amp;C9=KHC&amp;KH,TH))</f>
        <v>21610454</v>
      </c>
      <c r="H9" s="398">
        <f t="array" ref="H9">SUM(IF("331"&amp;C9=KHN&amp;KH,TH))</f>
        <v>21610454</v>
      </c>
      <c r="I9" s="398">
        <f t="shared" si="2"/>
        <v>0</v>
      </c>
      <c r="J9" s="398">
        <f t="shared" si="3"/>
        <v>21610454</v>
      </c>
      <c r="K9" s="398">
        <f t="shared" si="4"/>
        <v>21610454</v>
      </c>
      <c r="L9" s="398">
        <f t="shared" si="5"/>
        <v>0</v>
      </c>
      <c r="M9" s="398"/>
      <c r="N9" s="398">
        <f t="shared" si="6"/>
        <v>19645867</v>
      </c>
      <c r="O9" s="399"/>
    </row>
    <row r="10" spans="1:15" ht="40.5" customHeight="1">
      <c r="A10" s="408">
        <f t="shared" si="1"/>
        <v>6</v>
      </c>
      <c r="B10" s="400"/>
      <c r="C10" s="401" t="s">
        <v>441</v>
      </c>
      <c r="D10" s="401" t="s">
        <v>439</v>
      </c>
      <c r="E10" s="402"/>
      <c r="F10" s="398">
        <f t="shared" si="0"/>
        <v>30000000</v>
      </c>
      <c r="G10" s="398">
        <f t="array" ref="G10">SUM(IF("331"&amp;C10=KHC&amp;KH,TH))</f>
        <v>33000000</v>
      </c>
      <c r="H10" s="398">
        <f t="array" ref="H10">SUM(IF("331"&amp;C10=KHN&amp;KH,TH))</f>
        <v>33000000</v>
      </c>
      <c r="I10" s="398">
        <f t="shared" si="2"/>
        <v>0</v>
      </c>
      <c r="J10" s="398">
        <f t="shared" si="3"/>
        <v>33000000</v>
      </c>
      <c r="K10" s="398">
        <f t="shared" si="4"/>
        <v>33000000</v>
      </c>
      <c r="L10" s="398">
        <f t="shared" si="5"/>
        <v>0</v>
      </c>
      <c r="M10" s="398"/>
      <c r="N10" s="398">
        <f t="shared" si="6"/>
        <v>30000000</v>
      </c>
      <c r="O10" s="399"/>
    </row>
    <row r="11" spans="1:15" ht="40.5" customHeight="1">
      <c r="A11" s="408">
        <f t="shared" si="1"/>
        <v>7</v>
      </c>
      <c r="B11" s="400" t="s">
        <v>385</v>
      </c>
      <c r="C11" s="401" t="s">
        <v>129</v>
      </c>
      <c r="D11" s="401" t="s">
        <v>677</v>
      </c>
      <c r="E11" s="402">
        <v>16327199</v>
      </c>
      <c r="F11" s="398">
        <f t="shared" si="0"/>
        <v>14842908</v>
      </c>
      <c r="G11" s="398">
        <f t="array" ref="G11">SUM(IF("331"&amp;C11=KHC&amp;KH,TH))</f>
        <v>16327199</v>
      </c>
      <c r="H11" s="398">
        <f t="array" ref="H11">SUM(IF("331"&amp;C11=KHN&amp;KH,TH))</f>
        <v>16327199</v>
      </c>
      <c r="I11" s="398">
        <f t="shared" si="2"/>
        <v>0</v>
      </c>
      <c r="J11" s="398">
        <f t="shared" si="3"/>
        <v>16327199</v>
      </c>
      <c r="K11" s="398">
        <f t="shared" si="4"/>
        <v>16327199</v>
      </c>
      <c r="L11" s="398">
        <f t="shared" si="5"/>
        <v>0</v>
      </c>
      <c r="M11" s="398"/>
      <c r="N11" s="398">
        <f t="shared" si="6"/>
        <v>16327199</v>
      </c>
      <c r="O11" s="399"/>
    </row>
    <row r="12" spans="1:15" ht="40.5" customHeight="1">
      <c r="A12" s="408">
        <f t="shared" si="1"/>
        <v>8</v>
      </c>
      <c r="B12" s="400" t="s">
        <v>678</v>
      </c>
      <c r="C12" s="401" t="s">
        <v>89</v>
      </c>
      <c r="D12" s="401" t="s">
        <v>679</v>
      </c>
      <c r="E12" s="402">
        <f>1262599800+324737600</f>
        <v>1587337400</v>
      </c>
      <c r="F12" s="398">
        <f t="shared" si="0"/>
        <v>1443034000</v>
      </c>
      <c r="G12" s="398">
        <f t="array" ref="G12">SUM(IF("331"&amp;C12=KHC&amp;KH,TH))</f>
        <v>1587337400</v>
      </c>
      <c r="H12" s="398">
        <f t="array" ref="H12">SUM(IF("331"&amp;C12=KHN&amp;KH,TH))</f>
        <v>1587337400</v>
      </c>
      <c r="I12" s="398">
        <f t="shared" si="2"/>
        <v>0</v>
      </c>
      <c r="J12" s="398">
        <f t="shared" si="3"/>
        <v>1587337400</v>
      </c>
      <c r="K12" s="398">
        <f t="shared" si="4"/>
        <v>1587337400</v>
      </c>
      <c r="L12" s="398">
        <f t="shared" si="5"/>
        <v>0</v>
      </c>
      <c r="M12" s="398"/>
      <c r="N12" s="398">
        <f t="shared" si="6"/>
        <v>1587337400</v>
      </c>
      <c r="O12" s="399"/>
    </row>
    <row r="13" spans="1:15" ht="40.5" customHeight="1">
      <c r="A13" s="408">
        <f t="shared" si="1"/>
        <v>9</v>
      </c>
      <c r="B13" s="400" t="s">
        <v>388</v>
      </c>
      <c r="C13" s="401" t="s">
        <v>91</v>
      </c>
      <c r="D13" s="401" t="s">
        <v>680</v>
      </c>
      <c r="E13" s="402">
        <v>230800000</v>
      </c>
      <c r="F13" s="398">
        <f t="shared" si="0"/>
        <v>262727273</v>
      </c>
      <c r="G13" s="398">
        <f t="array" ref="G13">SUM(IF("331"&amp;C13=KHC&amp;KH,TH))</f>
        <v>289000000</v>
      </c>
      <c r="H13" s="398">
        <f t="array" ref="H13">SUM(IF("331"&amp;C13=KHN&amp;KH,TH))</f>
        <v>289000000</v>
      </c>
      <c r="I13" s="398">
        <f t="shared" si="2"/>
        <v>0</v>
      </c>
      <c r="J13" s="398">
        <f t="shared" si="3"/>
        <v>289000000</v>
      </c>
      <c r="K13" s="398">
        <f t="shared" si="4"/>
        <v>289000000</v>
      </c>
      <c r="L13" s="398">
        <f t="shared" si="5"/>
        <v>0</v>
      </c>
      <c r="M13" s="398"/>
      <c r="N13" s="398">
        <f t="shared" si="6"/>
        <v>262727273</v>
      </c>
      <c r="O13" s="399"/>
    </row>
    <row r="14" spans="1:15" ht="40.5" customHeight="1">
      <c r="A14" s="408">
        <f>ROW()-4</f>
        <v>10</v>
      </c>
      <c r="B14" s="400" t="s">
        <v>708</v>
      </c>
      <c r="C14" s="401" t="s">
        <v>305</v>
      </c>
      <c r="D14" s="401" t="s">
        <v>709</v>
      </c>
      <c r="E14" s="402">
        <v>150126466</v>
      </c>
      <c r="F14" s="398">
        <f t="shared" si="0"/>
        <v>136478605</v>
      </c>
      <c r="G14" s="398">
        <f t="array" ref="G14">SUM(IF("331"&amp;C14=KHC&amp;KH,TH))</f>
        <v>150454066</v>
      </c>
      <c r="H14" s="398">
        <f t="array" ref="H14">SUM(IF("331"&amp;C14=KHN&amp;KH,TH))</f>
        <v>150454066</v>
      </c>
      <c r="I14" s="398">
        <f t="shared" si="2"/>
        <v>0</v>
      </c>
      <c r="J14" s="398">
        <f t="shared" si="3"/>
        <v>150454066</v>
      </c>
      <c r="K14" s="398">
        <f t="shared" si="4"/>
        <v>150454066</v>
      </c>
      <c r="L14" s="398">
        <f t="shared" si="5"/>
        <v>0</v>
      </c>
      <c r="M14" s="398"/>
      <c r="N14" s="398">
        <f t="shared" si="6"/>
        <v>150126466</v>
      </c>
      <c r="O14" s="399"/>
    </row>
    <row r="15" spans="1:15" ht="40.5" customHeight="1">
      <c r="A15" s="408">
        <f t="shared" si="1"/>
        <v>11</v>
      </c>
      <c r="B15" s="400" t="s">
        <v>704</v>
      </c>
      <c r="C15" s="401" t="s">
        <v>357</v>
      </c>
      <c r="D15" s="401" t="s">
        <v>705</v>
      </c>
      <c r="E15" s="402"/>
      <c r="F15" s="398">
        <f t="shared" si="0"/>
        <v>48236364</v>
      </c>
      <c r="G15" s="398">
        <f t="array" ref="G15">SUM(IF("331"&amp;C15=KHC&amp;KH,TH))</f>
        <v>53060000</v>
      </c>
      <c r="H15" s="398">
        <f t="array" ref="H15">SUM(IF("331"&amp;C15=KHN&amp;KH,TH))</f>
        <v>53060000</v>
      </c>
      <c r="I15" s="398">
        <f t="shared" si="2"/>
        <v>0</v>
      </c>
      <c r="J15" s="398">
        <f t="shared" si="3"/>
        <v>53060000</v>
      </c>
      <c r="K15" s="398">
        <f t="shared" si="4"/>
        <v>53060000</v>
      </c>
      <c r="L15" s="398">
        <f t="shared" si="5"/>
        <v>0</v>
      </c>
      <c r="M15" s="398"/>
      <c r="N15" s="398">
        <f t="shared" si="6"/>
        <v>48236364</v>
      </c>
      <c r="O15" s="399"/>
    </row>
    <row r="16" spans="1:15" ht="40.5" customHeight="1">
      <c r="A16" s="408">
        <f t="shared" si="1"/>
        <v>12</v>
      </c>
      <c r="B16" s="400"/>
      <c r="C16" s="401" t="s">
        <v>90</v>
      </c>
      <c r="D16" s="401"/>
      <c r="E16" s="402"/>
      <c r="F16" s="398">
        <f t="shared" si="0"/>
        <v>0</v>
      </c>
      <c r="G16" s="398">
        <f t="array" ref="G16">SUM(IF("331"&amp;C16=KHC&amp;KH,TH))</f>
        <v>0</v>
      </c>
      <c r="H16" s="398">
        <f t="array" ref="H16">SUM(IF("331"&amp;C16=KHN&amp;KH,TH))</f>
        <v>60000000</v>
      </c>
      <c r="I16" s="398">
        <f t="shared" si="2"/>
        <v>-60000000</v>
      </c>
      <c r="J16" s="398">
        <f t="shared" si="3"/>
        <v>0</v>
      </c>
      <c r="K16" s="398">
        <f t="shared" si="4"/>
        <v>60000000</v>
      </c>
      <c r="L16" s="398">
        <f t="shared" si="5"/>
        <v>-60000000</v>
      </c>
      <c r="M16" s="398"/>
      <c r="N16" s="398">
        <f t="shared" si="6"/>
        <v>0</v>
      </c>
      <c r="O16" s="399"/>
    </row>
    <row r="17" spans="1:15" ht="40.5" customHeight="1">
      <c r="A17" s="408">
        <f t="shared" si="1"/>
        <v>13</v>
      </c>
      <c r="B17" s="400" t="s">
        <v>713</v>
      </c>
      <c r="C17" s="403" t="s">
        <v>86</v>
      </c>
      <c r="D17" s="401" t="s">
        <v>875</v>
      </c>
      <c r="E17" s="402">
        <f>60500000+428000000</f>
        <v>488500000</v>
      </c>
      <c r="F17" s="398">
        <f t="shared" si="0"/>
        <v>55000000</v>
      </c>
      <c r="G17" s="398">
        <f t="array" ref="G17">SUM(IF("331"&amp;C17=KHC&amp;KH,TH))</f>
        <v>60500000</v>
      </c>
      <c r="H17" s="398">
        <f t="array" ref="H17">SUM(IF("331"&amp;C17=KHN&amp;KH,TH))</f>
        <v>188900000</v>
      </c>
      <c r="I17" s="398">
        <f t="shared" si="2"/>
        <v>-128400000</v>
      </c>
      <c r="J17" s="398">
        <f t="shared" si="3"/>
        <v>488500000</v>
      </c>
      <c r="K17" s="398">
        <f t="shared" si="4"/>
        <v>188900000</v>
      </c>
      <c r="L17" s="398">
        <f t="shared" si="5"/>
        <v>299600000</v>
      </c>
      <c r="M17" s="398"/>
      <c r="N17" s="398">
        <f t="shared" si="6"/>
        <v>488500000</v>
      </c>
      <c r="O17" s="399"/>
    </row>
    <row r="18" spans="1:15" ht="40.5" customHeight="1">
      <c r="A18" s="408">
        <f t="shared" si="1"/>
        <v>14</v>
      </c>
      <c r="B18" s="400" t="s">
        <v>681</v>
      </c>
      <c r="C18" s="401" t="s">
        <v>109</v>
      </c>
      <c r="D18" s="401" t="s">
        <v>682</v>
      </c>
      <c r="E18" s="402">
        <v>200000000</v>
      </c>
      <c r="F18" s="398">
        <f t="shared" si="0"/>
        <v>181818182</v>
      </c>
      <c r="G18" s="398">
        <f t="array" ref="G18">SUM(IF("331"&amp;C18=KHC&amp;KH,TH))</f>
        <v>200000000</v>
      </c>
      <c r="H18" s="398">
        <f t="array" ref="H18">SUM(IF("331"&amp;C18=KHN&amp;KH,TH))</f>
        <v>150000000</v>
      </c>
      <c r="I18" s="398">
        <f t="shared" si="2"/>
        <v>50000000</v>
      </c>
      <c r="J18" s="398">
        <f>IF(E18&gt;G18,E18,G18)</f>
        <v>200000000</v>
      </c>
      <c r="K18" s="398">
        <f t="shared" si="4"/>
        <v>150000000</v>
      </c>
      <c r="L18" s="398">
        <f t="shared" si="5"/>
        <v>50000000</v>
      </c>
      <c r="M18" s="398"/>
      <c r="N18" s="398">
        <f t="shared" si="6"/>
        <v>200000000</v>
      </c>
      <c r="O18" s="399"/>
    </row>
    <row r="19" spans="1:15" ht="40.5" customHeight="1">
      <c r="A19" s="408">
        <f t="shared" si="1"/>
        <v>15</v>
      </c>
      <c r="B19" s="400" t="s">
        <v>401</v>
      </c>
      <c r="C19" s="401" t="s">
        <v>300</v>
      </c>
      <c r="D19" s="401" t="s">
        <v>873</v>
      </c>
      <c r="E19" s="402">
        <f>226999800+866000000</f>
        <v>1092999800</v>
      </c>
      <c r="F19" s="398">
        <f t="shared" si="0"/>
        <v>875917018</v>
      </c>
      <c r="G19" s="398">
        <f t="array" ref="G19">SUM(IF("331"&amp;C19=KHC&amp;KH,TH))</f>
        <v>963508720</v>
      </c>
      <c r="H19" s="398">
        <f t="array" ref="H19">SUM(IF("331"&amp;C19=KHN&amp;KH,TH))</f>
        <v>871216820</v>
      </c>
      <c r="I19" s="398">
        <f t="shared" si="2"/>
        <v>92291900</v>
      </c>
      <c r="J19" s="398">
        <f>G19</f>
        <v>963508720</v>
      </c>
      <c r="K19" s="398">
        <f t="shared" si="4"/>
        <v>871216820</v>
      </c>
      <c r="L19" s="398">
        <f t="shared" si="5"/>
        <v>92291900</v>
      </c>
      <c r="M19" s="398"/>
      <c r="N19" s="398">
        <f t="shared" si="6"/>
        <v>1092999800</v>
      </c>
      <c r="O19" s="399"/>
    </row>
    <row r="20" spans="1:15" ht="40.5" customHeight="1">
      <c r="A20" s="408">
        <f t="shared" si="1"/>
        <v>16</v>
      </c>
      <c r="B20" s="400" t="s">
        <v>700</v>
      </c>
      <c r="C20" s="401" t="s">
        <v>302</v>
      </c>
      <c r="D20" s="401" t="s">
        <v>701</v>
      </c>
      <c r="E20" s="402">
        <v>570000000</v>
      </c>
      <c r="F20" s="398">
        <f t="shared" si="0"/>
        <v>518181818</v>
      </c>
      <c r="G20" s="398">
        <f t="array" ref="G20">SUM(IF("331"&amp;C20=KHC&amp;KH,TH))</f>
        <v>570000000</v>
      </c>
      <c r="H20" s="398">
        <f t="array" ref="H20">SUM(IF("331"&amp;C20=KHN&amp;KH,TH))</f>
        <v>399000000</v>
      </c>
      <c r="I20" s="398">
        <f t="shared" si="2"/>
        <v>171000000</v>
      </c>
      <c r="J20" s="398">
        <f t="shared" si="3"/>
        <v>570000000</v>
      </c>
      <c r="K20" s="398">
        <f t="shared" si="4"/>
        <v>399000000</v>
      </c>
      <c r="L20" s="398">
        <f t="shared" si="5"/>
        <v>171000000</v>
      </c>
      <c r="M20" s="398"/>
      <c r="N20" s="398">
        <f t="shared" si="6"/>
        <v>570000000</v>
      </c>
      <c r="O20" s="399"/>
    </row>
    <row r="21" spans="1:15" ht="40.5" customHeight="1">
      <c r="A21" s="408">
        <f t="shared" si="1"/>
        <v>17</v>
      </c>
      <c r="B21" s="400" t="s">
        <v>711</v>
      </c>
      <c r="C21" s="401" t="s">
        <v>481</v>
      </c>
      <c r="D21" s="401" t="s">
        <v>712</v>
      </c>
      <c r="E21" s="402">
        <v>599632000</v>
      </c>
      <c r="F21" s="398">
        <f t="shared" si="0"/>
        <v>545120000</v>
      </c>
      <c r="G21" s="398">
        <f t="array" ref="G21">SUM(IF("331"&amp;C21=KHC&amp;KH,TH))</f>
        <v>599632000</v>
      </c>
      <c r="H21" s="398">
        <f t="array" ref="H21">SUM(IF("331"&amp;C21=KHN&amp;KH,TH))</f>
        <v>400000000</v>
      </c>
      <c r="I21" s="398">
        <f t="shared" si="2"/>
        <v>199632000</v>
      </c>
      <c r="J21" s="398">
        <f t="shared" si="3"/>
        <v>599632000</v>
      </c>
      <c r="K21" s="398">
        <f t="shared" si="4"/>
        <v>400000000</v>
      </c>
      <c r="L21" s="398">
        <f t="shared" si="5"/>
        <v>199632000</v>
      </c>
      <c r="M21" s="398"/>
      <c r="N21" s="398">
        <f t="shared" si="6"/>
        <v>599632000</v>
      </c>
      <c r="O21" s="399"/>
    </row>
    <row r="22" spans="1:15" ht="40.5" customHeight="1">
      <c r="A22" s="408">
        <f t="shared" si="1"/>
        <v>18</v>
      </c>
      <c r="B22" s="400" t="s">
        <v>683</v>
      </c>
      <c r="C22" s="401" t="s">
        <v>85</v>
      </c>
      <c r="D22" s="401" t="s">
        <v>684</v>
      </c>
      <c r="E22" s="402">
        <v>11322555140</v>
      </c>
      <c r="F22" s="398">
        <f t="shared" si="0"/>
        <v>7727272727</v>
      </c>
      <c r="G22" s="398">
        <f t="array" ref="G22">SUM(IF("331"&amp;C22=KHC&amp;KH,TH))</f>
        <v>8500000000</v>
      </c>
      <c r="H22" s="398">
        <f t="array" ref="H22">SUM(IF("331"&amp;C22=KHN&amp;KH,TH))</f>
        <v>8850000000</v>
      </c>
      <c r="I22" s="398">
        <f t="shared" si="2"/>
        <v>-350000000</v>
      </c>
      <c r="J22" s="398">
        <v>11322555140</v>
      </c>
      <c r="K22" s="398">
        <f>'TH - TT'!$I$125</f>
        <v>9058500000</v>
      </c>
      <c r="L22" s="398">
        <f t="shared" si="5"/>
        <v>2264055140</v>
      </c>
      <c r="M22" s="398"/>
      <c r="N22" s="398">
        <f t="shared" si="6"/>
        <v>11322555140</v>
      </c>
      <c r="O22" s="399"/>
    </row>
    <row r="23" spans="1:15" ht="40.5" customHeight="1">
      <c r="A23" s="408">
        <f t="shared" si="1"/>
        <v>19</v>
      </c>
      <c r="B23" s="400" t="s">
        <v>685</v>
      </c>
      <c r="C23" s="401" t="s">
        <v>111</v>
      </c>
      <c r="D23" s="401" t="s">
        <v>874</v>
      </c>
      <c r="E23" s="402">
        <f>2508700000+501400000</f>
        <v>3010100000</v>
      </c>
      <c r="F23" s="398">
        <f t="shared" si="0"/>
        <v>2736454546</v>
      </c>
      <c r="G23" s="398">
        <f t="array" ref="G23">SUM(IF("331"&amp;C23=KHC&amp;KH,TH))</f>
        <v>3010100000</v>
      </c>
      <c r="H23" s="398">
        <f t="array" ref="H23">SUM(IF("331"&amp;C23=KHN&amp;KH,TH))</f>
        <v>3010100000</v>
      </c>
      <c r="I23" s="398">
        <f t="shared" si="2"/>
        <v>0</v>
      </c>
      <c r="J23" s="398">
        <f>2248700000+76140000</f>
        <v>2324840000</v>
      </c>
      <c r="K23" s="398">
        <f>'TH - TT'!$I$140</f>
        <v>2212405000</v>
      </c>
      <c r="L23" s="398">
        <f t="shared" si="5"/>
        <v>112435000</v>
      </c>
      <c r="M23" s="398" t="s">
        <v>1065</v>
      </c>
      <c r="N23" s="398">
        <f t="shared" si="6"/>
        <v>3010100000</v>
      </c>
      <c r="O23" s="399"/>
    </row>
    <row r="24" spans="1:15" ht="40.5" customHeight="1">
      <c r="A24" s="416">
        <f t="shared" si="1"/>
        <v>20</v>
      </c>
      <c r="B24" s="400" t="s">
        <v>686</v>
      </c>
      <c r="C24" s="401" t="s">
        <v>138</v>
      </c>
      <c r="D24" s="401" t="s">
        <v>687</v>
      </c>
      <c r="E24" s="402">
        <v>3500000000</v>
      </c>
      <c r="F24" s="398">
        <f t="shared" si="0"/>
        <v>2000000000</v>
      </c>
      <c r="G24" s="398">
        <f t="array" ref="G24">SUM(IF("331"&amp;C24=KHC&amp;KH,TH))</f>
        <v>2200000000</v>
      </c>
      <c r="H24" s="398">
        <f t="array" ref="H24">SUM(IF("331"&amp;C24=KHN&amp;KH,TH))</f>
        <v>3200000000</v>
      </c>
      <c r="I24" s="398">
        <f t="shared" si="2"/>
        <v>-1000000000</v>
      </c>
      <c r="J24" s="398">
        <v>2910000000</v>
      </c>
      <c r="K24" s="398">
        <f>'TH - TT'!$I$151</f>
        <v>2500000000</v>
      </c>
      <c r="L24" s="398">
        <f t="shared" si="5"/>
        <v>410000000</v>
      </c>
      <c r="M24" s="398"/>
      <c r="N24" s="398">
        <f t="shared" si="6"/>
        <v>3500000000</v>
      </c>
      <c r="O24" s="399"/>
    </row>
    <row r="25" spans="1:15" ht="40.5" customHeight="1">
      <c r="A25" s="417">
        <f t="shared" si="1"/>
        <v>21</v>
      </c>
      <c r="B25" s="400" t="s">
        <v>397</v>
      </c>
      <c r="C25" s="401" t="s">
        <v>150</v>
      </c>
      <c r="D25" s="401" t="s">
        <v>688</v>
      </c>
      <c r="E25" s="402">
        <v>1858997690</v>
      </c>
      <c r="F25" s="398">
        <f t="shared" si="0"/>
        <v>1721370700</v>
      </c>
      <c r="G25" s="398">
        <f t="array" ref="G25">SUM(IF("331"&amp;C25=KHC&amp;KH,TH))</f>
        <v>1893507770</v>
      </c>
      <c r="H25" s="398">
        <f t="array" ref="H25">SUM(IF("331"&amp;C25=KHN&amp;KH,TH))</f>
        <v>360000000</v>
      </c>
      <c r="I25" s="398">
        <f t="shared" si="2"/>
        <v>1533507770</v>
      </c>
      <c r="J25" s="398">
        <v>1300000000</v>
      </c>
      <c r="K25" s="398">
        <f>'TH - TT'!I155</f>
        <v>360000000</v>
      </c>
      <c r="L25" s="398">
        <f t="shared" si="5"/>
        <v>940000000</v>
      </c>
      <c r="M25" s="398"/>
      <c r="N25" s="398">
        <f t="shared" si="6"/>
        <v>1858997690</v>
      </c>
      <c r="O25" s="399"/>
    </row>
    <row r="26" spans="1:15" ht="40.5" customHeight="1">
      <c r="A26" s="417">
        <f t="shared" si="1"/>
        <v>22</v>
      </c>
      <c r="B26" s="400" t="s">
        <v>406</v>
      </c>
      <c r="C26" s="403" t="s">
        <v>306</v>
      </c>
      <c r="D26" s="401" t="s">
        <v>689</v>
      </c>
      <c r="E26" s="402">
        <v>3652000000</v>
      </c>
      <c r="F26" s="398">
        <f t="shared" si="0"/>
        <v>0</v>
      </c>
      <c r="G26" s="398">
        <f t="array" ref="G26">SUM(IF("331"&amp;C26=KHC&amp;KH,TH))</f>
        <v>0</v>
      </c>
      <c r="H26" s="398">
        <f t="array" ref="H26">SUM(IF("331"&amp;C26=KHN&amp;KH,TH))</f>
        <v>2050000000</v>
      </c>
      <c r="I26" s="398">
        <f t="shared" si="2"/>
        <v>-2050000000</v>
      </c>
      <c r="J26" s="398">
        <v>2255000000</v>
      </c>
      <c r="K26" s="398">
        <f>'TH - TT'!I169</f>
        <v>1350000000</v>
      </c>
      <c r="L26" s="398">
        <f t="shared" si="5"/>
        <v>905000000</v>
      </c>
      <c r="M26" s="398"/>
      <c r="N26" s="398">
        <f t="shared" si="6"/>
        <v>3652000000</v>
      </c>
      <c r="O26" s="399"/>
    </row>
    <row r="27" spans="1:15" ht="40.5" customHeight="1">
      <c r="A27" s="417">
        <f t="shared" si="1"/>
        <v>23</v>
      </c>
      <c r="B27" s="400" t="s">
        <v>690</v>
      </c>
      <c r="C27" s="401" t="s">
        <v>151</v>
      </c>
      <c r="D27" s="401" t="s">
        <v>691</v>
      </c>
      <c r="E27" s="402">
        <v>700150000</v>
      </c>
      <c r="F27" s="398">
        <f t="shared" si="0"/>
        <v>636500000</v>
      </c>
      <c r="G27" s="398">
        <f t="array" ref="G27">SUM(IF("331"&amp;C27=KHC&amp;KH,TH))</f>
        <v>700150000</v>
      </c>
      <c r="H27" s="398">
        <f t="array" ref="H27">SUM(IF("331"&amp;C27=KHN&amp;KH,TH))</f>
        <v>700150000</v>
      </c>
      <c r="I27" s="398">
        <f t="shared" si="2"/>
        <v>0</v>
      </c>
      <c r="J27" s="398">
        <f>485650000+49500000+15000000-5200000</f>
        <v>544950000</v>
      </c>
      <c r="K27" s="398">
        <f>'TH - TT'!$I$176</f>
        <v>544950000</v>
      </c>
      <c r="L27" s="398">
        <f>J27-K27</f>
        <v>0</v>
      </c>
      <c r="M27" s="398"/>
      <c r="N27" s="398">
        <f t="shared" si="6"/>
        <v>700150000</v>
      </c>
      <c r="O27" s="399"/>
    </row>
    <row r="28" spans="1:15" ht="40.5" customHeight="1">
      <c r="A28" s="417">
        <f t="shared" si="1"/>
        <v>24</v>
      </c>
      <c r="B28" s="400" t="s">
        <v>692</v>
      </c>
      <c r="C28" s="401" t="s">
        <v>152</v>
      </c>
      <c r="D28" s="401" t="s">
        <v>693</v>
      </c>
      <c r="E28" s="402">
        <v>394100000</v>
      </c>
      <c r="F28" s="398">
        <f t="shared" si="0"/>
        <v>358272727</v>
      </c>
      <c r="G28" s="398">
        <f t="array" ref="G28">SUM(IF("331"&amp;C28=KHC&amp;KH,TH))</f>
        <v>394100000</v>
      </c>
      <c r="H28" s="398">
        <f t="array" ref="H28">SUM(IF("331"&amp;C28=KHN&amp;KH,TH))</f>
        <v>100000000</v>
      </c>
      <c r="I28" s="398">
        <f t="shared" si="2"/>
        <v>294100000</v>
      </c>
      <c r="J28" s="398">
        <v>298500000</v>
      </c>
      <c r="K28" s="398">
        <f>'TH - TT'!I182</f>
        <v>100000000</v>
      </c>
      <c r="L28" s="398">
        <f t="shared" si="5"/>
        <v>198500000</v>
      </c>
      <c r="M28" s="398"/>
      <c r="N28" s="398">
        <f t="shared" si="6"/>
        <v>394100000</v>
      </c>
      <c r="O28" s="399"/>
    </row>
    <row r="29" spans="1:15" ht="40.5" customHeight="1">
      <c r="A29" s="417">
        <f t="shared" si="1"/>
        <v>25</v>
      </c>
      <c r="B29" s="400" t="s">
        <v>694</v>
      </c>
      <c r="C29" s="401" t="s">
        <v>172</v>
      </c>
      <c r="D29" s="401" t="s">
        <v>695</v>
      </c>
      <c r="E29" s="402">
        <f>898744036+627830692</f>
        <v>1526574728</v>
      </c>
      <c r="F29" s="398">
        <f t="shared" si="0"/>
        <v>809090909</v>
      </c>
      <c r="G29" s="398">
        <f t="array" ref="G29">SUM(IF("331"&amp;C29=KHC&amp;KH,TH))</f>
        <v>890000000</v>
      </c>
      <c r="H29" s="398">
        <f t="array" ref="H29">SUM(IF("331"&amp;C29=KHN&amp;KH,TH))</f>
        <v>1250000000</v>
      </c>
      <c r="I29" s="398">
        <f t="shared" si="2"/>
        <v>-360000000</v>
      </c>
      <c r="J29" s="398">
        <v>1201326457</v>
      </c>
      <c r="K29" s="398">
        <f>'TH - TT'!I195</f>
        <v>950000000</v>
      </c>
      <c r="L29" s="398">
        <f t="shared" si="5"/>
        <v>251326457</v>
      </c>
      <c r="M29" s="398"/>
      <c r="N29" s="398">
        <f t="shared" si="6"/>
        <v>1526574728</v>
      </c>
      <c r="O29" s="399"/>
    </row>
    <row r="30" spans="1:15" ht="40.5" customHeight="1">
      <c r="A30" s="417">
        <f t="shared" si="1"/>
        <v>26</v>
      </c>
      <c r="B30" s="400" t="s">
        <v>696</v>
      </c>
      <c r="C30" s="401" t="s">
        <v>190</v>
      </c>
      <c r="D30" s="401" t="s">
        <v>697</v>
      </c>
      <c r="E30" s="402">
        <v>893000000</v>
      </c>
      <c r="F30" s="398">
        <f t="shared" si="0"/>
        <v>1101009166</v>
      </c>
      <c r="G30" s="398">
        <f t="array" ref="G30">SUM(IF("331"&amp;C30=KHC&amp;KH,TH))</f>
        <v>1211110079</v>
      </c>
      <c r="H30" s="398">
        <f t="array" ref="H30">SUM(IF("331"&amp;C30=KHN&amp;KH,TH))</f>
        <v>1173128513</v>
      </c>
      <c r="I30" s="398">
        <f t="shared" si="2"/>
        <v>37981566</v>
      </c>
      <c r="J30" s="398">
        <f>'TH - TT'!H207</f>
        <v>1111107013</v>
      </c>
      <c r="K30" s="398">
        <f>'TH - TT'!I207</f>
        <v>1073128513</v>
      </c>
      <c r="L30" s="398">
        <f t="shared" si="5"/>
        <v>37978500</v>
      </c>
      <c r="M30" s="398"/>
      <c r="N30" s="398">
        <f t="shared" si="6"/>
        <v>1101009166</v>
      </c>
      <c r="O30" s="399"/>
    </row>
    <row r="31" spans="1:15" ht="40.5" customHeight="1">
      <c r="A31" s="417">
        <f t="shared" si="1"/>
        <v>27</v>
      </c>
      <c r="B31" s="400" t="s">
        <v>698</v>
      </c>
      <c r="C31" s="401" t="s">
        <v>269</v>
      </c>
      <c r="D31" s="401" t="s">
        <v>699</v>
      </c>
      <c r="E31" s="402">
        <v>1489950000</v>
      </c>
      <c r="F31" s="398">
        <f t="shared" si="0"/>
        <v>0</v>
      </c>
      <c r="G31" s="398">
        <f t="array" ref="G31">SUM(IF("331"&amp;C31=KHC&amp;KH,TH))</f>
        <v>0</v>
      </c>
      <c r="H31" s="398">
        <f t="array" ref="H31">SUM(IF("331"&amp;C31=KHN&amp;KH,TH))</f>
        <v>1600000000</v>
      </c>
      <c r="I31" s="398">
        <f t="shared" si="2"/>
        <v>-1600000000</v>
      </c>
      <c r="J31" s="398">
        <v>868450000</v>
      </c>
      <c r="K31" s="398">
        <f>'TH - TT'!I217</f>
        <v>800000000</v>
      </c>
      <c r="L31" s="398">
        <f t="shared" si="5"/>
        <v>68450000</v>
      </c>
      <c r="M31" s="398"/>
      <c r="N31" s="398">
        <f t="shared" si="6"/>
        <v>1489950000</v>
      </c>
      <c r="O31" s="399"/>
    </row>
    <row r="32" spans="1:15" ht="40.5" customHeight="1">
      <c r="A32" s="417">
        <f t="shared" si="1"/>
        <v>28</v>
      </c>
      <c r="B32" s="400" t="s">
        <v>706</v>
      </c>
      <c r="C32" s="401" t="s">
        <v>407</v>
      </c>
      <c r="D32" s="401" t="s">
        <v>707</v>
      </c>
      <c r="E32" s="402">
        <v>282530000</v>
      </c>
      <c r="F32" s="398">
        <f t="shared" si="0"/>
        <v>0</v>
      </c>
      <c r="G32" s="398">
        <f t="array" ref="G32">SUM(IF("331"&amp;C32=KHC&amp;KH,TH))</f>
        <v>0</v>
      </c>
      <c r="H32" s="398">
        <f t="array" ref="H32">SUM(IF("331"&amp;C32=KHN&amp;KH,TH))</f>
        <v>300000000</v>
      </c>
      <c r="I32" s="398">
        <f t="shared" si="2"/>
        <v>-300000000</v>
      </c>
      <c r="J32" s="398">
        <v>314116216</v>
      </c>
      <c r="K32" s="398">
        <f>'TH - TT'!I228</f>
        <v>310000000</v>
      </c>
      <c r="L32" s="398">
        <f t="shared" si="5"/>
        <v>4116216</v>
      </c>
      <c r="M32" s="398"/>
      <c r="N32" s="398">
        <f>IF(E32&gt;F32,E32,F32)</f>
        <v>282530000</v>
      </c>
      <c r="O32" s="399"/>
    </row>
    <row r="33" spans="1:15" ht="40.5" customHeight="1">
      <c r="A33" s="396">
        <f t="shared" si="1"/>
        <v>29</v>
      </c>
      <c r="B33" s="400"/>
      <c r="C33" s="401" t="s">
        <v>602</v>
      </c>
      <c r="D33" s="401" t="s">
        <v>599</v>
      </c>
      <c r="E33" s="402"/>
      <c r="F33" s="398">
        <f t="shared" si="0"/>
        <v>68181818</v>
      </c>
      <c r="G33" s="398">
        <f t="array" ref="G33">SUM(IF("331"&amp;C33=KHC&amp;KH,TH))</f>
        <v>75000000</v>
      </c>
      <c r="H33" s="398">
        <f t="array" ref="H33">SUM(IF("331"&amp;C33=KHN&amp;KH,TH))</f>
        <v>75000000</v>
      </c>
      <c r="I33" s="398">
        <f t="shared" si="2"/>
        <v>0</v>
      </c>
      <c r="J33" s="398">
        <f t="shared" ref="J33:J35" si="7">IF(E33&gt;G33,E33,G33)</f>
        <v>75000000</v>
      </c>
      <c r="K33" s="398">
        <f>H33</f>
        <v>75000000</v>
      </c>
      <c r="L33" s="398">
        <f t="shared" si="5"/>
        <v>0</v>
      </c>
      <c r="M33" s="398"/>
      <c r="N33" s="398">
        <f t="shared" si="6"/>
        <v>68181818</v>
      </c>
      <c r="O33" s="399"/>
    </row>
    <row r="34" spans="1:15" ht="40.5" customHeight="1">
      <c r="A34" s="396">
        <f t="shared" si="1"/>
        <v>30</v>
      </c>
      <c r="B34" s="400"/>
      <c r="C34" s="401" t="s">
        <v>632</v>
      </c>
      <c r="D34" s="401" t="s">
        <v>878</v>
      </c>
      <c r="E34" s="402"/>
      <c r="F34" s="398">
        <f t="shared" si="0"/>
        <v>20382000</v>
      </c>
      <c r="G34" s="398">
        <f t="array" ref="G34">SUM(IF("331"&amp;C34=KHC&amp;KH,TH))</f>
        <v>20382000</v>
      </c>
      <c r="H34" s="398">
        <f t="array" ref="H34">SUM(IF("331"&amp;C34=KHN&amp;KH,TH))</f>
        <v>20382000</v>
      </c>
      <c r="I34" s="398">
        <f t="shared" si="2"/>
        <v>0</v>
      </c>
      <c r="J34" s="398">
        <f t="shared" si="7"/>
        <v>20382000</v>
      </c>
      <c r="K34" s="398">
        <f t="shared" ref="K34:K35" si="8">H34</f>
        <v>20382000</v>
      </c>
      <c r="L34" s="398">
        <f t="shared" si="5"/>
        <v>0</v>
      </c>
      <c r="M34" s="398"/>
      <c r="N34" s="398">
        <f t="shared" si="6"/>
        <v>20382000</v>
      </c>
      <c r="O34" s="399"/>
    </row>
    <row r="35" spans="1:15" ht="40.5" customHeight="1">
      <c r="A35" s="396">
        <f t="shared" si="1"/>
        <v>31</v>
      </c>
      <c r="B35" s="400"/>
      <c r="C35" s="401" t="s">
        <v>791</v>
      </c>
      <c r="D35" s="401" t="s">
        <v>879</v>
      </c>
      <c r="E35" s="402"/>
      <c r="F35" s="398">
        <f t="shared" si="0"/>
        <v>15221000</v>
      </c>
      <c r="G35" s="398">
        <f t="array" ref="G35">SUM(IF("331"&amp;C35=KHC&amp;KH,TH))</f>
        <v>16743100</v>
      </c>
      <c r="H35" s="398">
        <f t="array" ref="H35">SUM(IF("331"&amp;C35=KHN&amp;KH,TH))</f>
        <v>16743100</v>
      </c>
      <c r="I35" s="398">
        <f t="shared" si="2"/>
        <v>0</v>
      </c>
      <c r="J35" s="398">
        <f t="shared" si="7"/>
        <v>16743100</v>
      </c>
      <c r="K35" s="398">
        <f t="shared" si="8"/>
        <v>16743100</v>
      </c>
      <c r="L35" s="398">
        <f t="shared" si="5"/>
        <v>0</v>
      </c>
      <c r="M35" s="398"/>
      <c r="N35" s="398">
        <f t="shared" si="6"/>
        <v>15221000</v>
      </c>
      <c r="O35" s="399"/>
    </row>
    <row r="36" spans="1:15" ht="40.5" customHeight="1">
      <c r="A36" s="396">
        <f t="shared" si="1"/>
        <v>32</v>
      </c>
      <c r="B36" s="404"/>
      <c r="C36" s="401" t="s">
        <v>881</v>
      </c>
      <c r="D36" s="401"/>
      <c r="E36" s="402"/>
      <c r="F36" s="398">
        <f>SUMIFS(TH,KHN,"2412",KHC,"1111")</f>
        <v>958204771</v>
      </c>
      <c r="G36" s="398">
        <f>SUMIFS(TH,KHN,"2412",KHC,"1111")</f>
        <v>958204771</v>
      </c>
      <c r="H36" s="398">
        <f>$G$36</f>
        <v>958204771</v>
      </c>
      <c r="I36" s="398"/>
      <c r="J36" s="398">
        <f t="shared" ref="J36:K36" si="9">$G$36</f>
        <v>958204771</v>
      </c>
      <c r="K36" s="398">
        <f t="shared" si="9"/>
        <v>958204771</v>
      </c>
      <c r="L36" s="398"/>
      <c r="M36" s="398"/>
      <c r="N36" s="398">
        <f t="shared" si="6"/>
        <v>958204771</v>
      </c>
      <c r="O36" s="399"/>
    </row>
    <row r="37" spans="1:15" ht="40.5" customHeight="1">
      <c r="A37" s="396">
        <f t="shared" si="1"/>
        <v>33</v>
      </c>
      <c r="B37" s="404" t="s">
        <v>240</v>
      </c>
      <c r="C37" s="401" t="s">
        <v>880</v>
      </c>
      <c r="D37" s="401"/>
      <c r="E37" s="402"/>
      <c r="F37" s="398">
        <f t="array" ref="F37">SUM(IF(B37=KHN,TH))</f>
        <v>1532829404</v>
      </c>
      <c r="G37" s="398">
        <f t="array" ref="G37">SUM(IF(B37=KHN,TH))</f>
        <v>1532829404</v>
      </c>
      <c r="H37" s="398">
        <f>$G$37</f>
        <v>1532829404</v>
      </c>
      <c r="I37" s="398"/>
      <c r="J37" s="398">
        <f t="shared" ref="J37:K37" si="10">$G$37</f>
        <v>1532829404</v>
      </c>
      <c r="K37" s="398">
        <f t="shared" si="10"/>
        <v>1532829404</v>
      </c>
      <c r="L37" s="398"/>
      <c r="M37" s="398"/>
      <c r="N37" s="398">
        <f t="shared" si="6"/>
        <v>1532829404</v>
      </c>
      <c r="O37" s="399"/>
    </row>
    <row r="38" spans="1:15" ht="30" customHeight="1">
      <c r="A38" s="405"/>
      <c r="B38" s="400"/>
      <c r="C38" s="401"/>
      <c r="D38" s="401"/>
      <c r="E38" s="402"/>
      <c r="F38" s="402"/>
      <c r="G38" s="402"/>
      <c r="H38" s="398"/>
      <c r="I38" s="398"/>
      <c r="J38" s="398"/>
      <c r="K38" s="398"/>
      <c r="L38" s="398"/>
      <c r="M38" s="398"/>
      <c r="N38" s="398"/>
    </row>
    <row r="39" spans="1:15" ht="30" customHeight="1">
      <c r="A39" s="436" t="s">
        <v>710</v>
      </c>
      <c r="B39" s="436"/>
      <c r="C39" s="436"/>
      <c r="D39" s="436"/>
      <c r="E39" s="406">
        <f t="shared" ref="E39:L39" si="11">SUM(E5:E38)</f>
        <v>33645680423</v>
      </c>
      <c r="F39" s="406">
        <f t="shared" si="11"/>
        <v>23946959081</v>
      </c>
      <c r="G39" s="406">
        <f t="shared" si="11"/>
        <v>26287197634</v>
      </c>
      <c r="H39" s="406">
        <f t="shared" si="11"/>
        <v>29757084398</v>
      </c>
      <c r="I39" s="406">
        <f t="shared" si="11"/>
        <v>-3469886764</v>
      </c>
      <c r="J39" s="406">
        <f t="shared" si="11"/>
        <v>32367074611</v>
      </c>
      <c r="K39" s="406">
        <f t="shared" si="11"/>
        <v>26422689398</v>
      </c>
      <c r="L39" s="406">
        <f t="shared" si="11"/>
        <v>5944385213</v>
      </c>
      <c r="M39" s="406"/>
      <c r="N39" s="406">
        <f>SUM(N5:N38)</f>
        <v>36636758091</v>
      </c>
    </row>
    <row r="40" spans="1:15" ht="30" customHeight="1">
      <c r="F40" s="407">
        <f>CDPS!$E$18</f>
        <v>23946959081</v>
      </c>
      <c r="G40" s="407"/>
    </row>
    <row r="41" spans="1:15" ht="30" customHeight="1">
      <c r="F41" s="399">
        <f>F39-F40</f>
        <v>0</v>
      </c>
      <c r="G41" s="399"/>
    </row>
  </sheetData>
  <mergeCells count="16">
    <mergeCell ref="A39:D39"/>
    <mergeCell ref="E3:E4"/>
    <mergeCell ref="N2:N4"/>
    <mergeCell ref="H3:H4"/>
    <mergeCell ref="A2:A4"/>
    <mergeCell ref="F3:G3"/>
    <mergeCell ref="B2:B4"/>
    <mergeCell ref="C2:C4"/>
    <mergeCell ref="D2:D4"/>
    <mergeCell ref="J3:J4"/>
    <mergeCell ref="K3:K4"/>
    <mergeCell ref="E2:I2"/>
    <mergeCell ref="I3:I4"/>
    <mergeCell ref="L3:L4"/>
    <mergeCell ref="J2:M2"/>
    <mergeCell ref="M3:M4"/>
  </mergeCells>
  <hyperlinks>
    <hyperlink ref="A5" location="'TH - TT'!A5" display="'TH - TT'!A5"/>
    <hyperlink ref="A6" location="'TH - TT'!A18" display="'TH - TT'!A18"/>
    <hyperlink ref="A7" location="'TH - TT'!A21" display="'TH - TT'!A21"/>
    <hyperlink ref="A8" location="'TH - TT'!A24" display="'TH - TT'!A24"/>
    <hyperlink ref="A9" location="'TH - TT'!A27" display="'TH - TT'!A27"/>
    <hyperlink ref="A10" location="'TH - TT'!A30" display="'TH - TT'!A30"/>
    <hyperlink ref="A11" location="'TH - TT'!A33" display="'TH - TT'!A33"/>
    <hyperlink ref="A12" location="'TH - TT'!A36" display="'TH - TT'!A36"/>
    <hyperlink ref="A13" location="'TH - TT'!A45" display="'TH - TT'!A45"/>
    <hyperlink ref="A14" location="'TH - TT'!A54" display="'TH - TT'!A54"/>
    <hyperlink ref="A15" location="'TH - TT'!A59" display="'TH - TT'!A59"/>
    <hyperlink ref="A16" location="'TH - TT'!A62" display="'TH - TT'!A62"/>
    <hyperlink ref="A17" location="'TH - TT'!A66" display="'TH - TT'!A66"/>
    <hyperlink ref="A18" location="'TH - TT'!A74" display="'TH - TT'!A74"/>
    <hyperlink ref="A19" location="'TH - TT'!A80" display="'TH - TT'!A80"/>
    <hyperlink ref="A20" location="'TH - TT'!A91" display="'TH - TT'!A91"/>
    <hyperlink ref="A21" location="'TH - TT'!A96" display="'TH - TT'!A96"/>
    <hyperlink ref="A22" location="'TH - TT'!A100" display="'TH - TT'!A100"/>
    <hyperlink ref="A23" location="'TH - TT'!A127" display="'TH - TT'!A127"/>
    <hyperlink ref="A24" location="'TH - TT'!A142" display="'TH - TT'!A142"/>
    <hyperlink ref="A25" location="'TH - TT'!A155" display="'TH - TT'!A155"/>
    <hyperlink ref="A26" location="'TH - TT'!A163" display="'TH - TT'!A163"/>
    <hyperlink ref="A27" location="'TH - TT'!A174" display="'TH - TT'!A174"/>
    <hyperlink ref="A28" location="'TH - TT'!A180" display="'TH - TT'!A180"/>
    <hyperlink ref="A29" location="'TH - TT'!A184" display="'TH - TT'!A184"/>
    <hyperlink ref="A30" location="'TH - TT'!A198" display="'TH - TT'!A198"/>
    <hyperlink ref="A31" location="'TH - TT'!A210" display="'TH - TT'!A210"/>
    <hyperlink ref="A32" location="'TH - TT'!A220" display="'TH - TT'!A220"/>
  </hyperlinks>
  <pageMargins left="0.17" right="0.13" top="0.24" bottom="0.16" header="0.3" footer="0.16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5"/>
  </sheetPr>
  <dimension ref="A1:M245"/>
  <sheetViews>
    <sheetView workbookViewId="0">
      <pane xSplit="8" ySplit="4" topLeftCell="I168" activePane="bottomRight" state="frozen"/>
      <selection pane="topRight" activeCell="G1" sqref="G1"/>
      <selection pane="bottomLeft" activeCell="A5" sqref="A5"/>
      <selection pane="bottomRight" activeCell="H176" sqref="H176"/>
    </sheetView>
  </sheetViews>
  <sheetFormatPr defaultColWidth="9.140625" defaultRowHeight="12.75"/>
  <cols>
    <col min="1" max="1" width="4.28515625" style="148" customWidth="1"/>
    <col min="2" max="2" width="15.140625" style="175" customWidth="1"/>
    <col min="3" max="3" width="23" style="148" customWidth="1"/>
    <col min="4" max="4" width="8.140625" style="175" customWidth="1"/>
    <col min="5" max="9" width="14.140625" style="197" customWidth="1"/>
    <col min="10" max="10" width="10.5703125" style="148" customWidth="1"/>
    <col min="11" max="11" width="13.85546875" style="148" customWidth="1"/>
    <col min="12" max="12" width="14.85546875" style="197" customWidth="1"/>
    <col min="13" max="13" width="13.85546875" style="175" customWidth="1"/>
    <col min="14" max="14" width="13.5703125" style="175" customWidth="1"/>
    <col min="15" max="15" width="12.5703125" style="175" bestFit="1" customWidth="1"/>
    <col min="16" max="16384" width="9.140625" style="175"/>
  </cols>
  <sheetData>
    <row r="1" spans="1:12" s="144" customFormat="1" ht="20.25">
      <c r="A1" s="474" t="str">
        <f ca="1">"CHI PHÍ XÂY DỰNG TRÀ VINH   " &amp; TEXT(NOW(),"dd/MM/yyyy")</f>
        <v>CHI PHÍ XÂY DỰNG TRÀ VINH   12/01/2016</v>
      </c>
      <c r="B1" s="474"/>
      <c r="C1" s="474"/>
      <c r="D1" s="474"/>
      <c r="E1" s="474"/>
      <c r="F1" s="474"/>
      <c r="G1" s="474"/>
      <c r="H1" s="474"/>
      <c r="I1" s="474"/>
      <c r="J1" s="474"/>
      <c r="K1" s="474"/>
      <c r="L1" s="305"/>
    </row>
    <row r="3" spans="1:12" s="145" customFormat="1" ht="19.5" customHeight="1">
      <c r="A3" s="475" t="s">
        <v>79</v>
      </c>
      <c r="B3" s="475" t="s">
        <v>360</v>
      </c>
      <c r="C3" s="475" t="s">
        <v>361</v>
      </c>
      <c r="D3" s="475" t="s">
        <v>362</v>
      </c>
      <c r="E3" s="476" t="s">
        <v>363</v>
      </c>
      <c r="F3" s="477"/>
      <c r="G3" s="478"/>
      <c r="H3" s="476" t="s">
        <v>364</v>
      </c>
      <c r="I3" s="478"/>
      <c r="J3" s="479" t="s">
        <v>365</v>
      </c>
      <c r="K3" s="475" t="s">
        <v>366</v>
      </c>
      <c r="L3" s="199"/>
    </row>
    <row r="4" spans="1:12" s="148" customFormat="1" ht="19.5" customHeight="1">
      <c r="A4" s="475"/>
      <c r="B4" s="475"/>
      <c r="C4" s="475"/>
      <c r="D4" s="475"/>
      <c r="E4" s="147" t="s">
        <v>430</v>
      </c>
      <c r="F4" s="146" t="s">
        <v>367</v>
      </c>
      <c r="G4" s="147" t="s">
        <v>368</v>
      </c>
      <c r="H4" s="146" t="s">
        <v>367</v>
      </c>
      <c r="I4" s="147" t="s">
        <v>368</v>
      </c>
      <c r="J4" s="480"/>
      <c r="K4" s="475"/>
      <c r="L4" s="306"/>
    </row>
    <row r="5" spans="1:12" s="148" customFormat="1" ht="19.5" customHeight="1">
      <c r="A5" s="458">
        <v>1</v>
      </c>
      <c r="B5" s="455" t="s">
        <v>83</v>
      </c>
      <c r="C5" s="149" t="s">
        <v>369</v>
      </c>
      <c r="D5" s="150"/>
      <c r="E5" s="151"/>
      <c r="F5" s="151"/>
      <c r="G5" s="151"/>
      <c r="H5" s="151"/>
      <c r="I5" s="151"/>
      <c r="J5" s="150"/>
      <c r="K5" s="152"/>
      <c r="L5" s="306"/>
    </row>
    <row r="6" spans="1:12" s="148" customFormat="1" ht="19.5" customHeight="1">
      <c r="A6" s="458"/>
      <c r="B6" s="456"/>
      <c r="C6" s="149" t="s">
        <v>370</v>
      </c>
      <c r="D6" s="150"/>
      <c r="E6" s="151"/>
      <c r="F6" s="151">
        <f>G6</f>
        <v>44880000</v>
      </c>
      <c r="G6" s="151">
        <v>44880000</v>
      </c>
      <c r="H6" s="151"/>
      <c r="I6" s="151">
        <v>44880000</v>
      </c>
      <c r="J6" s="150">
        <v>40091</v>
      </c>
      <c r="K6" s="152" t="s">
        <v>371</v>
      </c>
      <c r="L6" s="306"/>
    </row>
    <row r="7" spans="1:12" s="153" customFormat="1" ht="17.25" customHeight="1">
      <c r="A7" s="458"/>
      <c r="B7" s="456"/>
      <c r="C7" s="149" t="s">
        <v>372</v>
      </c>
      <c r="D7" s="150">
        <v>40623</v>
      </c>
      <c r="E7" s="151">
        <v>32288666</v>
      </c>
      <c r="F7" s="151">
        <v>32288666</v>
      </c>
      <c r="G7" s="151">
        <v>32288666</v>
      </c>
      <c r="H7" s="151">
        <v>32288666</v>
      </c>
      <c r="I7" s="151">
        <v>32288666</v>
      </c>
      <c r="J7" s="150">
        <v>40623</v>
      </c>
      <c r="K7" s="152" t="s">
        <v>373</v>
      </c>
      <c r="L7" s="307"/>
    </row>
    <row r="8" spans="1:12" s="153" customFormat="1" ht="17.25" customHeight="1">
      <c r="A8" s="458"/>
      <c r="B8" s="456"/>
      <c r="C8" s="149" t="s">
        <v>374</v>
      </c>
      <c r="D8" s="150">
        <v>40875</v>
      </c>
      <c r="E8" s="151">
        <v>29920000</v>
      </c>
      <c r="F8" s="151">
        <v>29920000</v>
      </c>
      <c r="G8" s="151">
        <v>29920000</v>
      </c>
      <c r="H8" s="151">
        <v>29920000</v>
      </c>
      <c r="I8" s="151">
        <v>29920000</v>
      </c>
      <c r="J8" s="150">
        <v>40872</v>
      </c>
      <c r="K8" s="152" t="s">
        <v>373</v>
      </c>
      <c r="L8" s="307"/>
    </row>
    <row r="9" spans="1:12" s="153" customFormat="1" ht="17.25" customHeight="1">
      <c r="A9" s="458"/>
      <c r="B9" s="456"/>
      <c r="C9" s="149" t="s">
        <v>375</v>
      </c>
      <c r="D9" s="150"/>
      <c r="E9" s="151"/>
      <c r="F9" s="151">
        <v>29920000</v>
      </c>
      <c r="G9" s="151">
        <v>29920000</v>
      </c>
      <c r="H9" s="151"/>
      <c r="I9" s="151">
        <v>29920000</v>
      </c>
      <c r="J9" s="150">
        <v>41193</v>
      </c>
      <c r="K9" s="152" t="s">
        <v>373</v>
      </c>
      <c r="L9" s="307"/>
    </row>
    <row r="10" spans="1:12" s="153" customFormat="1" ht="17.25" customHeight="1">
      <c r="A10" s="458"/>
      <c r="B10" s="456"/>
      <c r="C10" s="149" t="s">
        <v>376</v>
      </c>
      <c r="D10" s="150">
        <v>41653</v>
      </c>
      <c r="E10" s="151">
        <v>29920000</v>
      </c>
      <c r="F10" s="151">
        <v>29920000</v>
      </c>
      <c r="G10" s="151">
        <v>29920000</v>
      </c>
      <c r="H10" s="151">
        <v>29920000</v>
      </c>
      <c r="I10" s="151">
        <v>29920000</v>
      </c>
      <c r="J10" s="150">
        <v>41641</v>
      </c>
      <c r="K10" s="152" t="s">
        <v>373</v>
      </c>
      <c r="L10" s="307"/>
    </row>
    <row r="11" spans="1:12" s="153" customFormat="1" ht="17.25" customHeight="1">
      <c r="A11" s="458"/>
      <c r="B11" s="456"/>
      <c r="C11" s="149" t="s">
        <v>377</v>
      </c>
      <c r="D11" s="150">
        <v>41785</v>
      </c>
      <c r="E11" s="151">
        <v>36432000</v>
      </c>
      <c r="F11" s="151">
        <v>36432000</v>
      </c>
      <c r="G11" s="151">
        <v>36432000</v>
      </c>
      <c r="H11" s="151">
        <v>36432000</v>
      </c>
      <c r="I11" s="151">
        <v>36432000</v>
      </c>
      <c r="J11" s="150">
        <v>41780</v>
      </c>
      <c r="K11" s="152" t="s">
        <v>373</v>
      </c>
      <c r="L11" s="307"/>
    </row>
    <row r="12" spans="1:12" s="153" customFormat="1" ht="17.25" customHeight="1">
      <c r="A12" s="458"/>
      <c r="B12" s="456"/>
      <c r="C12" s="149" t="s">
        <v>378</v>
      </c>
      <c r="D12" s="150">
        <v>41934</v>
      </c>
      <c r="E12" s="151">
        <v>34408000</v>
      </c>
      <c r="F12" s="151">
        <v>34408000</v>
      </c>
      <c r="G12" s="151">
        <v>34408000</v>
      </c>
      <c r="H12" s="151">
        <v>34408000</v>
      </c>
      <c r="I12" s="151">
        <v>34408000</v>
      </c>
      <c r="J12" s="150">
        <v>41918</v>
      </c>
      <c r="K12" s="152" t="s">
        <v>373</v>
      </c>
      <c r="L12" s="307"/>
    </row>
    <row r="13" spans="1:12" s="153" customFormat="1" ht="17.25" customHeight="1">
      <c r="A13" s="458"/>
      <c r="B13" s="456"/>
      <c r="C13" s="149" t="s">
        <v>379</v>
      </c>
      <c r="D13" s="150">
        <v>42152</v>
      </c>
      <c r="E13" s="151">
        <v>36432000</v>
      </c>
      <c r="F13" s="151">
        <v>36432000</v>
      </c>
      <c r="G13" s="151">
        <v>36432000</v>
      </c>
      <c r="H13" s="151">
        <v>36432000</v>
      </c>
      <c r="I13" s="151">
        <v>36432000</v>
      </c>
      <c r="J13" s="150">
        <v>42153</v>
      </c>
      <c r="K13" s="152" t="s">
        <v>373</v>
      </c>
      <c r="L13" s="307"/>
    </row>
    <row r="14" spans="1:12" s="153" customFormat="1" ht="17.25" customHeight="1">
      <c r="A14" s="458"/>
      <c r="B14" s="456"/>
      <c r="C14" s="154"/>
      <c r="D14" s="155"/>
      <c r="E14" s="156"/>
      <c r="F14" s="156"/>
      <c r="G14" s="151"/>
      <c r="H14" s="156"/>
      <c r="I14" s="156"/>
      <c r="J14" s="155"/>
      <c r="K14" s="227"/>
      <c r="L14" s="307"/>
    </row>
    <row r="15" spans="1:12" s="153" customFormat="1" ht="17.25" customHeight="1">
      <c r="A15" s="458"/>
      <c r="B15" s="456"/>
      <c r="C15" s="154"/>
      <c r="D15" s="155"/>
      <c r="E15" s="156"/>
      <c r="F15" s="156"/>
      <c r="G15" s="151"/>
      <c r="H15" s="156"/>
      <c r="I15" s="156"/>
      <c r="J15" s="155"/>
      <c r="K15" s="157"/>
      <c r="L15" s="307"/>
    </row>
    <row r="16" spans="1:12" s="161" customFormat="1" ht="17.25" customHeight="1">
      <c r="A16" s="458"/>
      <c r="B16" s="456"/>
      <c r="C16" s="451" t="s">
        <v>94</v>
      </c>
      <c r="D16" s="452"/>
      <c r="E16" s="158">
        <f>SUM(E5:E15)</f>
        <v>199400666</v>
      </c>
      <c r="F16" s="158">
        <f>SUM(F5:F15)</f>
        <v>274200666</v>
      </c>
      <c r="G16" s="158">
        <f>SUM(G5:G15)</f>
        <v>274200666</v>
      </c>
      <c r="H16" s="158">
        <f>SUM(H5:H15)</f>
        <v>199400666</v>
      </c>
      <c r="I16" s="158">
        <f>SUM(I5:I15)</f>
        <v>274200666</v>
      </c>
      <c r="J16" s="159"/>
      <c r="K16" s="160" t="s">
        <v>42</v>
      </c>
      <c r="L16" s="304"/>
    </row>
    <row r="17" spans="1:12" s="161" customFormat="1" ht="17.25" customHeight="1">
      <c r="A17" s="458"/>
      <c r="B17" s="457"/>
      <c r="C17" s="451" t="s">
        <v>380</v>
      </c>
      <c r="D17" s="452"/>
      <c r="E17" s="162"/>
      <c r="F17" s="162"/>
      <c r="G17" s="163">
        <f>E16-G16</f>
        <v>-74800000</v>
      </c>
      <c r="H17" s="162"/>
      <c r="I17" s="163">
        <f>H16-I16</f>
        <v>-74800000</v>
      </c>
      <c r="J17" s="159"/>
      <c r="K17" s="160"/>
      <c r="L17" s="304"/>
    </row>
    <row r="18" spans="1:12" s="153" customFormat="1" ht="17.25" customHeight="1">
      <c r="A18" s="458">
        <v>2</v>
      </c>
      <c r="B18" s="458" t="s">
        <v>108</v>
      </c>
      <c r="C18" s="152" t="s">
        <v>382</v>
      </c>
      <c r="D18" s="150">
        <v>41718</v>
      </c>
      <c r="E18" s="167">
        <v>80000000</v>
      </c>
      <c r="F18" s="218">
        <v>80000000</v>
      </c>
      <c r="G18" s="164">
        <v>80000000</v>
      </c>
      <c r="H18" s="167">
        <v>80000000</v>
      </c>
      <c r="I18" s="164">
        <v>80000000</v>
      </c>
      <c r="J18" s="168">
        <v>41871</v>
      </c>
      <c r="K18" s="157" t="s">
        <v>373</v>
      </c>
      <c r="L18" s="307"/>
    </row>
    <row r="19" spans="1:12" s="161" customFormat="1" ht="17.25" customHeight="1">
      <c r="A19" s="458"/>
      <c r="B19" s="458"/>
      <c r="C19" s="451" t="s">
        <v>94</v>
      </c>
      <c r="D19" s="452"/>
      <c r="E19" s="158">
        <f>SUM(E18:E18)</f>
        <v>80000000</v>
      </c>
      <c r="F19" s="158">
        <f>SUM(F18:F18)</f>
        <v>80000000</v>
      </c>
      <c r="G19" s="158">
        <f>SUM(G18:G18)</f>
        <v>80000000</v>
      </c>
      <c r="H19" s="158">
        <f>SUM(H18:H18)</f>
        <v>80000000</v>
      </c>
      <c r="I19" s="158">
        <f>SUM(I18:I18)</f>
        <v>80000000</v>
      </c>
      <c r="J19" s="159"/>
      <c r="K19" s="160" t="s">
        <v>42</v>
      </c>
      <c r="L19" s="304"/>
    </row>
    <row r="20" spans="1:12" s="161" customFormat="1" ht="17.25" customHeight="1">
      <c r="A20" s="458"/>
      <c r="B20" s="458"/>
      <c r="C20" s="451" t="s">
        <v>380</v>
      </c>
      <c r="D20" s="452"/>
      <c r="E20" s="162"/>
      <c r="F20" s="162"/>
      <c r="G20" s="163">
        <f>E19-G19</f>
        <v>0</v>
      </c>
      <c r="H20" s="162"/>
      <c r="I20" s="163">
        <f>H19-I19</f>
        <v>0</v>
      </c>
      <c r="J20" s="159"/>
      <c r="K20" s="160"/>
      <c r="L20" s="304"/>
    </row>
    <row r="21" spans="1:12" s="153" customFormat="1" ht="17.25" customHeight="1">
      <c r="A21" s="458">
        <v>3</v>
      </c>
      <c r="B21" s="458" t="s">
        <v>383</v>
      </c>
      <c r="C21" s="152"/>
      <c r="D21" s="150"/>
      <c r="E21" s="167">
        <v>30800005</v>
      </c>
      <c r="F21" s="218">
        <f>E21</f>
        <v>30800005</v>
      </c>
      <c r="G21" s="164">
        <v>30800005</v>
      </c>
      <c r="H21" s="167">
        <v>30800005</v>
      </c>
      <c r="I21" s="164">
        <v>30800005</v>
      </c>
      <c r="J21" s="168">
        <v>41942</v>
      </c>
      <c r="K21" s="157" t="s">
        <v>373</v>
      </c>
      <c r="L21" s="307"/>
    </row>
    <row r="22" spans="1:12" s="161" customFormat="1" ht="17.25" customHeight="1">
      <c r="A22" s="458"/>
      <c r="B22" s="458"/>
      <c r="C22" s="451" t="s">
        <v>94</v>
      </c>
      <c r="D22" s="452"/>
      <c r="E22" s="158">
        <f>SUM(E21:E21)</f>
        <v>30800005</v>
      </c>
      <c r="F22" s="158">
        <f>SUM(F21:F21)</f>
        <v>30800005</v>
      </c>
      <c r="G22" s="158">
        <f>SUM(G21:G21)</f>
        <v>30800005</v>
      </c>
      <c r="H22" s="158">
        <f>SUM(H21:H21)</f>
        <v>30800005</v>
      </c>
      <c r="I22" s="158">
        <f>SUM(I21:I21)</f>
        <v>30800005</v>
      </c>
      <c r="J22" s="159"/>
      <c r="K22" s="160" t="s">
        <v>42</v>
      </c>
      <c r="L22" s="304"/>
    </row>
    <row r="23" spans="1:12" s="161" customFormat="1" ht="17.25" customHeight="1">
      <c r="A23" s="458"/>
      <c r="B23" s="458"/>
      <c r="C23" s="451" t="s">
        <v>380</v>
      </c>
      <c r="D23" s="452"/>
      <c r="E23" s="162"/>
      <c r="F23" s="162"/>
      <c r="G23" s="163">
        <f>E22-G22</f>
        <v>0</v>
      </c>
      <c r="H23" s="162"/>
      <c r="I23" s="163">
        <f>H22-I22</f>
        <v>0</v>
      </c>
      <c r="J23" s="159"/>
      <c r="K23" s="160"/>
      <c r="L23" s="304"/>
    </row>
    <row r="24" spans="1:12" s="153" customFormat="1" ht="17.25" customHeight="1">
      <c r="A24" s="458">
        <v>4</v>
      </c>
      <c r="B24" s="458" t="s">
        <v>285</v>
      </c>
      <c r="C24" s="152"/>
      <c r="D24" s="150"/>
      <c r="E24" s="167">
        <v>30440000</v>
      </c>
      <c r="F24" s="218">
        <f>E24</f>
        <v>30440000</v>
      </c>
      <c r="G24" s="164">
        <v>30440000</v>
      </c>
      <c r="H24" s="167">
        <v>30440000</v>
      </c>
      <c r="I24" s="164">
        <v>30440000</v>
      </c>
      <c r="J24" s="168">
        <v>42174</v>
      </c>
      <c r="K24" s="157" t="s">
        <v>373</v>
      </c>
      <c r="L24" s="307"/>
    </row>
    <row r="25" spans="1:12" s="161" customFormat="1" ht="17.25" customHeight="1">
      <c r="A25" s="458"/>
      <c r="B25" s="458"/>
      <c r="C25" s="451" t="s">
        <v>94</v>
      </c>
      <c r="D25" s="452"/>
      <c r="E25" s="158">
        <f>SUM(E24:E24)</f>
        <v>30440000</v>
      </c>
      <c r="F25" s="158">
        <f>SUM(F24:F24)</f>
        <v>30440000</v>
      </c>
      <c r="G25" s="158">
        <f>SUM(G24:G24)</f>
        <v>30440000</v>
      </c>
      <c r="H25" s="158">
        <f>SUM(H24:H24)</f>
        <v>30440000</v>
      </c>
      <c r="I25" s="158">
        <f>SUM(I24:I24)</f>
        <v>30440000</v>
      </c>
      <c r="J25" s="159"/>
      <c r="K25" s="160" t="s">
        <v>42</v>
      </c>
      <c r="L25" s="304"/>
    </row>
    <row r="26" spans="1:12" s="161" customFormat="1" ht="17.25" customHeight="1">
      <c r="A26" s="458"/>
      <c r="B26" s="458"/>
      <c r="C26" s="451" t="s">
        <v>380</v>
      </c>
      <c r="D26" s="452"/>
      <c r="E26" s="162"/>
      <c r="F26" s="162"/>
      <c r="G26" s="163">
        <f>E25-G25</f>
        <v>0</v>
      </c>
      <c r="H26" s="162"/>
      <c r="I26" s="163">
        <f>H25-I25</f>
        <v>0</v>
      </c>
      <c r="J26" s="159"/>
      <c r="K26" s="160"/>
      <c r="L26" s="304"/>
    </row>
    <row r="27" spans="1:12" s="153" customFormat="1" ht="18" customHeight="1">
      <c r="A27" s="458">
        <v>5</v>
      </c>
      <c r="B27" s="458" t="s">
        <v>384</v>
      </c>
      <c r="C27" s="152"/>
      <c r="D27" s="150"/>
      <c r="E27" s="167">
        <v>21610454</v>
      </c>
      <c r="F27" s="218">
        <v>21610454</v>
      </c>
      <c r="G27" s="164">
        <v>21610454</v>
      </c>
      <c r="H27" s="167">
        <v>21610454</v>
      </c>
      <c r="I27" s="164">
        <v>21610454</v>
      </c>
      <c r="J27" s="168">
        <v>42188</v>
      </c>
      <c r="K27" s="157" t="s">
        <v>373</v>
      </c>
      <c r="L27" s="307"/>
    </row>
    <row r="28" spans="1:12" s="161" customFormat="1" ht="18" customHeight="1">
      <c r="A28" s="458"/>
      <c r="B28" s="458"/>
      <c r="C28" s="451" t="s">
        <v>94</v>
      </c>
      <c r="D28" s="452"/>
      <c r="E28" s="158">
        <f>SUM(E27:E27)</f>
        <v>21610454</v>
      </c>
      <c r="F28" s="158">
        <f>SUM(F27:F27)</f>
        <v>21610454</v>
      </c>
      <c r="G28" s="158">
        <f>SUM(G27:G27)</f>
        <v>21610454</v>
      </c>
      <c r="H28" s="158">
        <f>SUM(H27:H27)</f>
        <v>21610454</v>
      </c>
      <c r="I28" s="158">
        <f>SUM(I27:I27)</f>
        <v>21610454</v>
      </c>
      <c r="J28" s="159"/>
      <c r="K28" s="160" t="s">
        <v>42</v>
      </c>
      <c r="L28" s="304"/>
    </row>
    <row r="29" spans="1:12" s="161" customFormat="1" ht="18" customHeight="1">
      <c r="A29" s="458"/>
      <c r="B29" s="458"/>
      <c r="C29" s="451" t="s">
        <v>380</v>
      </c>
      <c r="D29" s="452"/>
      <c r="E29" s="162"/>
      <c r="F29" s="162"/>
      <c r="G29" s="163">
        <f>E28-G28</f>
        <v>0</v>
      </c>
      <c r="H29" s="162"/>
      <c r="I29" s="163">
        <f>H28-I28</f>
        <v>0</v>
      </c>
      <c r="J29" s="159"/>
      <c r="K29" s="160"/>
      <c r="L29" s="304"/>
    </row>
    <row r="30" spans="1:12" s="153" customFormat="1" ht="18" customHeight="1">
      <c r="A30" s="458">
        <v>6</v>
      </c>
      <c r="B30" s="458" t="s">
        <v>441</v>
      </c>
      <c r="C30" s="235"/>
      <c r="D30" s="238"/>
      <c r="E30" s="237">
        <v>33000000</v>
      </c>
      <c r="F30" s="237">
        <f>E30</f>
        <v>33000000</v>
      </c>
      <c r="G30" s="164">
        <f>F30</f>
        <v>33000000</v>
      </c>
      <c r="H30" s="237">
        <f>F30</f>
        <v>33000000</v>
      </c>
      <c r="I30" s="164">
        <f>F30</f>
        <v>33000000</v>
      </c>
      <c r="J30" s="236">
        <v>42235</v>
      </c>
      <c r="K30" s="234" t="s">
        <v>373</v>
      </c>
      <c r="L30" s="307"/>
    </row>
    <row r="31" spans="1:12" s="161" customFormat="1" ht="18" customHeight="1">
      <c r="A31" s="458"/>
      <c r="B31" s="458"/>
      <c r="C31" s="451" t="s">
        <v>94</v>
      </c>
      <c r="D31" s="452"/>
      <c r="E31" s="158">
        <f>SUM(E30:E30)</f>
        <v>33000000</v>
      </c>
      <c r="F31" s="158">
        <f>SUM(F30:F30)</f>
        <v>33000000</v>
      </c>
      <c r="G31" s="158">
        <f>SUM(G30:G30)</f>
        <v>33000000</v>
      </c>
      <c r="H31" s="158">
        <f>SUM(H30:H30)</f>
        <v>33000000</v>
      </c>
      <c r="I31" s="158">
        <f>SUM(I30:I30)</f>
        <v>33000000</v>
      </c>
      <c r="J31" s="159"/>
      <c r="K31" s="160" t="s">
        <v>42</v>
      </c>
      <c r="L31" s="304"/>
    </row>
    <row r="32" spans="1:12" s="161" customFormat="1" ht="18" customHeight="1">
      <c r="A32" s="458"/>
      <c r="B32" s="458"/>
      <c r="C32" s="451" t="s">
        <v>380</v>
      </c>
      <c r="D32" s="452"/>
      <c r="E32" s="162"/>
      <c r="F32" s="162"/>
      <c r="G32" s="163">
        <f>E31-G31</f>
        <v>0</v>
      </c>
      <c r="H32" s="162"/>
      <c r="I32" s="163">
        <f>H31-I31</f>
        <v>0</v>
      </c>
      <c r="J32" s="159"/>
      <c r="K32" s="160"/>
      <c r="L32" s="304"/>
    </row>
    <row r="33" spans="1:12" s="153" customFormat="1" ht="18" customHeight="1">
      <c r="A33" s="458">
        <v>7</v>
      </c>
      <c r="B33" s="458" t="s">
        <v>188</v>
      </c>
      <c r="C33" s="152" t="s">
        <v>385</v>
      </c>
      <c r="D33" s="150">
        <v>41904</v>
      </c>
      <c r="E33" s="167">
        <v>16327199</v>
      </c>
      <c r="F33" s="218">
        <v>16327199</v>
      </c>
      <c r="G33" s="164">
        <v>16327199</v>
      </c>
      <c r="H33" s="167">
        <v>16327199</v>
      </c>
      <c r="I33" s="164">
        <v>16327199</v>
      </c>
      <c r="J33" s="168">
        <v>41915</v>
      </c>
      <c r="K33" s="157" t="s">
        <v>373</v>
      </c>
      <c r="L33" s="307"/>
    </row>
    <row r="34" spans="1:12" s="161" customFormat="1" ht="18" customHeight="1">
      <c r="A34" s="458"/>
      <c r="B34" s="458"/>
      <c r="C34" s="451" t="s">
        <v>94</v>
      </c>
      <c r="D34" s="452"/>
      <c r="E34" s="158">
        <f>SUM(E33:E33)</f>
        <v>16327199</v>
      </c>
      <c r="F34" s="158">
        <f>SUM(F33:F33)</f>
        <v>16327199</v>
      </c>
      <c r="G34" s="158">
        <f>SUM(G33:G33)</f>
        <v>16327199</v>
      </c>
      <c r="H34" s="158">
        <f>SUM(H33:H33)</f>
        <v>16327199</v>
      </c>
      <c r="I34" s="158">
        <f>SUM(I33:I33)</f>
        <v>16327199</v>
      </c>
      <c r="J34" s="159"/>
      <c r="K34" s="160" t="s">
        <v>42</v>
      </c>
      <c r="L34" s="304"/>
    </row>
    <row r="35" spans="1:12" s="161" customFormat="1" ht="18" customHeight="1">
      <c r="A35" s="458"/>
      <c r="B35" s="458"/>
      <c r="C35" s="451" t="s">
        <v>380</v>
      </c>
      <c r="D35" s="452"/>
      <c r="E35" s="162"/>
      <c r="F35" s="162"/>
      <c r="G35" s="163">
        <f>E34-G34</f>
        <v>0</v>
      </c>
      <c r="H35" s="162"/>
      <c r="I35" s="163">
        <f>H34-I34</f>
        <v>0</v>
      </c>
      <c r="J35" s="159"/>
      <c r="K35" s="160"/>
      <c r="L35" s="304"/>
    </row>
    <row r="36" spans="1:12" s="153" customFormat="1" ht="17.25" customHeight="1">
      <c r="A36" s="458">
        <v>8</v>
      </c>
      <c r="B36" s="458" t="s">
        <v>89</v>
      </c>
      <c r="C36" s="454" t="s">
        <v>386</v>
      </c>
      <c r="D36" s="453">
        <v>41697</v>
      </c>
      <c r="E36" s="443">
        <f>324737600+1262599800</f>
        <v>1587337400</v>
      </c>
      <c r="F36" s="443">
        <f>324737600+1262599800</f>
        <v>1587337400</v>
      </c>
      <c r="G36" s="164">
        <v>43824000</v>
      </c>
      <c r="H36" s="443">
        <f>324737600+1262599800</f>
        <v>1587337400</v>
      </c>
      <c r="I36" s="164">
        <v>43824000</v>
      </c>
      <c r="J36" s="168">
        <v>41664</v>
      </c>
      <c r="K36" s="157" t="s">
        <v>373</v>
      </c>
      <c r="L36" s="307"/>
    </row>
    <row r="37" spans="1:12" s="153" customFormat="1" ht="17.25" customHeight="1">
      <c r="A37" s="458"/>
      <c r="B37" s="458"/>
      <c r="C37" s="454"/>
      <c r="D37" s="454"/>
      <c r="E37" s="443"/>
      <c r="F37" s="443"/>
      <c r="G37" s="151">
        <v>76462320</v>
      </c>
      <c r="H37" s="443"/>
      <c r="I37" s="151">
        <v>76462320</v>
      </c>
      <c r="J37" s="150">
        <v>41699</v>
      </c>
      <c r="K37" s="152" t="s">
        <v>373</v>
      </c>
      <c r="L37" s="307"/>
    </row>
    <row r="38" spans="1:12" s="153" customFormat="1" ht="17.25" customHeight="1">
      <c r="A38" s="458"/>
      <c r="B38" s="458"/>
      <c r="C38" s="454"/>
      <c r="D38" s="454"/>
      <c r="E38" s="443"/>
      <c r="F38" s="443"/>
      <c r="G38" s="151">
        <v>133147080</v>
      </c>
      <c r="H38" s="443"/>
      <c r="I38" s="151">
        <v>133147080</v>
      </c>
      <c r="J38" s="150">
        <v>41718</v>
      </c>
      <c r="K38" s="152" t="s">
        <v>373</v>
      </c>
      <c r="L38" s="307"/>
    </row>
    <row r="39" spans="1:12" s="153" customFormat="1" ht="17.25" customHeight="1">
      <c r="A39" s="458"/>
      <c r="B39" s="458"/>
      <c r="C39" s="454"/>
      <c r="D39" s="454"/>
      <c r="E39" s="443"/>
      <c r="F39" s="443"/>
      <c r="G39" s="151">
        <v>378779940</v>
      </c>
      <c r="H39" s="443"/>
      <c r="I39" s="151">
        <v>378779940</v>
      </c>
      <c r="J39" s="150">
        <v>41834</v>
      </c>
      <c r="K39" s="152" t="s">
        <v>373</v>
      </c>
      <c r="L39" s="307"/>
    </row>
    <row r="40" spans="1:12" s="153" customFormat="1" ht="17.25" customHeight="1">
      <c r="A40" s="458"/>
      <c r="B40" s="458"/>
      <c r="C40" s="454"/>
      <c r="D40" s="454"/>
      <c r="E40" s="443"/>
      <c r="F40" s="443"/>
      <c r="G40" s="156">
        <v>252519960</v>
      </c>
      <c r="H40" s="443"/>
      <c r="I40" s="156">
        <v>252519960</v>
      </c>
      <c r="J40" s="155">
        <v>41865</v>
      </c>
      <c r="K40" s="169" t="s">
        <v>373</v>
      </c>
      <c r="L40" s="307"/>
    </row>
    <row r="41" spans="1:12" s="153" customFormat="1" ht="17.25" customHeight="1">
      <c r="A41" s="458"/>
      <c r="B41" s="458"/>
      <c r="C41" s="454"/>
      <c r="D41" s="454"/>
      <c r="E41" s="443"/>
      <c r="F41" s="443"/>
      <c r="G41" s="151">
        <v>378779940</v>
      </c>
      <c r="H41" s="443"/>
      <c r="I41" s="151">
        <v>378779940</v>
      </c>
      <c r="J41" s="150">
        <v>41871</v>
      </c>
      <c r="K41" s="169" t="s">
        <v>373</v>
      </c>
      <c r="L41" s="307"/>
    </row>
    <row r="42" spans="1:12" s="153" customFormat="1" ht="17.25" customHeight="1">
      <c r="A42" s="458"/>
      <c r="B42" s="458"/>
      <c r="C42" s="454"/>
      <c r="D42" s="454"/>
      <c r="E42" s="443"/>
      <c r="F42" s="443"/>
      <c r="G42" s="170">
        <v>323824160</v>
      </c>
      <c r="H42" s="443"/>
      <c r="I42" s="170">
        <v>323824160</v>
      </c>
      <c r="J42" s="171">
        <v>41928</v>
      </c>
      <c r="K42" s="169" t="s">
        <v>373</v>
      </c>
      <c r="L42" s="307"/>
    </row>
    <row r="43" spans="1:12" s="161" customFormat="1" ht="18" customHeight="1">
      <c r="A43" s="458"/>
      <c r="B43" s="458"/>
      <c r="C43" s="451" t="s">
        <v>94</v>
      </c>
      <c r="D43" s="452"/>
      <c r="E43" s="158">
        <f>SUM(E36:E42)</f>
        <v>1587337400</v>
      </c>
      <c r="F43" s="158">
        <f>SUM(F36:F42)</f>
        <v>1587337400</v>
      </c>
      <c r="G43" s="158">
        <f>SUM(G36:G42)</f>
        <v>1587337400</v>
      </c>
      <c r="H43" s="158">
        <f>SUM(H36:H42)</f>
        <v>1587337400</v>
      </c>
      <c r="I43" s="158">
        <f>SUM(I36:I42)</f>
        <v>1587337400</v>
      </c>
      <c r="J43" s="159"/>
      <c r="K43" s="160" t="s">
        <v>42</v>
      </c>
      <c r="L43" s="304"/>
    </row>
    <row r="44" spans="1:12" s="161" customFormat="1" ht="18" customHeight="1">
      <c r="A44" s="458"/>
      <c r="B44" s="458"/>
      <c r="C44" s="451" t="s">
        <v>380</v>
      </c>
      <c r="D44" s="452"/>
      <c r="E44" s="162"/>
      <c r="F44" s="162"/>
      <c r="G44" s="163">
        <f>E43-G43</f>
        <v>0</v>
      </c>
      <c r="H44" s="162"/>
      <c r="I44" s="163">
        <f>H43-I43</f>
        <v>0</v>
      </c>
      <c r="J44" s="159"/>
      <c r="K44" s="160"/>
      <c r="L44" s="304"/>
    </row>
    <row r="45" spans="1:12" s="153" customFormat="1" ht="17.25" customHeight="1">
      <c r="A45" s="458">
        <v>9</v>
      </c>
      <c r="B45" s="458" t="s">
        <v>91</v>
      </c>
      <c r="C45" s="454" t="s">
        <v>388</v>
      </c>
      <c r="D45" s="453">
        <v>41627</v>
      </c>
      <c r="E45" s="443">
        <v>289000000</v>
      </c>
      <c r="F45" s="443">
        <v>289000000</v>
      </c>
      <c r="G45" s="151">
        <v>20000000</v>
      </c>
      <c r="H45" s="443">
        <v>289000000</v>
      </c>
      <c r="I45" s="151">
        <v>20000000</v>
      </c>
      <c r="J45" s="168">
        <v>41664</v>
      </c>
      <c r="K45" s="157" t="s">
        <v>373</v>
      </c>
      <c r="L45" s="307"/>
    </row>
    <row r="46" spans="1:12" s="153" customFormat="1" ht="17.25" customHeight="1">
      <c r="A46" s="458"/>
      <c r="B46" s="458"/>
      <c r="C46" s="454"/>
      <c r="D46" s="454"/>
      <c r="E46" s="443"/>
      <c r="F46" s="443"/>
      <c r="G46" s="151">
        <v>20000000</v>
      </c>
      <c r="H46" s="443"/>
      <c r="I46" s="151">
        <v>20000000</v>
      </c>
      <c r="J46" s="168">
        <v>41843</v>
      </c>
      <c r="K46" s="157" t="s">
        <v>373</v>
      </c>
      <c r="L46" s="307"/>
    </row>
    <row r="47" spans="1:12" s="153" customFormat="1" ht="17.25" customHeight="1">
      <c r="A47" s="458"/>
      <c r="B47" s="458"/>
      <c r="C47" s="454"/>
      <c r="D47" s="454"/>
      <c r="E47" s="443"/>
      <c r="F47" s="443"/>
      <c r="G47" s="151">
        <v>50000000</v>
      </c>
      <c r="H47" s="443"/>
      <c r="I47" s="151">
        <v>50000000</v>
      </c>
      <c r="J47" s="168">
        <v>41851</v>
      </c>
      <c r="K47" s="157" t="s">
        <v>373</v>
      </c>
      <c r="L47" s="307"/>
    </row>
    <row r="48" spans="1:12" s="153" customFormat="1" ht="17.25" customHeight="1">
      <c r="A48" s="458"/>
      <c r="B48" s="458"/>
      <c r="C48" s="454"/>
      <c r="D48" s="454"/>
      <c r="E48" s="443"/>
      <c r="F48" s="443"/>
      <c r="G48" s="151">
        <v>50000000</v>
      </c>
      <c r="H48" s="443"/>
      <c r="I48" s="151">
        <v>50000000</v>
      </c>
      <c r="J48" s="150">
        <v>41858</v>
      </c>
      <c r="K48" s="152" t="s">
        <v>373</v>
      </c>
      <c r="L48" s="307"/>
    </row>
    <row r="49" spans="1:12" s="153" customFormat="1" ht="17.25" customHeight="1">
      <c r="A49" s="458"/>
      <c r="B49" s="458"/>
      <c r="C49" s="454"/>
      <c r="D49" s="454"/>
      <c r="E49" s="443"/>
      <c r="F49" s="443"/>
      <c r="G49" s="151">
        <v>50000000</v>
      </c>
      <c r="H49" s="443"/>
      <c r="I49" s="151">
        <v>50000000</v>
      </c>
      <c r="J49" s="150">
        <v>41871</v>
      </c>
      <c r="K49" s="152" t="s">
        <v>373</v>
      </c>
      <c r="L49" s="307"/>
    </row>
    <row r="50" spans="1:12" s="153" customFormat="1" ht="17.25" customHeight="1">
      <c r="A50" s="458"/>
      <c r="B50" s="458"/>
      <c r="C50" s="454"/>
      <c r="D50" s="454"/>
      <c r="E50" s="443"/>
      <c r="F50" s="443"/>
      <c r="G50" s="151">
        <v>50000000</v>
      </c>
      <c r="H50" s="443"/>
      <c r="I50" s="151">
        <v>50000000</v>
      </c>
      <c r="J50" s="155">
        <v>41894</v>
      </c>
      <c r="K50" s="152" t="s">
        <v>373</v>
      </c>
      <c r="L50" s="307"/>
    </row>
    <row r="51" spans="1:12" s="153" customFormat="1" ht="17.25" customHeight="1">
      <c r="A51" s="458"/>
      <c r="B51" s="458"/>
      <c r="C51" s="454"/>
      <c r="D51" s="454"/>
      <c r="E51" s="443"/>
      <c r="F51" s="443"/>
      <c r="G51" s="170">
        <v>49000000</v>
      </c>
      <c r="H51" s="443"/>
      <c r="I51" s="170">
        <v>49000000</v>
      </c>
      <c r="J51" s="171">
        <v>41942</v>
      </c>
      <c r="K51" s="152" t="s">
        <v>373</v>
      </c>
      <c r="L51" s="307"/>
    </row>
    <row r="52" spans="1:12" s="161" customFormat="1" ht="18" customHeight="1">
      <c r="A52" s="458"/>
      <c r="B52" s="458"/>
      <c r="C52" s="451" t="s">
        <v>94</v>
      </c>
      <c r="D52" s="452"/>
      <c r="E52" s="158">
        <f>SUM(E45:E51)</f>
        <v>289000000</v>
      </c>
      <c r="F52" s="158">
        <f>SUM(F45:F51)</f>
        <v>289000000</v>
      </c>
      <c r="G52" s="158">
        <f>SUM(G45:G51)</f>
        <v>289000000</v>
      </c>
      <c r="H52" s="158">
        <f>SUM(H45:H51)</f>
        <v>289000000</v>
      </c>
      <c r="I52" s="158">
        <f>SUM(I45:I51)</f>
        <v>289000000</v>
      </c>
      <c r="J52" s="159"/>
      <c r="K52" s="160" t="s">
        <v>42</v>
      </c>
      <c r="L52" s="304"/>
    </row>
    <row r="53" spans="1:12" s="161" customFormat="1" ht="18" customHeight="1">
      <c r="A53" s="458"/>
      <c r="B53" s="458"/>
      <c r="C53" s="451" t="s">
        <v>380</v>
      </c>
      <c r="D53" s="452"/>
      <c r="E53" s="162"/>
      <c r="F53" s="162"/>
      <c r="G53" s="163">
        <f>E52-G52</f>
        <v>0</v>
      </c>
      <c r="H53" s="162"/>
      <c r="I53" s="163">
        <f>H52-I52</f>
        <v>0</v>
      </c>
      <c r="J53" s="159"/>
      <c r="K53" s="160"/>
      <c r="L53" s="304"/>
    </row>
    <row r="54" spans="1:12" ht="16.5" customHeight="1">
      <c r="A54" s="462">
        <v>10</v>
      </c>
      <c r="B54" s="481" t="s">
        <v>305</v>
      </c>
      <c r="C54" s="459" t="s">
        <v>405</v>
      </c>
      <c r="D54" s="461">
        <v>42182</v>
      </c>
      <c r="E54" s="444">
        <v>150126466</v>
      </c>
      <c r="F54" s="444">
        <v>150126466</v>
      </c>
      <c r="G54" s="172">
        <v>45000000</v>
      </c>
      <c r="H54" s="444">
        <v>150126466</v>
      </c>
      <c r="I54" s="172">
        <v>45000000</v>
      </c>
      <c r="J54" s="176">
        <v>42185</v>
      </c>
      <c r="K54" s="174" t="s">
        <v>373</v>
      </c>
    </row>
    <row r="55" spans="1:12" ht="16.5" customHeight="1">
      <c r="A55" s="462"/>
      <c r="B55" s="481"/>
      <c r="C55" s="460"/>
      <c r="D55" s="460"/>
      <c r="E55" s="445"/>
      <c r="F55" s="445"/>
      <c r="G55" s="138">
        <v>105126466</v>
      </c>
      <c r="H55" s="445"/>
      <c r="I55" s="138">
        <v>105126466</v>
      </c>
      <c r="J55" s="176">
        <v>42195</v>
      </c>
      <c r="K55" s="174" t="s">
        <v>373</v>
      </c>
    </row>
    <row r="56" spans="1:12" ht="16.5" customHeight="1">
      <c r="A56" s="462"/>
      <c r="B56" s="481"/>
      <c r="C56" s="282"/>
      <c r="D56" s="283"/>
      <c r="E56" s="279"/>
      <c r="F56" s="279"/>
      <c r="G56" s="279"/>
      <c r="H56" s="279"/>
      <c r="I56" s="279"/>
      <c r="J56" s="278"/>
      <c r="K56" s="277"/>
    </row>
    <row r="57" spans="1:12" s="161" customFormat="1" ht="18" customHeight="1">
      <c r="A57" s="462"/>
      <c r="B57" s="481"/>
      <c r="C57" s="451" t="s">
        <v>94</v>
      </c>
      <c r="D57" s="452"/>
      <c r="E57" s="158">
        <f>SUM(E54:E55)</f>
        <v>150126466</v>
      </c>
      <c r="F57" s="158">
        <f>SUM(F54:F55)</f>
        <v>150126466</v>
      </c>
      <c r="G57" s="158">
        <f>SUM(G54:G55)</f>
        <v>150126466</v>
      </c>
      <c r="H57" s="158">
        <f>SUM(H54:H55)</f>
        <v>150126466</v>
      </c>
      <c r="I57" s="158">
        <f>SUM(I54:I55)</f>
        <v>150126466</v>
      </c>
      <c r="J57" s="159"/>
      <c r="K57" s="160" t="s">
        <v>42</v>
      </c>
      <c r="L57" s="304"/>
    </row>
    <row r="58" spans="1:12" s="161" customFormat="1" ht="18" customHeight="1">
      <c r="A58" s="462"/>
      <c r="B58" s="481"/>
      <c r="C58" s="451" t="s">
        <v>380</v>
      </c>
      <c r="D58" s="452"/>
      <c r="E58" s="162"/>
      <c r="F58" s="162"/>
      <c r="G58" s="163">
        <f>E57-G57</f>
        <v>0</v>
      </c>
      <c r="H58" s="162"/>
      <c r="I58" s="163">
        <f>H57-I57</f>
        <v>0</v>
      </c>
      <c r="J58" s="159"/>
      <c r="K58" s="160"/>
      <c r="L58" s="304"/>
    </row>
    <row r="59" spans="1:12" ht="16.5" customHeight="1">
      <c r="A59" s="462">
        <v>11</v>
      </c>
      <c r="B59" s="481" t="s">
        <v>357</v>
      </c>
      <c r="C59" s="208" t="s">
        <v>426</v>
      </c>
      <c r="D59" s="209">
        <v>42206</v>
      </c>
      <c r="E59" s="210">
        <v>53060000</v>
      </c>
      <c r="F59" s="221">
        <f>E59</f>
        <v>53060000</v>
      </c>
      <c r="G59" s="210">
        <v>53060000</v>
      </c>
      <c r="H59" s="210">
        <v>53060000</v>
      </c>
      <c r="I59" s="210">
        <v>53060000</v>
      </c>
      <c r="J59" s="205">
        <v>42212</v>
      </c>
      <c r="K59" s="211" t="s">
        <v>373</v>
      </c>
    </row>
    <row r="60" spans="1:12" s="161" customFormat="1" ht="18" customHeight="1">
      <c r="A60" s="462"/>
      <c r="B60" s="481"/>
      <c r="C60" s="451" t="s">
        <v>94</v>
      </c>
      <c r="D60" s="452"/>
      <c r="E60" s="158">
        <f>SUM(E59:E59)</f>
        <v>53060000</v>
      </c>
      <c r="F60" s="158">
        <f>SUM(F59:F59)</f>
        <v>53060000</v>
      </c>
      <c r="G60" s="158">
        <f>SUM(G59:G59)</f>
        <v>53060000</v>
      </c>
      <c r="H60" s="158">
        <f>SUM(H59:H59)</f>
        <v>53060000</v>
      </c>
      <c r="I60" s="158">
        <f>SUM(I59:I59)</f>
        <v>53060000</v>
      </c>
      <c r="J60" s="159"/>
      <c r="K60" s="160" t="s">
        <v>42</v>
      </c>
      <c r="L60" s="304"/>
    </row>
    <row r="61" spans="1:12" s="161" customFormat="1" ht="18" customHeight="1">
      <c r="A61" s="462"/>
      <c r="B61" s="481"/>
      <c r="C61" s="451" t="s">
        <v>380</v>
      </c>
      <c r="D61" s="452"/>
      <c r="E61" s="162"/>
      <c r="F61" s="162"/>
      <c r="G61" s="163">
        <f>E60-G60</f>
        <v>0</v>
      </c>
      <c r="H61" s="162"/>
      <c r="I61" s="163">
        <f>H60-I60</f>
        <v>0</v>
      </c>
      <c r="J61" s="159"/>
      <c r="K61" s="160"/>
      <c r="L61" s="304"/>
    </row>
    <row r="62" spans="1:12" ht="17.25" customHeight="1">
      <c r="A62" s="462">
        <v>12</v>
      </c>
      <c r="B62" s="462" t="s">
        <v>90</v>
      </c>
      <c r="C62" s="463" t="s">
        <v>389</v>
      </c>
      <c r="D62" s="464">
        <v>41353</v>
      </c>
      <c r="E62" s="446"/>
      <c r="F62" s="446">
        <v>100000000</v>
      </c>
      <c r="G62" s="177">
        <v>30000000</v>
      </c>
      <c r="H62" s="446">
        <v>100000000</v>
      </c>
      <c r="I62" s="177">
        <v>30000000</v>
      </c>
      <c r="J62" s="173">
        <v>41723</v>
      </c>
      <c r="K62" s="174" t="s">
        <v>373</v>
      </c>
    </row>
    <row r="63" spans="1:12" ht="17.25" customHeight="1">
      <c r="A63" s="462"/>
      <c r="B63" s="462"/>
      <c r="C63" s="463"/>
      <c r="D63" s="464"/>
      <c r="E63" s="446"/>
      <c r="F63" s="446"/>
      <c r="G63" s="172">
        <v>30000000</v>
      </c>
      <c r="H63" s="446"/>
      <c r="I63" s="172">
        <v>30000000</v>
      </c>
      <c r="J63" s="176">
        <v>41813</v>
      </c>
      <c r="K63" s="178" t="s">
        <v>373</v>
      </c>
    </row>
    <row r="64" spans="1:12" s="161" customFormat="1" ht="18" customHeight="1">
      <c r="A64" s="462"/>
      <c r="B64" s="462"/>
      <c r="C64" s="451" t="s">
        <v>94</v>
      </c>
      <c r="D64" s="452"/>
      <c r="E64" s="158">
        <f>SUM(E62:E63)</f>
        <v>0</v>
      </c>
      <c r="F64" s="158">
        <f>SUM(F62:F63)</f>
        <v>100000000</v>
      </c>
      <c r="G64" s="158">
        <f t="shared" ref="G64:I64" si="0">SUM(G62:G63)</f>
        <v>60000000</v>
      </c>
      <c r="H64" s="158">
        <f t="shared" si="0"/>
        <v>100000000</v>
      </c>
      <c r="I64" s="158">
        <f t="shared" si="0"/>
        <v>60000000</v>
      </c>
      <c r="J64" s="159"/>
      <c r="K64" s="160" t="s">
        <v>42</v>
      </c>
      <c r="L64" s="304"/>
    </row>
    <row r="65" spans="1:13" s="161" customFormat="1" ht="18" customHeight="1">
      <c r="A65" s="462"/>
      <c r="B65" s="462"/>
      <c r="C65" s="451" t="s">
        <v>380</v>
      </c>
      <c r="D65" s="452"/>
      <c r="E65" s="162"/>
      <c r="F65" s="162"/>
      <c r="G65" s="163">
        <f>E64-G64</f>
        <v>-60000000</v>
      </c>
      <c r="H65" s="162"/>
      <c r="I65" s="163">
        <f>H64-I64</f>
        <v>40000000</v>
      </c>
      <c r="J65" s="159"/>
      <c r="K65" s="160"/>
      <c r="L65" s="304"/>
    </row>
    <row r="66" spans="1:13" s="153" customFormat="1" ht="17.25" customHeight="1">
      <c r="A66" s="455">
        <v>13</v>
      </c>
      <c r="B66" s="455" t="s">
        <v>86</v>
      </c>
      <c r="C66" s="466" t="s">
        <v>381</v>
      </c>
      <c r="D66" s="467">
        <v>41292</v>
      </c>
      <c r="E66" s="448">
        <v>60500000</v>
      </c>
      <c r="F66" s="448">
        <v>60500000</v>
      </c>
      <c r="G66" s="164">
        <v>27500000</v>
      </c>
      <c r="H66" s="490">
        <v>60500000</v>
      </c>
      <c r="I66" s="164">
        <v>27500000</v>
      </c>
      <c r="J66" s="165">
        <v>41641</v>
      </c>
      <c r="K66" s="157" t="s">
        <v>373</v>
      </c>
      <c r="L66" s="307"/>
    </row>
    <row r="67" spans="1:13" s="153" customFormat="1" ht="17.25" customHeight="1">
      <c r="A67" s="456"/>
      <c r="B67" s="456"/>
      <c r="C67" s="454"/>
      <c r="D67" s="454"/>
      <c r="E67" s="449"/>
      <c r="F67" s="449"/>
      <c r="G67" s="151">
        <v>33000000</v>
      </c>
      <c r="H67" s="443"/>
      <c r="I67" s="151">
        <v>33000000</v>
      </c>
      <c r="J67" s="166">
        <v>41775</v>
      </c>
      <c r="K67" s="157" t="s">
        <v>373</v>
      </c>
      <c r="L67" s="307"/>
    </row>
    <row r="68" spans="1:13" s="161" customFormat="1" ht="17.25" customHeight="1">
      <c r="A68" s="456"/>
      <c r="B68" s="456"/>
      <c r="C68" s="451" t="s">
        <v>94</v>
      </c>
      <c r="D68" s="452"/>
      <c r="E68" s="158">
        <f>SUM(E66:E67)</f>
        <v>60500000</v>
      </c>
      <c r="F68" s="158">
        <f>SUM(F66:F67)</f>
        <v>60500000</v>
      </c>
      <c r="G68" s="158">
        <f>SUM(G66:G67)</f>
        <v>60500000</v>
      </c>
      <c r="H68" s="158">
        <f>SUM(H66:H67)</f>
        <v>60500000</v>
      </c>
      <c r="I68" s="158">
        <f>SUM(I66:I67)</f>
        <v>60500000</v>
      </c>
      <c r="J68" s="159"/>
      <c r="K68" s="160" t="s">
        <v>42</v>
      </c>
      <c r="L68" s="304"/>
    </row>
    <row r="69" spans="1:13" s="161" customFormat="1" ht="17.25" customHeight="1">
      <c r="A69" s="456"/>
      <c r="B69" s="456"/>
      <c r="C69" s="451" t="s">
        <v>380</v>
      </c>
      <c r="D69" s="452"/>
      <c r="E69" s="162"/>
      <c r="F69" s="162"/>
      <c r="G69" s="163">
        <f>E68-G68</f>
        <v>0</v>
      </c>
      <c r="H69" s="162"/>
      <c r="I69" s="163">
        <f>H68-I68</f>
        <v>0</v>
      </c>
      <c r="J69" s="159"/>
      <c r="K69" s="160"/>
      <c r="L69" s="304"/>
    </row>
    <row r="70" spans="1:13" s="153" customFormat="1" ht="17.25" customHeight="1">
      <c r="A70" s="456"/>
      <c r="B70" s="456"/>
      <c r="C70" s="466" t="s">
        <v>453</v>
      </c>
      <c r="D70" s="467">
        <v>42217</v>
      </c>
      <c r="E70" s="448"/>
      <c r="F70" s="448">
        <v>428000000</v>
      </c>
      <c r="G70" s="164">
        <v>128400000</v>
      </c>
      <c r="H70" s="448">
        <v>428000000</v>
      </c>
      <c r="I70" s="164">
        <v>128400000</v>
      </c>
      <c r="J70" s="165">
        <v>42236</v>
      </c>
      <c r="K70" s="227" t="s">
        <v>373</v>
      </c>
      <c r="L70" s="307"/>
    </row>
    <row r="71" spans="1:13" s="153" customFormat="1" ht="17.25" customHeight="1">
      <c r="A71" s="456"/>
      <c r="B71" s="456"/>
      <c r="C71" s="454"/>
      <c r="D71" s="454"/>
      <c r="E71" s="449"/>
      <c r="F71" s="449"/>
      <c r="G71" s="151"/>
      <c r="H71" s="449"/>
      <c r="I71" s="151"/>
      <c r="J71" s="166"/>
      <c r="K71" s="227"/>
      <c r="L71" s="307"/>
    </row>
    <row r="72" spans="1:13" s="161" customFormat="1" ht="17.25" customHeight="1">
      <c r="A72" s="456"/>
      <c r="B72" s="456"/>
      <c r="C72" s="451" t="s">
        <v>94</v>
      </c>
      <c r="D72" s="452"/>
      <c r="E72" s="158">
        <f>SUM(E70:E71)</f>
        <v>0</v>
      </c>
      <c r="F72" s="158">
        <f>SUM(F70:F71)</f>
        <v>428000000</v>
      </c>
      <c r="G72" s="158">
        <f>SUM(G70:G71)</f>
        <v>128400000</v>
      </c>
      <c r="H72" s="158">
        <f>SUM(H70:H71)</f>
        <v>428000000</v>
      </c>
      <c r="I72" s="158">
        <f>SUM(I70:I71)</f>
        <v>128400000</v>
      </c>
      <c r="J72" s="159"/>
      <c r="K72" s="160" t="s">
        <v>42</v>
      </c>
      <c r="L72" s="304"/>
    </row>
    <row r="73" spans="1:13" s="161" customFormat="1" ht="17.25" customHeight="1">
      <c r="A73" s="457"/>
      <c r="B73" s="457"/>
      <c r="C73" s="451" t="s">
        <v>380</v>
      </c>
      <c r="D73" s="452"/>
      <c r="E73" s="162"/>
      <c r="F73" s="162"/>
      <c r="G73" s="163">
        <f>E72-G72</f>
        <v>-128400000</v>
      </c>
      <c r="H73" s="162"/>
      <c r="I73" s="163">
        <f>H72-I72</f>
        <v>299600000</v>
      </c>
      <c r="J73" s="159"/>
      <c r="K73" s="160"/>
      <c r="L73" s="304"/>
      <c r="M73" s="303"/>
    </row>
    <row r="74" spans="1:13" ht="17.25" customHeight="1">
      <c r="A74" s="462">
        <v>14</v>
      </c>
      <c r="B74" s="462" t="s">
        <v>109</v>
      </c>
      <c r="C74" s="463" t="s">
        <v>389</v>
      </c>
      <c r="D74" s="464">
        <v>41353</v>
      </c>
      <c r="E74" s="446"/>
      <c r="F74" s="446">
        <v>200000000</v>
      </c>
      <c r="G74" s="172">
        <f>IF(I74&gt;0,I74,0)</f>
        <v>50000000</v>
      </c>
      <c r="H74" s="446">
        <v>200000000</v>
      </c>
      <c r="I74" s="177">
        <v>50000000</v>
      </c>
      <c r="J74" s="173">
        <v>41871</v>
      </c>
      <c r="K74" s="174" t="s">
        <v>373</v>
      </c>
    </row>
    <row r="75" spans="1:13" ht="17.25" customHeight="1">
      <c r="A75" s="462"/>
      <c r="B75" s="462"/>
      <c r="C75" s="463"/>
      <c r="D75" s="464"/>
      <c r="E75" s="446"/>
      <c r="F75" s="446"/>
      <c r="G75" s="172">
        <f t="shared" ref="G75:G77" si="1">IF(I75&gt;0,I75,0)</f>
        <v>50000000</v>
      </c>
      <c r="H75" s="446"/>
      <c r="I75" s="177">
        <v>50000000</v>
      </c>
      <c r="J75" s="176">
        <v>42034</v>
      </c>
      <c r="K75" s="174" t="s">
        <v>373</v>
      </c>
    </row>
    <row r="76" spans="1:13" ht="17.25" customHeight="1">
      <c r="A76" s="462"/>
      <c r="B76" s="462"/>
      <c r="C76" s="463"/>
      <c r="D76" s="464"/>
      <c r="E76" s="446"/>
      <c r="F76" s="446"/>
      <c r="G76" s="172">
        <f t="shared" si="1"/>
        <v>50000000</v>
      </c>
      <c r="H76" s="446"/>
      <c r="I76" s="177">
        <v>50000000</v>
      </c>
      <c r="J76" s="176">
        <v>42144</v>
      </c>
      <c r="K76" s="174" t="s">
        <v>373</v>
      </c>
    </row>
    <row r="77" spans="1:13" ht="17.25" customHeight="1">
      <c r="A77" s="462"/>
      <c r="B77" s="462"/>
      <c r="C77" s="463"/>
      <c r="D77" s="464"/>
      <c r="E77" s="446"/>
      <c r="F77" s="446"/>
      <c r="G77" s="172">
        <f t="shared" si="1"/>
        <v>0</v>
      </c>
      <c r="H77" s="446"/>
      <c r="I77" s="151"/>
      <c r="J77" s="183"/>
      <c r="K77" s="184"/>
    </row>
    <row r="78" spans="1:13" s="161" customFormat="1" ht="18" customHeight="1">
      <c r="A78" s="462"/>
      <c r="B78" s="462"/>
      <c r="C78" s="451" t="s">
        <v>94</v>
      </c>
      <c r="D78" s="452"/>
      <c r="E78" s="158">
        <f>SUM(E74:E77)</f>
        <v>0</v>
      </c>
      <c r="F78" s="158">
        <f>SUM(F74:F77)</f>
        <v>200000000</v>
      </c>
      <c r="G78" s="158">
        <f>SUM(G74:G77)</f>
        <v>150000000</v>
      </c>
      <c r="H78" s="158">
        <f>SUM(H74:H77)</f>
        <v>200000000</v>
      </c>
      <c r="I78" s="158">
        <f>SUM(I74:I77)</f>
        <v>150000000</v>
      </c>
      <c r="J78" s="159"/>
      <c r="K78" s="160" t="s">
        <v>42</v>
      </c>
      <c r="L78" s="304"/>
    </row>
    <row r="79" spans="1:13" s="161" customFormat="1" ht="18" customHeight="1">
      <c r="A79" s="462"/>
      <c r="B79" s="462"/>
      <c r="C79" s="451" t="s">
        <v>380</v>
      </c>
      <c r="D79" s="452"/>
      <c r="E79" s="162"/>
      <c r="F79" s="162"/>
      <c r="G79" s="163">
        <f>E78-G78</f>
        <v>-150000000</v>
      </c>
      <c r="H79" s="162"/>
      <c r="I79" s="163">
        <f>H78-I78</f>
        <v>50000000</v>
      </c>
      <c r="J79" s="159"/>
      <c r="K79" s="160"/>
      <c r="L79" s="304"/>
    </row>
    <row r="80" spans="1:13" ht="16.5" customHeight="1">
      <c r="A80" s="462">
        <v>15</v>
      </c>
      <c r="B80" s="462" t="s">
        <v>400</v>
      </c>
      <c r="C80" s="463" t="s">
        <v>401</v>
      </c>
      <c r="D80" s="464">
        <v>42118</v>
      </c>
      <c r="E80" s="446">
        <v>255297700</v>
      </c>
      <c r="F80" s="446">
        <v>255297700</v>
      </c>
      <c r="G80" s="172">
        <v>100000000</v>
      </c>
      <c r="H80" s="446">
        <v>255297700</v>
      </c>
      <c r="I80" s="172">
        <v>100000000</v>
      </c>
      <c r="J80" s="176">
        <v>42131</v>
      </c>
      <c r="K80" s="174" t="s">
        <v>373</v>
      </c>
    </row>
    <row r="81" spans="1:12" ht="16.5" customHeight="1">
      <c r="A81" s="462"/>
      <c r="B81" s="462"/>
      <c r="C81" s="463"/>
      <c r="D81" s="464"/>
      <c r="E81" s="446"/>
      <c r="F81" s="446"/>
      <c r="G81" s="172">
        <v>100000000</v>
      </c>
      <c r="H81" s="446"/>
      <c r="I81" s="172">
        <v>100000000</v>
      </c>
      <c r="J81" s="176">
        <v>42157</v>
      </c>
      <c r="K81" s="174" t="s">
        <v>373</v>
      </c>
    </row>
    <row r="82" spans="1:12" ht="16.5" customHeight="1">
      <c r="A82" s="462"/>
      <c r="B82" s="462"/>
      <c r="C82" s="463"/>
      <c r="D82" s="464"/>
      <c r="E82" s="446"/>
      <c r="F82" s="446"/>
      <c r="G82" s="172">
        <v>55297700</v>
      </c>
      <c r="H82" s="446"/>
      <c r="I82" s="172">
        <v>55297700</v>
      </c>
      <c r="J82" s="176">
        <v>42195</v>
      </c>
      <c r="K82" s="174" t="s">
        <v>373</v>
      </c>
    </row>
    <row r="83" spans="1:12" s="161" customFormat="1" ht="18" customHeight="1">
      <c r="A83" s="462"/>
      <c r="B83" s="462"/>
      <c r="C83" s="451" t="s">
        <v>94</v>
      </c>
      <c r="D83" s="452"/>
      <c r="E83" s="158">
        <f>SUM(E80:E82)</f>
        <v>255297700</v>
      </c>
      <c r="F83" s="158">
        <f>SUM(F80:F82)</f>
        <v>255297700</v>
      </c>
      <c r="G83" s="158">
        <f>SUM(G80:G82)</f>
        <v>255297700</v>
      </c>
      <c r="H83" s="158">
        <f>SUM(H80:H82)</f>
        <v>255297700</v>
      </c>
      <c r="I83" s="158">
        <f>SUM(I80:I82)</f>
        <v>255297700</v>
      </c>
      <c r="J83" s="159"/>
      <c r="K83" s="160" t="s">
        <v>42</v>
      </c>
      <c r="L83" s="304"/>
    </row>
    <row r="84" spans="1:12" s="161" customFormat="1" ht="18" customHeight="1">
      <c r="A84" s="462"/>
      <c r="B84" s="462"/>
      <c r="C84" s="451" t="s">
        <v>380</v>
      </c>
      <c r="D84" s="452"/>
      <c r="E84" s="162"/>
      <c r="F84" s="162"/>
      <c r="G84" s="163">
        <f>E83-G83</f>
        <v>0</v>
      </c>
      <c r="H84" s="162"/>
      <c r="I84" s="163">
        <f>H83-I83</f>
        <v>0</v>
      </c>
      <c r="J84" s="159"/>
      <c r="K84" s="160"/>
      <c r="L84" s="304"/>
    </row>
    <row r="85" spans="1:12" ht="16.5" customHeight="1">
      <c r="A85" s="462"/>
      <c r="B85" s="462"/>
      <c r="C85" s="463" t="s">
        <v>494</v>
      </c>
      <c r="D85" s="464">
        <v>42203</v>
      </c>
      <c r="E85" s="446">
        <f>188280000+102950000+150022500+59760000+114906620</f>
        <v>615919120</v>
      </c>
      <c r="F85" s="446">
        <f>188280000+102950000+150022500</f>
        <v>441252500</v>
      </c>
      <c r="G85" s="172">
        <v>100000000</v>
      </c>
      <c r="H85" s="446">
        <f>188280000+102950000+150022500+59760000+114906620</f>
        <v>615919120</v>
      </c>
      <c r="I85" s="172">
        <v>100000000</v>
      </c>
      <c r="J85" s="176">
        <v>42174</v>
      </c>
      <c r="K85" s="174" t="s">
        <v>373</v>
      </c>
    </row>
    <row r="86" spans="1:12" ht="16.5" customHeight="1">
      <c r="A86" s="462"/>
      <c r="B86" s="462"/>
      <c r="C86" s="463"/>
      <c r="D86" s="464"/>
      <c r="E86" s="446"/>
      <c r="F86" s="446"/>
      <c r="G86" s="172">
        <v>200000000</v>
      </c>
      <c r="H86" s="446"/>
      <c r="I86" s="172">
        <v>200000000</v>
      </c>
      <c r="J86" s="176">
        <v>42212</v>
      </c>
      <c r="K86" s="174" t="s">
        <v>373</v>
      </c>
    </row>
    <row r="87" spans="1:12" ht="16.5" customHeight="1">
      <c r="A87" s="462"/>
      <c r="B87" s="462"/>
      <c r="C87" s="463"/>
      <c r="D87" s="464"/>
      <c r="E87" s="446"/>
      <c r="F87" s="446"/>
      <c r="G87" s="172">
        <f>I87</f>
        <v>201012500</v>
      </c>
      <c r="H87" s="446"/>
      <c r="I87" s="172">
        <v>201012500</v>
      </c>
      <c r="J87" s="176">
        <v>42266</v>
      </c>
      <c r="K87" s="174" t="s">
        <v>373</v>
      </c>
    </row>
    <row r="88" spans="1:12" ht="16.5" customHeight="1">
      <c r="A88" s="462"/>
      <c r="B88" s="462"/>
      <c r="C88" s="282"/>
      <c r="D88" s="284"/>
      <c r="E88" s="279"/>
      <c r="F88" s="279"/>
      <c r="G88" s="285"/>
      <c r="H88" s="279"/>
      <c r="I88" s="285"/>
      <c r="J88" s="278"/>
      <c r="K88" s="277"/>
    </row>
    <row r="89" spans="1:12" s="161" customFormat="1" ht="18" customHeight="1">
      <c r="A89" s="462"/>
      <c r="B89" s="462"/>
      <c r="C89" s="451" t="s">
        <v>94</v>
      </c>
      <c r="D89" s="452"/>
      <c r="E89" s="158">
        <f>SUM(E85:E87)</f>
        <v>615919120</v>
      </c>
      <c r="F89" s="158">
        <f>SUM(F85:F87)</f>
        <v>441252500</v>
      </c>
      <c r="G89" s="158">
        <f>SUM(G85:G87)</f>
        <v>501012500</v>
      </c>
      <c r="H89" s="158">
        <f>SUM(H85:H87)</f>
        <v>615919120</v>
      </c>
      <c r="I89" s="158">
        <f>SUM(I85:I87)</f>
        <v>501012500</v>
      </c>
      <c r="J89" s="159"/>
      <c r="K89" s="160" t="s">
        <v>42</v>
      </c>
      <c r="L89" s="304"/>
    </row>
    <row r="90" spans="1:12" s="161" customFormat="1" ht="18" customHeight="1">
      <c r="A90" s="462"/>
      <c r="B90" s="462"/>
      <c r="C90" s="451" t="s">
        <v>380</v>
      </c>
      <c r="D90" s="452"/>
      <c r="E90" s="162"/>
      <c r="F90" s="162"/>
      <c r="G90" s="163">
        <f>E89-G89</f>
        <v>114906620</v>
      </c>
      <c r="H90" s="162"/>
      <c r="I90" s="163">
        <f>H89-I89</f>
        <v>114906620</v>
      </c>
      <c r="J90" s="159"/>
      <c r="K90" s="160"/>
      <c r="L90" s="304"/>
    </row>
    <row r="91" spans="1:12" ht="16.5" customHeight="1">
      <c r="A91" s="462">
        <v>16</v>
      </c>
      <c r="B91" s="481" t="s">
        <v>302</v>
      </c>
      <c r="C91" s="459" t="s">
        <v>404</v>
      </c>
      <c r="D91" s="461"/>
      <c r="E91" s="444">
        <f>399000000</f>
        <v>399000000</v>
      </c>
      <c r="F91" s="444">
        <v>570000000</v>
      </c>
      <c r="G91" s="172">
        <v>171000000</v>
      </c>
      <c r="H91" s="444">
        <v>570000000</v>
      </c>
      <c r="I91" s="172">
        <v>171000000</v>
      </c>
      <c r="J91" s="176">
        <v>42174</v>
      </c>
      <c r="K91" s="174" t="s">
        <v>373</v>
      </c>
    </row>
    <row r="92" spans="1:12" ht="16.5" customHeight="1">
      <c r="A92" s="462"/>
      <c r="B92" s="481"/>
      <c r="C92" s="460"/>
      <c r="D92" s="473"/>
      <c r="E92" s="445"/>
      <c r="F92" s="445"/>
      <c r="G92" s="172">
        <v>228000000</v>
      </c>
      <c r="H92" s="445"/>
      <c r="I92" s="172">
        <v>228000000</v>
      </c>
      <c r="J92" s="176">
        <v>42251</v>
      </c>
      <c r="K92" s="243" t="s">
        <v>373</v>
      </c>
    </row>
    <row r="93" spans="1:12" ht="16.5" customHeight="1">
      <c r="A93" s="462"/>
      <c r="B93" s="481"/>
      <c r="C93" s="460"/>
      <c r="D93" s="460"/>
      <c r="E93" s="445"/>
      <c r="F93" s="445"/>
      <c r="G93" s="138"/>
      <c r="H93" s="445"/>
      <c r="I93" s="151"/>
      <c r="J93" s="176"/>
      <c r="K93" s="188"/>
    </row>
    <row r="94" spans="1:12" s="161" customFormat="1" ht="18" customHeight="1">
      <c r="A94" s="462"/>
      <c r="B94" s="481"/>
      <c r="C94" s="451" t="s">
        <v>94</v>
      </c>
      <c r="D94" s="452"/>
      <c r="E94" s="158">
        <f>SUM(E91:E93)</f>
        <v>399000000</v>
      </c>
      <c r="F94" s="158">
        <f>SUM(F91:F93)</f>
        <v>570000000</v>
      </c>
      <c r="G94" s="158">
        <f>SUM(G91:G93)</f>
        <v>399000000</v>
      </c>
      <c r="H94" s="158">
        <f>SUM(H91:H93)</f>
        <v>570000000</v>
      </c>
      <c r="I94" s="158">
        <f>SUM(I91:I93)</f>
        <v>399000000</v>
      </c>
      <c r="J94" s="159"/>
      <c r="K94" s="160" t="s">
        <v>42</v>
      </c>
      <c r="L94" s="304"/>
    </row>
    <row r="95" spans="1:12" s="161" customFormat="1" ht="18" customHeight="1">
      <c r="A95" s="462"/>
      <c r="B95" s="481"/>
      <c r="C95" s="451" t="s">
        <v>380</v>
      </c>
      <c r="D95" s="452"/>
      <c r="E95" s="162"/>
      <c r="F95" s="162"/>
      <c r="G95" s="163">
        <f>E94-G94</f>
        <v>0</v>
      </c>
      <c r="H95" s="162"/>
      <c r="I95" s="163">
        <f>H94-I94</f>
        <v>171000000</v>
      </c>
      <c r="J95" s="159"/>
      <c r="K95" s="160"/>
      <c r="L95" s="304"/>
    </row>
    <row r="96" spans="1:12" ht="16.5" customHeight="1">
      <c r="A96" s="462">
        <v>17</v>
      </c>
      <c r="B96" s="481" t="s">
        <v>454</v>
      </c>
      <c r="C96" s="492" t="s">
        <v>442</v>
      </c>
      <c r="D96" s="461">
        <v>42230</v>
      </c>
      <c r="E96" s="444">
        <v>599632000</v>
      </c>
      <c r="F96" s="444">
        <f>E96</f>
        <v>599632000</v>
      </c>
      <c r="G96" s="151">
        <v>200000000</v>
      </c>
      <c r="H96" s="444">
        <v>599632000</v>
      </c>
      <c r="I96" s="151">
        <v>200000000</v>
      </c>
      <c r="J96" s="228">
        <v>42236</v>
      </c>
      <c r="K96" s="230" t="s">
        <v>373</v>
      </c>
    </row>
    <row r="97" spans="1:12" ht="16.5" customHeight="1">
      <c r="A97" s="462"/>
      <c r="B97" s="481"/>
      <c r="C97" s="460"/>
      <c r="D97" s="473"/>
      <c r="E97" s="445"/>
      <c r="F97" s="445"/>
      <c r="G97" s="164"/>
      <c r="H97" s="445"/>
      <c r="I97" s="151"/>
      <c r="J97" s="228"/>
      <c r="K97" s="230"/>
    </row>
    <row r="98" spans="1:12" s="161" customFormat="1" ht="18" customHeight="1">
      <c r="A98" s="462"/>
      <c r="B98" s="481"/>
      <c r="C98" s="451" t="s">
        <v>94</v>
      </c>
      <c r="D98" s="452"/>
      <c r="E98" s="158">
        <f>SUM(E96:E97)</f>
        <v>599632000</v>
      </c>
      <c r="F98" s="158">
        <f>SUM(F96:F97)</f>
        <v>599632000</v>
      </c>
      <c r="G98" s="158">
        <f>SUM(G96:G97)</f>
        <v>200000000</v>
      </c>
      <c r="H98" s="158">
        <f>SUM(H96:H97)</f>
        <v>599632000</v>
      </c>
      <c r="I98" s="158">
        <f>SUM(I96:I97)</f>
        <v>200000000</v>
      </c>
      <c r="J98" s="159"/>
      <c r="K98" s="160" t="s">
        <v>42</v>
      </c>
      <c r="L98" s="304"/>
    </row>
    <row r="99" spans="1:12" s="161" customFormat="1" ht="18" customHeight="1">
      <c r="A99" s="462"/>
      <c r="B99" s="481"/>
      <c r="C99" s="451" t="s">
        <v>380</v>
      </c>
      <c r="D99" s="452"/>
      <c r="E99" s="162"/>
      <c r="F99" s="162"/>
      <c r="G99" s="163">
        <f>E98-G98</f>
        <v>399632000</v>
      </c>
      <c r="H99" s="162"/>
      <c r="I99" s="163">
        <f>H98-I98</f>
        <v>399632000</v>
      </c>
      <c r="J99" s="159"/>
      <c r="K99" s="160"/>
      <c r="L99" s="304"/>
    </row>
    <row r="100" spans="1:12" ht="17.25" customHeight="1">
      <c r="A100" s="462">
        <v>18</v>
      </c>
      <c r="B100" s="462" t="s">
        <v>85</v>
      </c>
      <c r="C100" s="491" t="s">
        <v>390</v>
      </c>
      <c r="D100" s="468">
        <v>40549</v>
      </c>
      <c r="E100" s="450">
        <v>1000000000</v>
      </c>
      <c r="F100" s="450">
        <v>1150000000</v>
      </c>
      <c r="G100" s="172">
        <f t="shared" ref="G100:G112" si="2">IF(I100&gt;0,I100,0)</f>
        <v>100000000</v>
      </c>
      <c r="H100" s="450">
        <v>1150000000</v>
      </c>
      <c r="I100" s="177">
        <v>100000000</v>
      </c>
      <c r="J100" s="173">
        <v>40570</v>
      </c>
      <c r="K100" s="174" t="s">
        <v>373</v>
      </c>
    </row>
    <row r="101" spans="1:12" ht="17.25" customHeight="1">
      <c r="A101" s="462"/>
      <c r="B101" s="462"/>
      <c r="C101" s="463"/>
      <c r="D101" s="469"/>
      <c r="E101" s="446"/>
      <c r="F101" s="446"/>
      <c r="G101" s="172">
        <f t="shared" si="2"/>
        <v>50000000</v>
      </c>
      <c r="H101" s="446"/>
      <c r="I101" s="172">
        <v>50000000</v>
      </c>
      <c r="J101" s="173">
        <v>40588</v>
      </c>
      <c r="K101" s="174" t="s">
        <v>373</v>
      </c>
    </row>
    <row r="102" spans="1:12" ht="17.25" customHeight="1">
      <c r="A102" s="462"/>
      <c r="B102" s="462"/>
      <c r="C102" s="463"/>
      <c r="D102" s="469"/>
      <c r="E102" s="446"/>
      <c r="F102" s="446"/>
      <c r="G102" s="172">
        <f t="shared" si="2"/>
        <v>100000000</v>
      </c>
      <c r="H102" s="446"/>
      <c r="I102" s="172">
        <v>100000000</v>
      </c>
      <c r="J102" s="173">
        <v>40605</v>
      </c>
      <c r="K102" s="174" t="s">
        <v>373</v>
      </c>
    </row>
    <row r="103" spans="1:12" ht="17.25" customHeight="1">
      <c r="A103" s="462"/>
      <c r="B103" s="462"/>
      <c r="C103" s="463"/>
      <c r="D103" s="469"/>
      <c r="E103" s="446"/>
      <c r="F103" s="446"/>
      <c r="G103" s="172"/>
      <c r="H103" s="446"/>
      <c r="I103" s="172">
        <v>100000000</v>
      </c>
      <c r="J103" s="173">
        <v>40612</v>
      </c>
      <c r="K103" s="174" t="s">
        <v>387</v>
      </c>
    </row>
    <row r="104" spans="1:12" ht="17.25" customHeight="1">
      <c r="A104" s="462"/>
      <c r="B104" s="462"/>
      <c r="C104" s="463"/>
      <c r="D104" s="469"/>
      <c r="E104" s="446"/>
      <c r="F104" s="446"/>
      <c r="G104" s="172">
        <f t="shared" si="2"/>
        <v>200000000</v>
      </c>
      <c r="H104" s="446"/>
      <c r="I104" s="172">
        <v>200000000</v>
      </c>
      <c r="J104" s="173">
        <v>40623</v>
      </c>
      <c r="K104" s="174" t="s">
        <v>373</v>
      </c>
    </row>
    <row r="105" spans="1:12" ht="17.25" customHeight="1">
      <c r="A105" s="462"/>
      <c r="B105" s="462"/>
      <c r="C105" s="463"/>
      <c r="D105" s="469"/>
      <c r="E105" s="446"/>
      <c r="F105" s="446"/>
      <c r="G105" s="172">
        <f t="shared" si="2"/>
        <v>0</v>
      </c>
      <c r="H105" s="446"/>
      <c r="I105" s="172">
        <v>-91500000</v>
      </c>
      <c r="J105" s="173">
        <v>40627</v>
      </c>
      <c r="K105" s="174" t="s">
        <v>391</v>
      </c>
    </row>
    <row r="106" spans="1:12" ht="17.25" customHeight="1">
      <c r="A106" s="462"/>
      <c r="B106" s="462"/>
      <c r="C106" s="463"/>
      <c r="D106" s="469"/>
      <c r="E106" s="446"/>
      <c r="F106" s="446"/>
      <c r="G106" s="172">
        <f t="shared" si="2"/>
        <v>100000000</v>
      </c>
      <c r="H106" s="446"/>
      <c r="I106" s="172">
        <v>100000000</v>
      </c>
      <c r="J106" s="173">
        <v>40630</v>
      </c>
      <c r="K106" s="174" t="s">
        <v>373</v>
      </c>
    </row>
    <row r="107" spans="1:12" ht="17.25" customHeight="1">
      <c r="A107" s="462"/>
      <c r="B107" s="462"/>
      <c r="C107" s="463"/>
      <c r="D107" s="469"/>
      <c r="E107" s="446"/>
      <c r="F107" s="446"/>
      <c r="G107" s="172"/>
      <c r="H107" s="446"/>
      <c r="I107" s="172">
        <v>100000000</v>
      </c>
      <c r="J107" s="173">
        <v>40676</v>
      </c>
      <c r="K107" s="174" t="s">
        <v>387</v>
      </c>
    </row>
    <row r="108" spans="1:12" ht="17.25" customHeight="1">
      <c r="A108" s="462"/>
      <c r="B108" s="462"/>
      <c r="C108" s="463"/>
      <c r="D108" s="469"/>
      <c r="E108" s="446"/>
      <c r="F108" s="446"/>
      <c r="G108" s="172">
        <f t="shared" si="2"/>
        <v>100000000</v>
      </c>
      <c r="H108" s="446"/>
      <c r="I108" s="172">
        <v>100000000</v>
      </c>
      <c r="J108" s="173">
        <v>40686</v>
      </c>
      <c r="K108" s="174" t="s">
        <v>373</v>
      </c>
    </row>
    <row r="109" spans="1:12" s="180" customFormat="1" ht="17.25" customHeight="1">
      <c r="A109" s="462"/>
      <c r="B109" s="462"/>
      <c r="C109" s="463"/>
      <c r="D109" s="469"/>
      <c r="E109" s="446"/>
      <c r="F109" s="446"/>
      <c r="G109" s="172">
        <f t="shared" si="2"/>
        <v>50000000</v>
      </c>
      <c r="H109" s="446"/>
      <c r="I109" s="172">
        <v>50000000</v>
      </c>
      <c r="J109" s="173">
        <v>40690</v>
      </c>
      <c r="K109" s="174" t="s">
        <v>373</v>
      </c>
      <c r="L109" s="308"/>
    </row>
    <row r="110" spans="1:12" s="180" customFormat="1" ht="17.25" customHeight="1">
      <c r="A110" s="462"/>
      <c r="B110" s="462"/>
      <c r="C110" s="463"/>
      <c r="D110" s="469"/>
      <c r="E110" s="446"/>
      <c r="F110" s="446"/>
      <c r="G110" s="172">
        <f t="shared" si="2"/>
        <v>100000000</v>
      </c>
      <c r="H110" s="446"/>
      <c r="I110" s="172">
        <v>100000000</v>
      </c>
      <c r="J110" s="173">
        <v>40724</v>
      </c>
      <c r="K110" s="174" t="s">
        <v>373</v>
      </c>
      <c r="L110" s="308"/>
    </row>
    <row r="111" spans="1:12" s="180" customFormat="1" ht="17.25" customHeight="1">
      <c r="A111" s="462"/>
      <c r="B111" s="462"/>
      <c r="C111" s="463"/>
      <c r="D111" s="469"/>
      <c r="E111" s="446"/>
      <c r="F111" s="446"/>
      <c r="G111" s="172"/>
      <c r="H111" s="446"/>
      <c r="I111" s="172">
        <v>100000000</v>
      </c>
      <c r="J111" s="176">
        <v>40747</v>
      </c>
      <c r="K111" s="178" t="s">
        <v>387</v>
      </c>
      <c r="L111" s="308"/>
    </row>
    <row r="112" spans="1:12" ht="17.25" customHeight="1">
      <c r="A112" s="462"/>
      <c r="B112" s="462"/>
      <c r="C112" s="463"/>
      <c r="D112" s="469"/>
      <c r="E112" s="446"/>
      <c r="F112" s="446"/>
      <c r="G112" s="172">
        <f t="shared" si="2"/>
        <v>50000000</v>
      </c>
      <c r="H112" s="446"/>
      <c r="I112" s="172">
        <v>50000000</v>
      </c>
      <c r="J112" s="176">
        <v>41115</v>
      </c>
      <c r="K112" s="174" t="s">
        <v>373</v>
      </c>
    </row>
    <row r="113" spans="1:12" ht="17.25" customHeight="1">
      <c r="A113" s="462"/>
      <c r="B113" s="462"/>
      <c r="C113" s="463" t="s">
        <v>392</v>
      </c>
      <c r="D113" s="469">
        <v>41860</v>
      </c>
      <c r="E113" s="446">
        <v>7500000000</v>
      </c>
      <c r="F113" s="446">
        <v>10172555140</v>
      </c>
      <c r="G113" s="172">
        <f>IF(I113&gt;0,I113,0)</f>
        <v>800000000</v>
      </c>
      <c r="H113" s="446">
        <v>10172555140</v>
      </c>
      <c r="I113" s="172">
        <v>800000000</v>
      </c>
      <c r="J113" s="176">
        <v>41905</v>
      </c>
      <c r="K113" s="174" t="s">
        <v>373</v>
      </c>
    </row>
    <row r="114" spans="1:12" ht="17.25" customHeight="1">
      <c r="A114" s="462"/>
      <c r="B114" s="462"/>
      <c r="C114" s="463"/>
      <c r="D114" s="469"/>
      <c r="E114" s="446"/>
      <c r="F114" s="446"/>
      <c r="G114" s="172">
        <f t="shared" ref="G114:G124" si="3">IF(I114&gt;0,I114,0)</f>
        <v>1500000000</v>
      </c>
      <c r="H114" s="446"/>
      <c r="I114" s="172">
        <v>1500000000</v>
      </c>
      <c r="J114" s="176">
        <v>41935</v>
      </c>
      <c r="K114" s="174" t="s">
        <v>373</v>
      </c>
    </row>
    <row r="115" spans="1:12" ht="17.25" customHeight="1">
      <c r="A115" s="462"/>
      <c r="B115" s="462"/>
      <c r="C115" s="463"/>
      <c r="D115" s="469"/>
      <c r="E115" s="446"/>
      <c r="F115" s="446"/>
      <c r="G115" s="172">
        <f t="shared" si="3"/>
        <v>1000000000</v>
      </c>
      <c r="H115" s="446"/>
      <c r="I115" s="172">
        <v>1000000000</v>
      </c>
      <c r="J115" s="176">
        <v>41963</v>
      </c>
      <c r="K115" s="174" t="s">
        <v>373</v>
      </c>
    </row>
    <row r="116" spans="1:12" ht="17.25" customHeight="1">
      <c r="A116" s="462"/>
      <c r="B116" s="462"/>
      <c r="C116" s="463"/>
      <c r="D116" s="469"/>
      <c r="E116" s="446"/>
      <c r="F116" s="446"/>
      <c r="G116" s="172">
        <f t="shared" si="3"/>
        <v>1000000000</v>
      </c>
      <c r="H116" s="446"/>
      <c r="I116" s="172">
        <v>1000000000</v>
      </c>
      <c r="J116" s="176">
        <v>41984</v>
      </c>
      <c r="K116" s="174" t="s">
        <v>373</v>
      </c>
    </row>
    <row r="117" spans="1:12" ht="17.25" customHeight="1">
      <c r="A117" s="462"/>
      <c r="B117" s="462"/>
      <c r="C117" s="463"/>
      <c r="D117" s="469"/>
      <c r="E117" s="446"/>
      <c r="F117" s="446"/>
      <c r="G117" s="172">
        <f t="shared" si="3"/>
        <v>700000000</v>
      </c>
      <c r="H117" s="446"/>
      <c r="I117" s="172">
        <v>700000000</v>
      </c>
      <c r="J117" s="176">
        <v>42034</v>
      </c>
      <c r="K117" s="174" t="s">
        <v>373</v>
      </c>
      <c r="L117" s="197" t="s">
        <v>393</v>
      </c>
    </row>
    <row r="118" spans="1:12" ht="17.25" customHeight="1">
      <c r="A118" s="462"/>
      <c r="B118" s="462"/>
      <c r="C118" s="463"/>
      <c r="D118" s="469"/>
      <c r="E118" s="446"/>
      <c r="F118" s="446"/>
      <c r="G118" s="172">
        <f t="shared" si="3"/>
        <v>500000000</v>
      </c>
      <c r="H118" s="446"/>
      <c r="I118" s="172">
        <v>500000000</v>
      </c>
      <c r="J118" s="176">
        <v>42096</v>
      </c>
      <c r="K118" s="174" t="s">
        <v>373</v>
      </c>
    </row>
    <row r="119" spans="1:12" ht="17.25" customHeight="1">
      <c r="A119" s="462"/>
      <c r="B119" s="462"/>
      <c r="C119" s="463"/>
      <c r="D119" s="469"/>
      <c r="E119" s="446"/>
      <c r="F119" s="446"/>
      <c r="G119" s="172">
        <f t="shared" si="3"/>
        <v>500000000</v>
      </c>
      <c r="H119" s="446"/>
      <c r="I119" s="172">
        <v>500000000</v>
      </c>
      <c r="J119" s="176">
        <v>42116</v>
      </c>
      <c r="K119" s="174" t="s">
        <v>373</v>
      </c>
    </row>
    <row r="120" spans="1:12" ht="17.25" customHeight="1">
      <c r="A120" s="462"/>
      <c r="B120" s="462"/>
      <c r="C120" s="463"/>
      <c r="D120" s="469"/>
      <c r="E120" s="446"/>
      <c r="F120" s="446"/>
      <c r="G120" s="172">
        <f t="shared" si="3"/>
        <v>500000000</v>
      </c>
      <c r="H120" s="446"/>
      <c r="I120" s="172">
        <v>500000000</v>
      </c>
      <c r="J120" s="176">
        <v>42138</v>
      </c>
      <c r="K120" s="174" t="s">
        <v>373</v>
      </c>
    </row>
    <row r="121" spans="1:12" ht="17.25" customHeight="1">
      <c r="A121" s="462"/>
      <c r="B121" s="462"/>
      <c r="C121" s="463"/>
      <c r="D121" s="469"/>
      <c r="E121" s="446"/>
      <c r="F121" s="446"/>
      <c r="G121" s="172">
        <f t="shared" si="3"/>
        <v>1000000000</v>
      </c>
      <c r="H121" s="446"/>
      <c r="I121" s="138">
        <v>1000000000</v>
      </c>
      <c r="J121" s="176">
        <v>42187</v>
      </c>
      <c r="K121" s="174" t="s">
        <v>373</v>
      </c>
    </row>
    <row r="122" spans="1:12" ht="17.25" customHeight="1">
      <c r="A122" s="462"/>
      <c r="B122" s="462"/>
      <c r="C122" s="459"/>
      <c r="D122" s="471"/>
      <c r="E122" s="444"/>
      <c r="F122" s="444"/>
      <c r="G122" s="172">
        <f t="shared" si="3"/>
        <v>300000000</v>
      </c>
      <c r="H122" s="444"/>
      <c r="I122" s="223">
        <v>300000000</v>
      </c>
      <c r="J122" s="219">
        <v>42209</v>
      </c>
      <c r="K122" s="222" t="s">
        <v>373</v>
      </c>
    </row>
    <row r="123" spans="1:12" ht="17.25" customHeight="1">
      <c r="A123" s="462"/>
      <c r="B123" s="462"/>
      <c r="C123" s="459"/>
      <c r="D123" s="471"/>
      <c r="E123" s="444"/>
      <c r="F123" s="444"/>
      <c r="G123" s="172">
        <f t="shared" si="3"/>
        <v>200000000</v>
      </c>
      <c r="H123" s="444"/>
      <c r="I123" s="226">
        <v>200000000</v>
      </c>
      <c r="J123" s="228">
        <v>42342</v>
      </c>
      <c r="K123" s="381" t="s">
        <v>373</v>
      </c>
    </row>
    <row r="124" spans="1:12" ht="17.25" customHeight="1">
      <c r="A124" s="462"/>
      <c r="B124" s="462"/>
      <c r="C124" s="470"/>
      <c r="D124" s="472"/>
      <c r="E124" s="465"/>
      <c r="F124" s="465"/>
      <c r="G124" s="172">
        <f t="shared" si="3"/>
        <v>0</v>
      </c>
      <c r="H124" s="465"/>
      <c r="I124" s="138"/>
      <c r="J124" s="176"/>
      <c r="K124" s="174"/>
    </row>
    <row r="125" spans="1:12" s="161" customFormat="1" ht="18" customHeight="1">
      <c r="A125" s="462"/>
      <c r="B125" s="462"/>
      <c r="C125" s="451" t="s">
        <v>94</v>
      </c>
      <c r="D125" s="452"/>
      <c r="E125" s="158">
        <f>SUM(E100:E124)</f>
        <v>8500000000</v>
      </c>
      <c r="F125" s="158">
        <f>SUM(F100:F124)</f>
        <v>11322555140</v>
      </c>
      <c r="G125" s="158">
        <f>SUM(G100:G124)</f>
        <v>8850000000</v>
      </c>
      <c r="H125" s="158">
        <f>SUM(H100:H124)</f>
        <v>11322555140</v>
      </c>
      <c r="I125" s="158">
        <f>SUM(I100:I124)</f>
        <v>9058500000</v>
      </c>
      <c r="J125" s="159"/>
      <c r="K125" s="160" t="s">
        <v>42</v>
      </c>
      <c r="L125" s="304"/>
    </row>
    <row r="126" spans="1:12" s="161" customFormat="1" ht="18" customHeight="1">
      <c r="A126" s="462"/>
      <c r="B126" s="462"/>
      <c r="C126" s="451" t="s">
        <v>380</v>
      </c>
      <c r="D126" s="452"/>
      <c r="E126" s="162"/>
      <c r="F126" s="162"/>
      <c r="G126" s="163">
        <f>E125-G125</f>
        <v>-350000000</v>
      </c>
      <c r="H126" s="162"/>
      <c r="I126" s="163">
        <f>H125-I125</f>
        <v>2264055140</v>
      </c>
      <c r="J126" s="159"/>
      <c r="K126" s="160"/>
      <c r="L126" s="304"/>
    </row>
    <row r="127" spans="1:12" ht="17.25" customHeight="1">
      <c r="A127" s="462">
        <v>19</v>
      </c>
      <c r="B127" s="462" t="s">
        <v>111</v>
      </c>
      <c r="C127" s="459" t="s">
        <v>394</v>
      </c>
      <c r="D127" s="461">
        <v>41871</v>
      </c>
      <c r="E127" s="444">
        <v>2200000000</v>
      </c>
      <c r="F127" s="444">
        <f>2508700000</f>
        <v>2508700000</v>
      </c>
      <c r="G127" s="172">
        <f>IF(I127&gt;0,I127,0)</f>
        <v>752610000</v>
      </c>
      <c r="H127" s="444">
        <v>1858000000</v>
      </c>
      <c r="I127" s="172">
        <v>752610000</v>
      </c>
      <c r="J127" s="173">
        <v>41905</v>
      </c>
      <c r="K127" s="174" t="s">
        <v>373</v>
      </c>
    </row>
    <row r="128" spans="1:12" s="180" customFormat="1" ht="17.25" customHeight="1">
      <c r="A128" s="462"/>
      <c r="B128" s="462"/>
      <c r="C128" s="460"/>
      <c r="D128" s="460"/>
      <c r="E128" s="445"/>
      <c r="F128" s="445"/>
      <c r="G128" s="172">
        <f t="shared" ref="G128:G139" si="4">IF(I128&gt;0,I128,0)</f>
        <v>0</v>
      </c>
      <c r="H128" s="445"/>
      <c r="I128" s="185">
        <v>-200000000</v>
      </c>
      <c r="J128" s="186">
        <v>41907</v>
      </c>
      <c r="K128" s="187" t="s">
        <v>391</v>
      </c>
      <c r="L128" s="308"/>
    </row>
    <row r="129" spans="1:12" ht="17.25" customHeight="1">
      <c r="A129" s="462"/>
      <c r="B129" s="462"/>
      <c r="C129" s="460"/>
      <c r="D129" s="460"/>
      <c r="E129" s="445"/>
      <c r="F129" s="445"/>
      <c r="G129" s="172">
        <f t="shared" si="4"/>
        <v>500000000</v>
      </c>
      <c r="H129" s="445"/>
      <c r="I129" s="172">
        <v>500000000</v>
      </c>
      <c r="J129" s="173">
        <v>41942</v>
      </c>
      <c r="K129" s="174" t="s">
        <v>373</v>
      </c>
    </row>
    <row r="130" spans="1:12" ht="17.25" customHeight="1">
      <c r="A130" s="462"/>
      <c r="B130" s="462"/>
      <c r="C130" s="460"/>
      <c r="D130" s="460"/>
      <c r="E130" s="445"/>
      <c r="F130" s="445"/>
      <c r="G130" s="172">
        <f t="shared" si="4"/>
        <v>0</v>
      </c>
      <c r="H130" s="445"/>
      <c r="I130" s="185">
        <v>-100000000</v>
      </c>
      <c r="J130" s="186">
        <v>41951</v>
      </c>
      <c r="K130" s="187" t="s">
        <v>391</v>
      </c>
    </row>
    <row r="131" spans="1:12" ht="17.25" customHeight="1">
      <c r="A131" s="462"/>
      <c r="B131" s="462"/>
      <c r="C131" s="460"/>
      <c r="D131" s="460"/>
      <c r="E131" s="445"/>
      <c r="F131" s="445"/>
      <c r="G131" s="172">
        <f t="shared" si="4"/>
        <v>500000000</v>
      </c>
      <c r="H131" s="445"/>
      <c r="I131" s="172">
        <v>500000000</v>
      </c>
      <c r="J131" s="173">
        <v>42010</v>
      </c>
      <c r="K131" s="174" t="s">
        <v>373</v>
      </c>
    </row>
    <row r="132" spans="1:12" ht="17.25" customHeight="1">
      <c r="A132" s="462"/>
      <c r="B132" s="462"/>
      <c r="C132" s="460" t="s">
        <v>395</v>
      </c>
      <c r="D132" s="473">
        <v>42139</v>
      </c>
      <c r="E132" s="489">
        <f>308700000+501400000</f>
        <v>810100000</v>
      </c>
      <c r="F132" s="489">
        <f>184000000+317400000</f>
        <v>501400000</v>
      </c>
      <c r="G132" s="172">
        <f t="shared" si="4"/>
        <v>0</v>
      </c>
      <c r="H132" s="445">
        <f>139900000+250800000</f>
        <v>390700000</v>
      </c>
      <c r="I132" s="185">
        <v>-100000000</v>
      </c>
      <c r="J132" s="186">
        <v>42017</v>
      </c>
      <c r="K132" s="187" t="s">
        <v>391</v>
      </c>
    </row>
    <row r="133" spans="1:12" ht="17.25" customHeight="1">
      <c r="A133" s="462"/>
      <c r="B133" s="462"/>
      <c r="C133" s="460"/>
      <c r="D133" s="473"/>
      <c r="E133" s="489"/>
      <c r="F133" s="489"/>
      <c r="G133" s="172">
        <f t="shared" si="4"/>
        <v>251000000</v>
      </c>
      <c r="H133" s="445"/>
      <c r="I133" s="172">
        <v>251000000</v>
      </c>
      <c r="J133" s="173">
        <v>42094</v>
      </c>
      <c r="K133" s="174" t="s">
        <v>373</v>
      </c>
    </row>
    <row r="134" spans="1:12" ht="17.25" customHeight="1">
      <c r="A134" s="462"/>
      <c r="B134" s="462"/>
      <c r="C134" s="460"/>
      <c r="D134" s="473"/>
      <c r="E134" s="489"/>
      <c r="F134" s="489"/>
      <c r="G134" s="172">
        <f t="shared" si="4"/>
        <v>200000000</v>
      </c>
      <c r="H134" s="445"/>
      <c r="I134" s="172">
        <v>200000000</v>
      </c>
      <c r="J134" s="173">
        <v>42170</v>
      </c>
      <c r="K134" s="174" t="s">
        <v>373</v>
      </c>
    </row>
    <row r="135" spans="1:12" ht="17.25" customHeight="1">
      <c r="A135" s="462"/>
      <c r="B135" s="462"/>
      <c r="C135" s="460"/>
      <c r="D135" s="473"/>
      <c r="E135" s="489"/>
      <c r="F135" s="489"/>
      <c r="G135" s="172">
        <f t="shared" si="4"/>
        <v>400000000</v>
      </c>
      <c r="H135" s="445"/>
      <c r="I135" s="172">
        <v>400000000</v>
      </c>
      <c r="J135" s="173">
        <v>42199</v>
      </c>
      <c r="K135" s="174" t="s">
        <v>373</v>
      </c>
    </row>
    <row r="136" spans="1:12" ht="17.25" customHeight="1">
      <c r="A136" s="462"/>
      <c r="B136" s="462"/>
      <c r="C136" s="460"/>
      <c r="D136" s="473"/>
      <c r="E136" s="489"/>
      <c r="F136" s="489"/>
      <c r="G136" s="172">
        <f t="shared" si="4"/>
        <v>0</v>
      </c>
      <c r="H136" s="445"/>
      <c r="I136" s="185">
        <v>-200000000</v>
      </c>
      <c r="J136" s="173">
        <v>42202</v>
      </c>
      <c r="K136" s="187" t="s">
        <v>391</v>
      </c>
    </row>
    <row r="137" spans="1:12" ht="17.25" customHeight="1">
      <c r="A137" s="462"/>
      <c r="B137" s="462"/>
      <c r="C137" s="460"/>
      <c r="D137" s="473"/>
      <c r="E137" s="489"/>
      <c r="F137" s="489"/>
      <c r="G137" s="172">
        <f t="shared" si="4"/>
        <v>406490000</v>
      </c>
      <c r="H137" s="445"/>
      <c r="I137" s="151">
        <v>406490000</v>
      </c>
      <c r="J137" s="173">
        <v>42366</v>
      </c>
      <c r="K137" s="387" t="s">
        <v>373</v>
      </c>
    </row>
    <row r="138" spans="1:12" ht="17.25" customHeight="1">
      <c r="A138" s="462"/>
      <c r="B138" s="462"/>
      <c r="C138" s="460"/>
      <c r="D138" s="473"/>
      <c r="E138" s="489"/>
      <c r="F138" s="489"/>
      <c r="G138" s="172">
        <f t="shared" si="4"/>
        <v>0</v>
      </c>
      <c r="H138" s="445"/>
      <c r="I138" s="151">
        <v>-197695000</v>
      </c>
      <c r="J138" s="151"/>
      <c r="K138" s="187" t="s">
        <v>391</v>
      </c>
    </row>
    <row r="139" spans="1:12" ht="17.25" customHeight="1">
      <c r="A139" s="462"/>
      <c r="B139" s="462"/>
      <c r="C139" s="460"/>
      <c r="D139" s="473"/>
      <c r="E139" s="489"/>
      <c r="F139" s="489"/>
      <c r="G139" s="172">
        <f t="shared" si="4"/>
        <v>0</v>
      </c>
      <c r="H139" s="445"/>
      <c r="I139" s="151"/>
      <c r="J139" s="151"/>
      <c r="K139" s="151"/>
    </row>
    <row r="140" spans="1:12" s="161" customFormat="1" ht="18" customHeight="1">
      <c r="A140" s="462"/>
      <c r="B140" s="462"/>
      <c r="C140" s="451" t="s">
        <v>94</v>
      </c>
      <c r="D140" s="452"/>
      <c r="E140" s="158">
        <f>SUM(E127:E139)</f>
        <v>3010100000</v>
      </c>
      <c r="F140" s="158">
        <f>SUM(F127:F139)</f>
        <v>3010100000</v>
      </c>
      <c r="G140" s="158">
        <f>SUM(G127:G139)</f>
        <v>3010100000</v>
      </c>
      <c r="H140" s="158">
        <f>SUM(H127:H139)</f>
        <v>2248700000</v>
      </c>
      <c r="I140" s="158">
        <f>SUM(I127:I139)</f>
        <v>2212405000</v>
      </c>
      <c r="J140" s="160" t="s">
        <v>1062</v>
      </c>
      <c r="K140" s="160" t="s">
        <v>42</v>
      </c>
      <c r="L140" s="304"/>
    </row>
    <row r="141" spans="1:12" s="161" customFormat="1" ht="18" customHeight="1">
      <c r="A141" s="462"/>
      <c r="B141" s="462"/>
      <c r="C141" s="451" t="s">
        <v>380</v>
      </c>
      <c r="D141" s="452"/>
      <c r="E141" s="162"/>
      <c r="F141" s="162"/>
      <c r="G141" s="163">
        <f>E140-G140</f>
        <v>0</v>
      </c>
      <c r="H141" s="162">
        <f>H140-K141+J141</f>
        <v>2212405000</v>
      </c>
      <c r="I141" s="163">
        <f>H141-I140</f>
        <v>0</v>
      </c>
      <c r="J141" s="324">
        <v>76140000</v>
      </c>
      <c r="K141" s="160">
        <f>H140*5%</f>
        <v>112435000</v>
      </c>
      <c r="L141" s="304" t="s">
        <v>1063</v>
      </c>
    </row>
    <row r="142" spans="1:12" ht="17.25" customHeight="1">
      <c r="A142" s="462">
        <v>20</v>
      </c>
      <c r="B142" s="462" t="s">
        <v>138</v>
      </c>
      <c r="C142" s="463" t="s">
        <v>396</v>
      </c>
      <c r="D142" s="464">
        <v>42014</v>
      </c>
      <c r="E142" s="446">
        <f>2200000000</f>
        <v>2200000000</v>
      </c>
      <c r="F142" s="446">
        <v>3500000000</v>
      </c>
      <c r="G142" s="172">
        <f>IF(I142&gt;0,I142,0)</f>
        <v>600000000</v>
      </c>
      <c r="H142" s="446">
        <v>2910000000</v>
      </c>
      <c r="I142" s="177">
        <v>600000000</v>
      </c>
      <c r="J142" s="173">
        <v>42034</v>
      </c>
      <c r="K142" s="174" t="s">
        <v>373</v>
      </c>
    </row>
    <row r="143" spans="1:12" ht="17.25" customHeight="1">
      <c r="A143" s="462"/>
      <c r="B143" s="462"/>
      <c r="C143" s="463"/>
      <c r="D143" s="463"/>
      <c r="E143" s="446"/>
      <c r="F143" s="446"/>
      <c r="G143" s="172">
        <f t="shared" ref="G143:G150" si="5">IF(I143&gt;0,I143,0)</f>
        <v>600000000</v>
      </c>
      <c r="H143" s="446"/>
      <c r="I143" s="177">
        <v>600000000</v>
      </c>
      <c r="J143" s="176">
        <v>42088</v>
      </c>
      <c r="K143" s="174" t="s">
        <v>373</v>
      </c>
    </row>
    <row r="144" spans="1:12" ht="17.25" customHeight="1">
      <c r="A144" s="462"/>
      <c r="B144" s="462"/>
      <c r="C144" s="463"/>
      <c r="D144" s="463"/>
      <c r="E144" s="446"/>
      <c r="F144" s="446"/>
      <c r="G144" s="172">
        <f t="shared" si="5"/>
        <v>500000000</v>
      </c>
      <c r="H144" s="446"/>
      <c r="I144" s="172">
        <v>500000000</v>
      </c>
      <c r="J144" s="176">
        <v>42131</v>
      </c>
      <c r="K144" s="174" t="s">
        <v>373</v>
      </c>
    </row>
    <row r="145" spans="1:12" ht="17.25" customHeight="1">
      <c r="A145" s="462"/>
      <c r="B145" s="462"/>
      <c r="C145" s="463"/>
      <c r="D145" s="463"/>
      <c r="E145" s="446"/>
      <c r="F145" s="446"/>
      <c r="G145" s="172">
        <f t="shared" si="5"/>
        <v>500000000</v>
      </c>
      <c r="H145" s="446"/>
      <c r="I145" s="172">
        <v>500000000</v>
      </c>
      <c r="J145" s="176">
        <v>42142</v>
      </c>
      <c r="K145" s="174" t="s">
        <v>373</v>
      </c>
    </row>
    <row r="146" spans="1:12" ht="17.25" customHeight="1">
      <c r="A146" s="462"/>
      <c r="B146" s="462"/>
      <c r="C146" s="463"/>
      <c r="D146" s="463"/>
      <c r="E146" s="446"/>
      <c r="F146" s="446"/>
      <c r="G146" s="172">
        <f t="shared" si="5"/>
        <v>0</v>
      </c>
      <c r="H146" s="446"/>
      <c r="I146" s="185">
        <v>-500000000</v>
      </c>
      <c r="J146" s="186">
        <v>42144</v>
      </c>
      <c r="K146" s="187" t="s">
        <v>391</v>
      </c>
    </row>
    <row r="147" spans="1:12" ht="17.25" customHeight="1">
      <c r="A147" s="462"/>
      <c r="B147" s="462"/>
      <c r="C147" s="463"/>
      <c r="D147" s="463"/>
      <c r="E147" s="446"/>
      <c r="F147" s="446"/>
      <c r="G147" s="172">
        <f t="shared" si="5"/>
        <v>500000000</v>
      </c>
      <c r="H147" s="446"/>
      <c r="I147" s="172">
        <v>500000000</v>
      </c>
      <c r="J147" s="176">
        <v>42164</v>
      </c>
      <c r="K147" s="174" t="s">
        <v>373</v>
      </c>
    </row>
    <row r="148" spans="1:12" ht="17.25" customHeight="1">
      <c r="A148" s="462"/>
      <c r="B148" s="462"/>
      <c r="C148" s="463"/>
      <c r="D148" s="463"/>
      <c r="E148" s="446"/>
      <c r="F148" s="446"/>
      <c r="G148" s="172">
        <f t="shared" si="5"/>
        <v>500000000</v>
      </c>
      <c r="H148" s="446"/>
      <c r="I148" s="172">
        <v>500000000</v>
      </c>
      <c r="J148" s="176">
        <v>42199</v>
      </c>
      <c r="K148" s="174" t="s">
        <v>373</v>
      </c>
    </row>
    <row r="149" spans="1:12" ht="17.25" customHeight="1">
      <c r="A149" s="462"/>
      <c r="B149" s="462"/>
      <c r="C149" s="463"/>
      <c r="D149" s="463"/>
      <c r="E149" s="446"/>
      <c r="F149" s="446"/>
      <c r="G149" s="172">
        <f t="shared" si="5"/>
        <v>0</v>
      </c>
      <c r="H149" s="446"/>
      <c r="I149" s="172">
        <v>-200000000</v>
      </c>
      <c r="J149" s="176">
        <v>42205</v>
      </c>
      <c r="K149" s="187" t="s">
        <v>391</v>
      </c>
    </row>
    <row r="150" spans="1:12" ht="17.25" customHeight="1">
      <c r="A150" s="462"/>
      <c r="B150" s="462"/>
      <c r="C150" s="463"/>
      <c r="D150" s="463"/>
      <c r="E150" s="446"/>
      <c r="F150" s="446"/>
      <c r="G150" s="172">
        <f t="shared" si="5"/>
        <v>0</v>
      </c>
      <c r="H150" s="446"/>
      <c r="I150" s="151"/>
      <c r="J150" s="176"/>
      <c r="K150" s="174"/>
    </row>
    <row r="151" spans="1:12" s="161" customFormat="1" ht="18" customHeight="1">
      <c r="A151" s="462"/>
      <c r="B151" s="462"/>
      <c r="C151" s="451" t="s">
        <v>94</v>
      </c>
      <c r="D151" s="452"/>
      <c r="E151" s="158">
        <f>SUM(E142:E150)</f>
        <v>2200000000</v>
      </c>
      <c r="F151" s="158">
        <f>SUM(F142:F150)</f>
        <v>3500000000</v>
      </c>
      <c r="G151" s="158">
        <f>SUM(G142:G150)</f>
        <v>3200000000</v>
      </c>
      <c r="H151" s="158">
        <f>SUM(H142:H150)</f>
        <v>2910000000</v>
      </c>
      <c r="I151" s="158">
        <f>SUM(I142:I150)</f>
        <v>2500000000</v>
      </c>
      <c r="J151" s="159"/>
      <c r="K151" s="160" t="s">
        <v>42</v>
      </c>
      <c r="L151" s="304"/>
    </row>
    <row r="152" spans="1:12" s="161" customFormat="1" ht="18" customHeight="1">
      <c r="A152" s="462"/>
      <c r="B152" s="462"/>
      <c r="C152" s="451" t="s">
        <v>380</v>
      </c>
      <c r="D152" s="452"/>
      <c r="E152" s="162"/>
      <c r="F152" s="162"/>
      <c r="G152" s="163">
        <f>E151-G151</f>
        <v>-1000000000</v>
      </c>
      <c r="H152" s="162"/>
      <c r="I152" s="163">
        <f>H151-I151</f>
        <v>410000000</v>
      </c>
      <c r="J152" s="159"/>
      <c r="K152" s="160"/>
      <c r="L152" s="304"/>
    </row>
    <row r="153" spans="1:12" ht="17.25" customHeight="1">
      <c r="A153" s="462">
        <v>21</v>
      </c>
      <c r="B153" s="462" t="s">
        <v>150</v>
      </c>
      <c r="C153" s="463" t="s">
        <v>397</v>
      </c>
      <c r="D153" s="464">
        <v>42088</v>
      </c>
      <c r="E153" s="446"/>
      <c r="F153" s="446">
        <v>1858997690</v>
      </c>
      <c r="G153" s="177">
        <v>360000000</v>
      </c>
      <c r="H153" s="446">
        <v>1300000000</v>
      </c>
      <c r="I153" s="177">
        <v>360000000</v>
      </c>
      <c r="J153" s="173">
        <v>42094</v>
      </c>
      <c r="K153" s="174" t="s">
        <v>373</v>
      </c>
    </row>
    <row r="154" spans="1:12" ht="17.25" customHeight="1">
      <c r="A154" s="462"/>
      <c r="B154" s="462"/>
      <c r="C154" s="463"/>
      <c r="D154" s="463"/>
      <c r="E154" s="446"/>
      <c r="F154" s="446"/>
      <c r="G154" s="138"/>
      <c r="H154" s="446"/>
      <c r="I154" s="151"/>
      <c r="J154" s="176"/>
      <c r="K154" s="174"/>
    </row>
    <row r="155" spans="1:12" s="161" customFormat="1" ht="18" customHeight="1">
      <c r="A155" s="462"/>
      <c r="B155" s="462"/>
      <c r="C155" s="451" t="s">
        <v>94</v>
      </c>
      <c r="D155" s="452"/>
      <c r="E155" s="158">
        <f>SUM(E153:E154)</f>
        <v>0</v>
      </c>
      <c r="F155" s="158">
        <f>SUM(F153:F154)</f>
        <v>1858997690</v>
      </c>
      <c r="G155" s="158">
        <f>SUM(G153:G154)</f>
        <v>360000000</v>
      </c>
      <c r="H155" s="158">
        <f>SUM(H153:H154)</f>
        <v>1300000000</v>
      </c>
      <c r="I155" s="158">
        <f>SUM(I153:I154)</f>
        <v>360000000</v>
      </c>
      <c r="J155" s="159"/>
      <c r="K155" s="160" t="s">
        <v>42</v>
      </c>
      <c r="L155" s="304"/>
    </row>
    <row r="156" spans="1:12" s="161" customFormat="1" ht="18" customHeight="1">
      <c r="A156" s="462"/>
      <c r="B156" s="462"/>
      <c r="C156" s="451" t="s">
        <v>380</v>
      </c>
      <c r="D156" s="452"/>
      <c r="E156" s="162"/>
      <c r="F156" s="162"/>
      <c r="G156" s="163">
        <f>E155-G155</f>
        <v>-360000000</v>
      </c>
      <c r="H156" s="162"/>
      <c r="I156" s="163">
        <f>H155-I155</f>
        <v>940000000</v>
      </c>
      <c r="J156" s="159"/>
      <c r="K156" s="160"/>
      <c r="L156" s="304"/>
    </row>
    <row r="157" spans="1:12" ht="16.5" customHeight="1">
      <c r="A157" s="462">
        <v>22</v>
      </c>
      <c r="B157" s="481" t="s">
        <v>306</v>
      </c>
      <c r="C157" s="459" t="s">
        <v>406</v>
      </c>
      <c r="D157" s="461">
        <v>42173</v>
      </c>
      <c r="E157" s="444"/>
      <c r="F157" s="444">
        <v>3652000000</v>
      </c>
      <c r="G157" s="172">
        <f>IF(I157&gt;0,I157,0)</f>
        <v>100000000</v>
      </c>
      <c r="H157" s="444">
        <v>2255000000</v>
      </c>
      <c r="I157" s="172">
        <v>100000000</v>
      </c>
      <c r="J157" s="176">
        <v>42185</v>
      </c>
      <c r="K157" s="174" t="s">
        <v>373</v>
      </c>
    </row>
    <row r="158" spans="1:12" ht="16.5" customHeight="1">
      <c r="A158" s="462"/>
      <c r="B158" s="481"/>
      <c r="C158" s="460"/>
      <c r="D158" s="460"/>
      <c r="E158" s="445"/>
      <c r="F158" s="445"/>
      <c r="G158" s="172">
        <f t="shared" ref="G158:G168" si="6">IF(I158&gt;0,I158,0)</f>
        <v>200000000</v>
      </c>
      <c r="H158" s="445"/>
      <c r="I158" s="172">
        <v>200000000</v>
      </c>
      <c r="J158" s="176">
        <v>42187</v>
      </c>
      <c r="K158" s="174" t="s">
        <v>373</v>
      </c>
    </row>
    <row r="159" spans="1:12" ht="16.5" customHeight="1">
      <c r="A159" s="462"/>
      <c r="B159" s="481"/>
      <c r="C159" s="460"/>
      <c r="D159" s="460"/>
      <c r="E159" s="445"/>
      <c r="F159" s="445"/>
      <c r="G159" s="172">
        <f t="shared" si="6"/>
        <v>500000000</v>
      </c>
      <c r="H159" s="445"/>
      <c r="I159" s="172">
        <v>500000000</v>
      </c>
      <c r="J159" s="217">
        <v>42221</v>
      </c>
      <c r="K159" s="216" t="s">
        <v>373</v>
      </c>
    </row>
    <row r="160" spans="1:12" ht="16.5" customHeight="1">
      <c r="A160" s="462"/>
      <c r="B160" s="481"/>
      <c r="C160" s="460"/>
      <c r="D160" s="460"/>
      <c r="E160" s="445"/>
      <c r="F160" s="445"/>
      <c r="G160" s="172">
        <f t="shared" si="6"/>
        <v>0</v>
      </c>
      <c r="H160" s="445"/>
      <c r="I160" s="193">
        <v>-300000000</v>
      </c>
      <c r="J160" s="194">
        <v>42234</v>
      </c>
      <c r="K160" s="195" t="s">
        <v>391</v>
      </c>
    </row>
    <row r="161" spans="1:12" ht="16.5" customHeight="1">
      <c r="A161" s="462"/>
      <c r="B161" s="481"/>
      <c r="C161" s="460"/>
      <c r="D161" s="460"/>
      <c r="E161" s="445"/>
      <c r="F161" s="445"/>
      <c r="G161" s="172">
        <f t="shared" si="6"/>
        <v>400000000</v>
      </c>
      <c r="H161" s="445"/>
      <c r="I161" s="172">
        <v>400000000</v>
      </c>
      <c r="J161" s="286">
        <v>42275</v>
      </c>
      <c r="K161" s="287" t="s">
        <v>373</v>
      </c>
    </row>
    <row r="162" spans="1:12" ht="16.5" customHeight="1">
      <c r="A162" s="462"/>
      <c r="B162" s="481"/>
      <c r="C162" s="460"/>
      <c r="D162" s="460"/>
      <c r="E162" s="445"/>
      <c r="F162" s="445"/>
      <c r="G162" s="172">
        <f t="shared" si="6"/>
        <v>0</v>
      </c>
      <c r="H162" s="445"/>
      <c r="I162" s="193">
        <v>-200000000</v>
      </c>
      <c r="J162" s="194">
        <v>42279</v>
      </c>
      <c r="K162" s="195" t="s">
        <v>391</v>
      </c>
    </row>
    <row r="163" spans="1:12" ht="16.5" customHeight="1">
      <c r="A163" s="462"/>
      <c r="B163" s="481"/>
      <c r="C163" s="460"/>
      <c r="D163" s="460"/>
      <c r="E163" s="445"/>
      <c r="F163" s="445"/>
      <c r="G163" s="172">
        <f t="shared" si="6"/>
        <v>150000000</v>
      </c>
      <c r="H163" s="445"/>
      <c r="I163" s="172">
        <v>150000000</v>
      </c>
      <c r="J163" s="302">
        <v>42291</v>
      </c>
      <c r="K163" s="301" t="s">
        <v>373</v>
      </c>
    </row>
    <row r="164" spans="1:12" ht="16.5" customHeight="1">
      <c r="A164" s="462"/>
      <c r="B164" s="481"/>
      <c r="C164" s="460"/>
      <c r="D164" s="460"/>
      <c r="E164" s="445"/>
      <c r="F164" s="445"/>
      <c r="G164" s="172">
        <f t="shared" si="6"/>
        <v>400000000</v>
      </c>
      <c r="H164" s="445"/>
      <c r="I164" s="172">
        <v>400000000</v>
      </c>
      <c r="J164" s="302">
        <v>42305</v>
      </c>
      <c r="K164" s="301" t="s">
        <v>373</v>
      </c>
    </row>
    <row r="165" spans="1:12" ht="16.5" customHeight="1">
      <c r="A165" s="462"/>
      <c r="B165" s="481"/>
      <c r="C165" s="460"/>
      <c r="D165" s="460"/>
      <c r="E165" s="445"/>
      <c r="F165" s="445"/>
      <c r="G165" s="172">
        <f t="shared" si="6"/>
        <v>300000000</v>
      </c>
      <c r="H165" s="445"/>
      <c r="I165" s="172">
        <v>300000000</v>
      </c>
      <c r="J165" s="302">
        <v>42374</v>
      </c>
      <c r="K165" s="419" t="s">
        <v>373</v>
      </c>
    </row>
    <row r="166" spans="1:12" ht="16.5" customHeight="1">
      <c r="A166" s="462"/>
      <c r="B166" s="481"/>
      <c r="C166" s="460"/>
      <c r="D166" s="460"/>
      <c r="E166" s="445"/>
      <c r="F166" s="445"/>
      <c r="G166" s="172">
        <f t="shared" si="6"/>
        <v>0</v>
      </c>
      <c r="H166" s="445"/>
      <c r="I166" s="172">
        <v>-200000000</v>
      </c>
      <c r="J166" s="194">
        <v>42374</v>
      </c>
      <c r="K166" s="195" t="s">
        <v>391</v>
      </c>
    </row>
    <row r="167" spans="1:12" ht="16.5" customHeight="1">
      <c r="A167" s="462"/>
      <c r="B167" s="481"/>
      <c r="C167" s="460"/>
      <c r="D167" s="460"/>
      <c r="E167" s="445"/>
      <c r="F167" s="445"/>
      <c r="G167" s="172">
        <f t="shared" si="6"/>
        <v>0</v>
      </c>
      <c r="H167" s="445"/>
      <c r="I167" s="172"/>
      <c r="J167" s="302"/>
      <c r="K167" s="301"/>
    </row>
    <row r="168" spans="1:12" ht="16.5" customHeight="1">
      <c r="A168" s="462"/>
      <c r="B168" s="481"/>
      <c r="C168" s="482"/>
      <c r="D168" s="482"/>
      <c r="E168" s="447"/>
      <c r="F168" s="447"/>
      <c r="G168" s="172">
        <f t="shared" si="6"/>
        <v>0</v>
      </c>
      <c r="H168" s="447"/>
      <c r="I168" s="172"/>
      <c r="J168" s="299"/>
      <c r="K168" s="300"/>
    </row>
    <row r="169" spans="1:12" s="161" customFormat="1" ht="18" customHeight="1">
      <c r="A169" s="462"/>
      <c r="B169" s="481"/>
      <c r="C169" s="451" t="s">
        <v>94</v>
      </c>
      <c r="D169" s="452"/>
      <c r="E169" s="158">
        <f>SUM(E157:E168)</f>
        <v>0</v>
      </c>
      <c r="F169" s="158">
        <f>SUM(F157:F168)</f>
        <v>3652000000</v>
      </c>
      <c r="G169" s="158">
        <f>SUM(G157:G168)</f>
        <v>2050000000</v>
      </c>
      <c r="H169" s="158">
        <f>SUM(H157:H168)</f>
        <v>2255000000</v>
      </c>
      <c r="I169" s="158">
        <f>SUM(I157:I168)</f>
        <v>1350000000</v>
      </c>
      <c r="J169" s="159"/>
      <c r="K169" s="160" t="s">
        <v>42</v>
      </c>
      <c r="L169" s="304"/>
    </row>
    <row r="170" spans="1:12" s="161" customFormat="1" ht="18" customHeight="1">
      <c r="A170" s="462"/>
      <c r="B170" s="481"/>
      <c r="C170" s="451" t="s">
        <v>380</v>
      </c>
      <c r="D170" s="452"/>
      <c r="E170" s="162"/>
      <c r="F170" s="162"/>
      <c r="G170" s="163">
        <f>E169-G169</f>
        <v>-2050000000</v>
      </c>
      <c r="H170" s="162"/>
      <c r="I170" s="163">
        <f>H169-I169</f>
        <v>905000000</v>
      </c>
      <c r="J170" s="159"/>
      <c r="K170" s="160"/>
      <c r="L170" s="304"/>
    </row>
    <row r="171" spans="1:12" ht="17.25" customHeight="1">
      <c r="A171" s="462">
        <v>23</v>
      </c>
      <c r="B171" s="462" t="s">
        <v>151</v>
      </c>
      <c r="C171" s="463"/>
      <c r="D171" s="464">
        <v>42094</v>
      </c>
      <c r="E171" s="446">
        <f>650650000+49500000</f>
        <v>700150000</v>
      </c>
      <c r="F171" s="446">
        <f>650650000+49500000</f>
        <v>700150000</v>
      </c>
      <c r="G171" s="172">
        <v>195195000</v>
      </c>
      <c r="H171" s="446">
        <f>485650000+49500000+15000000-5200000</f>
        <v>544950000</v>
      </c>
      <c r="I171" s="172">
        <v>195195000</v>
      </c>
      <c r="J171" s="176">
        <v>42103</v>
      </c>
      <c r="K171" s="174" t="s">
        <v>373</v>
      </c>
    </row>
    <row r="172" spans="1:12" ht="17.25" customHeight="1">
      <c r="A172" s="462"/>
      <c r="B172" s="462"/>
      <c r="C172" s="463"/>
      <c r="D172" s="464"/>
      <c r="E172" s="446"/>
      <c r="F172" s="446"/>
      <c r="G172" s="172">
        <v>140000000</v>
      </c>
      <c r="H172" s="446"/>
      <c r="I172" s="172">
        <v>140000000</v>
      </c>
      <c r="J172" s="176">
        <v>42170</v>
      </c>
      <c r="K172" s="174" t="s">
        <v>373</v>
      </c>
    </row>
    <row r="173" spans="1:12" ht="17.25" customHeight="1">
      <c r="A173" s="462"/>
      <c r="B173" s="462"/>
      <c r="C173" s="463"/>
      <c r="D173" s="464"/>
      <c r="E173" s="446"/>
      <c r="F173" s="446"/>
      <c r="G173" s="177">
        <f>I173</f>
        <v>50000000</v>
      </c>
      <c r="H173" s="446"/>
      <c r="I173" s="172">
        <v>50000000</v>
      </c>
      <c r="J173" s="380">
        <v>42319</v>
      </c>
      <c r="K173" s="381" t="s">
        <v>373</v>
      </c>
    </row>
    <row r="174" spans="1:12" ht="17.25" customHeight="1">
      <c r="A174" s="462"/>
      <c r="B174" s="462"/>
      <c r="C174" s="463"/>
      <c r="D174" s="464"/>
      <c r="E174" s="446"/>
      <c r="F174" s="446"/>
      <c r="G174" s="177">
        <f t="shared" ref="G174" si="7">I174</f>
        <v>314955000</v>
      </c>
      <c r="H174" s="446"/>
      <c r="I174" s="172">
        <v>314955000</v>
      </c>
      <c r="J174" s="380">
        <v>42375</v>
      </c>
      <c r="K174" s="421" t="s">
        <v>373</v>
      </c>
    </row>
    <row r="175" spans="1:12" ht="16.5" customHeight="1">
      <c r="A175" s="462"/>
      <c r="B175" s="462"/>
      <c r="C175" s="463"/>
      <c r="D175" s="464"/>
      <c r="E175" s="446"/>
      <c r="F175" s="446"/>
      <c r="G175" s="177"/>
      <c r="H175" s="446"/>
      <c r="I175" s="151">
        <v>-155200000</v>
      </c>
      <c r="J175" s="176">
        <v>42380</v>
      </c>
      <c r="K175" s="424" t="s">
        <v>373</v>
      </c>
    </row>
    <row r="176" spans="1:12" s="161" customFormat="1" ht="18" customHeight="1">
      <c r="A176" s="462"/>
      <c r="B176" s="462"/>
      <c r="C176" s="451" t="s">
        <v>94</v>
      </c>
      <c r="D176" s="452"/>
      <c r="E176" s="158">
        <f>SUM(E171:E175)</f>
        <v>700150000</v>
      </c>
      <c r="F176" s="158">
        <f>SUM(F171:F175)</f>
        <v>700150000</v>
      </c>
      <c r="G176" s="158">
        <f>SUM(G171:G175)</f>
        <v>700150000</v>
      </c>
      <c r="H176" s="158">
        <f>SUM(H171:H175)</f>
        <v>544950000</v>
      </c>
      <c r="I176" s="158">
        <f>SUM(I171:I175)</f>
        <v>544950000</v>
      </c>
      <c r="J176" s="159"/>
      <c r="K176" s="160" t="s">
        <v>42</v>
      </c>
      <c r="L176" s="304"/>
    </row>
    <row r="177" spans="1:12" s="161" customFormat="1" ht="18" customHeight="1">
      <c r="A177" s="462"/>
      <c r="B177" s="462"/>
      <c r="C177" s="451" t="s">
        <v>380</v>
      </c>
      <c r="D177" s="452"/>
      <c r="E177" s="162"/>
      <c r="F177" s="162"/>
      <c r="G177" s="163">
        <f>E176-G176</f>
        <v>0</v>
      </c>
      <c r="H177" s="162"/>
      <c r="I177" s="163">
        <f>H176-I176</f>
        <v>0</v>
      </c>
      <c r="J177" s="159"/>
      <c r="K177" s="160"/>
      <c r="L177" s="304"/>
    </row>
    <row r="178" spans="1:12" ht="16.5" customHeight="1">
      <c r="A178" s="462">
        <v>24</v>
      </c>
      <c r="B178" s="462" t="s">
        <v>152</v>
      </c>
      <c r="C178" s="463" t="s">
        <v>398</v>
      </c>
      <c r="D178" s="464">
        <v>41618</v>
      </c>
      <c r="E178" s="446"/>
      <c r="F178" s="446">
        <v>394100000</v>
      </c>
      <c r="G178" s="172">
        <v>100000000</v>
      </c>
      <c r="H178" s="446">
        <v>298500000</v>
      </c>
      <c r="I178" s="172">
        <v>100000000</v>
      </c>
      <c r="J178" s="176">
        <v>42116</v>
      </c>
      <c r="K178" s="174" t="s">
        <v>373</v>
      </c>
    </row>
    <row r="179" spans="1:12" ht="16.5" customHeight="1">
      <c r="A179" s="462"/>
      <c r="B179" s="462"/>
      <c r="C179" s="463"/>
      <c r="D179" s="464"/>
      <c r="E179" s="446"/>
      <c r="F179" s="446"/>
      <c r="G179" s="177"/>
      <c r="H179" s="446"/>
      <c r="I179" s="172"/>
      <c r="J179" s="423"/>
      <c r="K179" s="424"/>
    </row>
    <row r="180" spans="1:12" ht="16.5" customHeight="1">
      <c r="A180" s="462"/>
      <c r="B180" s="462"/>
      <c r="C180" s="463"/>
      <c r="D180" s="464"/>
      <c r="E180" s="446"/>
      <c r="F180" s="446"/>
      <c r="G180" s="177"/>
      <c r="H180" s="446"/>
      <c r="I180" s="172"/>
      <c r="J180" s="423"/>
      <c r="K180" s="424"/>
    </row>
    <row r="181" spans="1:12" ht="16.5" customHeight="1">
      <c r="A181" s="462"/>
      <c r="B181" s="462"/>
      <c r="C181" s="463"/>
      <c r="D181" s="464"/>
      <c r="E181" s="446"/>
      <c r="F181" s="446"/>
      <c r="G181" s="138"/>
      <c r="H181" s="446"/>
      <c r="I181" s="151"/>
      <c r="J181" s="176"/>
      <c r="K181" s="188"/>
    </row>
    <row r="182" spans="1:12" s="161" customFormat="1" ht="18" customHeight="1">
      <c r="A182" s="462"/>
      <c r="B182" s="462"/>
      <c r="C182" s="451" t="s">
        <v>94</v>
      </c>
      <c r="D182" s="452"/>
      <c r="E182" s="158">
        <f>SUM(E178:E181)</f>
        <v>0</v>
      </c>
      <c r="F182" s="158">
        <f>SUM(F178:F181)</f>
        <v>394100000</v>
      </c>
      <c r="G182" s="158">
        <f>SUM(G178:G181)</f>
        <v>100000000</v>
      </c>
      <c r="H182" s="158">
        <f>SUM(H178:H181)</f>
        <v>298500000</v>
      </c>
      <c r="I182" s="158">
        <f>SUM(I178:I181)</f>
        <v>100000000</v>
      </c>
      <c r="J182" s="159"/>
      <c r="K182" s="160" t="s">
        <v>42</v>
      </c>
      <c r="L182" s="304"/>
    </row>
    <row r="183" spans="1:12" s="161" customFormat="1" ht="18" customHeight="1">
      <c r="A183" s="462"/>
      <c r="B183" s="462"/>
      <c r="C183" s="451" t="s">
        <v>380</v>
      </c>
      <c r="D183" s="452"/>
      <c r="E183" s="162"/>
      <c r="F183" s="162"/>
      <c r="G183" s="163">
        <f>E182-G182</f>
        <v>-100000000</v>
      </c>
      <c r="H183" s="162"/>
      <c r="I183" s="163">
        <f>H182-I182</f>
        <v>198500000</v>
      </c>
      <c r="J183" s="159"/>
      <c r="K183" s="160"/>
      <c r="L183" s="304"/>
    </row>
    <row r="184" spans="1:12" ht="16.5" customHeight="1">
      <c r="A184" s="462">
        <v>25</v>
      </c>
      <c r="B184" s="462" t="s">
        <v>172</v>
      </c>
      <c r="C184" s="463" t="s">
        <v>399</v>
      </c>
      <c r="D184" s="464"/>
      <c r="E184" s="446"/>
      <c r="F184" s="446">
        <v>898744036</v>
      </c>
      <c r="G184" s="172">
        <f>IF(I184&gt;0,I184,0)</f>
        <v>150000000</v>
      </c>
      <c r="H184" s="446">
        <f>663683801</f>
        <v>663683801</v>
      </c>
      <c r="I184" s="172">
        <v>150000000</v>
      </c>
      <c r="J184" s="176">
        <v>42132</v>
      </c>
      <c r="K184" s="174" t="s">
        <v>373</v>
      </c>
    </row>
    <row r="185" spans="1:12" ht="16.5" customHeight="1">
      <c r="A185" s="462"/>
      <c r="B185" s="462"/>
      <c r="C185" s="463"/>
      <c r="D185" s="464"/>
      <c r="E185" s="446"/>
      <c r="F185" s="446"/>
      <c r="G185" s="172">
        <f t="shared" ref="G185:G194" si="8">IF(I185&gt;0,I185,0)</f>
        <v>150000000</v>
      </c>
      <c r="H185" s="446"/>
      <c r="I185" s="172">
        <v>150000000</v>
      </c>
      <c r="J185" s="176">
        <v>42144</v>
      </c>
      <c r="K185" s="174" t="s">
        <v>373</v>
      </c>
    </row>
    <row r="186" spans="1:12" ht="16.5" customHeight="1">
      <c r="A186" s="462"/>
      <c r="B186" s="462"/>
      <c r="C186" s="463"/>
      <c r="D186" s="464"/>
      <c r="E186" s="446"/>
      <c r="F186" s="446"/>
      <c r="G186" s="172">
        <f t="shared" si="8"/>
        <v>50000000</v>
      </c>
      <c r="H186" s="446"/>
      <c r="I186" s="172">
        <v>50000000</v>
      </c>
      <c r="J186" s="176">
        <v>42157</v>
      </c>
      <c r="K186" s="174" t="s">
        <v>373</v>
      </c>
    </row>
    <row r="187" spans="1:12" ht="16.5" customHeight="1">
      <c r="A187" s="462"/>
      <c r="B187" s="462"/>
      <c r="C187" s="463"/>
      <c r="D187" s="464"/>
      <c r="E187" s="446"/>
      <c r="F187" s="446"/>
      <c r="G187" s="172">
        <f t="shared" si="8"/>
        <v>200000000</v>
      </c>
      <c r="H187" s="446"/>
      <c r="I187" s="172">
        <v>200000000</v>
      </c>
      <c r="J187" s="176">
        <v>42167</v>
      </c>
      <c r="K187" s="174" t="s">
        <v>373</v>
      </c>
    </row>
    <row r="188" spans="1:12" ht="16.5" customHeight="1">
      <c r="A188" s="462"/>
      <c r="B188" s="462"/>
      <c r="C188" s="463"/>
      <c r="D188" s="464"/>
      <c r="E188" s="446"/>
      <c r="F188" s="446"/>
      <c r="G188" s="172">
        <f t="shared" si="8"/>
        <v>100000000</v>
      </c>
      <c r="H188" s="446"/>
      <c r="I188" s="172">
        <v>100000000</v>
      </c>
      <c r="J188" s="176">
        <v>42198</v>
      </c>
      <c r="K188" s="174" t="s">
        <v>373</v>
      </c>
    </row>
    <row r="189" spans="1:12" ht="16.5" customHeight="1">
      <c r="A189" s="462"/>
      <c r="B189" s="462"/>
      <c r="C189" s="463" t="s">
        <v>414</v>
      </c>
      <c r="D189" s="464"/>
      <c r="E189" s="446"/>
      <c r="F189" s="446">
        <v>627830692</v>
      </c>
      <c r="G189" s="172">
        <f t="shared" si="8"/>
        <v>400000000</v>
      </c>
      <c r="H189" s="446">
        <v>304043967</v>
      </c>
      <c r="I189" s="172">
        <v>400000000</v>
      </c>
      <c r="J189" s="176">
        <v>42219</v>
      </c>
      <c r="K189" s="174" t="s">
        <v>373</v>
      </c>
    </row>
    <row r="190" spans="1:12" ht="16.5" customHeight="1">
      <c r="A190" s="462"/>
      <c r="B190" s="462"/>
      <c r="C190" s="463"/>
      <c r="D190" s="464"/>
      <c r="E190" s="446"/>
      <c r="F190" s="446"/>
      <c r="G190" s="172">
        <f t="shared" si="8"/>
        <v>0</v>
      </c>
      <c r="H190" s="446"/>
      <c r="I190" s="193">
        <v>-200000000</v>
      </c>
      <c r="J190" s="194">
        <v>42220</v>
      </c>
      <c r="K190" s="195" t="s">
        <v>391</v>
      </c>
    </row>
    <row r="191" spans="1:12" ht="16.5" customHeight="1">
      <c r="A191" s="462"/>
      <c r="B191" s="462"/>
      <c r="C191" s="463"/>
      <c r="D191" s="464"/>
      <c r="E191" s="446"/>
      <c r="F191" s="446"/>
      <c r="G191" s="172">
        <f t="shared" si="8"/>
        <v>200000000</v>
      </c>
      <c r="H191" s="446"/>
      <c r="I191" s="172">
        <v>200000000</v>
      </c>
      <c r="J191" s="418">
        <v>42368</v>
      </c>
      <c r="K191" s="419" t="s">
        <v>373</v>
      </c>
    </row>
    <row r="192" spans="1:12" ht="16.5" customHeight="1">
      <c r="A192" s="462"/>
      <c r="B192" s="462"/>
      <c r="C192" s="463"/>
      <c r="D192" s="464"/>
      <c r="E192" s="446"/>
      <c r="F192" s="446"/>
      <c r="G192" s="172">
        <f t="shared" si="8"/>
        <v>0</v>
      </c>
      <c r="H192" s="446"/>
      <c r="I192" s="193">
        <v>-100000000</v>
      </c>
      <c r="J192" s="194">
        <v>42368</v>
      </c>
      <c r="K192" s="195" t="s">
        <v>391</v>
      </c>
    </row>
    <row r="193" spans="1:12" ht="16.5" customHeight="1">
      <c r="A193" s="462"/>
      <c r="B193" s="462"/>
      <c r="C193" s="463"/>
      <c r="D193" s="464"/>
      <c r="E193" s="446"/>
      <c r="F193" s="446"/>
      <c r="G193" s="172">
        <f t="shared" si="8"/>
        <v>0</v>
      </c>
      <c r="H193" s="446"/>
      <c r="I193" s="172"/>
      <c r="J193" s="418"/>
      <c r="K193" s="422"/>
    </row>
    <row r="194" spans="1:12" ht="16.5" customHeight="1">
      <c r="A194" s="462"/>
      <c r="B194" s="462"/>
      <c r="C194" s="463"/>
      <c r="D194" s="464"/>
      <c r="E194" s="446"/>
      <c r="F194" s="446"/>
      <c r="G194" s="172">
        <f t="shared" si="8"/>
        <v>0</v>
      </c>
      <c r="H194" s="446"/>
      <c r="I194" s="172"/>
      <c r="J194" s="418"/>
      <c r="K194" s="419"/>
    </row>
    <row r="195" spans="1:12" s="161" customFormat="1" ht="18" customHeight="1">
      <c r="A195" s="462"/>
      <c r="B195" s="462"/>
      <c r="C195" s="451" t="s">
        <v>94</v>
      </c>
      <c r="D195" s="452"/>
      <c r="E195" s="158">
        <f>SUM(E184:E194)</f>
        <v>0</v>
      </c>
      <c r="F195" s="158">
        <f>SUM(F184:F194)</f>
        <v>1526574728</v>
      </c>
      <c r="G195" s="158">
        <f>SUM(G184:G194)</f>
        <v>1250000000</v>
      </c>
      <c r="H195" s="158">
        <f>SUM(H184:H194)</f>
        <v>967727768</v>
      </c>
      <c r="I195" s="158">
        <f>SUM(I184:I194)</f>
        <v>950000000</v>
      </c>
      <c r="J195" s="159"/>
      <c r="K195" s="160" t="s">
        <v>42</v>
      </c>
      <c r="L195" s="304"/>
    </row>
    <row r="196" spans="1:12" s="161" customFormat="1" ht="18" customHeight="1">
      <c r="A196" s="462"/>
      <c r="B196" s="462"/>
      <c r="C196" s="451" t="s">
        <v>380</v>
      </c>
      <c r="D196" s="452"/>
      <c r="E196" s="162"/>
      <c r="F196" s="162"/>
      <c r="G196" s="163">
        <f>E195-G195</f>
        <v>-1250000000</v>
      </c>
      <c r="H196" s="162"/>
      <c r="I196" s="163">
        <f>H195-I195</f>
        <v>17727768</v>
      </c>
      <c r="J196" s="159"/>
      <c r="K196" s="160"/>
      <c r="L196" s="304"/>
    </row>
    <row r="197" spans="1:12" ht="16.5" customHeight="1">
      <c r="A197" s="462">
        <v>26</v>
      </c>
      <c r="B197" s="481" t="s">
        <v>190</v>
      </c>
      <c r="C197" s="483" t="s">
        <v>402</v>
      </c>
      <c r="D197" s="485">
        <v>42125</v>
      </c>
      <c r="E197" s="179">
        <v>99315638</v>
      </c>
      <c r="F197" s="487">
        <v>893000000</v>
      </c>
      <c r="G197" s="172">
        <f>IF(I197&gt;0,I197,0)</f>
        <v>200000000</v>
      </c>
      <c r="H197" s="179">
        <v>99315000</v>
      </c>
      <c r="I197" s="179">
        <v>200000000</v>
      </c>
      <c r="J197" s="189">
        <v>42144</v>
      </c>
      <c r="K197" s="190" t="s">
        <v>373</v>
      </c>
    </row>
    <row r="198" spans="1:12" ht="16.5" customHeight="1">
      <c r="A198" s="462"/>
      <c r="B198" s="481"/>
      <c r="C198" s="460"/>
      <c r="D198" s="473"/>
      <c r="E198" s="172">
        <v>525544049</v>
      </c>
      <c r="F198" s="445"/>
      <c r="G198" s="172">
        <f t="shared" ref="G198:G206" si="9">IF(I198&gt;0,I198,0)</f>
        <v>250000000</v>
      </c>
      <c r="H198" s="172">
        <v>278359000</v>
      </c>
      <c r="I198" s="172">
        <v>250000000</v>
      </c>
      <c r="J198" s="176">
        <v>42188</v>
      </c>
      <c r="K198" s="178" t="s">
        <v>373</v>
      </c>
    </row>
    <row r="199" spans="1:12" ht="16.5" customHeight="1">
      <c r="A199" s="462"/>
      <c r="B199" s="481"/>
      <c r="C199" s="460"/>
      <c r="D199" s="473"/>
      <c r="F199" s="445"/>
      <c r="G199" s="172">
        <f t="shared" si="9"/>
        <v>300000000</v>
      </c>
      <c r="H199" s="172">
        <v>247185000</v>
      </c>
      <c r="I199" s="181">
        <v>300000000</v>
      </c>
      <c r="J199" s="176">
        <v>42219</v>
      </c>
      <c r="K199" s="178" t="s">
        <v>373</v>
      </c>
    </row>
    <row r="200" spans="1:12" ht="16.5" customHeight="1">
      <c r="A200" s="462"/>
      <c r="B200" s="481"/>
      <c r="C200" s="460"/>
      <c r="D200" s="473"/>
      <c r="E200" s="172">
        <v>60382018</v>
      </c>
      <c r="F200" s="445"/>
      <c r="G200" s="172">
        <f t="shared" si="9"/>
        <v>0</v>
      </c>
      <c r="H200" s="172">
        <v>61180000</v>
      </c>
      <c r="I200" s="181">
        <v>-100000000</v>
      </c>
      <c r="J200" s="176">
        <v>42220</v>
      </c>
      <c r="K200" s="187" t="s">
        <v>391</v>
      </c>
    </row>
    <row r="201" spans="1:12" ht="16.5" customHeight="1">
      <c r="A201" s="462"/>
      <c r="B201" s="481"/>
      <c r="C201" s="460"/>
      <c r="D201" s="473"/>
      <c r="E201" s="172">
        <v>295513229</v>
      </c>
      <c r="F201" s="445"/>
      <c r="G201" s="172">
        <f t="shared" si="9"/>
        <v>150000000</v>
      </c>
      <c r="H201" s="172">
        <v>303311000</v>
      </c>
      <c r="I201" s="225">
        <v>150000000</v>
      </c>
      <c r="J201" s="229">
        <v>42251</v>
      </c>
      <c r="K201" s="242" t="s">
        <v>373</v>
      </c>
    </row>
    <row r="202" spans="1:12" ht="16.5" customHeight="1">
      <c r="A202" s="462"/>
      <c r="B202" s="481"/>
      <c r="C202" s="460"/>
      <c r="D202" s="473"/>
      <c r="E202" s="172">
        <v>81027109</v>
      </c>
      <c r="F202" s="445"/>
      <c r="G202" s="172">
        <f t="shared" si="9"/>
        <v>150000000</v>
      </c>
      <c r="H202" s="172">
        <v>82240000</v>
      </c>
      <c r="I202" s="296">
        <v>150000000</v>
      </c>
      <c r="J202" s="297">
        <v>42279</v>
      </c>
      <c r="K202" s="294" t="s">
        <v>373</v>
      </c>
    </row>
    <row r="203" spans="1:12" ht="16.5" customHeight="1">
      <c r="A203" s="462"/>
      <c r="B203" s="481"/>
      <c r="C203" s="460"/>
      <c r="D203" s="473"/>
      <c r="E203" s="172">
        <v>11344513</v>
      </c>
      <c r="F203" s="445"/>
      <c r="G203" s="382">
        <v>123128513</v>
      </c>
      <c r="H203" s="389">
        <v>19689000</v>
      </c>
      <c r="I203" s="385">
        <v>123128513</v>
      </c>
      <c r="J203" s="384">
        <v>42366</v>
      </c>
      <c r="K203" s="386" t="s">
        <v>373</v>
      </c>
    </row>
    <row r="204" spans="1:12" ht="16.5" customHeight="1">
      <c r="A204" s="462"/>
      <c r="B204" s="481"/>
      <c r="C204" s="460"/>
      <c r="D204" s="473"/>
      <c r="E204" s="197">
        <v>100001957</v>
      </c>
      <c r="F204" s="445"/>
      <c r="G204" s="172"/>
      <c r="H204" s="389">
        <v>8483500</v>
      </c>
      <c r="I204" s="382"/>
      <c r="J204" s="384"/>
      <c r="K204" s="383"/>
    </row>
    <row r="205" spans="1:12" ht="16.5" customHeight="1">
      <c r="A205" s="462"/>
      <c r="B205" s="481"/>
      <c r="C205" s="460"/>
      <c r="D205" s="473"/>
      <c r="E205" s="172"/>
      <c r="F205" s="445"/>
      <c r="G205" s="172"/>
      <c r="H205" s="389">
        <v>11344513</v>
      </c>
      <c r="I205" s="382"/>
      <c r="J205" s="384"/>
      <c r="K205" s="383"/>
    </row>
    <row r="206" spans="1:12" ht="16.5" customHeight="1">
      <c r="A206" s="462"/>
      <c r="B206" s="481"/>
      <c r="C206" s="484"/>
      <c r="D206" s="486"/>
      <c r="E206" s="388"/>
      <c r="F206" s="488"/>
      <c r="G206" s="172">
        <f t="shared" si="9"/>
        <v>0</v>
      </c>
      <c r="H206" s="388"/>
      <c r="I206" s="182"/>
      <c r="J206" s="191"/>
      <c r="K206" s="192"/>
    </row>
    <row r="207" spans="1:12" s="161" customFormat="1" ht="18" customHeight="1">
      <c r="A207" s="462"/>
      <c r="B207" s="481"/>
      <c r="C207" s="451" t="s">
        <v>94</v>
      </c>
      <c r="D207" s="452"/>
      <c r="E207" s="158">
        <f>SUM(E197:E206)</f>
        <v>1173128513</v>
      </c>
      <c r="F207" s="158">
        <f>SUM(F197:F206)</f>
        <v>893000000</v>
      </c>
      <c r="G207" s="158">
        <f t="shared" ref="G207:I207" si="10">SUM(G197:G206)</f>
        <v>1173128513</v>
      </c>
      <c r="H207" s="158">
        <f>SUM(H197:H206)</f>
        <v>1111107013</v>
      </c>
      <c r="I207" s="158">
        <f t="shared" si="10"/>
        <v>1073128513</v>
      </c>
      <c r="J207" s="160"/>
      <c r="K207" s="160" t="s">
        <v>42</v>
      </c>
      <c r="L207" s="304"/>
    </row>
    <row r="208" spans="1:12" s="161" customFormat="1" ht="18" customHeight="1">
      <c r="A208" s="462"/>
      <c r="B208" s="481"/>
      <c r="C208" s="451" t="s">
        <v>380</v>
      </c>
      <c r="D208" s="452"/>
      <c r="E208" s="162"/>
      <c r="F208" s="162"/>
      <c r="G208" s="163">
        <f>E207-G207</f>
        <v>0</v>
      </c>
      <c r="H208" s="162"/>
      <c r="I208" s="163">
        <f>H207-I207</f>
        <v>37978500</v>
      </c>
      <c r="J208" s="162"/>
      <c r="K208" s="390"/>
      <c r="L208" s="304"/>
    </row>
    <row r="209" spans="1:12" ht="16.5" customHeight="1">
      <c r="A209" s="462">
        <v>27</v>
      </c>
      <c r="B209" s="481" t="s">
        <v>269</v>
      </c>
      <c r="C209" s="459" t="s">
        <v>403</v>
      </c>
      <c r="D209" s="461">
        <v>42125</v>
      </c>
      <c r="E209" s="444"/>
      <c r="F209" s="444">
        <v>1489950000</v>
      </c>
      <c r="G209" s="172">
        <f>IF(I209&gt;0,I209,0)</f>
        <v>200000000</v>
      </c>
      <c r="H209" s="444">
        <v>868450000</v>
      </c>
      <c r="I209" s="172">
        <v>200000000</v>
      </c>
      <c r="J209" s="176">
        <v>42150</v>
      </c>
      <c r="K209" s="174" t="s">
        <v>373</v>
      </c>
    </row>
    <row r="210" spans="1:12" ht="16.5" customHeight="1">
      <c r="A210" s="462"/>
      <c r="B210" s="481"/>
      <c r="C210" s="460"/>
      <c r="D210" s="460"/>
      <c r="E210" s="445"/>
      <c r="F210" s="445"/>
      <c r="G210" s="172">
        <f t="shared" ref="G210:G216" si="11">IF(I210&gt;0,I210,0)</f>
        <v>500000000</v>
      </c>
      <c r="H210" s="445"/>
      <c r="I210" s="172">
        <v>500000000</v>
      </c>
      <c r="J210" s="176">
        <v>42198</v>
      </c>
      <c r="K210" s="174" t="s">
        <v>373</v>
      </c>
    </row>
    <row r="211" spans="1:12" ht="16.5" customHeight="1">
      <c r="A211" s="462"/>
      <c r="B211" s="481"/>
      <c r="C211" s="460"/>
      <c r="D211" s="460"/>
      <c r="E211" s="445"/>
      <c r="F211" s="445"/>
      <c r="G211" s="172">
        <f t="shared" si="11"/>
        <v>0</v>
      </c>
      <c r="H211" s="445"/>
      <c r="I211" s="193">
        <v>-300000000</v>
      </c>
      <c r="J211" s="194">
        <v>42199</v>
      </c>
      <c r="K211" s="195" t="s">
        <v>391</v>
      </c>
    </row>
    <row r="212" spans="1:12" ht="16.5" customHeight="1">
      <c r="A212" s="462"/>
      <c r="B212" s="481"/>
      <c r="C212" s="460"/>
      <c r="D212" s="460"/>
      <c r="E212" s="445"/>
      <c r="F212" s="445"/>
      <c r="G212" s="172">
        <f t="shared" si="11"/>
        <v>500000000</v>
      </c>
      <c r="H212" s="445"/>
      <c r="I212" s="172">
        <v>500000000</v>
      </c>
      <c r="J212" s="233">
        <v>42241</v>
      </c>
      <c r="K212" s="232" t="s">
        <v>373</v>
      </c>
    </row>
    <row r="213" spans="1:12" ht="16.5" customHeight="1">
      <c r="A213" s="462"/>
      <c r="B213" s="481"/>
      <c r="C213" s="460"/>
      <c r="D213" s="460"/>
      <c r="E213" s="445"/>
      <c r="F213" s="445"/>
      <c r="G213" s="172">
        <f t="shared" si="11"/>
        <v>0</v>
      </c>
      <c r="H213" s="445"/>
      <c r="I213" s="193">
        <v>-300000000</v>
      </c>
      <c r="J213" s="194">
        <v>42242</v>
      </c>
      <c r="K213" s="195" t="s">
        <v>391</v>
      </c>
    </row>
    <row r="214" spans="1:12" ht="16.5" customHeight="1">
      <c r="A214" s="462"/>
      <c r="B214" s="481"/>
      <c r="C214" s="460"/>
      <c r="D214" s="460"/>
      <c r="E214" s="445"/>
      <c r="F214" s="445"/>
      <c r="G214" s="172">
        <f t="shared" si="11"/>
        <v>400000000</v>
      </c>
      <c r="H214" s="445"/>
      <c r="I214" s="172">
        <v>400000000</v>
      </c>
      <c r="J214" s="295">
        <v>42279</v>
      </c>
      <c r="K214" s="298" t="s">
        <v>373</v>
      </c>
    </row>
    <row r="215" spans="1:12" ht="16.5" customHeight="1">
      <c r="A215" s="462"/>
      <c r="B215" s="481"/>
      <c r="C215" s="460"/>
      <c r="D215" s="460"/>
      <c r="E215" s="445"/>
      <c r="F215" s="445"/>
      <c r="G215" s="172">
        <f t="shared" si="11"/>
        <v>0</v>
      </c>
      <c r="H215" s="445"/>
      <c r="I215" s="193">
        <v>-200000000</v>
      </c>
      <c r="J215" s="194">
        <v>42286</v>
      </c>
      <c r="K215" s="195" t="s">
        <v>391</v>
      </c>
    </row>
    <row r="216" spans="1:12" ht="16.5" customHeight="1">
      <c r="A216" s="462"/>
      <c r="B216" s="481"/>
      <c r="C216" s="460"/>
      <c r="D216" s="460"/>
      <c r="E216" s="445"/>
      <c r="F216" s="445"/>
      <c r="G216" s="172">
        <f t="shared" si="11"/>
        <v>0</v>
      </c>
      <c r="H216" s="445"/>
      <c r="I216" s="151"/>
      <c r="J216" s="176"/>
      <c r="K216" s="188"/>
    </row>
    <row r="217" spans="1:12" s="161" customFormat="1" ht="18" customHeight="1">
      <c r="A217" s="462"/>
      <c r="B217" s="481"/>
      <c r="C217" s="451" t="s">
        <v>94</v>
      </c>
      <c r="D217" s="452"/>
      <c r="E217" s="158">
        <f>SUM(E209:E216)</f>
        <v>0</v>
      </c>
      <c r="F217" s="158">
        <f>SUM(F209:F216)</f>
        <v>1489950000</v>
      </c>
      <c r="G217" s="158">
        <f>SUM(G209:G216)</f>
        <v>1600000000</v>
      </c>
      <c r="H217" s="158">
        <f>SUM(H209:H216)</f>
        <v>868450000</v>
      </c>
      <c r="I217" s="158">
        <f>SUM(I209:I216)</f>
        <v>800000000</v>
      </c>
      <c r="J217" s="159"/>
      <c r="K217" s="160" t="s">
        <v>42</v>
      </c>
      <c r="L217" s="304"/>
    </row>
    <row r="218" spans="1:12" s="161" customFormat="1" ht="18" customHeight="1">
      <c r="A218" s="462"/>
      <c r="B218" s="481"/>
      <c r="C218" s="451" t="s">
        <v>380</v>
      </c>
      <c r="D218" s="452"/>
      <c r="E218" s="162"/>
      <c r="F218" s="162"/>
      <c r="G218" s="163">
        <f>E217-G217</f>
        <v>-1600000000</v>
      </c>
      <c r="H218" s="162"/>
      <c r="I218" s="163">
        <f>H217-I217</f>
        <v>68450000</v>
      </c>
      <c r="J218" s="159"/>
      <c r="K218" s="160"/>
      <c r="L218" s="304"/>
    </row>
    <row r="219" spans="1:12" ht="16.5" customHeight="1">
      <c r="A219" s="462">
        <v>28</v>
      </c>
      <c r="B219" s="481" t="s">
        <v>407</v>
      </c>
      <c r="C219" s="459" t="s">
        <v>408</v>
      </c>
      <c r="D219" s="461">
        <v>42205</v>
      </c>
      <c r="E219" s="444"/>
      <c r="F219" s="444">
        <v>282530000</v>
      </c>
      <c r="G219" s="172">
        <f t="shared" ref="G219:G227" si="12">IF(I219&gt;0,I219,0)</f>
        <v>90000000</v>
      </c>
      <c r="H219" s="444">
        <v>282530000</v>
      </c>
      <c r="I219" s="151">
        <v>90000000</v>
      </c>
      <c r="J219" s="176">
        <v>42212</v>
      </c>
      <c r="K219" s="174" t="s">
        <v>373</v>
      </c>
    </row>
    <row r="220" spans="1:12" ht="16.5" customHeight="1">
      <c r="A220" s="462"/>
      <c r="B220" s="481"/>
      <c r="C220" s="460"/>
      <c r="D220" s="473"/>
      <c r="E220" s="445"/>
      <c r="F220" s="445"/>
      <c r="G220" s="172">
        <f t="shared" si="12"/>
        <v>50000000</v>
      </c>
      <c r="H220" s="445"/>
      <c r="I220" s="151">
        <v>50000000</v>
      </c>
      <c r="J220" s="214">
        <v>42229</v>
      </c>
      <c r="K220" s="215" t="s">
        <v>373</v>
      </c>
    </row>
    <row r="221" spans="1:12" ht="16.5" customHeight="1">
      <c r="A221" s="462"/>
      <c r="B221" s="481"/>
      <c r="C221" s="460"/>
      <c r="D221" s="473"/>
      <c r="E221" s="445"/>
      <c r="F221" s="445"/>
      <c r="G221" s="172">
        <f t="shared" si="12"/>
        <v>50000000</v>
      </c>
      <c r="H221" s="445"/>
      <c r="I221" s="151">
        <v>50000000</v>
      </c>
      <c r="J221" s="233">
        <v>42241</v>
      </c>
      <c r="K221" s="232" t="s">
        <v>373</v>
      </c>
    </row>
    <row r="222" spans="1:12" ht="16.5" customHeight="1">
      <c r="A222" s="462"/>
      <c r="B222" s="481"/>
      <c r="C222" s="460"/>
      <c r="D222" s="473"/>
      <c r="E222" s="445"/>
      <c r="F222" s="445"/>
      <c r="G222" s="172">
        <f t="shared" si="12"/>
        <v>50000000</v>
      </c>
      <c r="H222" s="445"/>
      <c r="I222" s="151">
        <v>50000000</v>
      </c>
      <c r="J222" s="281">
        <v>42251</v>
      </c>
      <c r="K222" s="280" t="s">
        <v>373</v>
      </c>
    </row>
    <row r="223" spans="1:12" ht="16.5" customHeight="1">
      <c r="A223" s="462"/>
      <c r="B223" s="481"/>
      <c r="C223" s="460"/>
      <c r="D223" s="473"/>
      <c r="E223" s="445"/>
      <c r="F223" s="445"/>
      <c r="G223" s="172">
        <f t="shared" si="12"/>
        <v>30000000</v>
      </c>
      <c r="H223" s="445"/>
      <c r="I223" s="151">
        <v>30000000</v>
      </c>
      <c r="J223" s="310">
        <v>42285</v>
      </c>
      <c r="K223" s="311" t="s">
        <v>373</v>
      </c>
    </row>
    <row r="224" spans="1:12" ht="16.5" customHeight="1">
      <c r="A224" s="462"/>
      <c r="B224" s="481"/>
      <c r="C224" s="460"/>
      <c r="D224" s="473"/>
      <c r="E224" s="445"/>
      <c r="F224" s="445"/>
      <c r="G224" s="172"/>
      <c r="H224" s="445"/>
      <c r="I224" s="151">
        <v>10000000</v>
      </c>
      <c r="J224" s="310">
        <v>42306</v>
      </c>
      <c r="K224" s="311" t="s">
        <v>387</v>
      </c>
    </row>
    <row r="225" spans="1:13" ht="16.5" customHeight="1">
      <c r="A225" s="462"/>
      <c r="B225" s="481"/>
      <c r="C225" s="460"/>
      <c r="D225" s="473"/>
      <c r="E225" s="445"/>
      <c r="F225" s="445"/>
      <c r="G225" s="172">
        <f t="shared" si="12"/>
        <v>30000000</v>
      </c>
      <c r="H225" s="445"/>
      <c r="I225" s="151">
        <v>30000000</v>
      </c>
      <c r="J225" s="329">
        <v>42342</v>
      </c>
      <c r="K225" s="381" t="s">
        <v>373</v>
      </c>
    </row>
    <row r="226" spans="1:13" ht="16.5" customHeight="1">
      <c r="A226" s="462"/>
      <c r="B226" s="481"/>
      <c r="C226" s="460"/>
      <c r="D226" s="473"/>
      <c r="E226" s="445"/>
      <c r="F226" s="445"/>
      <c r="G226" s="172">
        <f t="shared" si="12"/>
        <v>0</v>
      </c>
      <c r="H226" s="445"/>
      <c r="I226" s="151"/>
      <c r="J226" s="329"/>
      <c r="K226" s="328"/>
    </row>
    <row r="227" spans="1:13" ht="16.5" customHeight="1">
      <c r="A227" s="462"/>
      <c r="B227" s="481"/>
      <c r="C227" s="460"/>
      <c r="D227" s="460"/>
      <c r="E227" s="445"/>
      <c r="F227" s="445"/>
      <c r="G227" s="172">
        <f t="shared" si="12"/>
        <v>0</v>
      </c>
      <c r="H227" s="445"/>
      <c r="I227" s="151"/>
      <c r="J227" s="176"/>
      <c r="K227" s="300"/>
    </row>
    <row r="228" spans="1:13" s="161" customFormat="1" ht="18" customHeight="1">
      <c r="A228" s="462"/>
      <c r="B228" s="481"/>
      <c r="C228" s="451" t="s">
        <v>94</v>
      </c>
      <c r="D228" s="452"/>
      <c r="E228" s="158">
        <f>SUM(E219:E227)</f>
        <v>0</v>
      </c>
      <c r="F228" s="158">
        <f>SUM(F219:F227)</f>
        <v>282530000</v>
      </c>
      <c r="G228" s="158">
        <f>SUM(G219:G227)</f>
        <v>300000000</v>
      </c>
      <c r="H228" s="158">
        <f>SUM(H219:H227)</f>
        <v>282530000</v>
      </c>
      <c r="I228" s="158">
        <f>SUM(I219:I227)</f>
        <v>310000000</v>
      </c>
      <c r="J228" s="159"/>
      <c r="K228" s="160" t="s">
        <v>42</v>
      </c>
      <c r="L228" s="304"/>
    </row>
    <row r="229" spans="1:13" s="161" customFormat="1" ht="18" customHeight="1">
      <c r="A229" s="462"/>
      <c r="B229" s="481"/>
      <c r="C229" s="451" t="s">
        <v>380</v>
      </c>
      <c r="D229" s="452"/>
      <c r="E229" s="162"/>
      <c r="F229" s="162"/>
      <c r="G229" s="163">
        <f>E228-G228</f>
        <v>-300000000</v>
      </c>
      <c r="H229" s="162"/>
      <c r="I229" s="163">
        <f>H228-I228</f>
        <v>-27470000</v>
      </c>
      <c r="J229" s="159"/>
      <c r="K229" s="160"/>
      <c r="L229" s="304"/>
    </row>
    <row r="230" spans="1:13" ht="16.5" customHeight="1">
      <c r="A230" s="462">
        <v>29</v>
      </c>
      <c r="B230" s="481" t="s">
        <v>428</v>
      </c>
      <c r="C230" s="207" t="str">
        <f ca="1">"Chi phí TM (có HĐ) đến "&amp; TEXT(NOW(),"dd/MM/yy")</f>
        <v>Chi phí TM (có HĐ) đến 12/01/16</v>
      </c>
      <c r="D230" s="189"/>
      <c r="E230" s="212">
        <f t="array" ref="E230">SUM(IF(KHN&amp;KHC="642"&amp;"1111",TH))</f>
        <v>110993002</v>
      </c>
      <c r="F230" s="223">
        <f t="array" ref="F230">SUM(IF(KHN&amp;KHC="642"&amp;"1111",TH))</f>
        <v>110993002</v>
      </c>
      <c r="G230" s="212">
        <f>F230</f>
        <v>110993002</v>
      </c>
      <c r="H230" s="226">
        <f t="shared" ref="H230:I230" si="13">G230</f>
        <v>110993002</v>
      </c>
      <c r="I230" s="226">
        <f t="shared" si="13"/>
        <v>110993002</v>
      </c>
      <c r="J230" s="205" t="str">
        <f>IF(D230&lt;&gt;"",D230,"")</f>
        <v/>
      </c>
      <c r="K230" s="211" t="s">
        <v>387</v>
      </c>
    </row>
    <row r="231" spans="1:13" ht="16.5" customHeight="1">
      <c r="A231" s="462"/>
      <c r="B231" s="481"/>
      <c r="C231" s="211" t="str">
        <f ca="1">"CP lãi vay ( 09/2014 - "&amp;MONTH(NOW())&amp;"/"&amp;YEAR(NOW())&amp;" )"</f>
        <v>CP lãi vay ( 09/2014 - 1/2016 )</v>
      </c>
      <c r="D231" s="173"/>
      <c r="E231" s="212">
        <f t="array" ref="E231">SUM(IF(KHN&amp;KHC="635"&amp;"1121",TH))</f>
        <v>1532829404</v>
      </c>
      <c r="F231" s="223">
        <f t="array" ref="F231">SUM(IF(KHN&amp;KHC="635"&amp;"1121",TH))</f>
        <v>1532829404</v>
      </c>
      <c r="G231" s="226">
        <f t="shared" ref="G231:I234" si="14">F231</f>
        <v>1532829404</v>
      </c>
      <c r="H231" s="226">
        <f t="shared" si="14"/>
        <v>1532829404</v>
      </c>
      <c r="I231" s="226">
        <f t="shared" si="14"/>
        <v>1532829404</v>
      </c>
      <c r="J231" s="205" t="str">
        <f t="shared" ref="J231" si="15">IF(D231&lt;&gt;"",D231,"")</f>
        <v/>
      </c>
      <c r="K231" s="211" t="s">
        <v>387</v>
      </c>
    </row>
    <row r="232" spans="1:13" ht="16.5" customHeight="1">
      <c r="A232" s="462"/>
      <c r="B232" s="481"/>
      <c r="C232" s="211" t="s">
        <v>427</v>
      </c>
      <c r="D232" s="173">
        <v>42130</v>
      </c>
      <c r="E232" s="226"/>
      <c r="F232" s="223">
        <v>23000000</v>
      </c>
      <c r="G232" s="226">
        <f t="shared" si="14"/>
        <v>23000000</v>
      </c>
      <c r="H232" s="226">
        <f t="shared" si="14"/>
        <v>23000000</v>
      </c>
      <c r="I232" s="226">
        <f t="shared" si="14"/>
        <v>23000000</v>
      </c>
      <c r="J232" s="205">
        <f t="shared" ref="J232:J234" si="16">IF(D232&lt;&gt;"",D232,"")</f>
        <v>42130</v>
      </c>
      <c r="K232" s="211" t="s">
        <v>387</v>
      </c>
    </row>
    <row r="233" spans="1:13" ht="16.5" customHeight="1">
      <c r="A233" s="462"/>
      <c r="B233" s="481"/>
      <c r="C233" s="204" t="s">
        <v>429</v>
      </c>
      <c r="D233" s="205">
        <v>42224</v>
      </c>
      <c r="E233" s="206"/>
      <c r="F233" s="220">
        <v>3740000</v>
      </c>
      <c r="G233" s="226">
        <f t="shared" si="14"/>
        <v>3740000</v>
      </c>
      <c r="H233" s="226">
        <f t="shared" si="14"/>
        <v>3740000</v>
      </c>
      <c r="I233" s="226">
        <f t="shared" si="14"/>
        <v>3740000</v>
      </c>
      <c r="J233" s="205">
        <f t="shared" si="16"/>
        <v>42224</v>
      </c>
      <c r="K233" s="211" t="s">
        <v>387</v>
      </c>
    </row>
    <row r="234" spans="1:13" ht="16.5" customHeight="1">
      <c r="A234" s="462"/>
      <c r="B234" s="481"/>
      <c r="C234" s="204"/>
      <c r="D234" s="205"/>
      <c r="E234" s="206"/>
      <c r="F234" s="220"/>
      <c r="G234" s="226">
        <f t="shared" si="14"/>
        <v>0</v>
      </c>
      <c r="H234" s="226">
        <f t="shared" si="14"/>
        <v>0</v>
      </c>
      <c r="I234" s="226">
        <f t="shared" si="14"/>
        <v>0</v>
      </c>
      <c r="J234" s="205" t="str">
        <f t="shared" si="16"/>
        <v/>
      </c>
      <c r="K234" s="211"/>
    </row>
    <row r="235" spans="1:13" s="161" customFormat="1" ht="18" customHeight="1">
      <c r="A235" s="462"/>
      <c r="B235" s="481"/>
      <c r="C235" s="451" t="s">
        <v>94</v>
      </c>
      <c r="D235" s="452"/>
      <c r="E235" s="158">
        <f>SUM(E230:E234)</f>
        <v>1643822406</v>
      </c>
      <c r="F235" s="158">
        <f>SUM(F230:F234)</f>
        <v>1670562406</v>
      </c>
      <c r="G235" s="158">
        <f>SUM(G230:G234)</f>
        <v>1670562406</v>
      </c>
      <c r="H235" s="158">
        <f>SUM(H230:H234)</f>
        <v>1670562406</v>
      </c>
      <c r="I235" s="158">
        <f>SUM(I230:I234)</f>
        <v>1670562406</v>
      </c>
      <c r="J235" s="159"/>
      <c r="K235" s="160" t="s">
        <v>42</v>
      </c>
      <c r="L235" s="304"/>
    </row>
    <row r="236" spans="1:13" s="161" customFormat="1" ht="18" customHeight="1">
      <c r="A236" s="462"/>
      <c r="B236" s="481"/>
      <c r="C236" s="451" t="s">
        <v>380</v>
      </c>
      <c r="D236" s="452"/>
      <c r="E236" s="162"/>
      <c r="F236" s="162"/>
      <c r="G236" s="163"/>
      <c r="H236" s="162"/>
      <c r="I236" s="163">
        <f>H235-I235</f>
        <v>0</v>
      </c>
      <c r="J236" s="159"/>
      <c r="K236" s="160"/>
      <c r="L236" s="304"/>
    </row>
    <row r="237" spans="1:13" ht="28.5" customHeight="1">
      <c r="A237" s="493" t="s">
        <v>409</v>
      </c>
      <c r="B237" s="494"/>
      <c r="C237" s="494"/>
      <c r="D237" s="495"/>
      <c r="E237" s="146">
        <f>SUMIF(DSTT,"x",$E$7:$E$236)</f>
        <v>21648651929</v>
      </c>
      <c r="F237" s="146">
        <f>SUMIF(DSTT,"x",$F$7:$F$236)</f>
        <v>35521104354</v>
      </c>
      <c r="G237" s="146">
        <f>SUMIF(DSTT,"x",$G$7:$G$236)</f>
        <v>28584053309</v>
      </c>
      <c r="H237" s="146">
        <f>SUMIF(DSTT,"x",$H$7:$H$236)</f>
        <v>31100533337</v>
      </c>
      <c r="I237" s="146">
        <f>SUMIF(DSTT,"x",$I$7:$I$236)</f>
        <v>25249658309</v>
      </c>
      <c r="J237" s="196"/>
      <c r="K237" s="196"/>
      <c r="M237" s="197"/>
    </row>
    <row r="238" spans="1:13" ht="17.25" customHeight="1"/>
    <row r="239" spans="1:13" ht="17.25" customHeight="1"/>
    <row r="240" spans="1:13" ht="17.25" customHeight="1"/>
    <row r="241" spans="10:13" ht="17.25" customHeight="1">
      <c r="J241" s="198" t="s">
        <v>387</v>
      </c>
      <c r="K241" s="199">
        <f>SUMIF(DSTT,J241,DSTT1)</f>
        <v>1980562406</v>
      </c>
    </row>
    <row r="242" spans="10:13" ht="17.25" customHeight="1">
      <c r="J242" s="198" t="s">
        <v>373</v>
      </c>
      <c r="K242" s="199">
        <f>SUMIF(DSTT,J242,DSTT1)</f>
        <v>26713410903</v>
      </c>
      <c r="L242" s="197">
        <f>'331'!E41</f>
        <v>27506120790</v>
      </c>
      <c r="M242" s="200">
        <f>K242-L242+L243</f>
        <v>-792382287</v>
      </c>
    </row>
    <row r="243" spans="10:13" ht="17.25" customHeight="1">
      <c r="J243" s="201" t="s">
        <v>391</v>
      </c>
      <c r="K243" s="199">
        <f>SUMIF(DSTT,J243,DSTT1)</f>
        <v>-3489195000</v>
      </c>
      <c r="L243" s="197">
        <f>327600</f>
        <v>327600</v>
      </c>
    </row>
    <row r="244" spans="10:13" ht="17.25" customHeight="1"/>
    <row r="245" spans="10:13" ht="17.25" customHeight="1">
      <c r="K245" s="202"/>
    </row>
  </sheetData>
  <autoFilter ref="A4:M218"/>
  <mergeCells count="253">
    <mergeCell ref="F219:F227"/>
    <mergeCell ref="A237:D237"/>
    <mergeCell ref="A219:A229"/>
    <mergeCell ref="B219:B229"/>
    <mergeCell ref="C219:C227"/>
    <mergeCell ref="D219:D227"/>
    <mergeCell ref="E219:E227"/>
    <mergeCell ref="A209:A218"/>
    <mergeCell ref="B209:B218"/>
    <mergeCell ref="C209:C216"/>
    <mergeCell ref="D209:D216"/>
    <mergeCell ref="E209:E216"/>
    <mergeCell ref="H219:H227"/>
    <mergeCell ref="C228:D228"/>
    <mergeCell ref="C229:D229"/>
    <mergeCell ref="A230:A236"/>
    <mergeCell ref="B230:B236"/>
    <mergeCell ref="C235:D235"/>
    <mergeCell ref="C236:D236"/>
    <mergeCell ref="H54:H55"/>
    <mergeCell ref="C57:D57"/>
    <mergeCell ref="C58:D58"/>
    <mergeCell ref="A59:A61"/>
    <mergeCell ref="B59:B61"/>
    <mergeCell ref="C60:D60"/>
    <mergeCell ref="C61:D61"/>
    <mergeCell ref="B96:B99"/>
    <mergeCell ref="C96:C97"/>
    <mergeCell ref="D96:D97"/>
    <mergeCell ref="E96:E97"/>
    <mergeCell ref="F96:F97"/>
    <mergeCell ref="H96:H97"/>
    <mergeCell ref="C98:D98"/>
    <mergeCell ref="C99:D99"/>
    <mergeCell ref="A54:A58"/>
    <mergeCell ref="B54:B58"/>
    <mergeCell ref="H66:H67"/>
    <mergeCell ref="C68:D68"/>
    <mergeCell ref="C69:D69"/>
    <mergeCell ref="H74:H77"/>
    <mergeCell ref="C78:D78"/>
    <mergeCell ref="H100:H112"/>
    <mergeCell ref="H113:H124"/>
    <mergeCell ref="C73:D73"/>
    <mergeCell ref="C100:C112"/>
    <mergeCell ref="H91:H93"/>
    <mergeCell ref="C94:D94"/>
    <mergeCell ref="C72:D72"/>
    <mergeCell ref="H153:H154"/>
    <mergeCell ref="C155:D155"/>
    <mergeCell ref="F153:F154"/>
    <mergeCell ref="E127:E131"/>
    <mergeCell ref="H127:H131"/>
    <mergeCell ref="F142:F150"/>
    <mergeCell ref="H142:H150"/>
    <mergeCell ref="E142:E150"/>
    <mergeCell ref="E132:E139"/>
    <mergeCell ref="F127:F131"/>
    <mergeCell ref="F132:F139"/>
    <mergeCell ref="H209:H216"/>
    <mergeCell ref="C217:D217"/>
    <mergeCell ref="C218:D218"/>
    <mergeCell ref="F209:F216"/>
    <mergeCell ref="H189:H194"/>
    <mergeCell ref="A197:A208"/>
    <mergeCell ref="B197:B208"/>
    <mergeCell ref="C197:C206"/>
    <mergeCell ref="D197:D206"/>
    <mergeCell ref="C207:D207"/>
    <mergeCell ref="C208:D208"/>
    <mergeCell ref="F189:F194"/>
    <mergeCell ref="C189:C194"/>
    <mergeCell ref="F197:F206"/>
    <mergeCell ref="C195:D195"/>
    <mergeCell ref="C196:D196"/>
    <mergeCell ref="E189:E194"/>
    <mergeCell ref="D189:D194"/>
    <mergeCell ref="F184:F188"/>
    <mergeCell ref="E184:E188"/>
    <mergeCell ref="H184:H188"/>
    <mergeCell ref="A80:A90"/>
    <mergeCell ref="B80:B90"/>
    <mergeCell ref="C80:C82"/>
    <mergeCell ref="D80:D82"/>
    <mergeCell ref="A184:A196"/>
    <mergeCell ref="B184:B196"/>
    <mergeCell ref="C184:C188"/>
    <mergeCell ref="D184:D188"/>
    <mergeCell ref="C125:D125"/>
    <mergeCell ref="C126:D126"/>
    <mergeCell ref="A157:A170"/>
    <mergeCell ref="B157:B170"/>
    <mergeCell ref="C157:C168"/>
    <mergeCell ref="D157:D168"/>
    <mergeCell ref="C169:D169"/>
    <mergeCell ref="C170:D170"/>
    <mergeCell ref="A178:A183"/>
    <mergeCell ref="C156:D156"/>
    <mergeCell ref="C140:D140"/>
    <mergeCell ref="C141:D141"/>
    <mergeCell ref="C151:D151"/>
    <mergeCell ref="E171:E175"/>
    <mergeCell ref="H171:H175"/>
    <mergeCell ref="C176:D176"/>
    <mergeCell ref="C177:D177"/>
    <mergeCell ref="F171:F175"/>
    <mergeCell ref="B178:B183"/>
    <mergeCell ref="C178:C181"/>
    <mergeCell ref="D178:D181"/>
    <mergeCell ref="E178:E181"/>
    <mergeCell ref="H178:H181"/>
    <mergeCell ref="C182:D182"/>
    <mergeCell ref="C183:D183"/>
    <mergeCell ref="F178:F181"/>
    <mergeCell ref="A100:A126"/>
    <mergeCell ref="B100:B126"/>
    <mergeCell ref="C74:C77"/>
    <mergeCell ref="D74:D77"/>
    <mergeCell ref="F100:F112"/>
    <mergeCell ref="F113:F124"/>
    <mergeCell ref="F74:F77"/>
    <mergeCell ref="C89:D89"/>
    <mergeCell ref="C90:D90"/>
    <mergeCell ref="A91:A95"/>
    <mergeCell ref="B91:B95"/>
    <mergeCell ref="C91:C93"/>
    <mergeCell ref="D91:D93"/>
    <mergeCell ref="A96:A99"/>
    <mergeCell ref="E80:E82"/>
    <mergeCell ref="C83:D83"/>
    <mergeCell ref="C84:D84"/>
    <mergeCell ref="E91:E93"/>
    <mergeCell ref="A18:A20"/>
    <mergeCell ref="B18:B20"/>
    <mergeCell ref="C19:D19"/>
    <mergeCell ref="C20:D20"/>
    <mergeCell ref="A27:A29"/>
    <mergeCell ref="B27:B29"/>
    <mergeCell ref="C28:D28"/>
    <mergeCell ref="C29:D29"/>
    <mergeCell ref="A33:A35"/>
    <mergeCell ref="B33:B35"/>
    <mergeCell ref="C34:D34"/>
    <mergeCell ref="C35:D35"/>
    <mergeCell ref="C23:D23"/>
    <mergeCell ref="A24:A26"/>
    <mergeCell ref="B24:B26"/>
    <mergeCell ref="C25:D25"/>
    <mergeCell ref="C26:D26"/>
    <mergeCell ref="A21:A23"/>
    <mergeCell ref="A30:A32"/>
    <mergeCell ref="B30:B32"/>
    <mergeCell ref="C31:D31"/>
    <mergeCell ref="C32:D32"/>
    <mergeCell ref="B21:B23"/>
    <mergeCell ref="C22:D22"/>
    <mergeCell ref="A142:A152"/>
    <mergeCell ref="B142:B152"/>
    <mergeCell ref="C142:C150"/>
    <mergeCell ref="D142:D150"/>
    <mergeCell ref="A153:A156"/>
    <mergeCell ref="B153:B156"/>
    <mergeCell ref="C132:C139"/>
    <mergeCell ref="D132:D139"/>
    <mergeCell ref="A1:K1"/>
    <mergeCell ref="A3:A4"/>
    <mergeCell ref="B3:B4"/>
    <mergeCell ref="C3:C4"/>
    <mergeCell ref="D3:D4"/>
    <mergeCell ref="E3:G3"/>
    <mergeCell ref="H3:I3"/>
    <mergeCell ref="J3:J4"/>
    <mergeCell ref="K3:K4"/>
    <mergeCell ref="A5:A17"/>
    <mergeCell ref="B5:B17"/>
    <mergeCell ref="C16:D16"/>
    <mergeCell ref="C17:D17"/>
    <mergeCell ref="E66:E67"/>
    <mergeCell ref="C66:C67"/>
    <mergeCell ref="D66:D67"/>
    <mergeCell ref="A171:A177"/>
    <mergeCell ref="B171:B177"/>
    <mergeCell ref="C171:C175"/>
    <mergeCell ref="D171:D175"/>
    <mergeCell ref="C152:D152"/>
    <mergeCell ref="E113:E124"/>
    <mergeCell ref="C70:C71"/>
    <mergeCell ref="D70:D71"/>
    <mergeCell ref="E70:E71"/>
    <mergeCell ref="A74:A79"/>
    <mergeCell ref="B74:B79"/>
    <mergeCell ref="C79:D79"/>
    <mergeCell ref="C153:C154"/>
    <mergeCell ref="D85:D87"/>
    <mergeCell ref="C95:D95"/>
    <mergeCell ref="D153:D154"/>
    <mergeCell ref="C85:C87"/>
    <mergeCell ref="D100:D112"/>
    <mergeCell ref="C113:C124"/>
    <mergeCell ref="D113:D124"/>
    <mergeCell ref="A127:A141"/>
    <mergeCell ref="B127:B141"/>
    <mergeCell ref="C127:C131"/>
    <mergeCell ref="D127:D131"/>
    <mergeCell ref="A66:A73"/>
    <mergeCell ref="B66:B73"/>
    <mergeCell ref="A45:A53"/>
    <mergeCell ref="B45:B53"/>
    <mergeCell ref="C45:C51"/>
    <mergeCell ref="C54:C55"/>
    <mergeCell ref="D54:D55"/>
    <mergeCell ref="A36:A44"/>
    <mergeCell ref="B36:B44"/>
    <mergeCell ref="C36:C42"/>
    <mergeCell ref="D36:D42"/>
    <mergeCell ref="A62:A65"/>
    <mergeCell ref="B62:B65"/>
    <mergeCell ref="C62:C63"/>
    <mergeCell ref="D62:D63"/>
    <mergeCell ref="E62:E63"/>
    <mergeCell ref="C64:D64"/>
    <mergeCell ref="C65:D65"/>
    <mergeCell ref="E36:E42"/>
    <mergeCell ref="C43:D43"/>
    <mergeCell ref="C44:D44"/>
    <mergeCell ref="E45:E51"/>
    <mergeCell ref="C52:D52"/>
    <mergeCell ref="D45:D51"/>
    <mergeCell ref="C53:D53"/>
    <mergeCell ref="F45:F51"/>
    <mergeCell ref="F54:F55"/>
    <mergeCell ref="F62:F63"/>
    <mergeCell ref="E54:E55"/>
    <mergeCell ref="H132:H139"/>
    <mergeCell ref="H36:H42"/>
    <mergeCell ref="H62:H63"/>
    <mergeCell ref="H45:H51"/>
    <mergeCell ref="E157:E168"/>
    <mergeCell ref="H157:H168"/>
    <mergeCell ref="F157:F168"/>
    <mergeCell ref="E85:E87"/>
    <mergeCell ref="H85:H87"/>
    <mergeCell ref="F80:F82"/>
    <mergeCell ref="F85:F87"/>
    <mergeCell ref="F91:F93"/>
    <mergeCell ref="E153:E154"/>
    <mergeCell ref="H80:H82"/>
    <mergeCell ref="H70:H71"/>
    <mergeCell ref="E100:E112"/>
    <mergeCell ref="F70:F71"/>
    <mergeCell ref="F36:F42"/>
    <mergeCell ref="E74:E77"/>
    <mergeCell ref="F66:F67"/>
  </mergeCells>
  <pageMargins left="0.16" right="0.12" top="0.27" bottom="0.2" header="0.2" footer="0.17"/>
  <pageSetup paperSize="9" orientation="landscape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45"/>
  <sheetViews>
    <sheetView showZeros="0" topLeftCell="A19" workbookViewId="0">
      <selection activeCell="B38" sqref="B38"/>
    </sheetView>
  </sheetViews>
  <sheetFormatPr defaultColWidth="8" defaultRowHeight="17.25" customHeight="1"/>
  <cols>
    <col min="1" max="1" width="5.5703125" style="12" customWidth="1"/>
    <col min="2" max="2" width="45.7109375" style="12" customWidth="1"/>
    <col min="3" max="4" width="7.28515625" style="12" hidden="1" customWidth="1"/>
    <col min="5" max="5" width="15.28515625" style="12" bestFit="1" customWidth="1"/>
    <col min="6" max="6" width="15.5703125" style="12" customWidth="1"/>
    <col min="7" max="7" width="13.28515625" style="12" customWidth="1"/>
    <col min="8" max="8" width="13.5703125" style="12" customWidth="1"/>
    <col min="9" max="9" width="17.140625" style="20" customWidth="1"/>
    <col min="10" max="10" width="13.140625" style="12" customWidth="1"/>
    <col min="11" max="16384" width="8" style="12"/>
  </cols>
  <sheetData>
    <row r="1" spans="1:10" ht="31.5" customHeight="1">
      <c r="A1" s="499" t="s">
        <v>425</v>
      </c>
      <c r="B1" s="499"/>
      <c r="C1" s="499"/>
      <c r="D1" s="499"/>
      <c r="E1" s="499"/>
    </row>
    <row r="2" spans="1:10" s="13" customFormat="1" ht="17.25" customHeight="1">
      <c r="A2" s="500" t="s">
        <v>79</v>
      </c>
      <c r="B2" s="502" t="s">
        <v>80</v>
      </c>
      <c r="C2" s="496" t="s">
        <v>81</v>
      </c>
      <c r="D2" s="497"/>
      <c r="E2" s="496" t="s">
        <v>82</v>
      </c>
      <c r="F2" s="497"/>
      <c r="G2" s="496" t="s">
        <v>102</v>
      </c>
      <c r="H2" s="497"/>
      <c r="I2" s="498"/>
    </row>
    <row r="3" spans="1:10" s="13" customFormat="1" ht="17.25" customHeight="1">
      <c r="A3" s="501"/>
      <c r="B3" s="503"/>
      <c r="C3" s="203" t="s">
        <v>103</v>
      </c>
      <c r="D3" s="203" t="s">
        <v>104</v>
      </c>
      <c r="E3" s="203" t="s">
        <v>103</v>
      </c>
      <c r="F3" s="203" t="s">
        <v>104</v>
      </c>
      <c r="G3" s="203" t="s">
        <v>103</v>
      </c>
      <c r="H3" s="203" t="s">
        <v>104</v>
      </c>
      <c r="I3" s="498"/>
    </row>
    <row r="4" spans="1:10" s="13" customFormat="1" ht="17.25" customHeight="1">
      <c r="A4" s="6">
        <f>ROW()-3</f>
        <v>1</v>
      </c>
      <c r="B4" s="7" t="s">
        <v>83</v>
      </c>
      <c r="C4" s="8"/>
      <c r="D4" s="8"/>
      <c r="E4" s="8">
        <f t="array" ref="E4">SUM(IF("331"&amp;B4=KHN&amp;KH,TH))</f>
        <v>199400666</v>
      </c>
      <c r="F4" s="8">
        <f t="array" ref="F4">SUM(IF("331"&amp;B4=KHC&amp;KH,TH))</f>
        <v>199400666</v>
      </c>
      <c r="G4" s="213">
        <f>ROUND(MAX(C4+E4-D4-F4,0),2)</f>
        <v>0</v>
      </c>
      <c r="H4" s="213">
        <f>ROUND(MAX(D4+F4-C4-E4,0),2)</f>
        <v>0</v>
      </c>
      <c r="I4" s="21"/>
    </row>
    <row r="5" spans="1:10" s="13" customFormat="1" ht="17.25" customHeight="1">
      <c r="A5" s="6">
        <f t="shared" ref="A5:A39" si="0">ROW()-3</f>
        <v>2</v>
      </c>
      <c r="B5" s="7" t="s">
        <v>86</v>
      </c>
      <c r="C5" s="8"/>
      <c r="D5" s="8"/>
      <c r="E5" s="8">
        <f t="array" ref="E5">SUM(IF("331"&amp;B5=KHN&amp;KH,TH))</f>
        <v>188900000</v>
      </c>
      <c r="F5" s="8">
        <f t="array" ref="F5">SUM(IF("331"&amp;B5=KHC&amp;KH,TH))</f>
        <v>60500000</v>
      </c>
      <c r="G5" s="213">
        <f>ROUND(MAX(C5+E5-D5-F5,0),2)</f>
        <v>128400000</v>
      </c>
      <c r="H5" s="213">
        <f>ROUND(MAX(D5+F5-C5-E5,0),2)</f>
        <v>0</v>
      </c>
      <c r="I5" s="21"/>
      <c r="J5" s="309"/>
    </row>
    <row r="6" spans="1:10" s="14" customFormat="1" ht="17.25" customHeight="1">
      <c r="A6" s="6">
        <f t="shared" si="0"/>
        <v>3</v>
      </c>
      <c r="B6" s="9" t="s">
        <v>108</v>
      </c>
      <c r="C6" s="10"/>
      <c r="D6" s="10"/>
      <c r="E6" s="8">
        <f t="array" ref="E6">SUM(IF("331"&amp;B6=KHN&amp;KH,TH))</f>
        <v>80000000</v>
      </c>
      <c r="F6" s="8">
        <f t="array" ref="F6">SUM(IF("331"&amp;B6=KHC&amp;KH,TH))</f>
        <v>80000000</v>
      </c>
      <c r="G6" s="213">
        <f t="shared" ref="G6" si="1">ROUND(MAX(C6+E6-D6-F6,0),2)</f>
        <v>0</v>
      </c>
      <c r="H6" s="213">
        <f t="shared" ref="H6" si="2">ROUND(MAX(D6+F6-C6-E6,0),2)</f>
        <v>0</v>
      </c>
      <c r="I6" s="21"/>
      <c r="J6" s="309"/>
    </row>
    <row r="7" spans="1:10" s="14" customFormat="1" ht="17.25" customHeight="1">
      <c r="A7" s="6">
        <f t="shared" si="0"/>
        <v>4</v>
      </c>
      <c r="B7" s="9" t="s">
        <v>132</v>
      </c>
      <c r="C7" s="10"/>
      <c r="D7" s="10"/>
      <c r="E7" s="8">
        <f t="array" ref="E7">SUM(IF("331"&amp;B7=KHN&amp;KH,TH))</f>
        <v>30800005</v>
      </c>
      <c r="F7" s="8">
        <f t="array" ref="F7">SUM(IF("331"&amp;B7=KHC&amp;KH,TH))</f>
        <v>30800005</v>
      </c>
      <c r="G7" s="213">
        <f t="shared" ref="G7:G30" si="3">ROUND(MAX(C7+E7-D7-F7,0),2)</f>
        <v>0</v>
      </c>
      <c r="H7" s="213">
        <f t="shared" ref="H7:H30" si="4">ROUND(MAX(D7+F7-C7-E7,0),2)</f>
        <v>0</v>
      </c>
      <c r="I7" s="21"/>
      <c r="J7" s="309"/>
    </row>
    <row r="8" spans="1:10" s="14" customFormat="1" ht="17.25" customHeight="1">
      <c r="A8" s="6">
        <f t="shared" si="0"/>
        <v>5</v>
      </c>
      <c r="B8" s="9" t="s">
        <v>129</v>
      </c>
      <c r="C8" s="10"/>
      <c r="D8" s="10"/>
      <c r="E8" s="8">
        <f t="array" ref="E8">SUM(IF("331"&amp;B8=KHN&amp;KH,TH))</f>
        <v>16327199</v>
      </c>
      <c r="F8" s="8">
        <f t="array" ref="F8">SUM(IF("331"&amp;B8=KHC&amp;KH,TH))</f>
        <v>16327199</v>
      </c>
      <c r="G8" s="213">
        <f t="shared" si="3"/>
        <v>0</v>
      </c>
      <c r="H8" s="213">
        <f t="shared" si="4"/>
        <v>0</v>
      </c>
      <c r="I8" s="21"/>
      <c r="J8" s="309"/>
    </row>
    <row r="9" spans="1:10" s="14" customFormat="1" ht="17.25" customHeight="1">
      <c r="A9" s="6">
        <f t="shared" si="0"/>
        <v>6</v>
      </c>
      <c r="B9" s="9" t="s">
        <v>89</v>
      </c>
      <c r="C9" s="10"/>
      <c r="D9" s="10"/>
      <c r="E9" s="8">
        <f t="array" ref="E9">SUM(IF("331"&amp;B9=KHN&amp;KH,TH))</f>
        <v>1587337400</v>
      </c>
      <c r="F9" s="8">
        <f t="array" ref="F9">SUM(IF("331"&amp;B9=KHC&amp;KH,TH))</f>
        <v>1587337400</v>
      </c>
      <c r="G9" s="213">
        <f t="shared" si="3"/>
        <v>0</v>
      </c>
      <c r="H9" s="213">
        <f t="shared" si="4"/>
        <v>0</v>
      </c>
      <c r="I9" s="21"/>
      <c r="J9" s="309"/>
    </row>
    <row r="10" spans="1:10" s="14" customFormat="1" ht="17.25" customHeight="1">
      <c r="A10" s="6">
        <f t="shared" si="0"/>
        <v>7</v>
      </c>
      <c r="B10" s="9" t="s">
        <v>91</v>
      </c>
      <c r="C10" s="10"/>
      <c r="D10" s="10"/>
      <c r="E10" s="8">
        <f t="array" ref="E10">SUM(IF("331"&amp;B10=KHN&amp;KH,TH))</f>
        <v>289000000</v>
      </c>
      <c r="F10" s="8">
        <f t="array" ref="F10">SUM(IF("331"&amp;B10=KHC&amp;KH,TH))</f>
        <v>289000000</v>
      </c>
      <c r="G10" s="213">
        <f t="shared" si="3"/>
        <v>0</v>
      </c>
      <c r="H10" s="213">
        <f t="shared" si="4"/>
        <v>0</v>
      </c>
      <c r="I10" s="21"/>
      <c r="J10" s="309"/>
    </row>
    <row r="11" spans="1:10" s="14" customFormat="1" ht="17.25" customHeight="1">
      <c r="A11" s="6">
        <f t="shared" si="0"/>
        <v>8</v>
      </c>
      <c r="B11" s="9" t="s">
        <v>285</v>
      </c>
      <c r="C11" s="10"/>
      <c r="D11" s="10"/>
      <c r="E11" s="8">
        <f t="array" ref="E11">SUM(IF("331"&amp;B11=KHN&amp;KH,TH))</f>
        <v>30440000</v>
      </c>
      <c r="F11" s="8">
        <f t="array" ref="F11">SUM(IF("331"&amp;B11=KHC&amp;KH,TH))</f>
        <v>30440000</v>
      </c>
      <c r="G11" s="213">
        <f>ROUND(MAX(C11+E11-D11-F11,0),2)</f>
        <v>0</v>
      </c>
      <c r="H11" s="213">
        <f>ROUND(MAX(D11+F11-C11-E11,0),2)</f>
        <v>0</v>
      </c>
      <c r="I11" s="21"/>
      <c r="J11" s="309"/>
    </row>
    <row r="12" spans="1:10" s="14" customFormat="1" ht="17.25" customHeight="1">
      <c r="A12" s="6">
        <f t="shared" si="0"/>
        <v>9</v>
      </c>
      <c r="B12" s="9" t="s">
        <v>305</v>
      </c>
      <c r="C12" s="10"/>
      <c r="D12" s="10"/>
      <c r="E12" s="8">
        <f t="array" ref="E12">SUM(IF("331"&amp;B12=KHN&amp;KH,TH))</f>
        <v>150454066</v>
      </c>
      <c r="F12" s="8">
        <f t="array" ref="F12">SUM(IF("331"&amp;B12=KHC&amp;KH,TH))</f>
        <v>150454066</v>
      </c>
      <c r="G12" s="213">
        <f>ROUND(MAX(C12+E12-D12-F12,0),2)</f>
        <v>0</v>
      </c>
      <c r="H12" s="213">
        <f>ROUND(MAX(D12+F12-C12-E12,0),2)</f>
        <v>0</v>
      </c>
      <c r="I12" s="21"/>
      <c r="J12" s="309"/>
    </row>
    <row r="13" spans="1:10" s="14" customFormat="1" ht="17.25" customHeight="1">
      <c r="A13" s="6">
        <f t="shared" si="0"/>
        <v>10</v>
      </c>
      <c r="B13" s="9" t="s">
        <v>312</v>
      </c>
      <c r="C13" s="10"/>
      <c r="D13" s="10"/>
      <c r="E13" s="8">
        <f t="array" ref="E13">SUM(IF("331"&amp;B13=KHN&amp;KH,TH))</f>
        <v>21610454</v>
      </c>
      <c r="F13" s="8">
        <f t="array" ref="F13">SUM(IF("331"&amp;B13=KHC&amp;KH,TH))</f>
        <v>21610454</v>
      </c>
      <c r="G13" s="213">
        <f>ROUND(MAX(C13+E13-D13-F13,0),2)</f>
        <v>0</v>
      </c>
      <c r="H13" s="213">
        <f>ROUND(MAX(D13+F13-C13-E13,0),2)</f>
        <v>0</v>
      </c>
      <c r="I13" s="21"/>
      <c r="J13" s="309"/>
    </row>
    <row r="14" spans="1:10" s="14" customFormat="1" ht="17.25" customHeight="1">
      <c r="A14" s="6">
        <f t="shared" si="0"/>
        <v>11</v>
      </c>
      <c r="B14" s="9" t="s">
        <v>357</v>
      </c>
      <c r="C14" s="10"/>
      <c r="D14" s="10"/>
      <c r="E14" s="8">
        <f t="array" ref="E14">SUM(IF("331"&amp;B14=KHN&amp;KH,TH))</f>
        <v>53060000</v>
      </c>
      <c r="F14" s="8">
        <f t="array" ref="F14">SUM(IF("331"&amp;B14=KHC&amp;KH,TH))</f>
        <v>53060000</v>
      </c>
      <c r="G14" s="213">
        <f t="shared" ref="G14" si="5">ROUND(MAX(C14+E14-D14-F14,0),2)</f>
        <v>0</v>
      </c>
      <c r="H14" s="213">
        <f t="shared" ref="H14" si="6">ROUND(MAX(D14+F14-C14-E14,0),2)</f>
        <v>0</v>
      </c>
      <c r="I14" s="21"/>
      <c r="J14" s="309"/>
    </row>
    <row r="15" spans="1:10" s="14" customFormat="1" ht="17.25" customHeight="1">
      <c r="A15" s="6">
        <f t="shared" si="0"/>
        <v>12</v>
      </c>
      <c r="B15" s="125" t="s">
        <v>441</v>
      </c>
      <c r="C15" s="10"/>
      <c r="D15" s="10"/>
      <c r="E15" s="8">
        <f t="array" ref="E15">SUM(IF("331"&amp;B15=KHN&amp;KH,TH))</f>
        <v>33000000</v>
      </c>
      <c r="F15" s="8">
        <f t="array" ref="F15">SUM(IF("331"&amp;B15=KHC&amp;KH,TH))</f>
        <v>33000000</v>
      </c>
      <c r="G15" s="213">
        <f>ROUND(MAX(C15+E15-D15-F15,0),2)</f>
        <v>0</v>
      </c>
      <c r="H15" s="213">
        <f>ROUND(MAX(D15+F15-C15-E15,0),2)</f>
        <v>0</v>
      </c>
      <c r="I15" s="21"/>
      <c r="J15" s="309"/>
    </row>
    <row r="16" spans="1:10" s="14" customFormat="1" ht="17.25" customHeight="1">
      <c r="A16" s="6">
        <f t="shared" si="0"/>
        <v>13</v>
      </c>
      <c r="B16" s="9" t="s">
        <v>85</v>
      </c>
      <c r="C16" s="10"/>
      <c r="D16" s="10"/>
      <c r="E16" s="8">
        <f t="array" ref="E16">SUM(IF("331"&amp;B16=KHN&amp;KH,TH))</f>
        <v>8850000000</v>
      </c>
      <c r="F16" s="8">
        <f t="array" ref="F16">SUM(IF("331"&amp;B16=KHC&amp;KH,TH))</f>
        <v>8500000000</v>
      </c>
      <c r="G16" s="213">
        <f t="shared" si="3"/>
        <v>350000000</v>
      </c>
      <c r="H16" s="213">
        <f t="shared" si="4"/>
        <v>0</v>
      </c>
      <c r="I16" s="21"/>
      <c r="J16" s="309"/>
    </row>
    <row r="17" spans="1:10" s="14" customFormat="1" ht="17.25" customHeight="1">
      <c r="A17" s="6">
        <f t="shared" si="0"/>
        <v>14</v>
      </c>
      <c r="B17" s="9" t="s">
        <v>111</v>
      </c>
      <c r="C17" s="10"/>
      <c r="D17" s="10"/>
      <c r="E17" s="8">
        <f t="array" ref="E17">SUM(IF("331"&amp;B17=KHN&amp;KH,TH))</f>
        <v>3010100000</v>
      </c>
      <c r="F17" s="8">
        <f t="array" ref="F17">SUM(IF("331"&amp;B17=KHC&amp;KH,TH))</f>
        <v>3010100000</v>
      </c>
      <c r="G17" s="213">
        <f>ROUND(MAX(C17+E17-D17-F17,0),2)</f>
        <v>0</v>
      </c>
      <c r="H17" s="213">
        <f>ROUND(MAX(D17+F17-C17-E17,0),2)</f>
        <v>0</v>
      </c>
      <c r="I17" s="21"/>
      <c r="J17" s="309"/>
    </row>
    <row r="18" spans="1:10" s="14" customFormat="1" ht="17.25" customHeight="1">
      <c r="A18" s="6">
        <f t="shared" si="0"/>
        <v>15</v>
      </c>
      <c r="B18" s="9" t="s">
        <v>300</v>
      </c>
      <c r="C18" s="10"/>
      <c r="D18" s="10"/>
      <c r="E18" s="8">
        <f t="array" ref="E18">SUM(IF("331"&amp;B18=KHN&amp;KH,TH))</f>
        <v>871216820</v>
      </c>
      <c r="F18" s="8">
        <f t="array" ref="F18">SUM(IF("331"&amp;B18=KHC&amp;KH,TH))</f>
        <v>963508720</v>
      </c>
      <c r="G18" s="213">
        <f>ROUND(MAX(C18+E18-D18-F18,0),2)</f>
        <v>0</v>
      </c>
      <c r="H18" s="213">
        <f>ROUND(MAX(D18+F18-C18-E18,0),2)</f>
        <v>92291900</v>
      </c>
      <c r="I18" s="21"/>
      <c r="J18" s="309"/>
    </row>
    <row r="19" spans="1:10" s="14" customFormat="1" ht="17.25" customHeight="1">
      <c r="A19" s="6">
        <f t="shared" si="0"/>
        <v>16</v>
      </c>
      <c r="B19" s="9" t="s">
        <v>190</v>
      </c>
      <c r="C19" s="10"/>
      <c r="D19" s="10"/>
      <c r="E19" s="8">
        <f t="array" ref="E19">SUM(IF("331"&amp;B19=KHN&amp;KH,TH))</f>
        <v>1173128513</v>
      </c>
      <c r="F19" s="8">
        <f t="array" ref="F19">SUM(IF("331"&amp;B19=KHC&amp;KH,TH))</f>
        <v>1211110079</v>
      </c>
      <c r="G19" s="213">
        <f>ROUND(MAX(C19+E19-D19-F19,0),2)</f>
        <v>0</v>
      </c>
      <c r="H19" s="213">
        <f>ROUND(MAX(D19+F19-C19-E19,0),2)</f>
        <v>37981566</v>
      </c>
      <c r="I19" s="21"/>
      <c r="J19" s="309"/>
    </row>
    <row r="20" spans="1:10" s="14" customFormat="1" ht="17.25" customHeight="1">
      <c r="A20" s="6">
        <f t="shared" si="0"/>
        <v>17</v>
      </c>
      <c r="B20" s="125" t="s">
        <v>481</v>
      </c>
      <c r="C20" s="10"/>
      <c r="D20" s="10"/>
      <c r="E20" s="8">
        <f t="array" ref="E20">SUM(IF("331"&amp;B20=KHN&amp;KH,TH))</f>
        <v>400000000</v>
      </c>
      <c r="F20" s="8">
        <f t="array" ref="F20">SUM(IF("331"&amp;B20=KHC&amp;KH,TH))</f>
        <v>599632000</v>
      </c>
      <c r="G20" s="213">
        <f t="shared" ref="G20" si="7">ROUND(MAX(C20+E20-D20-F20,0),2)</f>
        <v>0</v>
      </c>
      <c r="H20" s="213">
        <f t="shared" ref="H20" si="8">ROUND(MAX(D20+F20-C20-E20,0),2)</f>
        <v>199632000</v>
      </c>
      <c r="I20" s="21"/>
      <c r="J20" s="309"/>
    </row>
    <row r="21" spans="1:10" s="14" customFormat="1" ht="17.25" customHeight="1">
      <c r="A21" s="6">
        <f t="shared" si="0"/>
        <v>18</v>
      </c>
      <c r="B21" s="9" t="s">
        <v>172</v>
      </c>
      <c r="C21" s="10"/>
      <c r="D21" s="10"/>
      <c r="E21" s="8">
        <f t="array" ref="E21">SUM(IF("331"&amp;B21=KHN&amp;KH,TH))</f>
        <v>1250000000</v>
      </c>
      <c r="F21" s="8">
        <f t="array" ref="F21">SUM(IF("331"&amp;B21=KHC&amp;KH,TH))</f>
        <v>890000000</v>
      </c>
      <c r="G21" s="213">
        <f>ROUND(MAX(C21+E21-D21-F21,0),2)</f>
        <v>360000000</v>
      </c>
      <c r="H21" s="213">
        <f>ROUND(MAX(D21+F21-C21-E21,0),2)</f>
        <v>0</v>
      </c>
      <c r="I21" s="21"/>
      <c r="J21" s="309"/>
    </row>
    <row r="22" spans="1:10" s="14" customFormat="1" ht="17.25" customHeight="1">
      <c r="A22" s="6">
        <f t="shared" si="0"/>
        <v>19</v>
      </c>
      <c r="B22" s="9" t="s">
        <v>90</v>
      </c>
      <c r="C22" s="10"/>
      <c r="D22" s="10"/>
      <c r="E22" s="8">
        <f t="array" ref="E22">SUM(IF("331"&amp;B22=KHN&amp;KH,TH))</f>
        <v>60000000</v>
      </c>
      <c r="F22" s="8">
        <f t="array" ref="F22">SUM(IF("331"&amp;B22=KHC&amp;KH,TH))</f>
        <v>0</v>
      </c>
      <c r="G22" s="213">
        <f t="shared" si="3"/>
        <v>60000000</v>
      </c>
      <c r="H22" s="213">
        <f t="shared" si="4"/>
        <v>0</v>
      </c>
      <c r="I22" s="21"/>
      <c r="J22" s="309"/>
    </row>
    <row r="23" spans="1:10" s="14" customFormat="1" ht="17.25" customHeight="1">
      <c r="A23" s="6">
        <f t="shared" si="0"/>
        <v>20</v>
      </c>
      <c r="B23" s="9" t="s">
        <v>109</v>
      </c>
      <c r="C23" s="10"/>
      <c r="D23" s="10"/>
      <c r="E23" s="8">
        <f t="array" ref="E23">SUM(IF("331"&amp;B23=KHN&amp;KH,TH))</f>
        <v>150000000</v>
      </c>
      <c r="F23" s="8">
        <f t="array" ref="F23">SUM(IF("331"&amp;B23=KHC&amp;KH,TH))</f>
        <v>200000000</v>
      </c>
      <c r="G23" s="213">
        <f t="shared" si="3"/>
        <v>0</v>
      </c>
      <c r="H23" s="213">
        <f t="shared" si="4"/>
        <v>50000000</v>
      </c>
      <c r="I23" s="21"/>
      <c r="J23" s="309"/>
    </row>
    <row r="24" spans="1:10" s="14" customFormat="1" ht="17.25" customHeight="1">
      <c r="A24" s="6">
        <f t="shared" si="0"/>
        <v>21</v>
      </c>
      <c r="B24" s="9" t="s">
        <v>138</v>
      </c>
      <c r="C24" s="10"/>
      <c r="D24" s="10"/>
      <c r="E24" s="8">
        <f t="array" ref="E24">SUM(IF("331"&amp;B24=KHN&amp;KH,TH))</f>
        <v>3200000000</v>
      </c>
      <c r="F24" s="8">
        <f t="array" ref="F24">SUM(IF("331"&amp;B24=KHC&amp;KH,TH))</f>
        <v>2200000000</v>
      </c>
      <c r="G24" s="213">
        <f t="shared" si="3"/>
        <v>1000000000</v>
      </c>
      <c r="H24" s="213">
        <f t="shared" si="4"/>
        <v>0</v>
      </c>
      <c r="I24" s="21"/>
      <c r="J24" s="309"/>
    </row>
    <row r="25" spans="1:10" s="14" customFormat="1" ht="17.25" customHeight="1">
      <c r="A25" s="6">
        <f t="shared" si="0"/>
        <v>22</v>
      </c>
      <c r="B25" s="9" t="s">
        <v>150</v>
      </c>
      <c r="C25" s="10"/>
      <c r="D25" s="10"/>
      <c r="E25" s="8">
        <f t="array" ref="E25">SUM(IF("331"&amp;B25=KHN&amp;KH,TH))</f>
        <v>360000000</v>
      </c>
      <c r="F25" s="8">
        <f t="array" ref="F25">SUM(IF("331"&amp;B25=KHC&amp;KH,TH))</f>
        <v>1893507770</v>
      </c>
      <c r="G25" s="213">
        <f t="shared" si="3"/>
        <v>0</v>
      </c>
      <c r="H25" s="213">
        <f t="shared" si="4"/>
        <v>1533507770</v>
      </c>
      <c r="I25" s="21"/>
      <c r="J25" s="309"/>
    </row>
    <row r="26" spans="1:10" s="14" customFormat="1" ht="17.25" customHeight="1">
      <c r="A26" s="6">
        <f t="shared" si="0"/>
        <v>23</v>
      </c>
      <c r="B26" s="9" t="s">
        <v>151</v>
      </c>
      <c r="C26" s="10"/>
      <c r="D26" s="10"/>
      <c r="E26" s="8">
        <f t="array" ref="E26">SUM(IF("331"&amp;B26=KHN&amp;KH,TH))</f>
        <v>700150000</v>
      </c>
      <c r="F26" s="8">
        <f t="array" ref="F26">SUM(IF("331"&amp;B26=KHC&amp;KH,TH))</f>
        <v>700150000</v>
      </c>
      <c r="G26" s="213">
        <f t="shared" si="3"/>
        <v>0</v>
      </c>
      <c r="H26" s="213">
        <f t="shared" si="4"/>
        <v>0</v>
      </c>
      <c r="I26" s="21"/>
      <c r="J26" s="309"/>
    </row>
    <row r="27" spans="1:10" s="14" customFormat="1" ht="17.25" customHeight="1">
      <c r="A27" s="6">
        <f t="shared" si="0"/>
        <v>24</v>
      </c>
      <c r="B27" s="9" t="s">
        <v>152</v>
      </c>
      <c r="C27" s="10"/>
      <c r="D27" s="10"/>
      <c r="E27" s="8">
        <f t="array" ref="E27">SUM(IF("331"&amp;B27=KHN&amp;KH,TH))</f>
        <v>100000000</v>
      </c>
      <c r="F27" s="8">
        <f t="array" ref="F27">SUM(IF("331"&amp;B27=KHC&amp;KH,TH))</f>
        <v>394100000</v>
      </c>
      <c r="G27" s="213">
        <f t="shared" si="3"/>
        <v>0</v>
      </c>
      <c r="H27" s="213">
        <f t="shared" si="4"/>
        <v>294100000</v>
      </c>
      <c r="I27" s="21"/>
      <c r="J27" s="309"/>
    </row>
    <row r="28" spans="1:10" s="14" customFormat="1" ht="17.25" customHeight="1">
      <c r="A28" s="6">
        <f t="shared" si="0"/>
        <v>25</v>
      </c>
      <c r="B28" s="9" t="s">
        <v>269</v>
      </c>
      <c r="C28" s="10"/>
      <c r="D28" s="10"/>
      <c r="E28" s="8">
        <f t="array" ref="E28">SUM(IF("331"&amp;B28=KHN&amp;KH,TH))</f>
        <v>1600000000</v>
      </c>
      <c r="F28" s="8">
        <f t="array" ref="F28">SUM(IF("331"&amp;B28=KHC&amp;KH,TH))</f>
        <v>0</v>
      </c>
      <c r="G28" s="213">
        <f t="shared" si="3"/>
        <v>1600000000</v>
      </c>
      <c r="H28" s="213">
        <f t="shared" si="4"/>
        <v>0</v>
      </c>
      <c r="I28" s="21"/>
      <c r="J28" s="309"/>
    </row>
    <row r="29" spans="1:10" s="14" customFormat="1" ht="17.25" customHeight="1">
      <c r="A29" s="6">
        <f t="shared" si="0"/>
        <v>26</v>
      </c>
      <c r="B29" s="9" t="s">
        <v>302</v>
      </c>
      <c r="C29" s="10"/>
      <c r="D29" s="10"/>
      <c r="E29" s="8">
        <f t="array" ref="E29">SUM(IF("331"&amp;B29=KHN&amp;KH,TH))</f>
        <v>399000000</v>
      </c>
      <c r="F29" s="8">
        <f t="array" ref="F29">SUM(IF("331"&amp;B29=KHC&amp;KH,TH))</f>
        <v>570000000</v>
      </c>
      <c r="G29" s="213">
        <f t="shared" si="3"/>
        <v>0</v>
      </c>
      <c r="H29" s="213">
        <f t="shared" si="4"/>
        <v>171000000</v>
      </c>
      <c r="I29" s="21"/>
      <c r="J29" s="309"/>
    </row>
    <row r="30" spans="1:10" s="14" customFormat="1" ht="17.25" customHeight="1">
      <c r="A30" s="6">
        <f t="shared" si="0"/>
        <v>27</v>
      </c>
      <c r="B30" s="9" t="s">
        <v>306</v>
      </c>
      <c r="C30" s="10"/>
      <c r="D30" s="10"/>
      <c r="E30" s="8">
        <f t="array" ref="E30">SUM(IF("331"&amp;B30=KHN&amp;KH,TH))</f>
        <v>2050000000</v>
      </c>
      <c r="F30" s="8">
        <f t="array" ref="F30">SUM(IF("331"&amp;B30=KHC&amp;KH,TH))</f>
        <v>0</v>
      </c>
      <c r="G30" s="213">
        <f t="shared" si="3"/>
        <v>2050000000</v>
      </c>
      <c r="H30" s="213">
        <f t="shared" si="4"/>
        <v>0</v>
      </c>
      <c r="I30" s="21"/>
      <c r="J30" s="309"/>
    </row>
    <row r="31" spans="1:10" s="14" customFormat="1" ht="17.25" customHeight="1">
      <c r="A31" s="6">
        <f t="shared" si="0"/>
        <v>28</v>
      </c>
      <c r="B31" s="9" t="s">
        <v>407</v>
      </c>
      <c r="C31" s="10"/>
      <c r="D31" s="10"/>
      <c r="E31" s="8">
        <f t="array" ref="E31">SUM(IF("331"&amp;B31=KHN&amp;KH,TH))</f>
        <v>300000000</v>
      </c>
      <c r="F31" s="8">
        <f t="array" ref="F31">SUM(IF("331"&amp;B31=KHC&amp;KH,TH))</f>
        <v>0</v>
      </c>
      <c r="G31" s="213">
        <f t="shared" ref="G31" si="9">ROUND(MAX(C31+E31-D31-F31,0),2)</f>
        <v>300000000</v>
      </c>
      <c r="H31" s="213">
        <f t="shared" ref="H31" si="10">ROUND(MAX(D31+F31-C31-E31,0),2)</f>
        <v>0</v>
      </c>
      <c r="I31" s="21"/>
      <c r="J31" s="309"/>
    </row>
    <row r="32" spans="1:10" s="14" customFormat="1" ht="17.25" customHeight="1">
      <c r="A32" s="6">
        <f t="shared" si="0"/>
        <v>29</v>
      </c>
      <c r="B32" s="9" t="s">
        <v>602</v>
      </c>
      <c r="C32" s="10"/>
      <c r="D32" s="10"/>
      <c r="E32" s="8">
        <f t="array" ref="E32">SUM(IF("331"&amp;B32=KHN&amp;KH,TH))</f>
        <v>75000000</v>
      </c>
      <c r="F32" s="8">
        <f t="array" ref="F32">SUM(IF("331"&amp;B32=KHC&amp;KH,TH))</f>
        <v>75000000</v>
      </c>
      <c r="G32" s="213">
        <f t="shared" ref="G32" si="11">ROUND(MAX(C32+E32-D32-F32,0),2)</f>
        <v>0</v>
      </c>
      <c r="H32" s="213">
        <f t="shared" ref="H32" si="12">ROUND(MAX(D32+F32-C32-E32,0),2)</f>
        <v>0</v>
      </c>
      <c r="I32" s="21"/>
      <c r="J32" s="309"/>
    </row>
    <row r="33" spans="1:10" s="14" customFormat="1" ht="17.25" customHeight="1">
      <c r="A33" s="6">
        <f t="shared" si="0"/>
        <v>30</v>
      </c>
      <c r="B33" s="9" t="s">
        <v>632</v>
      </c>
      <c r="C33" s="10"/>
      <c r="D33" s="10"/>
      <c r="E33" s="8">
        <f t="array" ref="E33">SUM(IF("331"&amp;B33=KHN&amp;KH,TH))</f>
        <v>20382000</v>
      </c>
      <c r="F33" s="8">
        <f t="array" ref="F33">SUM(IF("331"&amp;B33=KHC&amp;KH,TH))</f>
        <v>20382000</v>
      </c>
      <c r="G33" s="213">
        <f t="shared" ref="G33" si="13">ROUND(MAX(C33+E33-D33-F33,0),2)</f>
        <v>0</v>
      </c>
      <c r="H33" s="213">
        <f t="shared" ref="H33" si="14">ROUND(MAX(D33+F33-C33-E33,0),2)</f>
        <v>0</v>
      </c>
      <c r="I33" s="21"/>
      <c r="J33" s="309"/>
    </row>
    <row r="34" spans="1:10" s="15" customFormat="1" ht="17.25" customHeight="1">
      <c r="A34" s="6">
        <f t="shared" si="0"/>
        <v>31</v>
      </c>
      <c r="B34" s="122" t="s">
        <v>649</v>
      </c>
      <c r="C34" s="10"/>
      <c r="D34" s="10"/>
      <c r="E34" s="8">
        <f t="array" ref="E34">SUM(IF("331"&amp;B34=KHN&amp;KH,TH))</f>
        <v>201577159</v>
      </c>
      <c r="F34" s="8">
        <f t="array" ref="F34">SUM(IF("331"&amp;B34=KHC&amp;KH,TH))</f>
        <v>201577159</v>
      </c>
      <c r="G34" s="213">
        <f t="shared" ref="G34" si="15">ROUND(MAX(C34+E34-D34-F34,0),2)</f>
        <v>0</v>
      </c>
      <c r="H34" s="213">
        <f t="shared" ref="H34" si="16">ROUND(MAX(D34+F34-C34-E34,0),2)</f>
        <v>0</v>
      </c>
      <c r="I34" s="21"/>
      <c r="J34" s="309"/>
    </row>
    <row r="35" spans="1:10" s="15" customFormat="1" ht="17.25" customHeight="1">
      <c r="A35" s="6">
        <f t="shared" si="0"/>
        <v>32</v>
      </c>
      <c r="B35" s="122" t="s">
        <v>742</v>
      </c>
      <c r="C35" s="10"/>
      <c r="D35" s="10"/>
      <c r="E35" s="8">
        <f t="array" ref="E35">SUM(IF("331"&amp;B35=KHN&amp;KH,TH))</f>
        <v>10199904</v>
      </c>
      <c r="F35" s="8">
        <f t="array" ref="F35">SUM(IF("331"&amp;B35=KHC&amp;KH,TH))</f>
        <v>10199904</v>
      </c>
      <c r="G35" s="213">
        <f t="shared" ref="G35:G36" si="17">ROUND(MAX(C35+E35-D35-F35,0),2)</f>
        <v>0</v>
      </c>
      <c r="H35" s="213">
        <f t="shared" ref="H35:H36" si="18">ROUND(MAX(D35+F35-C35-E35,0),2)</f>
        <v>0</v>
      </c>
      <c r="I35" s="21"/>
      <c r="J35" s="309"/>
    </row>
    <row r="36" spans="1:10" s="15" customFormat="1" ht="17.25" customHeight="1">
      <c r="A36" s="6">
        <f t="shared" si="0"/>
        <v>33</v>
      </c>
      <c r="B36" s="122" t="s">
        <v>791</v>
      </c>
      <c r="C36" s="10"/>
      <c r="D36" s="10"/>
      <c r="E36" s="8">
        <f t="array" ref="E36">SUM(IF("331"&amp;B36=KHN&amp;KH,TH))</f>
        <v>16743100</v>
      </c>
      <c r="F36" s="8">
        <f t="array" ref="F36">SUM(IF("331"&amp;B36=KHC&amp;KH,TH))</f>
        <v>16743100</v>
      </c>
      <c r="G36" s="213">
        <f t="shared" si="17"/>
        <v>0</v>
      </c>
      <c r="H36" s="213">
        <f t="shared" si="18"/>
        <v>0</v>
      </c>
      <c r="I36" s="21"/>
      <c r="J36" s="309"/>
    </row>
    <row r="37" spans="1:10" s="15" customFormat="1" ht="17.25" customHeight="1">
      <c r="A37" s="6">
        <f t="shared" si="0"/>
        <v>34</v>
      </c>
      <c r="B37" s="122" t="s">
        <v>1070</v>
      </c>
      <c r="C37" s="10"/>
      <c r="D37" s="10"/>
      <c r="E37" s="8">
        <f t="array" ref="E37">SUM(IF("331"&amp;B37=KHN&amp;KH,TH))</f>
        <v>28293504</v>
      </c>
      <c r="F37" s="8">
        <f t="array" ref="F37">SUM(IF("331"&amp;B37=KHC&amp;KH,TH))</f>
        <v>28293504</v>
      </c>
      <c r="G37" s="213">
        <f t="shared" ref="G37:G39" si="19">ROUND(MAX(C37+E37-D37-F37,0),2)</f>
        <v>0</v>
      </c>
      <c r="H37" s="213">
        <f t="shared" ref="H37:H39" si="20">ROUND(MAX(D37+F37-C37-E37,0),2)</f>
        <v>0</v>
      </c>
      <c r="I37" s="21"/>
      <c r="J37" s="309"/>
    </row>
    <row r="38" spans="1:10" s="15" customFormat="1" ht="17.25" customHeight="1">
      <c r="A38" s="6">
        <f t="shared" si="0"/>
        <v>35</v>
      </c>
      <c r="B38" s="122"/>
      <c r="C38" s="10"/>
      <c r="D38" s="10"/>
      <c r="E38" s="8">
        <f t="array" ref="E38">SUM(IF("331"&amp;B38=KHN&amp;KH,TH))</f>
        <v>0</v>
      </c>
      <c r="F38" s="8">
        <f t="array" ref="F38">SUM(IF("331"&amp;B38=KHC&amp;KH,TH))</f>
        <v>0</v>
      </c>
      <c r="G38" s="213">
        <f t="shared" si="19"/>
        <v>0</v>
      </c>
      <c r="H38" s="213">
        <f t="shared" si="20"/>
        <v>0</v>
      </c>
      <c r="I38" s="21"/>
      <c r="J38" s="309"/>
    </row>
    <row r="39" spans="1:10" s="15" customFormat="1" ht="17.25" customHeight="1">
      <c r="A39" s="6">
        <f t="shared" si="0"/>
        <v>36</v>
      </c>
      <c r="B39" s="122"/>
      <c r="C39" s="10"/>
      <c r="D39" s="10"/>
      <c r="E39" s="8">
        <f t="array" ref="E39">SUM(IF("331"&amp;B39=KHN&amp;KH,TH))</f>
        <v>0</v>
      </c>
      <c r="F39" s="8">
        <f t="array" ref="F39">SUM(IF("331"&amp;B39=KHC&amp;KH,TH))</f>
        <v>0</v>
      </c>
      <c r="G39" s="213">
        <f t="shared" si="19"/>
        <v>0</v>
      </c>
      <c r="H39" s="213">
        <f t="shared" si="20"/>
        <v>0</v>
      </c>
      <c r="I39" s="21"/>
      <c r="J39" s="309"/>
    </row>
    <row r="40" spans="1:10" s="15" customFormat="1" ht="17.25" customHeight="1">
      <c r="A40" s="6"/>
      <c r="B40" s="122"/>
      <c r="C40" s="10"/>
      <c r="D40" s="10"/>
      <c r="E40" s="8"/>
      <c r="F40" s="8"/>
      <c r="G40" s="213"/>
      <c r="H40" s="213"/>
      <c r="I40" s="22"/>
      <c r="J40" s="309"/>
    </row>
    <row r="41" spans="1:10" s="19" customFormat="1" ht="17.25" customHeight="1">
      <c r="A41" s="16"/>
      <c r="B41" s="17" t="s">
        <v>94</v>
      </c>
      <c r="C41" s="18">
        <f t="shared" ref="C41:H41" si="21">SUM(C4:C40)</f>
        <v>0</v>
      </c>
      <c r="D41" s="18">
        <f t="shared" si="21"/>
        <v>0</v>
      </c>
      <c r="E41" s="18">
        <f t="shared" si="21"/>
        <v>27506120790</v>
      </c>
      <c r="F41" s="18">
        <f t="shared" si="21"/>
        <v>24036234026</v>
      </c>
      <c r="G41" s="18">
        <f t="shared" si="21"/>
        <v>5848400000</v>
      </c>
      <c r="H41" s="18">
        <f t="shared" si="21"/>
        <v>2378513236</v>
      </c>
      <c r="I41" s="23"/>
      <c r="J41" s="23"/>
    </row>
    <row r="43" spans="1:10" ht="17.25" customHeight="1">
      <c r="E43" s="20">
        <f>CDPS!E20</f>
        <v>27506120790</v>
      </c>
      <c r="F43" s="20">
        <f>CDPS!F20</f>
        <v>24036234026</v>
      </c>
    </row>
    <row r="45" spans="1:10" ht="17.25" customHeight="1">
      <c r="E45" s="143">
        <f>E41-E43</f>
        <v>0</v>
      </c>
      <c r="F45" s="143">
        <f>F41-F43</f>
        <v>0</v>
      </c>
    </row>
  </sheetData>
  <mergeCells count="7">
    <mergeCell ref="G2:H2"/>
    <mergeCell ref="I2:I3"/>
    <mergeCell ref="A1:E1"/>
    <mergeCell ref="A2:A3"/>
    <mergeCell ref="B2:B3"/>
    <mergeCell ref="C2:D2"/>
    <mergeCell ref="E2:F2"/>
  </mergeCells>
  <phoneticPr fontId="22" type="noConversion"/>
  <pageMargins left="0.16" right="0.12" top="0.16" bottom="0.15" header="0.16" footer="0.16"/>
  <pageSetup paperSize="9" scale="95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59"/>
  <sheetViews>
    <sheetView topLeftCell="A4" workbookViewId="0">
      <pane ySplit="10" topLeftCell="A20" activePane="bottomLeft" state="frozen"/>
      <selection activeCell="E10" sqref="E10"/>
      <selection pane="bottomLeft" activeCell="E7" sqref="E7:H7"/>
    </sheetView>
  </sheetViews>
  <sheetFormatPr defaultRowHeight="12.75"/>
  <cols>
    <col min="2" max="2" width="7.42578125" customWidth="1"/>
    <col min="3" max="3" width="10.42578125" customWidth="1"/>
    <col min="4" max="4" width="57.28515625" customWidth="1"/>
    <col min="5" max="5" width="6.85546875" customWidth="1"/>
    <col min="7" max="10" width="16" customWidth="1"/>
  </cols>
  <sheetData>
    <row r="1" spans="1:10" s="3" customFormat="1" ht="14.25" customHeight="1">
      <c r="A1" s="1" t="s">
        <v>29</v>
      </c>
      <c r="B1" s="24"/>
      <c r="C1" s="24"/>
      <c r="G1" s="2"/>
      <c r="H1" s="504" t="s">
        <v>186</v>
      </c>
      <c r="I1" s="504"/>
      <c r="J1" s="504"/>
    </row>
    <row r="2" spans="1:10" s="3" customFormat="1" ht="14.25" customHeight="1">
      <c r="A2" s="1" t="s">
        <v>30</v>
      </c>
      <c r="B2" s="24"/>
      <c r="C2" s="24"/>
      <c r="G2" s="25"/>
      <c r="H2" s="505" t="s">
        <v>187</v>
      </c>
      <c r="I2" s="505"/>
      <c r="J2" s="505"/>
    </row>
    <row r="3" spans="1:10" s="3" customFormat="1" ht="14.25" customHeight="1">
      <c r="A3" s="4"/>
      <c r="B3" s="24"/>
      <c r="C3" s="24"/>
      <c r="G3" s="25"/>
      <c r="H3" s="505"/>
      <c r="I3" s="505"/>
      <c r="J3" s="505"/>
    </row>
    <row r="4" spans="1:10" s="5" customFormat="1" ht="28.5" customHeight="1">
      <c r="A4" s="513" t="s">
        <v>64</v>
      </c>
      <c r="B4" s="513"/>
      <c r="C4" s="513"/>
      <c r="D4" s="513"/>
      <c r="E4" s="513"/>
      <c r="F4" s="513"/>
      <c r="G4" s="513"/>
      <c r="H4" s="513"/>
      <c r="I4" s="513"/>
      <c r="J4" s="513"/>
    </row>
    <row r="5" spans="1:10" s="26" customFormat="1" ht="14.25" customHeight="1">
      <c r="E5" s="27" t="s">
        <v>65</v>
      </c>
    </row>
    <row r="6" spans="1:10" s="26" customFormat="1" ht="14.25" customHeight="1">
      <c r="E6" s="27" t="s">
        <v>66</v>
      </c>
    </row>
    <row r="7" spans="1:10" s="26" customFormat="1" ht="14.25" customHeight="1">
      <c r="D7" s="28" t="s">
        <v>185</v>
      </c>
      <c r="E7" s="506" t="s">
        <v>190</v>
      </c>
      <c r="F7" s="506"/>
      <c r="G7" s="506"/>
      <c r="H7" s="506"/>
    </row>
    <row r="8" spans="1:10" s="26" customFormat="1" ht="14.25" customHeight="1">
      <c r="E8" s="27" t="s">
        <v>67</v>
      </c>
    </row>
    <row r="9" spans="1:10" s="26" customFormat="1" ht="6.75" customHeight="1">
      <c r="B9" s="27"/>
      <c r="C9" s="508"/>
      <c r="D9" s="508"/>
      <c r="E9" s="508"/>
      <c r="F9" s="508"/>
      <c r="G9" s="508"/>
      <c r="H9" s="508"/>
      <c r="I9" s="508"/>
      <c r="J9" s="508"/>
    </row>
    <row r="10" spans="1:10" s="26" customFormat="1" ht="14.25" customHeight="1">
      <c r="A10" s="510" t="s">
        <v>50</v>
      </c>
      <c r="B10" s="509" t="s">
        <v>10</v>
      </c>
      <c r="C10" s="509"/>
      <c r="D10" s="510" t="s">
        <v>0</v>
      </c>
      <c r="E10" s="510" t="s">
        <v>31</v>
      </c>
      <c r="F10" s="510" t="s">
        <v>68</v>
      </c>
      <c r="G10" s="511" t="s">
        <v>51</v>
      </c>
      <c r="H10" s="512"/>
      <c r="I10" s="511" t="s">
        <v>69</v>
      </c>
      <c r="J10" s="512"/>
    </row>
    <row r="11" spans="1:10" s="26" customFormat="1" ht="24.75" customHeight="1">
      <c r="A11" s="510"/>
      <c r="B11" s="38" t="s">
        <v>32</v>
      </c>
      <c r="C11" s="38" t="s">
        <v>70</v>
      </c>
      <c r="D11" s="510"/>
      <c r="E11" s="510"/>
      <c r="F11" s="510"/>
      <c r="G11" s="38" t="s">
        <v>52</v>
      </c>
      <c r="H11" s="38" t="s">
        <v>53</v>
      </c>
      <c r="I11" s="38" t="s">
        <v>52</v>
      </c>
      <c r="J11" s="38" t="s">
        <v>53</v>
      </c>
    </row>
    <row r="12" spans="1:10" s="26" customFormat="1" ht="11.25" customHeight="1">
      <c r="A12" s="29" t="s">
        <v>11</v>
      </c>
      <c r="B12" s="30" t="s">
        <v>12</v>
      </c>
      <c r="C12" s="29" t="s">
        <v>13</v>
      </c>
      <c r="D12" s="29" t="s">
        <v>14</v>
      </c>
      <c r="E12" s="29" t="s">
        <v>15</v>
      </c>
      <c r="F12" s="29">
        <v>1</v>
      </c>
      <c r="G12" s="29">
        <v>2</v>
      </c>
      <c r="H12" s="29">
        <v>3</v>
      </c>
      <c r="I12" s="29">
        <v>4</v>
      </c>
      <c r="J12" s="29">
        <v>5</v>
      </c>
    </row>
    <row r="13" spans="1:10" s="26" customFormat="1" ht="18" customHeight="1">
      <c r="A13" s="29"/>
      <c r="B13" s="29"/>
      <c r="C13" s="29"/>
      <c r="D13" s="31" t="s">
        <v>16</v>
      </c>
      <c r="E13" s="29"/>
      <c r="F13" s="32"/>
      <c r="G13" s="32"/>
      <c r="H13" s="32"/>
      <c r="I13" s="128">
        <v>0</v>
      </c>
      <c r="J13" s="128">
        <v>0</v>
      </c>
    </row>
    <row r="14" spans="1:10" s="26" customFormat="1" ht="18" customHeight="1">
      <c r="A14" s="11">
        <f t="shared" ref="A14:A20" ca="1" si="0">IF(C14&lt;&gt;"",C14,"")</f>
        <v>42144</v>
      </c>
      <c r="B14" s="11" t="str">
        <f ca="1">IF(ROWS($1:1)&gt;COUNT(Dong),"",OFFSET(TH!D$1,SMALL(Dong,ROWS($1:1)),))</f>
        <v>GBN</v>
      </c>
      <c r="C14" s="11">
        <f ca="1">IF(ROWS($1:1)&gt;COUNT(Dong),"",OFFSET(TH!E$1,SMALL(Dong,ROWS($1:1)),))</f>
        <v>42144</v>
      </c>
      <c r="D14" s="126" t="str">
        <f ca="1">IF(ROWS($1:1)&gt;COUNT(Dong),"",OFFSET(TH!F$1,SMALL(Dong,ROWS($1:1)),))</f>
        <v>Thanh toán tiền vật tư - Tấn Phát</v>
      </c>
      <c r="E14" s="127" t="str">
        <f ca="1">IF(ROWS($1:1)&gt;COUNT(Dong),"",IF(OFFSET(TH!J$1,SMALL(Dong,ROWS($1:1)),)="331",OFFSET(TH!K$1,SMALL(Dong,ROWS($1:1)),),OFFSET(TH!J$1,SMALL(Dong,ROWS($1:1)),)))</f>
        <v>1121</v>
      </c>
      <c r="F14" s="127"/>
      <c r="G14" s="251">
        <f ca="1">IF(ROWS($1:1)&gt;COUNT(Dong),"",IF(OFFSET(TH!J$1,SMALL(Dong,ROWS($1:1)),)="331",OFFSET(TH!I$1,SMALL(Dong,ROWS($1:1)),),0))</f>
        <v>200000000</v>
      </c>
      <c r="H14" s="251">
        <f ca="1">IF(ROWS($1:1)&gt;COUNT(Dong),"",IF(OFFSET(TH!K$1,SMALL(Dong,ROWS($1:1)),)="331",OFFSET(TH!I$1,SMALL(Dong,ROWS($1:1)),),0))</f>
        <v>0</v>
      </c>
      <c r="I14" s="33">
        <f t="shared" ref="I14:I20" ca="1" si="1">IF(D14&lt;&gt;"",MAX(I13+G14-H14-J13,0),0)</f>
        <v>200000000</v>
      </c>
      <c r="J14" s="33">
        <f t="shared" ref="J14:J20" ca="1" si="2">IF(D14&lt;&gt;"",MAX(J13+H14-I13-G14,0),0)</f>
        <v>0</v>
      </c>
    </row>
    <row r="15" spans="1:10" s="26" customFormat="1" ht="18" customHeight="1">
      <c r="A15" s="11">
        <f t="shared" ca="1" si="0"/>
        <v>42188</v>
      </c>
      <c r="B15" s="11" t="str">
        <f ca="1">IF(ROWS($1:2)&gt;COUNT(Dong),"",OFFSET(TH!D$1,SMALL(Dong,ROWS($1:2)),))</f>
        <v>GBN</v>
      </c>
      <c r="C15" s="11">
        <f ca="1">IF(ROWS($1:2)&gt;COUNT(Dong),"",OFFSET(TH!E$1,SMALL(Dong,ROWS($1:2)),))</f>
        <v>42188</v>
      </c>
      <c r="D15" s="126" t="str">
        <f ca="1">IF(ROWS($1:2)&gt;COUNT(Dong),"",OFFSET(TH!F$1,SMALL(Dong,ROWS($1:2)),))</f>
        <v>Thanh toán tiền công trình</v>
      </c>
      <c r="E15" s="127" t="str">
        <f ca="1">IF(ROWS($1:2)&gt;COUNT(Dong),"",IF(OFFSET(TH!J$1,SMALL(Dong,ROWS($1:2)),)="331",OFFSET(TH!K$1,SMALL(Dong,ROWS($1:2)),),OFFSET(TH!J$1,SMALL(Dong,ROWS($1:2)),)))</f>
        <v>1121</v>
      </c>
      <c r="F15" s="127"/>
      <c r="G15" s="251">
        <f ca="1">IF(ROWS($1:2)&gt;COUNT(Dong),"",IF(OFFSET(TH!J$1,SMALL(Dong,ROWS($1:2)),)="331",OFFSET(TH!I$1,SMALL(Dong,ROWS($1:2)),),0))</f>
        <v>250000000</v>
      </c>
      <c r="H15" s="251">
        <f ca="1">IF(ROWS($1:2)&gt;COUNT(Dong),"",IF(OFFSET(TH!K$1,SMALL(Dong,ROWS($1:2)),)="331",OFFSET(TH!I$1,SMALL(Dong,ROWS($1:2)),),0))</f>
        <v>0</v>
      </c>
      <c r="I15" s="33">
        <f t="shared" ca="1" si="1"/>
        <v>450000000</v>
      </c>
      <c r="J15" s="33">
        <f t="shared" ca="1" si="2"/>
        <v>0</v>
      </c>
    </row>
    <row r="16" spans="1:10" s="26" customFormat="1" ht="18" customHeight="1">
      <c r="A16" s="11">
        <f t="shared" ca="1" si="0"/>
        <v>42209</v>
      </c>
      <c r="B16" s="11" t="str">
        <f ca="1">IF(ROWS($1:3)&gt;COUNT(Dong),"",OFFSET(TH!D$1,SMALL(Dong,ROWS($1:3)),))</f>
        <v>CTGS</v>
      </c>
      <c r="C16" s="11">
        <f ca="1">IF(ROWS($1:3)&gt;COUNT(Dong),"",OFFSET(TH!E$1,SMALL(Dong,ROWS($1:3)),))</f>
        <v>42209</v>
      </c>
      <c r="D16" s="126" t="str">
        <f ca="1">IF(ROWS($1:3)&gt;COUNT(Dong),"",OFFSET(TH!F$1,SMALL(Dong,ROWS($1:3)),))</f>
        <v>Vật liệu xây dựng</v>
      </c>
      <c r="E16" s="127" t="str">
        <f ca="1">IF(ROWS($1:3)&gt;COUNT(Dong),"",IF(OFFSET(TH!J$1,SMALL(Dong,ROWS($1:3)),)="331",OFFSET(TH!K$1,SMALL(Dong,ROWS($1:3)),),OFFSET(TH!J$1,SMALL(Dong,ROWS($1:3)),)))</f>
        <v>2412</v>
      </c>
      <c r="F16" s="127"/>
      <c r="G16" s="251">
        <f ca="1">IF(ROWS($1:3)&gt;COUNT(Dong),"",IF(OFFSET(TH!J$1,SMALL(Dong,ROWS($1:3)),)="331",OFFSET(TH!I$1,SMALL(Dong,ROWS($1:3)),),0))</f>
        <v>0</v>
      </c>
      <c r="H16" s="251">
        <f ca="1">IF(ROWS($1:3)&gt;COUNT(Dong),"",IF(OFFSET(TH!K$1,SMALL(Dong,ROWS($1:3)),)="331",OFFSET(TH!I$1,SMALL(Dong,ROWS($1:3)),),0))</f>
        <v>90286944</v>
      </c>
      <c r="I16" s="33">
        <f t="shared" ca="1" si="1"/>
        <v>359713056</v>
      </c>
      <c r="J16" s="33">
        <f t="shared" ca="1" si="2"/>
        <v>0</v>
      </c>
    </row>
    <row r="17" spans="1:10" s="26" customFormat="1" ht="18" customHeight="1">
      <c r="A17" s="11">
        <f t="shared" ca="1" si="0"/>
        <v>42209</v>
      </c>
      <c r="B17" s="11" t="str">
        <f ca="1">IF(ROWS($1:4)&gt;COUNT(Dong),"",OFFSET(TH!D$1,SMALL(Dong,ROWS($1:4)),))</f>
        <v>CTGS</v>
      </c>
      <c r="C17" s="11">
        <f ca="1">IF(ROWS($1:4)&gt;COUNT(Dong),"",OFFSET(TH!E$1,SMALL(Dong,ROWS($1:4)),))</f>
        <v>42209</v>
      </c>
      <c r="D17" s="126" t="str">
        <f ca="1">IF(ROWS($1:4)&gt;COUNT(Dong),"",OFFSET(TH!F$1,SMALL(Dong,ROWS($1:4)),))</f>
        <v>VAT vật liệu xây dựng</v>
      </c>
      <c r="E17" s="127" t="str">
        <f ca="1">IF(ROWS($1:4)&gt;COUNT(Dong),"",IF(OFFSET(TH!J$1,SMALL(Dong,ROWS($1:4)),)="331",OFFSET(TH!K$1,SMALL(Dong,ROWS($1:4)),),OFFSET(TH!J$1,SMALL(Dong,ROWS($1:4)),)))</f>
        <v>1331</v>
      </c>
      <c r="F17" s="127"/>
      <c r="G17" s="251">
        <f ca="1">IF(ROWS($1:4)&gt;COUNT(Dong),"",IF(OFFSET(TH!J$1,SMALL(Dong,ROWS($1:4)),)="331",OFFSET(TH!I$1,SMALL(Dong,ROWS($1:4)),),0))</f>
        <v>0</v>
      </c>
      <c r="H17" s="251">
        <f ca="1">IF(ROWS($1:4)&gt;COUNT(Dong),"",IF(OFFSET(TH!K$1,SMALL(Dong,ROWS($1:4)),)="331",OFFSET(TH!I$1,SMALL(Dong,ROWS($1:4)),),0))</f>
        <v>9028694</v>
      </c>
      <c r="I17" s="33">
        <f t="shared" ca="1" si="1"/>
        <v>350684362</v>
      </c>
      <c r="J17" s="33">
        <f t="shared" ca="1" si="2"/>
        <v>0</v>
      </c>
    </row>
    <row r="18" spans="1:10" s="26" customFormat="1" ht="18" customHeight="1">
      <c r="A18" s="11">
        <f t="shared" ca="1" si="0"/>
        <v>42210</v>
      </c>
      <c r="B18" s="11" t="str">
        <f ca="1">IF(ROWS($1:5)&gt;COUNT(Dong),"",OFFSET(TH!D$1,SMALL(Dong,ROWS($1:5)),))</f>
        <v>CTGS</v>
      </c>
      <c r="C18" s="11">
        <f ca="1">IF(ROWS($1:5)&gt;COUNT(Dong),"",OFFSET(TH!E$1,SMALL(Dong,ROWS($1:5)),))</f>
        <v>42210</v>
      </c>
      <c r="D18" s="126" t="str">
        <f ca="1">IF(ROWS($1:5)&gt;COUNT(Dong),"",OFFSET(TH!F$1,SMALL(Dong,ROWS($1:5)),))</f>
        <v>Vật liệu xây dựng</v>
      </c>
      <c r="E18" s="127" t="str">
        <f ca="1">IF(ROWS($1:5)&gt;COUNT(Dong),"",IF(OFFSET(TH!J$1,SMALL(Dong,ROWS($1:5)),)="331",OFFSET(TH!K$1,SMALL(Dong,ROWS($1:5)),),OFFSET(TH!J$1,SMALL(Dong,ROWS($1:5)),)))</f>
        <v>2412</v>
      </c>
      <c r="F18" s="127"/>
      <c r="G18" s="251">
        <f ca="1">IF(ROWS($1:5)&gt;COUNT(Dong),"",IF(OFFSET(TH!J$1,SMALL(Dong,ROWS($1:5)),)="331",OFFSET(TH!I$1,SMALL(Dong,ROWS($1:5)),),0))</f>
        <v>0</v>
      </c>
      <c r="H18" s="251">
        <f ca="1">IF(ROWS($1:5)&gt;COUNT(Dong),"",IF(OFFSET(TH!K$1,SMALL(Dong,ROWS($1:5)),)="331",OFFSET(TH!I$1,SMALL(Dong,ROWS($1:5)),),0))</f>
        <v>477767318</v>
      </c>
      <c r="I18" s="33">
        <f t="shared" ca="1" si="1"/>
        <v>0</v>
      </c>
      <c r="J18" s="33">
        <f t="shared" ca="1" si="2"/>
        <v>127082956</v>
      </c>
    </row>
    <row r="19" spans="1:10" s="26" customFormat="1" ht="18" customHeight="1">
      <c r="A19" s="11">
        <f t="shared" ca="1" si="0"/>
        <v>42210</v>
      </c>
      <c r="B19" s="11" t="str">
        <f ca="1">IF(ROWS($1:6)&gt;COUNT(Dong),"",OFFSET(TH!D$1,SMALL(Dong,ROWS($1:6)),))</f>
        <v>CTGS</v>
      </c>
      <c r="C19" s="11">
        <f ca="1">IF(ROWS($1:6)&gt;COUNT(Dong),"",OFFSET(TH!E$1,SMALL(Dong,ROWS($1:6)),))</f>
        <v>42210</v>
      </c>
      <c r="D19" s="126" t="str">
        <f ca="1">IF(ROWS($1:6)&gt;COUNT(Dong),"",OFFSET(TH!F$1,SMALL(Dong,ROWS($1:6)),))</f>
        <v>VAT vật liệu xây dựng</v>
      </c>
      <c r="E19" s="127" t="str">
        <f ca="1">IF(ROWS($1:6)&gt;COUNT(Dong),"",IF(OFFSET(TH!J$1,SMALL(Dong,ROWS($1:6)),)="331",OFFSET(TH!K$1,SMALL(Dong,ROWS($1:6)),),OFFSET(TH!J$1,SMALL(Dong,ROWS($1:6)),)))</f>
        <v>1331</v>
      </c>
      <c r="F19" s="127"/>
      <c r="G19" s="251">
        <f ca="1">IF(ROWS($1:6)&gt;COUNT(Dong),"",IF(OFFSET(TH!J$1,SMALL(Dong,ROWS($1:6)),)="331",OFFSET(TH!I$1,SMALL(Dong,ROWS($1:6)),),0))</f>
        <v>0</v>
      </c>
      <c r="H19" s="251">
        <f ca="1">IF(ROWS($1:6)&gt;COUNT(Dong),"",IF(OFFSET(TH!K$1,SMALL(Dong,ROWS($1:6)),)="331",OFFSET(TH!I$1,SMALL(Dong,ROWS($1:6)),),0))</f>
        <v>47776731</v>
      </c>
      <c r="I19" s="33">
        <f t="shared" ca="1" si="1"/>
        <v>0</v>
      </c>
      <c r="J19" s="33">
        <f t="shared" ca="1" si="2"/>
        <v>174859687</v>
      </c>
    </row>
    <row r="20" spans="1:10" s="26" customFormat="1" ht="18" customHeight="1">
      <c r="A20" s="11">
        <f t="shared" ca="1" si="0"/>
        <v>42211</v>
      </c>
      <c r="B20" s="11" t="str">
        <f ca="1">IF(ROWS($1:7)&gt;COUNT(Dong),"",OFFSET(TH!D$1,SMALL(Dong,ROWS($1:7)),))</f>
        <v>CTGS</v>
      </c>
      <c r="C20" s="11">
        <f ca="1">IF(ROWS($1:7)&gt;COUNT(Dong),"",OFFSET(TH!E$1,SMALL(Dong,ROWS($1:7)),))</f>
        <v>42211</v>
      </c>
      <c r="D20" s="126" t="str">
        <f ca="1">IF(ROWS($1:7)&gt;COUNT(Dong),"",OFFSET(TH!F$1,SMALL(Dong,ROWS($1:7)),))</f>
        <v>Vật liệu xây dựng</v>
      </c>
      <c r="E20" s="127" t="str">
        <f ca="1">IF(ROWS($1:7)&gt;COUNT(Dong),"",IF(OFFSET(TH!J$1,SMALL(Dong,ROWS($1:7)),)="331",OFFSET(TH!K$1,SMALL(Dong,ROWS($1:7)),),OFFSET(TH!J$1,SMALL(Dong,ROWS($1:7)),)))</f>
        <v>2412</v>
      </c>
      <c r="F20" s="127"/>
      <c r="G20" s="251">
        <f ca="1">IF(ROWS($1:7)&gt;COUNT(Dong),"",IF(OFFSET(TH!J$1,SMALL(Dong,ROWS($1:7)),)="331",OFFSET(TH!I$1,SMALL(Dong,ROWS($1:7)),),0))</f>
        <v>0</v>
      </c>
      <c r="H20" s="251">
        <f ca="1">IF(ROWS($1:7)&gt;COUNT(Dong),"",IF(OFFSET(TH!K$1,SMALL(Dong,ROWS($1:7)),)="331",OFFSET(TH!I$1,SMALL(Dong,ROWS($1:7)),),0))</f>
        <v>54892744</v>
      </c>
      <c r="I20" s="33">
        <f t="shared" ca="1" si="1"/>
        <v>0</v>
      </c>
      <c r="J20" s="33">
        <f t="shared" ca="1" si="2"/>
        <v>229752431</v>
      </c>
    </row>
    <row r="21" spans="1:10" s="26" customFormat="1" ht="18" customHeight="1">
      <c r="A21" s="11">
        <f t="shared" ref="A21:A32" ca="1" si="3">IF(C21&lt;&gt;"",C21,"")</f>
        <v>42211</v>
      </c>
      <c r="B21" s="11" t="str">
        <f ca="1">IF(ROWS($1:8)&gt;COUNT(Dong),"",OFFSET(TH!D$1,SMALL(Dong,ROWS($1:8)),))</f>
        <v>CTGS</v>
      </c>
      <c r="C21" s="11">
        <f ca="1">IF(ROWS($1:8)&gt;COUNT(Dong),"",OFFSET(TH!E$1,SMALL(Dong,ROWS($1:8)),))</f>
        <v>42211</v>
      </c>
      <c r="D21" s="126" t="str">
        <f ca="1">IF(ROWS($1:8)&gt;COUNT(Dong),"",OFFSET(TH!F$1,SMALL(Dong,ROWS($1:8)),))</f>
        <v>VAT vật liệu xây dựng</v>
      </c>
      <c r="E21" s="127" t="str">
        <f ca="1">IF(ROWS($1:8)&gt;COUNT(Dong),"",IF(OFFSET(TH!J$1,SMALL(Dong,ROWS($1:8)),)="331",OFFSET(TH!K$1,SMALL(Dong,ROWS($1:8)),),OFFSET(TH!J$1,SMALL(Dong,ROWS($1:8)),)))</f>
        <v>1331</v>
      </c>
      <c r="F21" s="127"/>
      <c r="G21" s="108">
        <f ca="1">IF(ROWS($1:8)&gt;COUNT(Dong),"",IF(OFFSET(TH!J$1,SMALL(Dong,ROWS($1:8)),)="331",OFFSET(TH!I$1,SMALL(Dong,ROWS($1:8)),),0))</f>
        <v>0</v>
      </c>
      <c r="H21" s="108">
        <f ca="1">IF(ROWS($1:8)&gt;COUNT(Dong),"",IF(OFFSET(TH!K$1,SMALL(Dong,ROWS($1:8)),)="331",OFFSET(TH!I$1,SMALL(Dong,ROWS($1:8)),),0))</f>
        <v>5489274</v>
      </c>
      <c r="I21" s="33">
        <f t="shared" ref="I21:I32" ca="1" si="4">IF(D21&lt;&gt;"",MAX(I20+G21-H21-J20,0),0)</f>
        <v>0</v>
      </c>
      <c r="J21" s="33">
        <f t="shared" ref="J21:J32" ca="1" si="5">IF(D21&lt;&gt;"",MAX(J20+H21-I20-G21,0),0)</f>
        <v>235241705</v>
      </c>
    </row>
    <row r="22" spans="1:10" s="26" customFormat="1" ht="18" customHeight="1">
      <c r="A22" s="11">
        <f t="shared" ca="1" si="3"/>
        <v>42219</v>
      </c>
      <c r="B22" s="11" t="str">
        <f ca="1">IF(ROWS($1:9)&gt;COUNT(Dong),"",OFFSET(TH!D$1,SMALL(Dong,ROWS($1:9)),))</f>
        <v>GBN</v>
      </c>
      <c r="C22" s="11">
        <f ca="1">IF(ROWS($1:9)&gt;COUNT(Dong),"",OFFSET(TH!E$1,SMALL(Dong,ROWS($1:9)),))</f>
        <v>42219</v>
      </c>
      <c r="D22" s="126" t="str">
        <f ca="1">IF(ROWS($1:9)&gt;COUNT(Dong),"",OFFSET(TH!F$1,SMALL(Dong,ROWS($1:9)),))</f>
        <v>Thanh toán tiền công trình</v>
      </c>
      <c r="E22" s="127" t="str">
        <f ca="1">IF(ROWS($1:9)&gt;COUNT(Dong),"",IF(OFFSET(TH!J$1,SMALL(Dong,ROWS($1:9)),)="331",OFFSET(TH!K$1,SMALL(Dong,ROWS($1:9)),),OFFSET(TH!J$1,SMALL(Dong,ROWS($1:9)),)))</f>
        <v>1121</v>
      </c>
      <c r="F22" s="127"/>
      <c r="G22" s="108">
        <f ca="1">IF(ROWS($1:9)&gt;COUNT(Dong),"",IF(OFFSET(TH!J$1,SMALL(Dong,ROWS($1:9)),)="331",OFFSET(TH!I$1,SMALL(Dong,ROWS($1:9)),),0))</f>
        <v>300000000</v>
      </c>
      <c r="H22" s="108">
        <f ca="1">IF(ROWS($1:9)&gt;COUNT(Dong),"",IF(OFFSET(TH!K$1,SMALL(Dong,ROWS($1:9)),)="331",OFFSET(TH!I$1,SMALL(Dong,ROWS($1:9)),),0))</f>
        <v>0</v>
      </c>
      <c r="I22" s="33">
        <f t="shared" ca="1" si="4"/>
        <v>64758295</v>
      </c>
      <c r="J22" s="33">
        <f t="shared" ca="1" si="5"/>
        <v>0</v>
      </c>
    </row>
    <row r="23" spans="1:10" s="26" customFormat="1" ht="18" customHeight="1">
      <c r="A23" s="11">
        <f t="shared" ca="1" si="3"/>
        <v>42235</v>
      </c>
      <c r="B23" s="11" t="str">
        <f ca="1">IF(ROWS($1:10)&gt;COUNT(Dong),"",OFFSET(TH!D$1,SMALL(Dong,ROWS($1:10)),))</f>
        <v>CTGS</v>
      </c>
      <c r="C23" s="11">
        <f ca="1">IF(ROWS($1:10)&gt;COUNT(Dong),"",OFFSET(TH!E$1,SMALL(Dong,ROWS($1:10)),))</f>
        <v>42235</v>
      </c>
      <c r="D23" s="126" t="str">
        <f ca="1">IF(ROWS($1:10)&gt;COUNT(Dong),"",OFFSET(TH!F$1,SMALL(Dong,ROWS($1:10)),))</f>
        <v>Vật liệu xây dựng</v>
      </c>
      <c r="E23" s="127" t="str">
        <f ca="1">IF(ROWS($1:10)&gt;COUNT(Dong),"",IF(OFFSET(TH!J$1,SMALL(Dong,ROWS($1:10)),)="331",OFFSET(TH!K$1,SMALL(Dong,ROWS($1:10)),),OFFSET(TH!J$1,SMALL(Dong,ROWS($1:10)),)))</f>
        <v>2412</v>
      </c>
      <c r="F23" s="127"/>
      <c r="G23" s="108">
        <f ca="1">IF(ROWS($1:10)&gt;COUNT(Dong),"",IF(OFFSET(TH!J$1,SMALL(Dong,ROWS($1:10)),)="331",OFFSET(TH!I$1,SMALL(Dong,ROWS($1:10)),),0))</f>
        <v>0</v>
      </c>
      <c r="H23" s="108">
        <f ca="1">IF(ROWS($1:10)&gt;COUNT(Dong),"",IF(OFFSET(TH!K$1,SMALL(Dong,ROWS($1:10)),)="331",OFFSET(TH!I$1,SMALL(Dong,ROWS($1:10)),),0))</f>
        <v>268648390</v>
      </c>
      <c r="I23" s="33">
        <f t="shared" ca="1" si="4"/>
        <v>0</v>
      </c>
      <c r="J23" s="33">
        <f t="shared" ca="1" si="5"/>
        <v>203890095</v>
      </c>
    </row>
    <row r="24" spans="1:10" s="26" customFormat="1" ht="18" customHeight="1">
      <c r="A24" s="11">
        <f t="shared" ca="1" si="3"/>
        <v>42235</v>
      </c>
      <c r="B24" s="11" t="str">
        <f ca="1">IF(ROWS($1:11)&gt;COUNT(Dong),"",OFFSET(TH!D$1,SMALL(Dong,ROWS($1:11)),))</f>
        <v>CTGS</v>
      </c>
      <c r="C24" s="11">
        <f ca="1">IF(ROWS($1:11)&gt;COUNT(Dong),"",OFFSET(TH!E$1,SMALL(Dong,ROWS($1:11)),))</f>
        <v>42235</v>
      </c>
      <c r="D24" s="126" t="str">
        <f ca="1">IF(ROWS($1:11)&gt;COUNT(Dong),"",OFFSET(TH!F$1,SMALL(Dong,ROWS($1:11)),))</f>
        <v>VAT Vật liệu xây dựng</v>
      </c>
      <c r="E24" s="127" t="str">
        <f ca="1">IF(ROWS($1:11)&gt;COUNT(Dong),"",IF(OFFSET(TH!J$1,SMALL(Dong,ROWS($1:11)),)="331",OFFSET(TH!K$1,SMALL(Dong,ROWS($1:11)),),OFFSET(TH!J$1,SMALL(Dong,ROWS($1:11)),)))</f>
        <v>1331</v>
      </c>
      <c r="F24" s="127"/>
      <c r="G24" s="108">
        <f ca="1">IF(ROWS($1:11)&gt;COUNT(Dong),"",IF(OFFSET(TH!J$1,SMALL(Dong,ROWS($1:11)),)="331",OFFSET(TH!I$1,SMALL(Dong,ROWS($1:11)),),0))</f>
        <v>0</v>
      </c>
      <c r="H24" s="108">
        <f ca="1">IF(ROWS($1:11)&gt;COUNT(Dong),"",IF(OFFSET(TH!K$1,SMALL(Dong,ROWS($1:11)),)="331",OFFSET(TH!I$1,SMALL(Dong,ROWS($1:11)),),0))</f>
        <v>26864839</v>
      </c>
      <c r="I24" s="33">
        <f t="shared" ca="1" si="4"/>
        <v>0</v>
      </c>
      <c r="J24" s="33">
        <f t="shared" ca="1" si="5"/>
        <v>230754934</v>
      </c>
    </row>
    <row r="25" spans="1:10" s="26" customFormat="1" ht="18" customHeight="1">
      <c r="A25" s="11">
        <f t="shared" ca="1" si="3"/>
        <v>42251</v>
      </c>
      <c r="B25" s="11" t="str">
        <f ca="1">IF(ROWS($1:12)&gt;COUNT(Dong),"",OFFSET(TH!D$1,SMALL(Dong,ROWS($1:12)),))</f>
        <v>GBN</v>
      </c>
      <c r="C25" s="11">
        <f ca="1">IF(ROWS($1:12)&gt;COUNT(Dong),"",OFFSET(TH!E$1,SMALL(Dong,ROWS($1:12)),))</f>
        <v>42251</v>
      </c>
      <c r="D25" s="126" t="str">
        <f ca="1">IF(ROWS($1:12)&gt;COUNT(Dong),"",OFFSET(TH!F$1,SMALL(Dong,ROWS($1:12)),))</f>
        <v>Thanh toán tiền công trình</v>
      </c>
      <c r="E25" s="127" t="str">
        <f ca="1">IF(ROWS($1:12)&gt;COUNT(Dong),"",IF(OFFSET(TH!J$1,SMALL(Dong,ROWS($1:12)),)="331",OFFSET(TH!K$1,SMALL(Dong,ROWS($1:12)),),OFFSET(TH!J$1,SMALL(Dong,ROWS($1:12)),)))</f>
        <v>1121</v>
      </c>
      <c r="F25" s="127"/>
      <c r="G25" s="108">
        <f ca="1">IF(ROWS($1:12)&gt;COUNT(Dong),"",IF(OFFSET(TH!J$1,SMALL(Dong,ROWS($1:12)),)="331",OFFSET(TH!I$1,SMALL(Dong,ROWS($1:12)),),0))</f>
        <v>150000000</v>
      </c>
      <c r="H25" s="108">
        <f ca="1">IF(ROWS($1:12)&gt;COUNT(Dong),"",IF(OFFSET(TH!K$1,SMALL(Dong,ROWS($1:12)),)="331",OFFSET(TH!I$1,SMALL(Dong,ROWS($1:12)),),0))</f>
        <v>0</v>
      </c>
      <c r="I25" s="33">
        <f t="shared" ca="1" si="4"/>
        <v>0</v>
      </c>
      <c r="J25" s="33">
        <f t="shared" ca="1" si="5"/>
        <v>80754934</v>
      </c>
    </row>
    <row r="26" spans="1:10" s="26" customFormat="1" ht="18" customHeight="1">
      <c r="A26" s="11">
        <f t="shared" ca="1" si="3"/>
        <v>42267</v>
      </c>
      <c r="B26" s="11" t="str">
        <f ca="1">IF(ROWS($1:13)&gt;COUNT(Dong),"",OFFSET(TH!D$1,SMALL(Dong,ROWS($1:13)),))</f>
        <v>CTGS</v>
      </c>
      <c r="C26" s="11">
        <f ca="1">IF(ROWS($1:13)&gt;COUNT(Dong),"",OFFSET(TH!E$1,SMALL(Dong,ROWS($1:13)),))</f>
        <v>42267</v>
      </c>
      <c r="D26" s="126" t="str">
        <f ca="1">IF(ROWS($1:13)&gt;COUNT(Dong),"",OFFSET(TH!F$1,SMALL(Dong,ROWS($1:13)),))</f>
        <v>Vật liệu xây dựng</v>
      </c>
      <c r="E26" s="127" t="str">
        <f ca="1">IF(ROWS($1:13)&gt;COUNT(Dong),"",IF(OFFSET(TH!J$1,SMALL(Dong,ROWS($1:13)),)="331",OFFSET(TH!K$1,SMALL(Dong,ROWS($1:13)),),OFFSET(TH!J$1,SMALL(Dong,ROWS($1:13)),)))</f>
        <v>2412</v>
      </c>
      <c r="F26" s="127"/>
      <c r="G26" s="108">
        <f ca="1">IF(ROWS($1:13)&gt;COUNT(Dong),"",IF(OFFSET(TH!J$1,SMALL(Dong,ROWS($1:13)),)="331",OFFSET(TH!I$1,SMALL(Dong,ROWS($1:13)),),0))</f>
        <v>0</v>
      </c>
      <c r="H26" s="108">
        <f ca="1">IF(ROWS($1:13)&gt;COUNT(Dong),"",IF(OFFSET(TH!K$1,SMALL(Dong,ROWS($1:13)),)="331",OFFSET(TH!I$1,SMALL(Dong,ROWS($1:13)),),0))</f>
        <v>90910870</v>
      </c>
      <c r="I26" s="33">
        <f t="shared" ca="1" si="4"/>
        <v>0</v>
      </c>
      <c r="J26" s="33">
        <f t="shared" ca="1" si="5"/>
        <v>171665804</v>
      </c>
    </row>
    <row r="27" spans="1:10" s="26" customFormat="1" ht="18" customHeight="1">
      <c r="A27" s="11">
        <f t="shared" ca="1" si="3"/>
        <v>42267</v>
      </c>
      <c r="B27" s="11" t="str">
        <f ca="1">IF(ROWS($1:14)&gt;COUNT(Dong),"",OFFSET(TH!D$1,SMALL(Dong,ROWS($1:14)),))</f>
        <v>CTGS</v>
      </c>
      <c r="C27" s="11">
        <f ca="1">IF(ROWS($1:14)&gt;COUNT(Dong),"",OFFSET(TH!E$1,SMALL(Dong,ROWS($1:14)),))</f>
        <v>42267</v>
      </c>
      <c r="D27" s="126" t="str">
        <f ca="1">IF(ROWS($1:14)&gt;COUNT(Dong),"",OFFSET(TH!F$1,SMALL(Dong,ROWS($1:14)),))</f>
        <v>VAT Vật liệu xây dựng</v>
      </c>
      <c r="E27" s="127" t="str">
        <f ca="1">IF(ROWS($1:14)&gt;COUNT(Dong),"",IF(OFFSET(TH!J$1,SMALL(Dong,ROWS($1:14)),)="331",OFFSET(TH!K$1,SMALL(Dong,ROWS($1:14)),),OFFSET(TH!J$1,SMALL(Dong,ROWS($1:14)),)))</f>
        <v>1331</v>
      </c>
      <c r="F27" s="127"/>
      <c r="G27" s="108">
        <f ca="1">IF(ROWS($1:14)&gt;COUNT(Dong),"",IF(OFFSET(TH!J$1,SMALL(Dong,ROWS($1:14)),)="331",OFFSET(TH!I$1,SMALL(Dong,ROWS($1:14)),),0))</f>
        <v>0</v>
      </c>
      <c r="H27" s="108">
        <f ca="1">IF(ROWS($1:14)&gt;COUNT(Dong),"",IF(OFFSET(TH!K$1,SMALL(Dong,ROWS($1:14)),)="331",OFFSET(TH!I$1,SMALL(Dong,ROWS($1:14)),),0))</f>
        <v>9091087</v>
      </c>
      <c r="I27" s="33">
        <f t="shared" ca="1" si="4"/>
        <v>0</v>
      </c>
      <c r="J27" s="33">
        <f t="shared" ca="1" si="5"/>
        <v>180756891</v>
      </c>
    </row>
    <row r="28" spans="1:10" s="26" customFormat="1" ht="18" customHeight="1">
      <c r="A28" s="11">
        <f t="shared" ca="1" si="3"/>
        <v>42271</v>
      </c>
      <c r="B28" s="11" t="str">
        <f ca="1">IF(ROWS($1:15)&gt;COUNT(Dong),"",OFFSET(TH!D$1,SMALL(Dong,ROWS($1:15)),))</f>
        <v>CTGS</v>
      </c>
      <c r="C28" s="11">
        <f ca="1">IF(ROWS($1:15)&gt;COUNT(Dong),"",OFFSET(TH!E$1,SMALL(Dong,ROWS($1:15)),))</f>
        <v>42271</v>
      </c>
      <c r="D28" s="126" t="str">
        <f ca="1">IF(ROWS($1:15)&gt;COUNT(Dong),"",OFFSET(TH!F$1,SMALL(Dong,ROWS($1:15)),))</f>
        <v>Vật liệu xây dựng</v>
      </c>
      <c r="E28" s="127" t="str">
        <f ca="1">IF(ROWS($1:15)&gt;COUNT(Dong),"",IF(OFFSET(TH!J$1,SMALL(Dong,ROWS($1:15)),)="331",OFFSET(TH!K$1,SMALL(Dong,ROWS($1:15)),),OFFSET(TH!J$1,SMALL(Dong,ROWS($1:15)),)))</f>
        <v>2412</v>
      </c>
      <c r="F28" s="127"/>
      <c r="G28" s="108">
        <f ca="1">IF(ROWS($1:15)&gt;COUNT(Dong),"",IF(OFFSET(TH!J$1,SMALL(Dong,ROWS($1:15)),)="331",OFFSET(TH!I$1,SMALL(Dong,ROWS($1:15)),),0))</f>
        <v>0</v>
      </c>
      <c r="H28" s="108">
        <f ca="1">IF(ROWS($1:15)&gt;COUNT(Dong),"",IF(OFFSET(TH!K$1,SMALL(Dong,ROWS($1:15)),)="331",OFFSET(TH!I$1,SMALL(Dong,ROWS($1:15)),),0))</f>
        <v>73661009</v>
      </c>
      <c r="I28" s="33">
        <f t="shared" ca="1" si="4"/>
        <v>0</v>
      </c>
      <c r="J28" s="33">
        <f t="shared" ca="1" si="5"/>
        <v>254417900</v>
      </c>
    </row>
    <row r="29" spans="1:10" s="26" customFormat="1" ht="18" customHeight="1">
      <c r="A29" s="11">
        <f t="shared" ca="1" si="3"/>
        <v>42271</v>
      </c>
      <c r="B29" s="11" t="str">
        <f ca="1">IF(ROWS($1:16)&gt;COUNT(Dong),"",OFFSET(TH!D$1,SMALL(Dong,ROWS($1:16)),))</f>
        <v>CTGS</v>
      </c>
      <c r="C29" s="11">
        <f ca="1">IF(ROWS($1:16)&gt;COUNT(Dong),"",OFFSET(TH!E$1,SMALL(Dong,ROWS($1:16)),))</f>
        <v>42271</v>
      </c>
      <c r="D29" s="126" t="str">
        <f ca="1">IF(ROWS($1:16)&gt;COUNT(Dong),"",OFFSET(TH!F$1,SMALL(Dong,ROWS($1:16)),))</f>
        <v>VAT Vật liệu xây dựng</v>
      </c>
      <c r="E29" s="127" t="str">
        <f ca="1">IF(ROWS($1:16)&gt;COUNT(Dong),"",IF(OFFSET(TH!J$1,SMALL(Dong,ROWS($1:16)),)="331",OFFSET(TH!K$1,SMALL(Dong,ROWS($1:16)),),OFFSET(TH!J$1,SMALL(Dong,ROWS($1:16)),)))</f>
        <v>1331</v>
      </c>
      <c r="F29" s="127"/>
      <c r="G29" s="108">
        <f ca="1">IF(ROWS($1:16)&gt;COUNT(Dong),"",IF(OFFSET(TH!J$1,SMALL(Dong,ROWS($1:16)),)="331",OFFSET(TH!I$1,SMALL(Dong,ROWS($1:16)),),0))</f>
        <v>0</v>
      </c>
      <c r="H29" s="108">
        <f ca="1">IF(ROWS($1:16)&gt;COUNT(Dong),"",IF(OFFSET(TH!K$1,SMALL(Dong,ROWS($1:16)),)="331",OFFSET(TH!I$1,SMALL(Dong,ROWS($1:16)),),0))</f>
        <v>7366100</v>
      </c>
      <c r="I29" s="33">
        <f t="shared" ca="1" si="4"/>
        <v>0</v>
      </c>
      <c r="J29" s="33">
        <f t="shared" ca="1" si="5"/>
        <v>261784000</v>
      </c>
    </row>
    <row r="30" spans="1:10" s="26" customFormat="1" ht="18" customHeight="1">
      <c r="A30" s="11">
        <f t="shared" ca="1" si="3"/>
        <v>42279</v>
      </c>
      <c r="B30" s="11" t="str">
        <f ca="1">IF(ROWS($1:17)&gt;COUNT(Dong),"",OFFSET(TH!D$1,SMALL(Dong,ROWS($1:17)),))</f>
        <v>GBN</v>
      </c>
      <c r="C30" s="11">
        <f ca="1">IF(ROWS($1:17)&gt;COUNT(Dong),"",OFFSET(TH!E$1,SMALL(Dong,ROWS($1:17)),))</f>
        <v>42279</v>
      </c>
      <c r="D30" s="126" t="str">
        <f ca="1">IF(ROWS($1:17)&gt;COUNT(Dong),"",OFFSET(TH!F$1,SMALL(Dong,ROWS($1:17)),))</f>
        <v>Thanh toán tiền thi công</v>
      </c>
      <c r="E30" s="127" t="str">
        <f ca="1">IF(ROWS($1:17)&gt;COUNT(Dong),"",IF(OFFSET(TH!J$1,SMALL(Dong,ROWS($1:17)),)="331",OFFSET(TH!K$1,SMALL(Dong,ROWS($1:17)),),OFFSET(TH!J$1,SMALL(Dong,ROWS($1:17)),)))</f>
        <v>1121</v>
      </c>
      <c r="F30" s="127"/>
      <c r="G30" s="108">
        <f ca="1">IF(ROWS($1:17)&gt;COUNT(Dong),"",IF(OFFSET(TH!J$1,SMALL(Dong,ROWS($1:17)),)="331",OFFSET(TH!I$1,SMALL(Dong,ROWS($1:17)),),0))</f>
        <v>150000000</v>
      </c>
      <c r="H30" s="108">
        <f ca="1">IF(ROWS($1:17)&gt;COUNT(Dong),"",IF(OFFSET(TH!K$1,SMALL(Dong,ROWS($1:17)),)="331",OFFSET(TH!I$1,SMALL(Dong,ROWS($1:17)),),0))</f>
        <v>0</v>
      </c>
      <c r="I30" s="33">
        <f t="shared" ca="1" si="4"/>
        <v>0</v>
      </c>
      <c r="J30" s="33">
        <f t="shared" ca="1" si="5"/>
        <v>111784000</v>
      </c>
    </row>
    <row r="31" spans="1:10" s="26" customFormat="1" ht="18" customHeight="1">
      <c r="A31" s="11">
        <f t="shared" ca="1" si="3"/>
        <v>42304</v>
      </c>
      <c r="B31" s="11" t="str">
        <f ca="1">IF(ROWS($1:18)&gt;COUNT(Dong),"",OFFSET(TH!D$1,SMALL(Dong,ROWS($1:18)),))</f>
        <v>CTGS</v>
      </c>
      <c r="C31" s="11">
        <f ca="1">IF(ROWS($1:18)&gt;COUNT(Dong),"",OFFSET(TH!E$1,SMALL(Dong,ROWS($1:18)),))</f>
        <v>42304</v>
      </c>
      <c r="D31" s="126" t="str">
        <f ca="1">IF(ROWS($1:18)&gt;COUNT(Dong),"",OFFSET(TH!F$1,SMALL(Dong,ROWS($1:18)),))</f>
        <v>Vật liệu xây dựng</v>
      </c>
      <c r="E31" s="127" t="str">
        <f ca="1">IF(ROWS($1:18)&gt;COUNT(Dong),"",IF(OFFSET(TH!J$1,SMALL(Dong,ROWS($1:18)),)="331",OFFSET(TH!K$1,SMALL(Dong,ROWS($1:18)),),OFFSET(TH!J$1,SMALL(Dong,ROWS($1:18)),)))</f>
        <v>2412</v>
      </c>
      <c r="F31" s="127"/>
      <c r="G31" s="108">
        <f ca="1">IF(ROWS($1:18)&gt;COUNT(Dong),"",IF(OFFSET(TH!J$1,SMALL(Dong,ROWS($1:18)),)="331",OFFSET(TH!I$1,SMALL(Dong,ROWS($1:18)),),0))</f>
        <v>0</v>
      </c>
      <c r="H31" s="108">
        <f ca="1">IF(ROWS($1:18)&gt;COUNT(Dong),"",IF(OFFSET(TH!K$1,SMALL(Dong,ROWS($1:18)),)="331",OFFSET(TH!I$1,SMALL(Dong,ROWS($1:18)),),0))</f>
        <v>10313194</v>
      </c>
      <c r="I31" s="33">
        <f t="shared" ca="1" si="4"/>
        <v>0</v>
      </c>
      <c r="J31" s="33">
        <f t="shared" ca="1" si="5"/>
        <v>122097194</v>
      </c>
    </row>
    <row r="32" spans="1:10" s="26" customFormat="1" ht="18" customHeight="1">
      <c r="A32" s="11">
        <f t="shared" ca="1" si="3"/>
        <v>42304</v>
      </c>
      <c r="B32" s="11" t="str">
        <f ca="1">IF(ROWS($1:19)&gt;COUNT(Dong),"",OFFSET(TH!D$1,SMALL(Dong,ROWS($1:19)),))</f>
        <v>CTGS</v>
      </c>
      <c r="C32" s="11">
        <f ca="1">IF(ROWS($1:19)&gt;COUNT(Dong),"",OFFSET(TH!E$1,SMALL(Dong,ROWS($1:19)),))</f>
        <v>42304</v>
      </c>
      <c r="D32" s="126" t="str">
        <f ca="1">IF(ROWS($1:19)&gt;COUNT(Dong),"",OFFSET(TH!F$1,SMALL(Dong,ROWS($1:19)),))</f>
        <v>VAT Vật liệu xây dựng</v>
      </c>
      <c r="E32" s="127" t="str">
        <f ca="1">IF(ROWS($1:19)&gt;COUNT(Dong),"",IF(OFFSET(TH!J$1,SMALL(Dong,ROWS($1:19)),)="331",OFFSET(TH!K$1,SMALL(Dong,ROWS($1:19)),),OFFSET(TH!J$1,SMALL(Dong,ROWS($1:19)),)))</f>
        <v>1331</v>
      </c>
      <c r="F32" s="127"/>
      <c r="G32" s="108">
        <f ca="1">IF(ROWS($1:19)&gt;COUNT(Dong),"",IF(OFFSET(TH!J$1,SMALL(Dong,ROWS($1:19)),)="331",OFFSET(TH!I$1,SMALL(Dong,ROWS($1:19)),),0))</f>
        <v>0</v>
      </c>
      <c r="H32" s="108">
        <f ca="1">IF(ROWS($1:19)&gt;COUNT(Dong),"",IF(OFFSET(TH!K$1,SMALL(Dong,ROWS($1:19)),)="331",OFFSET(TH!I$1,SMALL(Dong,ROWS($1:19)),),0))</f>
        <v>1031319</v>
      </c>
      <c r="I32" s="33">
        <f t="shared" ca="1" si="4"/>
        <v>0</v>
      </c>
      <c r="J32" s="33">
        <f t="shared" ca="1" si="5"/>
        <v>123128513</v>
      </c>
    </row>
    <row r="33" spans="1:10" s="26" customFormat="1" ht="18" customHeight="1">
      <c r="A33" s="11">
        <f t="shared" ref="A33:A39" ca="1" si="6">IF(C33&lt;&gt;"",C33,"")</f>
        <v>42362</v>
      </c>
      <c r="B33" s="11" t="str">
        <f ca="1">IF(ROWS($1:20)&gt;COUNT(Dong),"",OFFSET(TH!D$1,SMALL(Dong,ROWS($1:20)),))</f>
        <v>CTGS</v>
      </c>
      <c r="C33" s="11">
        <f ca="1">IF(ROWS($1:20)&gt;COUNT(Dong),"",OFFSET(TH!E$1,SMALL(Dong,ROWS($1:20)),))</f>
        <v>42362</v>
      </c>
      <c r="D33" s="126" t="str">
        <f ca="1">IF(ROWS($1:20)&gt;COUNT(Dong),"",OFFSET(TH!F$1,SMALL(Dong,ROWS($1:20)),))</f>
        <v>Tiền vật liệu xây dựng</v>
      </c>
      <c r="E33" s="127" t="str">
        <f ca="1">IF(ROWS($1:20)&gt;COUNT(Dong),"",IF(OFFSET(TH!J$1,SMALL(Dong,ROWS($1:20)),)="331",OFFSET(TH!K$1,SMALL(Dong,ROWS($1:20)),),OFFSET(TH!J$1,SMALL(Dong,ROWS($1:20)),)))</f>
        <v>2412</v>
      </c>
      <c r="F33" s="127"/>
      <c r="G33" s="138">
        <f ca="1">IF(ROWS($1:20)&gt;COUNT(Dong),"",IF(OFFSET(TH!J$1,SMALL(Dong,ROWS($1:20)),)="331",OFFSET(TH!I$1,SMALL(Dong,ROWS($1:20)),),0))</f>
        <v>0</v>
      </c>
      <c r="H33" s="138">
        <f ca="1">IF(ROWS($1:20)&gt;COUNT(Dong),"",IF(OFFSET(TH!K$1,SMALL(Dong,ROWS($1:20)),)="331",OFFSET(TH!I$1,SMALL(Dong,ROWS($1:20)),),0))</f>
        <v>34528697</v>
      </c>
      <c r="I33" s="33">
        <f t="shared" ref="I33:I39" ca="1" si="7">IF(D33&lt;&gt;"",MAX(I32+G33-H33-J32,0),0)</f>
        <v>0</v>
      </c>
      <c r="J33" s="33">
        <f t="shared" ref="J33:J39" ca="1" si="8">IF(D33&lt;&gt;"",MAX(J32+H33-I32-G33,0),0)</f>
        <v>157657210</v>
      </c>
    </row>
    <row r="34" spans="1:10" s="26" customFormat="1" ht="18" customHeight="1">
      <c r="A34" s="11">
        <f t="shared" ca="1" si="6"/>
        <v>42362</v>
      </c>
      <c r="B34" s="11" t="str">
        <f ca="1">IF(ROWS($1:21)&gt;COUNT(Dong),"",OFFSET(TH!D$1,SMALL(Dong,ROWS($1:21)),))</f>
        <v>CTGS</v>
      </c>
      <c r="C34" s="11">
        <f ca="1">IF(ROWS($1:21)&gt;COUNT(Dong),"",OFFSET(TH!E$1,SMALL(Dong,ROWS($1:21)),))</f>
        <v>42362</v>
      </c>
      <c r="D34" s="126" t="str">
        <f ca="1">IF(ROWS($1:21)&gt;COUNT(Dong),"",OFFSET(TH!F$1,SMALL(Dong,ROWS($1:21)),))</f>
        <v>VAT Tiền vật liệu xây dựng</v>
      </c>
      <c r="E34" s="127" t="str">
        <f ca="1">IF(ROWS($1:21)&gt;COUNT(Dong),"",IF(OFFSET(TH!J$1,SMALL(Dong,ROWS($1:21)),)="331",OFFSET(TH!K$1,SMALL(Dong,ROWS($1:21)),),OFFSET(TH!J$1,SMALL(Dong,ROWS($1:21)),)))</f>
        <v>1331</v>
      </c>
      <c r="F34" s="127"/>
      <c r="G34" s="138">
        <f ca="1">IF(ROWS($1:21)&gt;COUNT(Dong),"",IF(OFFSET(TH!J$1,SMALL(Dong,ROWS($1:21)),)="331",OFFSET(TH!I$1,SMALL(Dong,ROWS($1:21)),),0))</f>
        <v>0</v>
      </c>
      <c r="H34" s="138">
        <f ca="1">IF(ROWS($1:21)&gt;COUNT(Dong),"",IF(OFFSET(TH!K$1,SMALL(Dong,ROWS($1:21)),)="331",OFFSET(TH!I$1,SMALL(Dong,ROWS($1:21)),),0))</f>
        <v>3452869</v>
      </c>
      <c r="I34" s="33">
        <f t="shared" ca="1" si="7"/>
        <v>0</v>
      </c>
      <c r="J34" s="33">
        <f t="shared" ca="1" si="8"/>
        <v>161110079</v>
      </c>
    </row>
    <row r="35" spans="1:10" s="26" customFormat="1" ht="18" customHeight="1">
      <c r="A35" s="11">
        <f t="shared" ca="1" si="6"/>
        <v>42366</v>
      </c>
      <c r="B35" s="11" t="str">
        <f ca="1">IF(ROWS($1:22)&gt;COUNT(Dong),"",OFFSET(TH!D$1,SMALL(Dong,ROWS($1:22)),))</f>
        <v>GBN</v>
      </c>
      <c r="C35" s="11">
        <f ca="1">IF(ROWS($1:22)&gt;COUNT(Dong),"",OFFSET(TH!E$1,SMALL(Dong,ROWS($1:22)),))</f>
        <v>42366</v>
      </c>
      <c r="D35" s="126" t="str">
        <f ca="1">IF(ROWS($1:22)&gt;COUNT(Dong),"",OFFSET(TH!F$1,SMALL(Dong,ROWS($1:22)),))</f>
        <v>Thanh toán tiền công trình</v>
      </c>
      <c r="E35" s="127" t="str">
        <f ca="1">IF(ROWS($1:22)&gt;COUNT(Dong),"",IF(OFFSET(TH!J$1,SMALL(Dong,ROWS($1:22)),)="331",OFFSET(TH!K$1,SMALL(Dong,ROWS($1:22)),),OFFSET(TH!J$1,SMALL(Dong,ROWS($1:22)),)))</f>
        <v>1121</v>
      </c>
      <c r="F35" s="127"/>
      <c r="G35" s="138">
        <f ca="1">IF(ROWS($1:22)&gt;COUNT(Dong),"",IF(OFFSET(TH!J$1,SMALL(Dong,ROWS($1:22)),)="331",OFFSET(TH!I$1,SMALL(Dong,ROWS($1:22)),),0))</f>
        <v>123128513</v>
      </c>
      <c r="H35" s="138">
        <f ca="1">IF(ROWS($1:22)&gt;COUNT(Dong),"",IF(OFFSET(TH!K$1,SMALL(Dong,ROWS($1:22)),)="331",OFFSET(TH!I$1,SMALL(Dong,ROWS($1:22)),),0))</f>
        <v>0</v>
      </c>
      <c r="I35" s="33">
        <f t="shared" ca="1" si="7"/>
        <v>0</v>
      </c>
      <c r="J35" s="33">
        <f t="shared" ca="1" si="8"/>
        <v>37981566</v>
      </c>
    </row>
    <row r="36" spans="1:10" s="26" customFormat="1" ht="18" customHeight="1">
      <c r="A36" s="11" t="str">
        <f t="shared" ca="1" si="6"/>
        <v/>
      </c>
      <c r="B36" s="11" t="str">
        <f ca="1">IF(ROWS($1:23)&gt;COUNT(Dong),"",OFFSET(TH!D$1,SMALL(Dong,ROWS($1:23)),))</f>
        <v/>
      </c>
      <c r="C36" s="11" t="str">
        <f ca="1">IF(ROWS($1:23)&gt;COUNT(Dong),"",OFFSET(TH!E$1,SMALL(Dong,ROWS($1:23)),))</f>
        <v/>
      </c>
      <c r="D36" s="126" t="str">
        <f ca="1">IF(ROWS($1:23)&gt;COUNT(Dong),"",OFFSET(TH!F$1,SMALL(Dong,ROWS($1:23)),))</f>
        <v/>
      </c>
      <c r="E36" s="127" t="str">
        <f ca="1">IF(ROWS($1:23)&gt;COUNT(Dong),"",IF(OFFSET(TH!J$1,SMALL(Dong,ROWS($1:23)),)="331",OFFSET(TH!K$1,SMALL(Dong,ROWS($1:23)),),OFFSET(TH!J$1,SMALL(Dong,ROWS($1:23)),)))</f>
        <v/>
      </c>
      <c r="F36" s="127"/>
      <c r="G36" s="138" t="str">
        <f ca="1">IF(ROWS($1:23)&gt;COUNT(Dong),"",IF(OFFSET(TH!J$1,SMALL(Dong,ROWS($1:23)),)="331",OFFSET(TH!I$1,SMALL(Dong,ROWS($1:23)),),0))</f>
        <v/>
      </c>
      <c r="H36" s="138" t="str">
        <f ca="1">IF(ROWS($1:23)&gt;COUNT(Dong),"",IF(OFFSET(TH!K$1,SMALL(Dong,ROWS($1:23)),)="331",OFFSET(TH!I$1,SMALL(Dong,ROWS($1:23)),),0))</f>
        <v/>
      </c>
      <c r="I36" s="33">
        <f t="shared" ca="1" si="7"/>
        <v>0</v>
      </c>
      <c r="J36" s="33">
        <f t="shared" ca="1" si="8"/>
        <v>0</v>
      </c>
    </row>
    <row r="37" spans="1:10" s="26" customFormat="1" ht="18" customHeight="1">
      <c r="A37" s="11" t="str">
        <f t="shared" ca="1" si="6"/>
        <v/>
      </c>
      <c r="B37" s="11" t="str">
        <f ca="1">IF(ROWS($1:24)&gt;COUNT(Dong),"",OFFSET(TH!D$1,SMALL(Dong,ROWS($1:24)),))</f>
        <v/>
      </c>
      <c r="C37" s="11" t="str">
        <f ca="1">IF(ROWS($1:24)&gt;COUNT(Dong),"",OFFSET(TH!E$1,SMALL(Dong,ROWS($1:24)),))</f>
        <v/>
      </c>
      <c r="D37" s="126" t="str">
        <f ca="1">IF(ROWS($1:24)&gt;COUNT(Dong),"",OFFSET(TH!F$1,SMALL(Dong,ROWS($1:24)),))</f>
        <v/>
      </c>
      <c r="E37" s="127" t="str">
        <f ca="1">IF(ROWS($1:24)&gt;COUNT(Dong),"",IF(OFFSET(TH!J$1,SMALL(Dong,ROWS($1:24)),)="331",OFFSET(TH!K$1,SMALL(Dong,ROWS($1:24)),),OFFSET(TH!J$1,SMALL(Dong,ROWS($1:24)),)))</f>
        <v/>
      </c>
      <c r="F37" s="127"/>
      <c r="G37" s="138" t="str">
        <f ca="1">IF(ROWS($1:24)&gt;COUNT(Dong),"",IF(OFFSET(TH!J$1,SMALL(Dong,ROWS($1:24)),)="331",OFFSET(TH!I$1,SMALL(Dong,ROWS($1:24)),),0))</f>
        <v/>
      </c>
      <c r="H37" s="138" t="str">
        <f ca="1">IF(ROWS($1:24)&gt;COUNT(Dong),"",IF(OFFSET(TH!K$1,SMALL(Dong,ROWS($1:24)),)="331",OFFSET(TH!I$1,SMALL(Dong,ROWS($1:24)),),0))</f>
        <v/>
      </c>
      <c r="I37" s="33">
        <f t="shared" ca="1" si="7"/>
        <v>0</v>
      </c>
      <c r="J37" s="33">
        <f t="shared" ca="1" si="8"/>
        <v>0</v>
      </c>
    </row>
    <row r="38" spans="1:10" s="26" customFormat="1" ht="18" customHeight="1">
      <c r="A38" s="11" t="str">
        <f t="shared" ca="1" si="6"/>
        <v/>
      </c>
      <c r="B38" s="11" t="str">
        <f ca="1">IF(ROWS($1:25)&gt;COUNT(Dong),"",OFFSET(TH!D$1,SMALL(Dong,ROWS($1:25)),))</f>
        <v/>
      </c>
      <c r="C38" s="11" t="str">
        <f ca="1">IF(ROWS($1:25)&gt;COUNT(Dong),"",OFFSET(TH!E$1,SMALL(Dong,ROWS($1:25)),))</f>
        <v/>
      </c>
      <c r="D38" s="126" t="str">
        <f ca="1">IF(ROWS($1:25)&gt;COUNT(Dong),"",OFFSET(TH!F$1,SMALL(Dong,ROWS($1:25)),))</f>
        <v/>
      </c>
      <c r="E38" s="127" t="str">
        <f ca="1">IF(ROWS($1:25)&gt;COUNT(Dong),"",IF(OFFSET(TH!J$1,SMALL(Dong,ROWS($1:25)),)="331",OFFSET(TH!K$1,SMALL(Dong,ROWS($1:25)),),OFFSET(TH!J$1,SMALL(Dong,ROWS($1:25)),)))</f>
        <v/>
      </c>
      <c r="F38" s="127"/>
      <c r="G38" s="138" t="str">
        <f ca="1">IF(ROWS($1:25)&gt;COUNT(Dong),"",IF(OFFSET(TH!J$1,SMALL(Dong,ROWS($1:25)),)="331",OFFSET(TH!I$1,SMALL(Dong,ROWS($1:25)),),0))</f>
        <v/>
      </c>
      <c r="H38" s="138" t="str">
        <f ca="1">IF(ROWS($1:25)&gt;COUNT(Dong),"",IF(OFFSET(TH!K$1,SMALL(Dong,ROWS($1:25)),)="331",OFFSET(TH!I$1,SMALL(Dong,ROWS($1:25)),),0))</f>
        <v/>
      </c>
      <c r="I38" s="33">
        <f t="shared" ca="1" si="7"/>
        <v>0</v>
      </c>
      <c r="J38" s="33">
        <f t="shared" ca="1" si="8"/>
        <v>0</v>
      </c>
    </row>
    <row r="39" spans="1:10" s="26" customFormat="1" ht="18" customHeight="1">
      <c r="A39" s="11" t="str">
        <f t="shared" ca="1" si="6"/>
        <v/>
      </c>
      <c r="B39" s="11" t="str">
        <f ca="1">IF(ROWS($1:26)&gt;COUNT(Dong),"",OFFSET(TH!D$1,SMALL(Dong,ROWS($1:26)),))</f>
        <v/>
      </c>
      <c r="C39" s="11" t="str">
        <f ca="1">IF(ROWS($1:26)&gt;COUNT(Dong),"",OFFSET(TH!E$1,SMALL(Dong,ROWS($1:26)),))</f>
        <v/>
      </c>
      <c r="D39" s="126" t="str">
        <f ca="1">IF(ROWS($1:26)&gt;COUNT(Dong),"",OFFSET(TH!F$1,SMALL(Dong,ROWS($1:26)),))</f>
        <v/>
      </c>
      <c r="E39" s="127" t="str">
        <f ca="1">IF(ROWS($1:26)&gt;COUNT(Dong),"",IF(OFFSET(TH!J$1,SMALL(Dong,ROWS($1:26)),)="331",OFFSET(TH!K$1,SMALL(Dong,ROWS($1:26)),),OFFSET(TH!J$1,SMALL(Dong,ROWS($1:26)),)))</f>
        <v/>
      </c>
      <c r="F39" s="127"/>
      <c r="G39" s="138" t="str">
        <f ca="1">IF(ROWS($1:26)&gt;COUNT(Dong),"",IF(OFFSET(TH!J$1,SMALL(Dong,ROWS($1:26)),)="331",OFFSET(TH!I$1,SMALL(Dong,ROWS($1:26)),),0))</f>
        <v/>
      </c>
      <c r="H39" s="138" t="str">
        <f ca="1">IF(ROWS($1:26)&gt;COUNT(Dong),"",IF(OFFSET(TH!K$1,SMALL(Dong,ROWS($1:26)),)="331",OFFSET(TH!I$1,SMALL(Dong,ROWS($1:26)),),0))</f>
        <v/>
      </c>
      <c r="I39" s="33">
        <f t="shared" ca="1" si="7"/>
        <v>0</v>
      </c>
      <c r="J39" s="33">
        <f t="shared" ca="1" si="8"/>
        <v>0</v>
      </c>
    </row>
    <row r="40" spans="1:10" s="26" customFormat="1" ht="18" customHeight="1">
      <c r="A40" s="11" t="str">
        <f t="shared" ref="A40:A43" ca="1" si="9">IF(C40&lt;&gt;"",C40,"")</f>
        <v/>
      </c>
      <c r="B40" s="11" t="str">
        <f ca="1">IF(ROWS($1:27)&gt;COUNT(Dong),"",OFFSET(TH!D$1,SMALL(Dong,ROWS($1:27)),))</f>
        <v/>
      </c>
      <c r="C40" s="11" t="str">
        <f ca="1">IF(ROWS($1:27)&gt;COUNT(Dong),"",OFFSET(TH!E$1,SMALL(Dong,ROWS($1:27)),))</f>
        <v/>
      </c>
      <c r="D40" s="126" t="str">
        <f ca="1">IF(ROWS($1:27)&gt;COUNT(Dong),"",OFFSET(TH!F$1,SMALL(Dong,ROWS($1:27)),))</f>
        <v/>
      </c>
      <c r="E40" s="127" t="str">
        <f ca="1">IF(ROWS($1:27)&gt;COUNT(Dong),"",IF(OFFSET(TH!J$1,SMALL(Dong,ROWS($1:27)),)="331",OFFSET(TH!K$1,SMALL(Dong,ROWS($1:27)),),OFFSET(TH!J$1,SMALL(Dong,ROWS($1:27)),)))</f>
        <v/>
      </c>
      <c r="F40" s="127"/>
      <c r="G40" s="231" t="str">
        <f ca="1">IF(ROWS($1:27)&gt;COUNT(Dong),"",IF(OFFSET(TH!J$1,SMALL(Dong,ROWS($1:27)),)="331",OFFSET(TH!I$1,SMALL(Dong,ROWS($1:27)),),0))</f>
        <v/>
      </c>
      <c r="H40" s="231" t="str">
        <f ca="1">IF(ROWS($1:27)&gt;COUNT(Dong),"",IF(OFFSET(TH!K$1,SMALL(Dong,ROWS($1:27)),)="331",OFFSET(TH!I$1,SMALL(Dong,ROWS($1:27)),),0))</f>
        <v/>
      </c>
      <c r="I40" s="33">
        <f t="shared" ref="I40:I43" ca="1" si="10">IF(D40&lt;&gt;"",MAX(I39+G40-H40-J39,0),0)</f>
        <v>0</v>
      </c>
      <c r="J40" s="33">
        <f t="shared" ref="J40:J43" ca="1" si="11">IF(D40&lt;&gt;"",MAX(J39+H40-I39-G40,0),0)</f>
        <v>0</v>
      </c>
    </row>
    <row r="41" spans="1:10" s="26" customFormat="1" ht="18" customHeight="1">
      <c r="A41" s="11" t="str">
        <f t="shared" ca="1" si="9"/>
        <v/>
      </c>
      <c r="B41" s="11" t="str">
        <f ca="1">IF(ROWS($1:28)&gt;COUNT(Dong),"",OFFSET(TH!D$1,SMALL(Dong,ROWS($1:28)),))</f>
        <v/>
      </c>
      <c r="C41" s="11" t="str">
        <f ca="1">IF(ROWS($1:28)&gt;COUNT(Dong),"",OFFSET(TH!E$1,SMALL(Dong,ROWS($1:28)),))</f>
        <v/>
      </c>
      <c r="D41" s="126" t="str">
        <f ca="1">IF(ROWS($1:28)&gt;COUNT(Dong),"",OFFSET(TH!F$1,SMALL(Dong,ROWS($1:28)),))</f>
        <v/>
      </c>
      <c r="E41" s="127" t="str">
        <f ca="1">IF(ROWS($1:28)&gt;COUNT(Dong),"",IF(OFFSET(TH!J$1,SMALL(Dong,ROWS($1:28)),)="331",OFFSET(TH!K$1,SMALL(Dong,ROWS($1:28)),),OFFSET(TH!J$1,SMALL(Dong,ROWS($1:28)),)))</f>
        <v/>
      </c>
      <c r="F41" s="127"/>
      <c r="G41" s="231" t="str">
        <f ca="1">IF(ROWS($1:28)&gt;COUNT(Dong),"",IF(OFFSET(TH!J$1,SMALL(Dong,ROWS($1:28)),)="331",OFFSET(TH!I$1,SMALL(Dong,ROWS($1:28)),),0))</f>
        <v/>
      </c>
      <c r="H41" s="231" t="str">
        <f ca="1">IF(ROWS($1:28)&gt;COUNT(Dong),"",IF(OFFSET(TH!K$1,SMALL(Dong,ROWS($1:28)),)="331",OFFSET(TH!I$1,SMALL(Dong,ROWS($1:28)),),0))</f>
        <v/>
      </c>
      <c r="I41" s="33">
        <f t="shared" ca="1" si="10"/>
        <v>0</v>
      </c>
      <c r="J41" s="33">
        <f t="shared" ca="1" si="11"/>
        <v>0</v>
      </c>
    </row>
    <row r="42" spans="1:10" s="26" customFormat="1" ht="18" customHeight="1">
      <c r="A42" s="11" t="str">
        <f t="shared" ca="1" si="9"/>
        <v/>
      </c>
      <c r="B42" s="11" t="str">
        <f ca="1">IF(ROWS($1:29)&gt;COUNT(Dong),"",OFFSET(TH!D$1,SMALL(Dong,ROWS($1:29)),))</f>
        <v/>
      </c>
      <c r="C42" s="11" t="str">
        <f ca="1">IF(ROWS($1:29)&gt;COUNT(Dong),"",OFFSET(TH!E$1,SMALL(Dong,ROWS($1:29)),))</f>
        <v/>
      </c>
      <c r="D42" s="126" t="str">
        <f ca="1">IF(ROWS($1:29)&gt;COUNT(Dong),"",OFFSET(TH!F$1,SMALL(Dong,ROWS($1:29)),))</f>
        <v/>
      </c>
      <c r="E42" s="127" t="str">
        <f ca="1">IF(ROWS($1:29)&gt;COUNT(Dong),"",IF(OFFSET(TH!J$1,SMALL(Dong,ROWS($1:29)),)="331",OFFSET(TH!K$1,SMALL(Dong,ROWS($1:29)),),OFFSET(TH!J$1,SMALL(Dong,ROWS($1:29)),)))</f>
        <v/>
      </c>
      <c r="F42" s="127"/>
      <c r="G42" s="231" t="str">
        <f ca="1">IF(ROWS($1:29)&gt;COUNT(Dong),"",IF(OFFSET(TH!J$1,SMALL(Dong,ROWS($1:29)),)="331",OFFSET(TH!I$1,SMALL(Dong,ROWS($1:29)),),0))</f>
        <v/>
      </c>
      <c r="H42" s="231" t="str">
        <f ca="1">IF(ROWS($1:29)&gt;COUNT(Dong),"",IF(OFFSET(TH!K$1,SMALL(Dong,ROWS($1:29)),)="331",OFFSET(TH!I$1,SMALL(Dong,ROWS($1:29)),),0))</f>
        <v/>
      </c>
      <c r="I42" s="33">
        <f t="shared" ca="1" si="10"/>
        <v>0</v>
      </c>
      <c r="J42" s="33">
        <f t="shared" ca="1" si="11"/>
        <v>0</v>
      </c>
    </row>
    <row r="43" spans="1:10" s="26" customFormat="1" ht="18" customHeight="1">
      <c r="A43" s="11" t="str">
        <f t="shared" ca="1" si="9"/>
        <v/>
      </c>
      <c r="B43" s="11" t="str">
        <f ca="1">IF(ROWS($1:30)&gt;COUNT(Dong),"",OFFSET(TH!D$1,SMALL(Dong,ROWS($1:30)),))</f>
        <v/>
      </c>
      <c r="C43" s="11" t="str">
        <f ca="1">IF(ROWS($1:30)&gt;COUNT(Dong),"",OFFSET(TH!E$1,SMALL(Dong,ROWS($1:30)),))</f>
        <v/>
      </c>
      <c r="D43" s="126" t="str">
        <f ca="1">IF(ROWS($1:30)&gt;COUNT(Dong),"",OFFSET(TH!F$1,SMALL(Dong,ROWS($1:30)),))</f>
        <v/>
      </c>
      <c r="E43" s="127" t="str">
        <f ca="1">IF(ROWS($1:30)&gt;COUNT(Dong),"",IF(OFFSET(TH!J$1,SMALL(Dong,ROWS($1:30)),)="331",OFFSET(TH!K$1,SMALL(Dong,ROWS($1:30)),),OFFSET(TH!J$1,SMALL(Dong,ROWS($1:30)),)))</f>
        <v/>
      </c>
      <c r="F43" s="127"/>
      <c r="G43" s="231" t="str">
        <f ca="1">IF(ROWS($1:30)&gt;COUNT(Dong),"",IF(OFFSET(TH!J$1,SMALL(Dong,ROWS($1:30)),)="331",OFFSET(TH!I$1,SMALL(Dong,ROWS($1:30)),),0))</f>
        <v/>
      </c>
      <c r="H43" s="231" t="str">
        <f ca="1">IF(ROWS($1:30)&gt;COUNT(Dong),"",IF(OFFSET(TH!K$1,SMALL(Dong,ROWS($1:30)),)="331",OFFSET(TH!I$1,SMALL(Dong,ROWS($1:30)),),0))</f>
        <v/>
      </c>
      <c r="I43" s="33">
        <f t="shared" ca="1" si="10"/>
        <v>0</v>
      </c>
      <c r="J43" s="33">
        <f t="shared" ca="1" si="11"/>
        <v>0</v>
      </c>
    </row>
    <row r="44" spans="1:10" s="26" customFormat="1" ht="18" customHeight="1">
      <c r="A44" s="11" t="str">
        <f t="shared" ref="A44:A50" ca="1" si="12">IF(C44&lt;&gt;"",C44,"")</f>
        <v/>
      </c>
      <c r="B44" s="11" t="str">
        <f ca="1">IF(ROWS($1:31)&gt;COUNT(Dong),"",OFFSET(TH!D$1,SMALL(Dong,ROWS($1:31)),))</f>
        <v/>
      </c>
      <c r="C44" s="11" t="str">
        <f ca="1">IF(ROWS($1:31)&gt;COUNT(Dong),"",OFFSET(TH!E$1,SMALL(Dong,ROWS($1:31)),))</f>
        <v/>
      </c>
      <c r="D44" s="126" t="str">
        <f ca="1">IF(ROWS($1:31)&gt;COUNT(Dong),"",OFFSET(TH!F$1,SMALL(Dong,ROWS($1:31)),))</f>
        <v/>
      </c>
      <c r="E44" s="127" t="str">
        <f ca="1">IF(ROWS($1:31)&gt;COUNT(Dong),"",IF(OFFSET(TH!J$1,SMALL(Dong,ROWS($1:31)),)="331",OFFSET(TH!K$1,SMALL(Dong,ROWS($1:31)),),OFFSET(TH!J$1,SMALL(Dong,ROWS($1:31)),)))</f>
        <v/>
      </c>
      <c r="F44" s="127"/>
      <c r="G44" s="231" t="str">
        <f ca="1">IF(ROWS($1:31)&gt;COUNT(Dong),"",IF(OFFSET(TH!J$1,SMALL(Dong,ROWS($1:31)),)="331",OFFSET(TH!I$1,SMALL(Dong,ROWS($1:31)),),0))</f>
        <v/>
      </c>
      <c r="H44" s="231" t="str">
        <f ca="1">IF(ROWS($1:31)&gt;COUNT(Dong),"",IF(OFFSET(TH!K$1,SMALL(Dong,ROWS($1:31)),)="331",OFFSET(TH!I$1,SMALL(Dong,ROWS($1:31)),),0))</f>
        <v/>
      </c>
      <c r="I44" s="33">
        <f t="shared" ref="I44:I50" ca="1" si="13">IF(D44&lt;&gt;"",MAX(I43+G44-H44-J43,0),0)</f>
        <v>0</v>
      </c>
      <c r="J44" s="33">
        <f t="shared" ref="J44:J50" ca="1" si="14">IF(D44&lt;&gt;"",MAX(J43+H44-I43-G44,0),0)</f>
        <v>0</v>
      </c>
    </row>
    <row r="45" spans="1:10" s="26" customFormat="1" ht="18" customHeight="1">
      <c r="A45" s="11" t="str">
        <f t="shared" ca="1" si="12"/>
        <v/>
      </c>
      <c r="B45" s="11" t="str">
        <f ca="1">IF(ROWS($1:32)&gt;COUNT(Dong),"",OFFSET(TH!D$1,SMALL(Dong,ROWS($1:32)),))</f>
        <v/>
      </c>
      <c r="C45" s="11" t="str">
        <f ca="1">IF(ROWS($1:32)&gt;COUNT(Dong),"",OFFSET(TH!E$1,SMALL(Dong,ROWS($1:32)),))</f>
        <v/>
      </c>
      <c r="D45" s="126" t="str">
        <f ca="1">IF(ROWS($1:32)&gt;COUNT(Dong),"",OFFSET(TH!F$1,SMALL(Dong,ROWS($1:32)),))</f>
        <v/>
      </c>
      <c r="E45" s="127" t="str">
        <f ca="1">IF(ROWS($1:32)&gt;COUNT(Dong),"",IF(OFFSET(TH!J$1,SMALL(Dong,ROWS($1:32)),)="331",OFFSET(TH!K$1,SMALL(Dong,ROWS($1:32)),),OFFSET(TH!J$1,SMALL(Dong,ROWS($1:32)),)))</f>
        <v/>
      </c>
      <c r="F45" s="127"/>
      <c r="G45" s="231" t="str">
        <f ca="1">IF(ROWS($1:32)&gt;COUNT(Dong),"",IF(OFFSET(TH!J$1,SMALL(Dong,ROWS($1:32)),)="331",OFFSET(TH!I$1,SMALL(Dong,ROWS($1:32)),),0))</f>
        <v/>
      </c>
      <c r="H45" s="231" t="str">
        <f ca="1">IF(ROWS($1:32)&gt;COUNT(Dong),"",IF(OFFSET(TH!K$1,SMALL(Dong,ROWS($1:32)),)="331",OFFSET(TH!I$1,SMALL(Dong,ROWS($1:32)),),0))</f>
        <v/>
      </c>
      <c r="I45" s="33">
        <f t="shared" ca="1" si="13"/>
        <v>0</v>
      </c>
      <c r="J45" s="33">
        <f t="shared" ca="1" si="14"/>
        <v>0</v>
      </c>
    </row>
    <row r="46" spans="1:10" s="26" customFormat="1" ht="18" customHeight="1">
      <c r="A46" s="11" t="str">
        <f t="shared" ca="1" si="12"/>
        <v/>
      </c>
      <c r="B46" s="11" t="str">
        <f ca="1">IF(ROWS($1:33)&gt;COUNT(Dong),"",OFFSET(TH!D$1,SMALL(Dong,ROWS($1:33)),))</f>
        <v/>
      </c>
      <c r="C46" s="11" t="str">
        <f ca="1">IF(ROWS($1:33)&gt;COUNT(Dong),"",OFFSET(TH!E$1,SMALL(Dong,ROWS($1:33)),))</f>
        <v/>
      </c>
      <c r="D46" s="126" t="str">
        <f ca="1">IF(ROWS($1:33)&gt;COUNT(Dong),"",OFFSET(TH!F$1,SMALL(Dong,ROWS($1:33)),))</f>
        <v/>
      </c>
      <c r="E46" s="127" t="str">
        <f ca="1">IF(ROWS($1:33)&gt;COUNT(Dong),"",IF(OFFSET(TH!J$1,SMALL(Dong,ROWS($1:33)),)="331",OFFSET(TH!K$1,SMALL(Dong,ROWS($1:33)),),OFFSET(TH!J$1,SMALL(Dong,ROWS($1:33)),)))</f>
        <v/>
      </c>
      <c r="F46" s="127"/>
      <c r="G46" s="231" t="str">
        <f ca="1">IF(ROWS($1:33)&gt;COUNT(Dong),"",IF(OFFSET(TH!J$1,SMALL(Dong,ROWS($1:33)),)="331",OFFSET(TH!I$1,SMALL(Dong,ROWS($1:33)),),0))</f>
        <v/>
      </c>
      <c r="H46" s="231" t="str">
        <f ca="1">IF(ROWS($1:33)&gt;COUNT(Dong),"",IF(OFFSET(TH!K$1,SMALL(Dong,ROWS($1:33)),)="331",OFFSET(TH!I$1,SMALL(Dong,ROWS($1:33)),),0))</f>
        <v/>
      </c>
      <c r="I46" s="33">
        <f t="shared" ca="1" si="13"/>
        <v>0</v>
      </c>
      <c r="J46" s="33">
        <f t="shared" ca="1" si="14"/>
        <v>0</v>
      </c>
    </row>
    <row r="47" spans="1:10" s="26" customFormat="1" ht="18" customHeight="1">
      <c r="A47" s="11" t="str">
        <f t="shared" ca="1" si="12"/>
        <v/>
      </c>
      <c r="B47" s="11" t="str">
        <f ca="1">IF(ROWS($1:34)&gt;COUNT(Dong),"",OFFSET(TH!D$1,SMALL(Dong,ROWS($1:34)),))</f>
        <v/>
      </c>
      <c r="C47" s="11" t="str">
        <f ca="1">IF(ROWS($1:34)&gt;COUNT(Dong),"",OFFSET(TH!E$1,SMALL(Dong,ROWS($1:34)),))</f>
        <v/>
      </c>
      <c r="D47" s="126" t="str">
        <f ca="1">IF(ROWS($1:34)&gt;COUNT(Dong),"",OFFSET(TH!F$1,SMALL(Dong,ROWS($1:34)),))</f>
        <v/>
      </c>
      <c r="E47" s="127" t="str">
        <f ca="1">IF(ROWS($1:34)&gt;COUNT(Dong),"",IF(OFFSET(TH!J$1,SMALL(Dong,ROWS($1:34)),)="331",OFFSET(TH!K$1,SMALL(Dong,ROWS($1:34)),),OFFSET(TH!J$1,SMALL(Dong,ROWS($1:34)),)))</f>
        <v/>
      </c>
      <c r="F47" s="127"/>
      <c r="G47" s="231" t="str">
        <f ca="1">IF(ROWS($1:34)&gt;COUNT(Dong),"",IF(OFFSET(TH!J$1,SMALL(Dong,ROWS($1:34)),)="331",OFFSET(TH!I$1,SMALL(Dong,ROWS($1:34)),),0))</f>
        <v/>
      </c>
      <c r="H47" s="231" t="str">
        <f ca="1">IF(ROWS($1:34)&gt;COUNT(Dong),"",IF(OFFSET(TH!K$1,SMALL(Dong,ROWS($1:34)),)="331",OFFSET(TH!I$1,SMALL(Dong,ROWS($1:34)),),0))</f>
        <v/>
      </c>
      <c r="I47" s="33">
        <f t="shared" ca="1" si="13"/>
        <v>0</v>
      </c>
      <c r="J47" s="33">
        <f t="shared" ca="1" si="14"/>
        <v>0</v>
      </c>
    </row>
    <row r="48" spans="1:10" s="26" customFormat="1" ht="18" customHeight="1">
      <c r="A48" s="11" t="str">
        <f t="shared" ca="1" si="12"/>
        <v/>
      </c>
      <c r="B48" s="11" t="str">
        <f ca="1">IF(ROWS($1:35)&gt;COUNT(Dong),"",OFFSET(TH!D$1,SMALL(Dong,ROWS($1:35)),))</f>
        <v/>
      </c>
      <c r="C48" s="11" t="str">
        <f ca="1">IF(ROWS($1:35)&gt;COUNT(Dong),"",OFFSET(TH!E$1,SMALL(Dong,ROWS($1:35)),))</f>
        <v/>
      </c>
      <c r="D48" s="126" t="str">
        <f ca="1">IF(ROWS($1:35)&gt;COUNT(Dong),"",OFFSET(TH!F$1,SMALL(Dong,ROWS($1:35)),))</f>
        <v/>
      </c>
      <c r="E48" s="127" t="str">
        <f ca="1">IF(ROWS($1:35)&gt;COUNT(Dong),"",IF(OFFSET(TH!J$1,SMALL(Dong,ROWS($1:35)),)="331",OFFSET(TH!K$1,SMALL(Dong,ROWS($1:35)),),OFFSET(TH!J$1,SMALL(Dong,ROWS($1:35)),)))</f>
        <v/>
      </c>
      <c r="F48" s="127"/>
      <c r="G48" s="231" t="str">
        <f ca="1">IF(ROWS($1:35)&gt;COUNT(Dong),"",IF(OFFSET(TH!J$1,SMALL(Dong,ROWS($1:35)),)="331",OFFSET(TH!I$1,SMALL(Dong,ROWS($1:35)),),0))</f>
        <v/>
      </c>
      <c r="H48" s="231" t="str">
        <f ca="1">IF(ROWS($1:35)&gt;COUNT(Dong),"",IF(OFFSET(TH!K$1,SMALL(Dong,ROWS($1:35)),)="331",OFFSET(TH!I$1,SMALL(Dong,ROWS($1:35)),),0))</f>
        <v/>
      </c>
      <c r="I48" s="33">
        <f t="shared" ca="1" si="13"/>
        <v>0</v>
      </c>
      <c r="J48" s="33">
        <f t="shared" ca="1" si="14"/>
        <v>0</v>
      </c>
    </row>
    <row r="49" spans="1:10" s="26" customFormat="1" ht="18" customHeight="1">
      <c r="A49" s="11" t="str">
        <f t="shared" ca="1" si="12"/>
        <v/>
      </c>
      <c r="B49" s="11" t="str">
        <f ca="1">IF(ROWS($1:36)&gt;COUNT(Dong),"",OFFSET(TH!D$1,SMALL(Dong,ROWS($1:36)),))</f>
        <v/>
      </c>
      <c r="C49" s="11" t="str">
        <f ca="1">IF(ROWS($1:36)&gt;COUNT(Dong),"",OFFSET(TH!E$1,SMALL(Dong,ROWS($1:36)),))</f>
        <v/>
      </c>
      <c r="D49" s="126" t="str">
        <f ca="1">IF(ROWS($1:36)&gt;COUNT(Dong),"",OFFSET(TH!F$1,SMALL(Dong,ROWS($1:36)),))</f>
        <v/>
      </c>
      <c r="E49" s="127" t="str">
        <f ca="1">IF(ROWS($1:36)&gt;COUNT(Dong),"",IF(OFFSET(TH!J$1,SMALL(Dong,ROWS($1:36)),)="331",OFFSET(TH!K$1,SMALL(Dong,ROWS($1:36)),),OFFSET(TH!J$1,SMALL(Dong,ROWS($1:36)),)))</f>
        <v/>
      </c>
      <c r="F49" s="127"/>
      <c r="G49" s="231" t="str">
        <f ca="1">IF(ROWS($1:36)&gt;COUNT(Dong),"",IF(OFFSET(TH!J$1,SMALL(Dong,ROWS($1:36)),)="331",OFFSET(TH!I$1,SMALL(Dong,ROWS($1:36)),),0))</f>
        <v/>
      </c>
      <c r="H49" s="231" t="str">
        <f ca="1">IF(ROWS($1:36)&gt;COUNT(Dong),"",IF(OFFSET(TH!K$1,SMALL(Dong,ROWS($1:36)),)="331",OFFSET(TH!I$1,SMALL(Dong,ROWS($1:36)),),0))</f>
        <v/>
      </c>
      <c r="I49" s="33">
        <f t="shared" ca="1" si="13"/>
        <v>0</v>
      </c>
      <c r="J49" s="33">
        <f t="shared" ca="1" si="14"/>
        <v>0</v>
      </c>
    </row>
    <row r="50" spans="1:10" s="26" customFormat="1" ht="18" customHeight="1">
      <c r="A50" s="11" t="str">
        <f t="shared" ca="1" si="12"/>
        <v/>
      </c>
      <c r="B50" s="11" t="str">
        <f ca="1">IF(ROWS($1:37)&gt;COUNT(Dong),"",OFFSET(TH!D$1,SMALL(Dong,ROWS($1:37)),))</f>
        <v/>
      </c>
      <c r="C50" s="11" t="str">
        <f ca="1">IF(ROWS($1:37)&gt;COUNT(Dong),"",OFFSET(TH!E$1,SMALL(Dong,ROWS($1:37)),))</f>
        <v/>
      </c>
      <c r="D50" s="126" t="str">
        <f ca="1">IF(ROWS($1:37)&gt;COUNT(Dong),"",OFFSET(TH!F$1,SMALL(Dong,ROWS($1:37)),))</f>
        <v/>
      </c>
      <c r="E50" s="127" t="str">
        <f ca="1">IF(ROWS($1:37)&gt;COUNT(Dong),"",IF(OFFSET(TH!J$1,SMALL(Dong,ROWS($1:37)),)="331",OFFSET(TH!K$1,SMALL(Dong,ROWS($1:37)),),OFFSET(TH!J$1,SMALL(Dong,ROWS($1:37)),)))</f>
        <v/>
      </c>
      <c r="F50" s="127"/>
      <c r="G50" s="231" t="str">
        <f ca="1">IF(ROWS($1:37)&gt;COUNT(Dong),"",IF(OFFSET(TH!J$1,SMALL(Dong,ROWS($1:37)),)="331",OFFSET(TH!I$1,SMALL(Dong,ROWS($1:37)),),0))</f>
        <v/>
      </c>
      <c r="H50" s="231" t="str">
        <f ca="1">IF(ROWS($1:37)&gt;COUNT(Dong),"",IF(OFFSET(TH!K$1,SMALL(Dong,ROWS($1:37)),)="331",OFFSET(TH!I$1,SMALL(Dong,ROWS($1:37)),),0))</f>
        <v/>
      </c>
      <c r="I50" s="33">
        <f t="shared" ca="1" si="13"/>
        <v>0</v>
      </c>
      <c r="J50" s="33">
        <f t="shared" ca="1" si="14"/>
        <v>0</v>
      </c>
    </row>
    <row r="51" spans="1:10" s="26" customFormat="1" ht="18" customHeight="1">
      <c r="A51" s="32"/>
      <c r="B51" s="29"/>
      <c r="C51" s="34"/>
      <c r="D51" s="31" t="s">
        <v>74</v>
      </c>
      <c r="E51" s="29" t="s">
        <v>42</v>
      </c>
      <c r="F51" s="29" t="s">
        <v>42</v>
      </c>
      <c r="G51" s="35">
        <f ca="1">SUM(G14:G50)</f>
        <v>1173128513</v>
      </c>
      <c r="H51" s="35">
        <f ca="1">SUM(H14:H50)</f>
        <v>1211110079</v>
      </c>
      <c r="I51" s="35" t="s">
        <v>42</v>
      </c>
      <c r="J51" s="35" t="s">
        <v>42</v>
      </c>
    </row>
    <row r="52" spans="1:10" s="26" customFormat="1" ht="18" customHeight="1">
      <c r="A52" s="32"/>
      <c r="B52" s="29"/>
      <c r="C52" s="29"/>
      <c r="D52" s="31" t="s">
        <v>25</v>
      </c>
      <c r="E52" s="29" t="s">
        <v>42</v>
      </c>
      <c r="F52" s="29" t="s">
        <v>42</v>
      </c>
      <c r="G52" s="35" t="s">
        <v>42</v>
      </c>
      <c r="H52" s="35" t="s">
        <v>42</v>
      </c>
      <c r="I52" s="35">
        <f ca="1">MAX(I13+G51-H51-J13,0)</f>
        <v>0</v>
      </c>
      <c r="J52" s="35">
        <f ca="1">MAX(J13+H51-G51-I13,0)</f>
        <v>37981566</v>
      </c>
    </row>
    <row r="53" spans="1:10" s="26" customFormat="1" ht="14.25" customHeight="1">
      <c r="B53" s="27"/>
      <c r="C53" s="27"/>
      <c r="E53" s="27"/>
    </row>
    <row r="54" spans="1:10" s="26" customFormat="1" ht="14.25" customHeight="1">
      <c r="A54" s="36" t="s">
        <v>75</v>
      </c>
      <c r="B54" s="27"/>
      <c r="C54" s="27"/>
      <c r="E54" s="27"/>
    </row>
    <row r="55" spans="1:10" s="26" customFormat="1" ht="14.25" customHeight="1">
      <c r="A55" s="36" t="s">
        <v>76</v>
      </c>
      <c r="B55" s="27"/>
      <c r="C55" s="27"/>
      <c r="E55" s="27"/>
    </row>
    <row r="56" spans="1:10" s="26" customFormat="1" ht="14.25" customHeight="1">
      <c r="B56" s="27"/>
      <c r="C56" s="27"/>
      <c r="E56" s="507" t="s">
        <v>77</v>
      </c>
      <c r="F56" s="507"/>
      <c r="G56" s="507"/>
      <c r="H56" s="507"/>
      <c r="I56" s="507"/>
      <c r="J56" s="507"/>
    </row>
    <row r="57" spans="1:10" s="26" customFormat="1" ht="14.25" customHeight="1">
      <c r="A57" s="507" t="s">
        <v>26</v>
      </c>
      <c r="B57" s="507"/>
      <c r="C57" s="507"/>
      <c r="D57" s="507"/>
      <c r="E57" s="507" t="s">
        <v>27</v>
      </c>
      <c r="F57" s="507"/>
      <c r="G57" s="507"/>
      <c r="H57" s="507"/>
      <c r="I57" s="507"/>
      <c r="J57" s="507"/>
    </row>
    <row r="58" spans="1:10" s="26" customFormat="1" ht="14.25" customHeight="1">
      <c r="A58" s="507" t="s">
        <v>28</v>
      </c>
      <c r="B58" s="507"/>
      <c r="C58" s="507"/>
      <c r="D58" s="507"/>
      <c r="E58" s="507" t="s">
        <v>28</v>
      </c>
      <c r="F58" s="507"/>
      <c r="G58" s="507"/>
      <c r="H58" s="507"/>
      <c r="I58" s="507"/>
      <c r="J58" s="507"/>
    </row>
    <row r="59" spans="1:10" s="37" customFormat="1"/>
  </sheetData>
  <autoFilter ref="A12:J32"/>
  <mergeCells count="17">
    <mergeCell ref="A57:D57"/>
    <mergeCell ref="E57:J57"/>
    <mergeCell ref="A58:D58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5"/>
  </sheetPr>
  <dimension ref="A1:L20"/>
  <sheetViews>
    <sheetView workbookViewId="0">
      <pane xSplit="8" ySplit="4" topLeftCell="I5" activePane="bottomRight" state="frozen"/>
      <selection pane="topRight" activeCell="G1" sqref="G1"/>
      <selection pane="bottomLeft" activeCell="A5" sqref="A5"/>
      <selection pane="bottomRight" activeCell="F26" sqref="F26"/>
    </sheetView>
  </sheetViews>
  <sheetFormatPr defaultColWidth="9.140625" defaultRowHeight="12.75"/>
  <cols>
    <col min="1" max="1" width="4.28515625" style="148" customWidth="1"/>
    <col min="2" max="2" width="15.140625" style="175" customWidth="1"/>
    <col min="3" max="3" width="23" style="148" customWidth="1"/>
    <col min="4" max="4" width="8.140625" style="175" customWidth="1"/>
    <col min="5" max="9" width="14.140625" style="197" customWidth="1"/>
    <col min="10" max="10" width="16" style="148" customWidth="1"/>
    <col min="11" max="11" width="13.85546875" style="148" customWidth="1"/>
    <col min="12" max="12" width="14.85546875" style="197" customWidth="1"/>
    <col min="13" max="13" width="13.85546875" style="175" customWidth="1"/>
    <col min="14" max="14" width="13.5703125" style="175" customWidth="1"/>
    <col min="15" max="15" width="12.5703125" style="175" bestFit="1" customWidth="1"/>
    <col min="16" max="16384" width="9.140625" style="175"/>
  </cols>
  <sheetData>
    <row r="1" spans="1:12" s="144" customFormat="1" ht="20.25">
      <c r="A1" s="474" t="str">
        <f ca="1">"CHI PHÍ XÂY DỰNG TRÀ VINH   " &amp; TEXT(NOW(),"dd/MM/yyyy")</f>
        <v>CHI PHÍ XÂY DỰNG TRÀ VINH   12/01/2016</v>
      </c>
      <c r="B1" s="474"/>
      <c r="C1" s="474"/>
      <c r="D1" s="474"/>
      <c r="E1" s="474"/>
      <c r="F1" s="474"/>
      <c r="G1" s="474"/>
      <c r="H1" s="474"/>
      <c r="I1" s="474"/>
      <c r="J1" s="474"/>
      <c r="K1" s="474"/>
      <c r="L1" s="305"/>
    </row>
    <row r="3" spans="1:12" s="145" customFormat="1" ht="19.5" customHeight="1">
      <c r="A3" s="475" t="s">
        <v>79</v>
      </c>
      <c r="B3" s="475" t="s">
        <v>360</v>
      </c>
      <c r="C3" s="475" t="s">
        <v>361</v>
      </c>
      <c r="D3" s="475" t="s">
        <v>362</v>
      </c>
      <c r="E3" s="476" t="s">
        <v>363</v>
      </c>
      <c r="F3" s="477"/>
      <c r="G3" s="478"/>
      <c r="H3" s="476" t="s">
        <v>364</v>
      </c>
      <c r="I3" s="478"/>
      <c r="J3" s="479" t="s">
        <v>365</v>
      </c>
      <c r="K3" s="475" t="s">
        <v>366</v>
      </c>
      <c r="L3" s="199"/>
    </row>
    <row r="4" spans="1:12" s="148" customFormat="1" ht="19.5" customHeight="1">
      <c r="A4" s="475"/>
      <c r="B4" s="475"/>
      <c r="C4" s="475"/>
      <c r="D4" s="475"/>
      <c r="E4" s="147" t="s">
        <v>430</v>
      </c>
      <c r="F4" s="146" t="s">
        <v>367</v>
      </c>
      <c r="G4" s="147" t="s">
        <v>368</v>
      </c>
      <c r="H4" s="146" t="s">
        <v>367</v>
      </c>
      <c r="I4" s="147" t="s">
        <v>368</v>
      </c>
      <c r="J4" s="480"/>
      <c r="K4" s="475"/>
      <c r="L4" s="306"/>
    </row>
    <row r="5" spans="1:12" ht="17.25" customHeight="1">
      <c r="A5" s="462">
        <v>16</v>
      </c>
      <c r="B5" s="462" t="s">
        <v>111</v>
      </c>
      <c r="C5" s="459" t="s">
        <v>394</v>
      </c>
      <c r="D5" s="461">
        <v>41871</v>
      </c>
      <c r="E5" s="444">
        <v>2200000000</v>
      </c>
      <c r="F5" s="444">
        <f>2508700000</f>
        <v>2508700000</v>
      </c>
      <c r="G5" s="172">
        <f>IF(I5&gt;0,I5,0)</f>
        <v>752610000</v>
      </c>
      <c r="H5" s="444">
        <v>1858000000</v>
      </c>
      <c r="I5" s="172">
        <v>752610000</v>
      </c>
      <c r="J5" s="173">
        <v>41905</v>
      </c>
      <c r="K5" s="327" t="s">
        <v>373</v>
      </c>
    </row>
    <row r="6" spans="1:12" s="180" customFormat="1" ht="17.25" customHeight="1">
      <c r="A6" s="462"/>
      <c r="B6" s="462"/>
      <c r="C6" s="460"/>
      <c r="D6" s="460"/>
      <c r="E6" s="445"/>
      <c r="F6" s="445"/>
      <c r="G6" s="172">
        <f t="shared" ref="G6:G16" si="0">IF(I6&gt;0,I6,0)</f>
        <v>0</v>
      </c>
      <c r="H6" s="445"/>
      <c r="I6" s="185">
        <v>-200000000</v>
      </c>
      <c r="J6" s="186">
        <v>41907</v>
      </c>
      <c r="K6" s="187" t="s">
        <v>391</v>
      </c>
      <c r="L6" s="308"/>
    </row>
    <row r="7" spans="1:12" ht="17.25" customHeight="1">
      <c r="A7" s="462"/>
      <c r="B7" s="462"/>
      <c r="C7" s="460"/>
      <c r="D7" s="460"/>
      <c r="E7" s="445"/>
      <c r="F7" s="445"/>
      <c r="G7" s="172">
        <f t="shared" si="0"/>
        <v>500000000</v>
      </c>
      <c r="H7" s="445"/>
      <c r="I7" s="172">
        <v>500000000</v>
      </c>
      <c r="J7" s="173">
        <v>41942</v>
      </c>
      <c r="K7" s="327" t="s">
        <v>373</v>
      </c>
    </row>
    <row r="8" spans="1:12" ht="17.25" customHeight="1">
      <c r="A8" s="462"/>
      <c r="B8" s="462"/>
      <c r="C8" s="460"/>
      <c r="D8" s="460"/>
      <c r="E8" s="445"/>
      <c r="F8" s="445"/>
      <c r="G8" s="172">
        <f t="shared" si="0"/>
        <v>0</v>
      </c>
      <c r="H8" s="445"/>
      <c r="I8" s="185">
        <v>-100000000</v>
      </c>
      <c r="J8" s="186">
        <v>41951</v>
      </c>
      <c r="K8" s="187" t="s">
        <v>391</v>
      </c>
    </row>
    <row r="9" spans="1:12" ht="17.25" customHeight="1">
      <c r="A9" s="462"/>
      <c r="B9" s="462"/>
      <c r="C9" s="460"/>
      <c r="D9" s="460"/>
      <c r="E9" s="445"/>
      <c r="F9" s="445"/>
      <c r="G9" s="172">
        <f t="shared" si="0"/>
        <v>500000000</v>
      </c>
      <c r="H9" s="445"/>
      <c r="I9" s="172">
        <v>500000000</v>
      </c>
      <c r="J9" s="173">
        <v>42010</v>
      </c>
      <c r="K9" s="327" t="s">
        <v>373</v>
      </c>
    </row>
    <row r="10" spans="1:12" ht="17.25" customHeight="1">
      <c r="A10" s="462"/>
      <c r="B10" s="462"/>
      <c r="C10" s="460" t="s">
        <v>395</v>
      </c>
      <c r="D10" s="473">
        <v>42139</v>
      </c>
      <c r="E10" s="489">
        <f>308700000+501400000</f>
        <v>810100000</v>
      </c>
      <c r="F10" s="489">
        <f>184000000+317400000</f>
        <v>501400000</v>
      </c>
      <c r="G10" s="172">
        <f t="shared" si="0"/>
        <v>0</v>
      </c>
      <c r="H10" s="445">
        <f>139900000+250800000</f>
        <v>390700000</v>
      </c>
      <c r="I10" s="185">
        <v>-100000000</v>
      </c>
      <c r="J10" s="186">
        <v>42017</v>
      </c>
      <c r="K10" s="187" t="s">
        <v>391</v>
      </c>
    </row>
    <row r="11" spans="1:12" ht="17.25" customHeight="1">
      <c r="A11" s="462"/>
      <c r="B11" s="462"/>
      <c r="C11" s="460"/>
      <c r="D11" s="473"/>
      <c r="E11" s="489"/>
      <c r="F11" s="489"/>
      <c r="G11" s="172">
        <f t="shared" si="0"/>
        <v>251000000</v>
      </c>
      <c r="H11" s="445"/>
      <c r="I11" s="172">
        <v>251000000</v>
      </c>
      <c r="J11" s="173">
        <v>42094</v>
      </c>
      <c r="K11" s="327" t="s">
        <v>373</v>
      </c>
    </row>
    <row r="12" spans="1:12" ht="17.25" customHeight="1">
      <c r="A12" s="462"/>
      <c r="B12" s="462"/>
      <c r="C12" s="460"/>
      <c r="D12" s="473"/>
      <c r="E12" s="489"/>
      <c r="F12" s="489"/>
      <c r="G12" s="172">
        <f t="shared" si="0"/>
        <v>200000000</v>
      </c>
      <c r="H12" s="445"/>
      <c r="I12" s="172">
        <v>200000000</v>
      </c>
      <c r="J12" s="173">
        <v>42170</v>
      </c>
      <c r="K12" s="327" t="s">
        <v>373</v>
      </c>
    </row>
    <row r="13" spans="1:12" ht="17.25" customHeight="1">
      <c r="A13" s="462"/>
      <c r="B13" s="462"/>
      <c r="C13" s="460"/>
      <c r="D13" s="473"/>
      <c r="E13" s="489"/>
      <c r="F13" s="489"/>
      <c r="G13" s="172">
        <f t="shared" si="0"/>
        <v>400000000</v>
      </c>
      <c r="H13" s="445"/>
      <c r="I13" s="172">
        <v>400000000</v>
      </c>
      <c r="J13" s="173">
        <v>42199</v>
      </c>
      <c r="K13" s="327" t="s">
        <v>373</v>
      </c>
    </row>
    <row r="14" spans="1:12" ht="17.25" customHeight="1">
      <c r="A14" s="462"/>
      <c r="B14" s="462"/>
      <c r="C14" s="460"/>
      <c r="D14" s="473"/>
      <c r="E14" s="489"/>
      <c r="F14" s="489"/>
      <c r="G14" s="172">
        <f t="shared" si="0"/>
        <v>0</v>
      </c>
      <c r="H14" s="445"/>
      <c r="I14" s="185">
        <v>-200000000</v>
      </c>
      <c r="J14" s="173">
        <v>42202</v>
      </c>
      <c r="K14" s="187" t="s">
        <v>391</v>
      </c>
    </row>
    <row r="15" spans="1:12" ht="17.25" customHeight="1">
      <c r="A15" s="462"/>
      <c r="B15" s="462"/>
      <c r="C15" s="460"/>
      <c r="D15" s="473"/>
      <c r="E15" s="489"/>
      <c r="F15" s="489"/>
      <c r="G15" s="172">
        <f t="shared" si="0"/>
        <v>0</v>
      </c>
      <c r="H15" s="445"/>
      <c r="I15" s="151"/>
      <c r="J15" s="173"/>
      <c r="K15" s="327"/>
    </row>
    <row r="16" spans="1:12" ht="17.25" customHeight="1">
      <c r="A16" s="462"/>
      <c r="B16" s="462"/>
      <c r="C16" s="460"/>
      <c r="D16" s="473"/>
      <c r="E16" s="489"/>
      <c r="F16" s="489"/>
      <c r="G16" s="172">
        <f t="shared" si="0"/>
        <v>0</v>
      </c>
      <c r="H16" s="445"/>
      <c r="I16" s="151"/>
      <c r="J16" s="326"/>
      <c r="K16" s="325"/>
    </row>
    <row r="17" spans="1:12" s="161" customFormat="1" ht="18" customHeight="1">
      <c r="A17" s="462"/>
      <c r="B17" s="462"/>
      <c r="C17" s="451" t="s">
        <v>94</v>
      </c>
      <c r="D17" s="452"/>
      <c r="E17" s="158">
        <f>SUM(E5:E16)</f>
        <v>3010100000</v>
      </c>
      <c r="F17" s="158">
        <f>SUM(F5:F16)</f>
        <v>3010100000</v>
      </c>
      <c r="G17" s="158">
        <f>SUM(G5:G16)</f>
        <v>2603610000</v>
      </c>
      <c r="H17" s="158">
        <f>SUM(H5:H16)</f>
        <v>2248700000</v>
      </c>
      <c r="I17" s="158">
        <f>SUM(I5:I16)</f>
        <v>2003610000</v>
      </c>
      <c r="J17" s="160">
        <f>F17-H17</f>
        <v>761400000</v>
      </c>
      <c r="K17" s="160" t="s">
        <v>42</v>
      </c>
      <c r="L17" s="304"/>
    </row>
    <row r="18" spans="1:12" s="161" customFormat="1" ht="18" customHeight="1">
      <c r="A18" s="462"/>
      <c r="B18" s="462"/>
      <c r="C18" s="451" t="s">
        <v>380</v>
      </c>
      <c r="D18" s="452"/>
      <c r="E18" s="162"/>
      <c r="F18" s="162"/>
      <c r="G18" s="163">
        <f>E17-G17</f>
        <v>406490000</v>
      </c>
      <c r="H18" s="162"/>
      <c r="I18" s="163">
        <f>H17-I17</f>
        <v>245090000</v>
      </c>
      <c r="J18" s="158">
        <f>$H$17*5%</f>
        <v>112435000</v>
      </c>
      <c r="K18" s="160" t="s">
        <v>750</v>
      </c>
      <c r="L18" s="304"/>
    </row>
    <row r="19" spans="1:12" ht="17.25" customHeight="1">
      <c r="C19" s="514" t="s">
        <v>748</v>
      </c>
      <c r="D19" s="514"/>
      <c r="E19" s="158">
        <f>F17-H17</f>
        <v>761400000</v>
      </c>
      <c r="G19" s="514" t="s">
        <v>749</v>
      </c>
      <c r="H19" s="514"/>
      <c r="I19" s="158">
        <f>E19*10%</f>
        <v>76140000</v>
      </c>
      <c r="J19" s="158"/>
      <c r="K19" s="158"/>
    </row>
    <row r="20" spans="1:12" ht="17.25" customHeight="1">
      <c r="C20" s="514" t="s">
        <v>749</v>
      </c>
      <c r="D20" s="514"/>
      <c r="E20" s="158">
        <f>E19*10%</f>
        <v>76140000</v>
      </c>
      <c r="G20" s="451" t="s">
        <v>380</v>
      </c>
      <c r="H20" s="452"/>
      <c r="I20" s="158">
        <f>I18+I19-J18</f>
        <v>208795000</v>
      </c>
      <c r="K20" s="202"/>
    </row>
  </sheetData>
  <autoFilter ref="A4:M18"/>
  <mergeCells count="27">
    <mergeCell ref="G19:H19"/>
    <mergeCell ref="G20:H20"/>
    <mergeCell ref="C17:D17"/>
    <mergeCell ref="C18:D18"/>
    <mergeCell ref="H5:H9"/>
    <mergeCell ref="C10:C16"/>
    <mergeCell ref="D10:D16"/>
    <mergeCell ref="E10:E16"/>
    <mergeCell ref="F10:F16"/>
    <mergeCell ref="H10:H16"/>
    <mergeCell ref="F5:F9"/>
    <mergeCell ref="C19:D19"/>
    <mergeCell ref="C20:D20"/>
    <mergeCell ref="A5:A18"/>
    <mergeCell ref="B5:B18"/>
    <mergeCell ref="C5:C9"/>
    <mergeCell ref="D5:D9"/>
    <mergeCell ref="E5:E9"/>
    <mergeCell ref="A1:K1"/>
    <mergeCell ref="A3:A4"/>
    <mergeCell ref="B3:B4"/>
    <mergeCell ref="C3:C4"/>
    <mergeCell ref="D3:D4"/>
    <mergeCell ref="E3:G3"/>
    <mergeCell ref="H3:I3"/>
    <mergeCell ref="J3:J4"/>
    <mergeCell ref="K3:K4"/>
  </mergeCells>
  <pageMargins left="0.16" right="0.12" top="0.27" bottom="0.2" header="0.2" footer="0.17"/>
  <pageSetup paperSize="9" scale="95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4"/>
  <sheetViews>
    <sheetView topLeftCell="C2" workbookViewId="0">
      <pane ySplit="2" topLeftCell="A174" activePane="bottomLeft" state="frozen"/>
      <selection activeCell="A2" sqref="A2"/>
      <selection pane="bottomLeft" activeCell="F226" sqref="F226"/>
    </sheetView>
  </sheetViews>
  <sheetFormatPr defaultColWidth="9.140625" defaultRowHeight="32.25" customHeight="1"/>
  <cols>
    <col min="1" max="1" width="6.5703125" style="376" customWidth="1"/>
    <col min="2" max="2" width="32.85546875" style="344" customWidth="1"/>
    <col min="3" max="3" width="7.42578125" style="344" customWidth="1"/>
    <col min="4" max="4" width="10.85546875" style="377" customWidth="1"/>
    <col min="5" max="5" width="11.5703125" style="378" customWidth="1"/>
    <col min="6" max="6" width="17" style="378" customWidth="1"/>
    <col min="7" max="7" width="10.85546875" style="377" customWidth="1"/>
    <col min="8" max="8" width="10.7109375" style="378" customWidth="1"/>
    <col min="9" max="9" width="16.85546875" style="378" customWidth="1"/>
    <col min="10" max="10" width="10.85546875" style="377" customWidth="1"/>
    <col min="11" max="11" width="15.85546875" style="378" customWidth="1"/>
    <col min="12" max="12" width="10.140625" style="377" customWidth="1"/>
    <col min="13" max="13" width="15" style="378" customWidth="1"/>
    <col min="14" max="14" width="14.42578125" style="344" customWidth="1"/>
    <col min="15" max="16384" width="9.140625" style="344"/>
  </cols>
  <sheetData>
    <row r="2" spans="1:14" s="330" customFormat="1" ht="32.25" customHeight="1">
      <c r="A2" s="515" t="s">
        <v>890</v>
      </c>
      <c r="B2" s="516" t="s">
        <v>891</v>
      </c>
      <c r="C2" s="516" t="s">
        <v>80</v>
      </c>
      <c r="D2" s="520" t="s">
        <v>892</v>
      </c>
      <c r="E2" s="520"/>
      <c r="F2" s="520"/>
      <c r="G2" s="520" t="s">
        <v>893</v>
      </c>
      <c r="H2" s="520"/>
      <c r="I2" s="520"/>
      <c r="J2" s="520" t="s">
        <v>894</v>
      </c>
      <c r="K2" s="520"/>
      <c r="L2" s="520" t="s">
        <v>895</v>
      </c>
      <c r="M2" s="520"/>
      <c r="N2" s="516" t="s">
        <v>366</v>
      </c>
    </row>
    <row r="3" spans="1:14" s="330" customFormat="1" ht="32.25" customHeight="1">
      <c r="A3" s="515"/>
      <c r="B3" s="516"/>
      <c r="C3" s="516"/>
      <c r="D3" s="331" t="s">
        <v>896</v>
      </c>
      <c r="E3" s="332" t="s">
        <v>897</v>
      </c>
      <c r="F3" s="332" t="s">
        <v>898</v>
      </c>
      <c r="G3" s="331" t="s">
        <v>896</v>
      </c>
      <c r="H3" s="332" t="s">
        <v>897</v>
      </c>
      <c r="I3" s="332" t="s">
        <v>898</v>
      </c>
      <c r="J3" s="331" t="s">
        <v>896</v>
      </c>
      <c r="K3" s="332" t="s">
        <v>898</v>
      </c>
      <c r="L3" s="331" t="s">
        <v>896</v>
      </c>
      <c r="M3" s="332" t="s">
        <v>898</v>
      </c>
      <c r="N3" s="516"/>
    </row>
    <row r="4" spans="1:14" s="330" customFormat="1" ht="32.25" customHeight="1">
      <c r="A4" s="521" t="s">
        <v>899</v>
      </c>
      <c r="B4" s="521"/>
      <c r="C4" s="521"/>
      <c r="D4" s="333"/>
      <c r="E4" s="334"/>
      <c r="F4" s="335"/>
      <c r="G4" s="333"/>
      <c r="H4" s="334"/>
      <c r="I4" s="335"/>
      <c r="J4" s="333"/>
      <c r="K4" s="334"/>
      <c r="L4" s="333"/>
      <c r="M4" s="334"/>
      <c r="N4" s="335"/>
    </row>
    <row r="5" spans="1:14" ht="32.25" customHeight="1">
      <c r="A5" s="336">
        <v>1</v>
      </c>
      <c r="B5" s="337" t="s">
        <v>900</v>
      </c>
      <c r="C5" s="338" t="s">
        <v>901</v>
      </c>
      <c r="D5" s="339">
        <v>175.89</v>
      </c>
      <c r="E5" s="340">
        <v>157313</v>
      </c>
      <c r="F5" s="340">
        <f>D5*E5</f>
        <v>27669783.569999997</v>
      </c>
      <c r="G5" s="339">
        <v>175.89</v>
      </c>
      <c r="H5" s="340">
        <v>157313</v>
      </c>
      <c r="I5" s="340">
        <f>G5*H5</f>
        <v>27669783.569999997</v>
      </c>
      <c r="J5" s="339">
        <f>MAX(D5-G5,0)</f>
        <v>0</v>
      </c>
      <c r="K5" s="340">
        <f>MAX(F5-I5,0)</f>
        <v>0</v>
      </c>
      <c r="L5" s="341">
        <f>MAX(G5-D5,0)</f>
        <v>0</v>
      </c>
      <c r="M5" s="342">
        <f>MAX(I5-F5,0)</f>
        <v>0</v>
      </c>
      <c r="N5" s="343"/>
    </row>
    <row r="6" spans="1:14" ht="32.25" customHeight="1">
      <c r="A6" s="345">
        <v>2</v>
      </c>
      <c r="B6" s="346" t="s">
        <v>902</v>
      </c>
      <c r="C6" s="338" t="s">
        <v>901</v>
      </c>
      <c r="D6" s="341">
        <v>117.26</v>
      </c>
      <c r="E6" s="342">
        <v>124076</v>
      </c>
      <c r="F6" s="340">
        <f t="shared" ref="F6:F69" si="0">D6*E6</f>
        <v>14549151.76</v>
      </c>
      <c r="G6" s="341">
        <v>117.26</v>
      </c>
      <c r="H6" s="342">
        <v>124076</v>
      </c>
      <c r="I6" s="340">
        <f t="shared" ref="I6:I69" si="1">G6*H6</f>
        <v>14549151.76</v>
      </c>
      <c r="J6" s="339">
        <f t="shared" ref="J6:J69" si="2">MAX(D6-G6,0)</f>
        <v>0</v>
      </c>
      <c r="K6" s="340">
        <f t="shared" ref="K6:K69" si="3">MAX(F6-I6,0)</f>
        <v>0</v>
      </c>
      <c r="L6" s="341">
        <f t="shared" ref="L6:L69" si="4">MAX(G6-D6,0)</f>
        <v>0</v>
      </c>
      <c r="M6" s="342">
        <f t="shared" ref="M6:M69" si="5">MAX(I6-F6,0)</f>
        <v>0</v>
      </c>
      <c r="N6" s="343"/>
    </row>
    <row r="7" spans="1:14" ht="32.25" customHeight="1">
      <c r="A7" s="345">
        <v>3</v>
      </c>
      <c r="B7" s="346" t="s">
        <v>903</v>
      </c>
      <c r="C7" s="343" t="s">
        <v>904</v>
      </c>
      <c r="D7" s="341">
        <v>164</v>
      </c>
      <c r="E7" s="342">
        <v>91683</v>
      </c>
      <c r="F7" s="340">
        <f t="shared" si="0"/>
        <v>15036012</v>
      </c>
      <c r="G7" s="341">
        <v>164</v>
      </c>
      <c r="H7" s="342">
        <v>91683</v>
      </c>
      <c r="I7" s="340">
        <f t="shared" si="1"/>
        <v>15036012</v>
      </c>
      <c r="J7" s="339">
        <f t="shared" si="2"/>
        <v>0</v>
      </c>
      <c r="K7" s="340">
        <f t="shared" si="3"/>
        <v>0</v>
      </c>
      <c r="L7" s="341">
        <f t="shared" si="4"/>
        <v>0</v>
      </c>
      <c r="M7" s="342">
        <f t="shared" si="5"/>
        <v>0</v>
      </c>
      <c r="N7" s="343"/>
    </row>
    <row r="8" spans="1:14" ht="32.25" customHeight="1">
      <c r="A8" s="345">
        <v>4</v>
      </c>
      <c r="B8" s="346" t="s">
        <v>905</v>
      </c>
      <c r="C8" s="343" t="s">
        <v>904</v>
      </c>
      <c r="D8" s="341">
        <v>164</v>
      </c>
      <c r="E8" s="342">
        <v>218411</v>
      </c>
      <c r="F8" s="340">
        <f t="shared" si="0"/>
        <v>35819404</v>
      </c>
      <c r="G8" s="341">
        <v>164</v>
      </c>
      <c r="H8" s="342">
        <v>218411</v>
      </c>
      <c r="I8" s="340">
        <f t="shared" si="1"/>
        <v>35819404</v>
      </c>
      <c r="J8" s="339">
        <f t="shared" si="2"/>
        <v>0</v>
      </c>
      <c r="K8" s="340">
        <f t="shared" si="3"/>
        <v>0</v>
      </c>
      <c r="L8" s="341">
        <f t="shared" si="4"/>
        <v>0</v>
      </c>
      <c r="M8" s="342">
        <f t="shared" si="5"/>
        <v>0</v>
      </c>
      <c r="N8" s="343"/>
    </row>
    <row r="9" spans="1:14" s="355" customFormat="1" ht="32.25" customHeight="1">
      <c r="A9" s="347">
        <v>5</v>
      </c>
      <c r="B9" s="348" t="s">
        <v>906</v>
      </c>
      <c r="C9" s="349" t="s">
        <v>901</v>
      </c>
      <c r="D9" s="350">
        <v>8.52</v>
      </c>
      <c r="E9" s="351">
        <v>1283592</v>
      </c>
      <c r="F9" s="352">
        <f t="shared" si="0"/>
        <v>10936203.84</v>
      </c>
      <c r="G9" s="350">
        <v>15.3</v>
      </c>
      <c r="H9" s="351">
        <v>1283592</v>
      </c>
      <c r="I9" s="352">
        <f t="shared" si="1"/>
        <v>19638957.600000001</v>
      </c>
      <c r="J9" s="353">
        <f t="shared" si="2"/>
        <v>0</v>
      </c>
      <c r="K9" s="352">
        <f t="shared" si="3"/>
        <v>0</v>
      </c>
      <c r="L9" s="350">
        <f t="shared" si="4"/>
        <v>6.7800000000000011</v>
      </c>
      <c r="M9" s="351">
        <f t="shared" si="5"/>
        <v>8702753.7600000016</v>
      </c>
      <c r="N9" s="354" t="s">
        <v>907</v>
      </c>
    </row>
    <row r="10" spans="1:14" ht="32.25" customHeight="1">
      <c r="A10" s="345">
        <v>6</v>
      </c>
      <c r="B10" s="346" t="s">
        <v>908</v>
      </c>
      <c r="C10" s="338" t="s">
        <v>901</v>
      </c>
      <c r="D10" s="341">
        <v>57.847999999999999</v>
      </c>
      <c r="E10" s="342">
        <v>1795808</v>
      </c>
      <c r="F10" s="340">
        <f t="shared" si="0"/>
        <v>103883901.184</v>
      </c>
      <c r="G10" s="341">
        <v>57.847999999999999</v>
      </c>
      <c r="H10" s="342">
        <v>1795808</v>
      </c>
      <c r="I10" s="340">
        <f t="shared" si="1"/>
        <v>103883901.184</v>
      </c>
      <c r="J10" s="339">
        <f t="shared" si="2"/>
        <v>0</v>
      </c>
      <c r="K10" s="340">
        <f t="shared" si="3"/>
        <v>0</v>
      </c>
      <c r="L10" s="341">
        <f t="shared" si="4"/>
        <v>0</v>
      </c>
      <c r="M10" s="342">
        <f t="shared" si="5"/>
        <v>0</v>
      </c>
      <c r="N10" s="343"/>
    </row>
    <row r="11" spans="1:14" s="355" customFormat="1" ht="32.25" customHeight="1">
      <c r="A11" s="347">
        <v>7</v>
      </c>
      <c r="B11" s="348" t="s">
        <v>909</v>
      </c>
      <c r="C11" s="349" t="s">
        <v>901</v>
      </c>
      <c r="D11" s="350">
        <v>117.29</v>
      </c>
      <c r="E11" s="351">
        <v>2327897</v>
      </c>
      <c r="F11" s="352">
        <f t="shared" si="0"/>
        <v>273039039.13</v>
      </c>
      <c r="G11" s="350">
        <v>111.60599999999999</v>
      </c>
      <c r="H11" s="351">
        <v>2327897</v>
      </c>
      <c r="I11" s="352">
        <f t="shared" si="1"/>
        <v>259807272.58199999</v>
      </c>
      <c r="J11" s="353">
        <f t="shared" si="2"/>
        <v>5.6840000000000117</v>
      </c>
      <c r="K11" s="352">
        <f t="shared" si="3"/>
        <v>13231766.548000008</v>
      </c>
      <c r="L11" s="350">
        <f t="shared" si="4"/>
        <v>0</v>
      </c>
      <c r="M11" s="351">
        <f t="shared" si="5"/>
        <v>0</v>
      </c>
      <c r="N11" s="354" t="s">
        <v>910</v>
      </c>
    </row>
    <row r="12" spans="1:14" ht="32.25" customHeight="1">
      <c r="A12" s="345">
        <v>8</v>
      </c>
      <c r="B12" s="346" t="s">
        <v>911</v>
      </c>
      <c r="C12" s="338" t="s">
        <v>901</v>
      </c>
      <c r="D12" s="341">
        <v>9.8870000000000005</v>
      </c>
      <c r="E12" s="342">
        <v>2654775</v>
      </c>
      <c r="F12" s="340">
        <f t="shared" si="0"/>
        <v>26247760.425000001</v>
      </c>
      <c r="G12" s="341">
        <v>9.8870000000000005</v>
      </c>
      <c r="H12" s="342">
        <v>2654775</v>
      </c>
      <c r="I12" s="340">
        <f t="shared" si="1"/>
        <v>26247760.425000001</v>
      </c>
      <c r="J12" s="339">
        <f t="shared" si="2"/>
        <v>0</v>
      </c>
      <c r="K12" s="340">
        <f t="shared" si="3"/>
        <v>0</v>
      </c>
      <c r="L12" s="341">
        <f t="shared" si="4"/>
        <v>0</v>
      </c>
      <c r="M12" s="342">
        <f t="shared" si="5"/>
        <v>0</v>
      </c>
      <c r="N12" s="343"/>
    </row>
    <row r="13" spans="1:14" s="355" customFormat="1" ht="32.25" customHeight="1">
      <c r="A13" s="347">
        <v>9</v>
      </c>
      <c r="B13" s="348" t="s">
        <v>912</v>
      </c>
      <c r="C13" s="349" t="s">
        <v>901</v>
      </c>
      <c r="D13" s="350">
        <v>273.89999999999998</v>
      </c>
      <c r="E13" s="351">
        <v>1788057</v>
      </c>
      <c r="F13" s="352">
        <f t="shared" si="0"/>
        <v>489748812.29999995</v>
      </c>
      <c r="G13" s="350">
        <v>393.9</v>
      </c>
      <c r="H13" s="351">
        <v>1788057</v>
      </c>
      <c r="I13" s="352">
        <f t="shared" si="1"/>
        <v>704315652.29999995</v>
      </c>
      <c r="J13" s="353">
        <f t="shared" si="2"/>
        <v>0</v>
      </c>
      <c r="K13" s="352">
        <f t="shared" si="3"/>
        <v>0</v>
      </c>
      <c r="L13" s="350">
        <f t="shared" si="4"/>
        <v>120</v>
      </c>
      <c r="M13" s="351">
        <f t="shared" si="5"/>
        <v>214566840</v>
      </c>
      <c r="N13" s="354" t="s">
        <v>913</v>
      </c>
    </row>
    <row r="14" spans="1:14" ht="32.25" customHeight="1">
      <c r="A14" s="345">
        <v>10</v>
      </c>
      <c r="B14" s="346" t="s">
        <v>914</v>
      </c>
      <c r="C14" s="343" t="s">
        <v>915</v>
      </c>
      <c r="D14" s="341">
        <v>3.0333000000000001</v>
      </c>
      <c r="E14" s="342">
        <v>16065408</v>
      </c>
      <c r="F14" s="340">
        <f t="shared" si="0"/>
        <v>48731202.086400002</v>
      </c>
      <c r="G14" s="341">
        <v>3.0333000000000001</v>
      </c>
      <c r="H14" s="342">
        <v>16065408</v>
      </c>
      <c r="I14" s="340">
        <f t="shared" si="1"/>
        <v>48731202.086400002</v>
      </c>
      <c r="J14" s="339">
        <f t="shared" si="2"/>
        <v>0</v>
      </c>
      <c r="K14" s="340">
        <f t="shared" si="3"/>
        <v>0</v>
      </c>
      <c r="L14" s="341">
        <f t="shared" si="4"/>
        <v>0</v>
      </c>
      <c r="M14" s="342">
        <f t="shared" si="5"/>
        <v>0</v>
      </c>
      <c r="N14" s="343"/>
    </row>
    <row r="15" spans="1:14" s="355" customFormat="1" ht="32.25" customHeight="1">
      <c r="A15" s="347">
        <v>11</v>
      </c>
      <c r="B15" s="348" t="s">
        <v>916</v>
      </c>
      <c r="C15" s="354" t="s">
        <v>915</v>
      </c>
      <c r="D15" s="350">
        <v>12</v>
      </c>
      <c r="E15" s="351">
        <v>21613723</v>
      </c>
      <c r="F15" s="352">
        <f t="shared" si="0"/>
        <v>259364676</v>
      </c>
      <c r="G15" s="350">
        <v>10.863200000000001</v>
      </c>
      <c r="H15" s="351">
        <v>21613723</v>
      </c>
      <c r="I15" s="352">
        <f t="shared" si="1"/>
        <v>234794195.69360003</v>
      </c>
      <c r="J15" s="353">
        <f t="shared" si="2"/>
        <v>1.1367999999999991</v>
      </c>
      <c r="K15" s="352">
        <f t="shared" si="3"/>
        <v>24570480.306399971</v>
      </c>
      <c r="L15" s="350">
        <f t="shared" si="4"/>
        <v>0</v>
      </c>
      <c r="M15" s="351">
        <f t="shared" si="5"/>
        <v>0</v>
      </c>
      <c r="N15" s="354" t="s">
        <v>917</v>
      </c>
    </row>
    <row r="16" spans="1:14" s="355" customFormat="1" ht="32.25" customHeight="1">
      <c r="A16" s="347">
        <v>12</v>
      </c>
      <c r="B16" s="348" t="s">
        <v>918</v>
      </c>
      <c r="C16" s="354" t="s">
        <v>915</v>
      </c>
      <c r="D16" s="350">
        <v>1.32</v>
      </c>
      <c r="E16" s="351">
        <v>17821387</v>
      </c>
      <c r="F16" s="352">
        <f t="shared" si="0"/>
        <v>23524230.84</v>
      </c>
      <c r="G16" s="350">
        <v>2.5865</v>
      </c>
      <c r="H16" s="351">
        <v>17821387</v>
      </c>
      <c r="I16" s="352">
        <f t="shared" si="1"/>
        <v>46095017.475500003</v>
      </c>
      <c r="J16" s="353">
        <f t="shared" si="2"/>
        <v>0</v>
      </c>
      <c r="K16" s="352">
        <f t="shared" si="3"/>
        <v>0</v>
      </c>
      <c r="L16" s="350">
        <f t="shared" si="4"/>
        <v>1.2665</v>
      </c>
      <c r="M16" s="351">
        <f t="shared" si="5"/>
        <v>22570786.635500003</v>
      </c>
      <c r="N16" s="354"/>
    </row>
    <row r="17" spans="1:14" ht="32.25" customHeight="1">
      <c r="A17" s="345">
        <v>13</v>
      </c>
      <c r="B17" s="346" t="s">
        <v>919</v>
      </c>
      <c r="C17" s="343" t="s">
        <v>920</v>
      </c>
      <c r="D17" s="341">
        <v>29.303999999999998</v>
      </c>
      <c r="E17" s="342">
        <v>21993359</v>
      </c>
      <c r="F17" s="340">
        <f t="shared" si="0"/>
        <v>644493392.13599992</v>
      </c>
      <c r="G17" s="341">
        <v>29.303999999999998</v>
      </c>
      <c r="H17" s="342">
        <v>21993359</v>
      </c>
      <c r="I17" s="340">
        <f t="shared" si="1"/>
        <v>644493392.13599992</v>
      </c>
      <c r="J17" s="339">
        <f t="shared" si="2"/>
        <v>0</v>
      </c>
      <c r="K17" s="340">
        <f t="shared" si="3"/>
        <v>0</v>
      </c>
      <c r="L17" s="341">
        <f t="shared" si="4"/>
        <v>0</v>
      </c>
      <c r="M17" s="342">
        <f t="shared" si="5"/>
        <v>0</v>
      </c>
      <c r="N17" s="343"/>
    </row>
    <row r="18" spans="1:14" s="355" customFormat="1" ht="32.25" customHeight="1">
      <c r="A18" s="347">
        <v>14</v>
      </c>
      <c r="B18" s="348" t="s">
        <v>921</v>
      </c>
      <c r="C18" s="354" t="s">
        <v>920</v>
      </c>
      <c r="D18" s="350">
        <v>16.456</v>
      </c>
      <c r="E18" s="351">
        <v>23112893</v>
      </c>
      <c r="F18" s="352">
        <f t="shared" si="0"/>
        <v>380345767.208</v>
      </c>
      <c r="G18" s="350">
        <v>16.0001</v>
      </c>
      <c r="H18" s="351">
        <v>23112893</v>
      </c>
      <c r="I18" s="352">
        <f t="shared" si="1"/>
        <v>369808599.28929996</v>
      </c>
      <c r="J18" s="353">
        <f t="shared" si="2"/>
        <v>0.45589999999999975</v>
      </c>
      <c r="K18" s="352">
        <f t="shared" si="3"/>
        <v>10537167.918700039</v>
      </c>
      <c r="L18" s="350">
        <f t="shared" si="4"/>
        <v>0</v>
      </c>
      <c r="M18" s="351">
        <f t="shared" si="5"/>
        <v>0</v>
      </c>
      <c r="N18" s="354"/>
    </row>
    <row r="19" spans="1:14" s="355" customFormat="1" ht="32.25" customHeight="1">
      <c r="A19" s="347">
        <v>15</v>
      </c>
      <c r="B19" s="348" t="s">
        <v>922</v>
      </c>
      <c r="C19" s="354" t="s">
        <v>920</v>
      </c>
      <c r="D19" s="350">
        <v>1.9770000000000001</v>
      </c>
      <c r="E19" s="351">
        <v>22795827</v>
      </c>
      <c r="F19" s="352">
        <f t="shared" si="0"/>
        <v>45067349.979000002</v>
      </c>
      <c r="G19" s="350">
        <v>2.2210000000000001</v>
      </c>
      <c r="H19" s="351">
        <v>22795827</v>
      </c>
      <c r="I19" s="352">
        <f t="shared" si="1"/>
        <v>50629531.767000005</v>
      </c>
      <c r="J19" s="353">
        <f t="shared" si="2"/>
        <v>0</v>
      </c>
      <c r="K19" s="352">
        <f t="shared" si="3"/>
        <v>0</v>
      </c>
      <c r="L19" s="350">
        <f t="shared" si="4"/>
        <v>0.24399999999999999</v>
      </c>
      <c r="M19" s="351">
        <f t="shared" si="5"/>
        <v>5562181.7880000025</v>
      </c>
      <c r="N19" s="354"/>
    </row>
    <row r="20" spans="1:14" ht="32.25" customHeight="1">
      <c r="A20" s="345">
        <v>16</v>
      </c>
      <c r="B20" s="346" t="s">
        <v>923</v>
      </c>
      <c r="C20" s="343" t="s">
        <v>920</v>
      </c>
      <c r="D20" s="341">
        <v>35.539200000000001</v>
      </c>
      <c r="E20" s="342">
        <v>22329835</v>
      </c>
      <c r="F20" s="340">
        <f t="shared" si="0"/>
        <v>793584472.03200006</v>
      </c>
      <c r="G20" s="341">
        <v>35.539200000000001</v>
      </c>
      <c r="H20" s="342">
        <v>22329835</v>
      </c>
      <c r="I20" s="340">
        <f t="shared" si="1"/>
        <v>793584472.03200006</v>
      </c>
      <c r="J20" s="339">
        <f t="shared" si="2"/>
        <v>0</v>
      </c>
      <c r="K20" s="340">
        <f t="shared" si="3"/>
        <v>0</v>
      </c>
      <c r="L20" s="341">
        <f t="shared" si="4"/>
        <v>0</v>
      </c>
      <c r="M20" s="342">
        <f t="shared" si="5"/>
        <v>0</v>
      </c>
      <c r="N20" s="343"/>
    </row>
    <row r="21" spans="1:14" ht="32.25" customHeight="1">
      <c r="A21" s="345">
        <v>17</v>
      </c>
      <c r="B21" s="346" t="s">
        <v>924</v>
      </c>
      <c r="C21" s="343" t="s">
        <v>901</v>
      </c>
      <c r="D21" s="341">
        <v>750.8</v>
      </c>
      <c r="E21" s="342">
        <v>118811</v>
      </c>
      <c r="F21" s="340">
        <f t="shared" si="0"/>
        <v>89203298.799999997</v>
      </c>
      <c r="G21" s="341">
        <v>750.8</v>
      </c>
      <c r="H21" s="342">
        <v>118811</v>
      </c>
      <c r="I21" s="340">
        <f t="shared" si="1"/>
        <v>89203298.799999997</v>
      </c>
      <c r="J21" s="339">
        <f t="shared" si="2"/>
        <v>0</v>
      </c>
      <c r="K21" s="340">
        <f t="shared" si="3"/>
        <v>0</v>
      </c>
      <c r="L21" s="341">
        <f t="shared" si="4"/>
        <v>0</v>
      </c>
      <c r="M21" s="342">
        <f t="shared" si="5"/>
        <v>0</v>
      </c>
      <c r="N21" s="343"/>
    </row>
    <row r="22" spans="1:14" ht="32.25" customHeight="1">
      <c r="A22" s="345">
        <v>18</v>
      </c>
      <c r="B22" s="346" t="s">
        <v>925</v>
      </c>
      <c r="C22" s="343" t="s">
        <v>926</v>
      </c>
      <c r="D22" s="341">
        <v>27.39</v>
      </c>
      <c r="E22" s="342">
        <v>682496</v>
      </c>
      <c r="F22" s="340">
        <f t="shared" si="0"/>
        <v>18693565.440000001</v>
      </c>
      <c r="G22" s="341">
        <v>27.39</v>
      </c>
      <c r="H22" s="342">
        <v>682496</v>
      </c>
      <c r="I22" s="340">
        <f t="shared" si="1"/>
        <v>18693565.440000001</v>
      </c>
      <c r="J22" s="339">
        <f t="shared" si="2"/>
        <v>0</v>
      </c>
      <c r="K22" s="340">
        <f t="shared" si="3"/>
        <v>0</v>
      </c>
      <c r="L22" s="341">
        <f t="shared" si="4"/>
        <v>0</v>
      </c>
      <c r="M22" s="342">
        <f t="shared" si="5"/>
        <v>0</v>
      </c>
      <c r="N22" s="343"/>
    </row>
    <row r="23" spans="1:14" s="355" customFormat="1" ht="32.25" customHeight="1">
      <c r="A23" s="347">
        <v>19</v>
      </c>
      <c r="B23" s="348" t="s">
        <v>927</v>
      </c>
      <c r="C23" s="354" t="s">
        <v>901</v>
      </c>
      <c r="D23" s="350">
        <v>19.8</v>
      </c>
      <c r="E23" s="351">
        <v>2600494</v>
      </c>
      <c r="F23" s="352">
        <f t="shared" si="0"/>
        <v>51489781.200000003</v>
      </c>
      <c r="G23" s="350">
        <v>27.84</v>
      </c>
      <c r="H23" s="351">
        <v>2600494</v>
      </c>
      <c r="I23" s="352">
        <f t="shared" si="1"/>
        <v>72397752.959999993</v>
      </c>
      <c r="J23" s="353">
        <f t="shared" si="2"/>
        <v>0</v>
      </c>
      <c r="K23" s="352">
        <f t="shared" si="3"/>
        <v>0</v>
      </c>
      <c r="L23" s="350">
        <f t="shared" si="4"/>
        <v>8.0399999999999991</v>
      </c>
      <c r="M23" s="351">
        <f t="shared" si="5"/>
        <v>20907971.75999999</v>
      </c>
      <c r="N23" s="354" t="s">
        <v>928</v>
      </c>
    </row>
    <row r="24" spans="1:14" s="355" customFormat="1" ht="32.25" customHeight="1">
      <c r="A24" s="347">
        <v>20</v>
      </c>
      <c r="B24" s="348" t="s">
        <v>929</v>
      </c>
      <c r="C24" s="354" t="s">
        <v>901</v>
      </c>
      <c r="D24" s="350">
        <v>105.6</v>
      </c>
      <c r="E24" s="351">
        <v>1537033</v>
      </c>
      <c r="F24" s="352">
        <f t="shared" si="0"/>
        <v>162310684.79999998</v>
      </c>
      <c r="G24" s="350">
        <v>315.94450000000001</v>
      </c>
      <c r="H24" s="351">
        <v>1537033</v>
      </c>
      <c r="I24" s="352">
        <f t="shared" si="1"/>
        <v>485617122.66850001</v>
      </c>
      <c r="J24" s="353">
        <f t="shared" si="2"/>
        <v>0</v>
      </c>
      <c r="K24" s="352">
        <f t="shared" si="3"/>
        <v>0</v>
      </c>
      <c r="L24" s="350">
        <f t="shared" si="4"/>
        <v>210.34450000000001</v>
      </c>
      <c r="M24" s="351">
        <f t="shared" si="5"/>
        <v>323306437.86849999</v>
      </c>
      <c r="N24" s="354"/>
    </row>
    <row r="25" spans="1:14" s="355" customFormat="1" ht="32.25" customHeight="1">
      <c r="A25" s="347">
        <v>21</v>
      </c>
      <c r="B25" s="348" t="s">
        <v>930</v>
      </c>
      <c r="C25" s="354" t="s">
        <v>931</v>
      </c>
      <c r="D25" s="350">
        <v>726</v>
      </c>
      <c r="E25" s="351">
        <v>81113</v>
      </c>
      <c r="F25" s="352">
        <f t="shared" si="0"/>
        <v>58888038</v>
      </c>
      <c r="G25" s="350">
        <v>414.95800000000003</v>
      </c>
      <c r="H25" s="351">
        <v>81113</v>
      </c>
      <c r="I25" s="352">
        <f t="shared" si="1"/>
        <v>33658488.254000001</v>
      </c>
      <c r="J25" s="353">
        <f t="shared" si="2"/>
        <v>311.04199999999997</v>
      </c>
      <c r="K25" s="352">
        <f t="shared" si="3"/>
        <v>25229549.745999999</v>
      </c>
      <c r="L25" s="350">
        <f t="shared" si="4"/>
        <v>0</v>
      </c>
      <c r="M25" s="351">
        <f t="shared" si="5"/>
        <v>0</v>
      </c>
      <c r="N25" s="354"/>
    </row>
    <row r="26" spans="1:14" s="355" customFormat="1" ht="32.25" customHeight="1">
      <c r="A26" s="347">
        <v>22</v>
      </c>
      <c r="B26" s="348" t="s">
        <v>932</v>
      </c>
      <c r="C26" s="354" t="s">
        <v>931</v>
      </c>
      <c r="D26" s="350">
        <v>2106</v>
      </c>
      <c r="E26" s="351">
        <v>187552</v>
      </c>
      <c r="F26" s="352">
        <f t="shared" si="0"/>
        <v>394984512</v>
      </c>
      <c r="G26" s="350">
        <v>1530.55</v>
      </c>
      <c r="H26" s="351">
        <v>100000</v>
      </c>
      <c r="I26" s="352">
        <f t="shared" si="1"/>
        <v>153055000</v>
      </c>
      <c r="J26" s="353">
        <f t="shared" si="2"/>
        <v>575.45000000000005</v>
      </c>
      <c r="K26" s="352">
        <f t="shared" si="3"/>
        <v>241929512</v>
      </c>
      <c r="L26" s="350">
        <f t="shared" si="4"/>
        <v>0</v>
      </c>
      <c r="M26" s="351">
        <f t="shared" si="5"/>
        <v>0</v>
      </c>
      <c r="N26" s="354"/>
    </row>
    <row r="27" spans="1:14" s="355" customFormat="1" ht="32.25" customHeight="1">
      <c r="A27" s="347">
        <v>23</v>
      </c>
      <c r="B27" s="348" t="s">
        <v>933</v>
      </c>
      <c r="C27" s="354" t="s">
        <v>931</v>
      </c>
      <c r="D27" s="350">
        <v>1320</v>
      </c>
      <c r="E27" s="351">
        <v>302602</v>
      </c>
      <c r="F27" s="352">
        <f t="shared" si="0"/>
        <v>399434640</v>
      </c>
      <c r="G27" s="350">
        <v>1866</v>
      </c>
      <c r="H27" s="351">
        <v>120000</v>
      </c>
      <c r="I27" s="352">
        <f t="shared" si="1"/>
        <v>223920000</v>
      </c>
      <c r="J27" s="353">
        <f t="shared" si="2"/>
        <v>0</v>
      </c>
      <c r="K27" s="352">
        <f t="shared" si="3"/>
        <v>175514640</v>
      </c>
      <c r="L27" s="350">
        <f t="shared" si="4"/>
        <v>546</v>
      </c>
      <c r="M27" s="351">
        <f t="shared" si="5"/>
        <v>0</v>
      </c>
      <c r="N27" s="354"/>
    </row>
    <row r="28" spans="1:14" s="355" customFormat="1" ht="32.25" customHeight="1">
      <c r="A28" s="347">
        <v>24</v>
      </c>
      <c r="B28" s="348" t="s">
        <v>934</v>
      </c>
      <c r="C28" s="354" t="s">
        <v>931</v>
      </c>
      <c r="D28" s="350">
        <v>1452</v>
      </c>
      <c r="E28" s="351">
        <v>83662</v>
      </c>
      <c r="F28" s="352">
        <f t="shared" si="0"/>
        <v>121477224</v>
      </c>
      <c r="G28" s="350">
        <v>335.55799999999999</v>
      </c>
      <c r="H28" s="351">
        <v>83662</v>
      </c>
      <c r="I28" s="352">
        <f t="shared" si="1"/>
        <v>28073453.395999998</v>
      </c>
      <c r="J28" s="353">
        <f t="shared" si="2"/>
        <v>1116.442</v>
      </c>
      <c r="K28" s="352">
        <f t="shared" si="3"/>
        <v>93403770.604000002</v>
      </c>
      <c r="L28" s="350">
        <f t="shared" si="4"/>
        <v>0</v>
      </c>
      <c r="M28" s="351">
        <f t="shared" si="5"/>
        <v>0</v>
      </c>
      <c r="N28" s="354"/>
    </row>
    <row r="29" spans="1:14" s="355" customFormat="1" ht="32.25" customHeight="1">
      <c r="A29" s="347">
        <v>25</v>
      </c>
      <c r="B29" s="348" t="s">
        <v>935</v>
      </c>
      <c r="C29" s="354" t="s">
        <v>931</v>
      </c>
      <c r="D29" s="350">
        <v>1452</v>
      </c>
      <c r="E29" s="351">
        <v>59365</v>
      </c>
      <c r="F29" s="352">
        <f t="shared" si="0"/>
        <v>86197980</v>
      </c>
      <c r="G29" s="350">
        <v>335.55799999999999</v>
      </c>
      <c r="H29" s="351">
        <v>29710</v>
      </c>
      <c r="I29" s="352">
        <f t="shared" si="1"/>
        <v>9969428.1799999997</v>
      </c>
      <c r="J29" s="353">
        <f t="shared" si="2"/>
        <v>1116.442</v>
      </c>
      <c r="K29" s="352">
        <f t="shared" si="3"/>
        <v>76228551.819999993</v>
      </c>
      <c r="L29" s="350">
        <f t="shared" si="4"/>
        <v>0</v>
      </c>
      <c r="M29" s="351">
        <f t="shared" si="5"/>
        <v>0</v>
      </c>
      <c r="N29" s="354"/>
    </row>
    <row r="30" spans="1:14" s="355" customFormat="1" ht="32.25" customHeight="1">
      <c r="A30" s="356">
        <v>26</v>
      </c>
      <c r="B30" s="357" t="s">
        <v>936</v>
      </c>
      <c r="C30" s="358" t="s">
        <v>931</v>
      </c>
      <c r="D30" s="359">
        <v>96</v>
      </c>
      <c r="E30" s="360">
        <v>443907</v>
      </c>
      <c r="F30" s="361">
        <f t="shared" si="0"/>
        <v>42615072</v>
      </c>
      <c r="G30" s="359">
        <v>621.87249999999995</v>
      </c>
      <c r="H30" s="360">
        <v>443907</v>
      </c>
      <c r="I30" s="361">
        <f t="shared" si="1"/>
        <v>276053555.85749996</v>
      </c>
      <c r="J30" s="362">
        <f t="shared" si="2"/>
        <v>0</v>
      </c>
      <c r="K30" s="361">
        <f t="shared" si="3"/>
        <v>0</v>
      </c>
      <c r="L30" s="359">
        <f t="shared" si="4"/>
        <v>525.87249999999995</v>
      </c>
      <c r="M30" s="360">
        <f t="shared" si="5"/>
        <v>233438483.85749996</v>
      </c>
      <c r="N30" s="358"/>
    </row>
    <row r="31" spans="1:14" s="330" customFormat="1" ht="32.25" customHeight="1">
      <c r="A31" s="515" t="s">
        <v>94</v>
      </c>
      <c r="B31" s="515"/>
      <c r="C31" s="515"/>
      <c r="D31" s="331"/>
      <c r="E31" s="332"/>
      <c r="F31" s="332">
        <f>SUM(F5:F30)</f>
        <v>4617335954.7304001</v>
      </c>
      <c r="G31" s="331"/>
      <c r="H31" s="332"/>
      <c r="I31" s="332">
        <f t="shared" ref="I31:M31" si="6">SUM(I5:I30)</f>
        <v>4785745971.4568005</v>
      </c>
      <c r="J31" s="331"/>
      <c r="K31" s="332">
        <f t="shared" si="6"/>
        <v>660645438.94309998</v>
      </c>
      <c r="L31" s="331"/>
      <c r="M31" s="332">
        <f t="shared" si="6"/>
        <v>829055455.66949999</v>
      </c>
      <c r="N31" s="363"/>
    </row>
    <row r="32" spans="1:14" s="330" customFormat="1" ht="32.25" customHeight="1">
      <c r="A32" s="517" t="s">
        <v>937</v>
      </c>
      <c r="B32" s="518"/>
      <c r="C32" s="519"/>
      <c r="D32" s="364"/>
      <c r="E32" s="365"/>
      <c r="F32" s="365"/>
      <c r="G32" s="364"/>
      <c r="H32" s="365"/>
      <c r="I32" s="365"/>
      <c r="J32" s="364"/>
      <c r="K32" s="365"/>
      <c r="L32" s="364"/>
      <c r="M32" s="365"/>
      <c r="N32" s="366"/>
    </row>
    <row r="33" spans="1:14" ht="32.25" customHeight="1">
      <c r="A33" s="345">
        <v>1</v>
      </c>
      <c r="B33" s="337" t="s">
        <v>900</v>
      </c>
      <c r="C33" s="343" t="s">
        <v>901</v>
      </c>
      <c r="D33" s="341">
        <v>152.4016</v>
      </c>
      <c r="E33" s="342">
        <v>157313</v>
      </c>
      <c r="F33" s="340">
        <f t="shared" si="0"/>
        <v>23974752.900800001</v>
      </c>
      <c r="G33" s="341">
        <v>152.4016</v>
      </c>
      <c r="H33" s="342">
        <v>157313</v>
      </c>
      <c r="I33" s="340">
        <f t="shared" si="1"/>
        <v>23974752.900800001</v>
      </c>
      <c r="J33" s="339">
        <f t="shared" si="2"/>
        <v>0</v>
      </c>
      <c r="K33" s="340">
        <f t="shared" si="3"/>
        <v>0</v>
      </c>
      <c r="L33" s="341">
        <f t="shared" si="4"/>
        <v>0</v>
      </c>
      <c r="M33" s="342">
        <f t="shared" si="5"/>
        <v>0</v>
      </c>
      <c r="N33" s="343"/>
    </row>
    <row r="34" spans="1:14" ht="32.25" customHeight="1">
      <c r="A34" s="345">
        <v>2</v>
      </c>
      <c r="B34" s="346" t="s">
        <v>938</v>
      </c>
      <c r="C34" s="343" t="s">
        <v>901</v>
      </c>
      <c r="D34" s="341">
        <v>101.6011</v>
      </c>
      <c r="E34" s="342">
        <v>124076</v>
      </c>
      <c r="F34" s="340">
        <f t="shared" si="0"/>
        <v>12606258.0836</v>
      </c>
      <c r="G34" s="341">
        <v>101.6011</v>
      </c>
      <c r="H34" s="342">
        <v>124076</v>
      </c>
      <c r="I34" s="340">
        <f t="shared" si="1"/>
        <v>12606258.0836</v>
      </c>
      <c r="J34" s="339">
        <f t="shared" si="2"/>
        <v>0</v>
      </c>
      <c r="K34" s="340">
        <f t="shared" si="3"/>
        <v>0</v>
      </c>
      <c r="L34" s="341">
        <f t="shared" si="4"/>
        <v>0</v>
      </c>
      <c r="M34" s="342">
        <f t="shared" si="5"/>
        <v>0</v>
      </c>
      <c r="N34" s="343"/>
    </row>
    <row r="35" spans="1:14" ht="32.25" customHeight="1">
      <c r="A35" s="345">
        <v>3</v>
      </c>
      <c r="B35" s="346" t="s">
        <v>939</v>
      </c>
      <c r="C35" s="343" t="s">
        <v>940</v>
      </c>
      <c r="D35" s="341">
        <v>68.45</v>
      </c>
      <c r="E35" s="342">
        <v>1206690</v>
      </c>
      <c r="F35" s="340">
        <f t="shared" si="0"/>
        <v>82597930.5</v>
      </c>
      <c r="G35" s="341">
        <v>68.45</v>
      </c>
      <c r="H35" s="342">
        <v>1206690</v>
      </c>
      <c r="I35" s="340">
        <f t="shared" si="1"/>
        <v>82597930.5</v>
      </c>
      <c r="J35" s="339">
        <f t="shared" si="2"/>
        <v>0</v>
      </c>
      <c r="K35" s="340">
        <f t="shared" si="3"/>
        <v>0</v>
      </c>
      <c r="L35" s="341">
        <f t="shared" si="4"/>
        <v>0</v>
      </c>
      <c r="M35" s="342">
        <f t="shared" si="5"/>
        <v>0</v>
      </c>
      <c r="N35" s="343"/>
    </row>
    <row r="36" spans="1:14" s="355" customFormat="1" ht="32.25" customHeight="1">
      <c r="A36" s="347">
        <v>4</v>
      </c>
      <c r="B36" s="348" t="s">
        <v>941</v>
      </c>
      <c r="C36" s="354" t="s">
        <v>901</v>
      </c>
      <c r="D36" s="350">
        <v>6.8959999999999999</v>
      </c>
      <c r="E36" s="351">
        <v>1283592</v>
      </c>
      <c r="F36" s="352">
        <f t="shared" si="0"/>
        <v>8851650.432</v>
      </c>
      <c r="G36" s="350">
        <v>9.4559999999999995</v>
      </c>
      <c r="H36" s="351">
        <v>1283592</v>
      </c>
      <c r="I36" s="352">
        <f t="shared" si="1"/>
        <v>12137645.952</v>
      </c>
      <c r="J36" s="353">
        <f t="shared" si="2"/>
        <v>0</v>
      </c>
      <c r="K36" s="352">
        <f t="shared" si="3"/>
        <v>0</v>
      </c>
      <c r="L36" s="350">
        <f t="shared" si="4"/>
        <v>2.5599999999999996</v>
      </c>
      <c r="M36" s="351">
        <f t="shared" si="5"/>
        <v>3285995.5199999996</v>
      </c>
      <c r="N36" s="354"/>
    </row>
    <row r="37" spans="1:14" ht="32.25" customHeight="1">
      <c r="A37" s="345">
        <v>5</v>
      </c>
      <c r="B37" s="346" t="s">
        <v>942</v>
      </c>
      <c r="C37" s="343" t="s">
        <v>901</v>
      </c>
      <c r="D37" s="341">
        <v>19.751200000000001</v>
      </c>
      <c r="E37" s="342">
        <v>1684611</v>
      </c>
      <c r="F37" s="340">
        <f t="shared" si="0"/>
        <v>33273088.783199999</v>
      </c>
      <c r="G37" s="341">
        <v>19.751200000000001</v>
      </c>
      <c r="H37" s="342">
        <v>1684611</v>
      </c>
      <c r="I37" s="340">
        <f t="shared" si="1"/>
        <v>33273088.783199999</v>
      </c>
      <c r="J37" s="339">
        <f t="shared" si="2"/>
        <v>0</v>
      </c>
      <c r="K37" s="340">
        <f t="shared" si="3"/>
        <v>0</v>
      </c>
      <c r="L37" s="341">
        <f t="shared" si="4"/>
        <v>0</v>
      </c>
      <c r="M37" s="342">
        <f t="shared" si="5"/>
        <v>0</v>
      </c>
      <c r="N37" s="343"/>
    </row>
    <row r="38" spans="1:14" ht="32.25" customHeight="1">
      <c r="A38" s="345">
        <v>6</v>
      </c>
      <c r="B38" s="346" t="s">
        <v>943</v>
      </c>
      <c r="C38" s="343" t="s">
        <v>901</v>
      </c>
      <c r="D38" s="341">
        <v>15.7469</v>
      </c>
      <c r="E38" s="342">
        <v>2216701</v>
      </c>
      <c r="F38" s="340">
        <f t="shared" si="0"/>
        <v>34906168.976900004</v>
      </c>
      <c r="G38" s="341">
        <v>15.7469</v>
      </c>
      <c r="H38" s="342">
        <v>2216701</v>
      </c>
      <c r="I38" s="340">
        <f t="shared" si="1"/>
        <v>34906168.976900004</v>
      </c>
      <c r="J38" s="339">
        <f t="shared" si="2"/>
        <v>0</v>
      </c>
      <c r="K38" s="340">
        <f t="shared" si="3"/>
        <v>0</v>
      </c>
      <c r="L38" s="341">
        <f t="shared" si="4"/>
        <v>0</v>
      </c>
      <c r="M38" s="342">
        <f t="shared" si="5"/>
        <v>0</v>
      </c>
      <c r="N38" s="343"/>
    </row>
    <row r="39" spans="1:14" ht="32.25" customHeight="1">
      <c r="A39" s="345">
        <v>7</v>
      </c>
      <c r="B39" s="346" t="s">
        <v>911</v>
      </c>
      <c r="C39" s="338" t="s">
        <v>901</v>
      </c>
      <c r="D39" s="341">
        <v>3.2669999999999999</v>
      </c>
      <c r="E39" s="342">
        <v>2543579</v>
      </c>
      <c r="F39" s="340">
        <f t="shared" si="0"/>
        <v>8309872.5929999994</v>
      </c>
      <c r="G39" s="341">
        <v>3.2669999999999999</v>
      </c>
      <c r="H39" s="342">
        <v>2543579</v>
      </c>
      <c r="I39" s="340">
        <f t="shared" si="1"/>
        <v>8309872.5929999994</v>
      </c>
      <c r="J39" s="339">
        <f t="shared" si="2"/>
        <v>0</v>
      </c>
      <c r="K39" s="340">
        <f t="shared" si="3"/>
        <v>0</v>
      </c>
      <c r="L39" s="341">
        <f t="shared" si="4"/>
        <v>0</v>
      </c>
      <c r="M39" s="342">
        <f t="shared" si="5"/>
        <v>0</v>
      </c>
      <c r="N39" s="343"/>
    </row>
    <row r="40" spans="1:14" ht="32.25" customHeight="1">
      <c r="A40" s="345">
        <v>8</v>
      </c>
      <c r="B40" s="346" t="s">
        <v>944</v>
      </c>
      <c r="C40" s="338" t="s">
        <v>901</v>
      </c>
      <c r="D40" s="341">
        <v>8.8181999999999992</v>
      </c>
      <c r="E40" s="342">
        <v>2261508</v>
      </c>
      <c r="F40" s="340">
        <f t="shared" si="0"/>
        <v>19942429.845599998</v>
      </c>
      <c r="G40" s="341">
        <v>8.8181999999999992</v>
      </c>
      <c r="H40" s="342">
        <v>2261508</v>
      </c>
      <c r="I40" s="340">
        <f t="shared" si="1"/>
        <v>19942429.845599998</v>
      </c>
      <c r="J40" s="339">
        <f t="shared" si="2"/>
        <v>0</v>
      </c>
      <c r="K40" s="340">
        <f t="shared" si="3"/>
        <v>0</v>
      </c>
      <c r="L40" s="341">
        <f t="shared" si="4"/>
        <v>0</v>
      </c>
      <c r="M40" s="342">
        <f t="shared" si="5"/>
        <v>0</v>
      </c>
      <c r="N40" s="343"/>
    </row>
    <row r="41" spans="1:14" ht="32.25" customHeight="1">
      <c r="A41" s="345">
        <v>9</v>
      </c>
      <c r="B41" s="346" t="s">
        <v>945</v>
      </c>
      <c r="C41" s="343" t="s">
        <v>915</v>
      </c>
      <c r="D41" s="341">
        <v>0.68440000000000001</v>
      </c>
      <c r="E41" s="342">
        <v>16065408</v>
      </c>
      <c r="F41" s="340">
        <f t="shared" si="0"/>
        <v>10995165.235200001</v>
      </c>
      <c r="G41" s="341">
        <v>0.68440000000000001</v>
      </c>
      <c r="H41" s="342">
        <v>16065408</v>
      </c>
      <c r="I41" s="340">
        <f t="shared" si="1"/>
        <v>10995165.235200001</v>
      </c>
      <c r="J41" s="339">
        <f t="shared" si="2"/>
        <v>0</v>
      </c>
      <c r="K41" s="340">
        <f t="shared" si="3"/>
        <v>0</v>
      </c>
      <c r="L41" s="341">
        <f t="shared" si="4"/>
        <v>0</v>
      </c>
      <c r="M41" s="342">
        <f t="shared" si="5"/>
        <v>0</v>
      </c>
      <c r="N41" s="343"/>
    </row>
    <row r="42" spans="1:14" ht="32.25" customHeight="1">
      <c r="A42" s="345">
        <v>10</v>
      </c>
      <c r="B42" s="346" t="s">
        <v>946</v>
      </c>
      <c r="C42" s="343" t="s">
        <v>915</v>
      </c>
      <c r="D42" s="341">
        <v>2.9308999999999998</v>
      </c>
      <c r="E42" s="342">
        <v>21613723</v>
      </c>
      <c r="F42" s="340">
        <f t="shared" si="0"/>
        <v>63347660.740699999</v>
      </c>
      <c r="G42" s="341">
        <v>2.9308999999999998</v>
      </c>
      <c r="H42" s="342">
        <v>21613723</v>
      </c>
      <c r="I42" s="340">
        <f t="shared" si="1"/>
        <v>63347660.740699999</v>
      </c>
      <c r="J42" s="339">
        <f t="shared" si="2"/>
        <v>0</v>
      </c>
      <c r="K42" s="340">
        <f t="shared" si="3"/>
        <v>0</v>
      </c>
      <c r="L42" s="341">
        <f t="shared" si="4"/>
        <v>0</v>
      </c>
      <c r="M42" s="342">
        <f t="shared" si="5"/>
        <v>0</v>
      </c>
      <c r="N42" s="343"/>
    </row>
    <row r="43" spans="1:14" ht="32.25" customHeight="1">
      <c r="A43" s="345">
        <v>11</v>
      </c>
      <c r="B43" s="346" t="s">
        <v>947</v>
      </c>
      <c r="C43" s="343" t="s">
        <v>915</v>
      </c>
      <c r="D43" s="341">
        <v>1.1357999999999999</v>
      </c>
      <c r="E43" s="342">
        <v>17821387</v>
      </c>
      <c r="F43" s="340">
        <f t="shared" si="0"/>
        <v>20241531.354599997</v>
      </c>
      <c r="G43" s="341">
        <v>1.1357999999999999</v>
      </c>
      <c r="H43" s="342">
        <v>17821387</v>
      </c>
      <c r="I43" s="340">
        <f t="shared" si="1"/>
        <v>20241531.354599997</v>
      </c>
      <c r="J43" s="339">
        <f t="shared" si="2"/>
        <v>0</v>
      </c>
      <c r="K43" s="340">
        <f t="shared" si="3"/>
        <v>0</v>
      </c>
      <c r="L43" s="341">
        <f t="shared" si="4"/>
        <v>0</v>
      </c>
      <c r="M43" s="342">
        <f t="shared" si="5"/>
        <v>0</v>
      </c>
      <c r="N43" s="343"/>
    </row>
    <row r="44" spans="1:14" ht="32.25" customHeight="1">
      <c r="A44" s="345">
        <v>12</v>
      </c>
      <c r="B44" s="346" t="s">
        <v>948</v>
      </c>
      <c r="C44" s="343" t="s">
        <v>915</v>
      </c>
      <c r="D44" s="341">
        <v>1.7662</v>
      </c>
      <c r="E44" s="342">
        <v>17572894</v>
      </c>
      <c r="F44" s="340">
        <f t="shared" si="0"/>
        <v>31037245.382800002</v>
      </c>
      <c r="G44" s="341">
        <v>1.7662</v>
      </c>
      <c r="H44" s="342">
        <v>17572894</v>
      </c>
      <c r="I44" s="340">
        <f t="shared" si="1"/>
        <v>31037245.382800002</v>
      </c>
      <c r="J44" s="339">
        <f t="shared" si="2"/>
        <v>0</v>
      </c>
      <c r="K44" s="340">
        <f t="shared" si="3"/>
        <v>0</v>
      </c>
      <c r="L44" s="341">
        <f t="shared" si="4"/>
        <v>0</v>
      </c>
      <c r="M44" s="342">
        <f t="shared" si="5"/>
        <v>0</v>
      </c>
      <c r="N44" s="343"/>
    </row>
    <row r="45" spans="1:14" ht="32.25" customHeight="1">
      <c r="A45" s="345">
        <v>13</v>
      </c>
      <c r="B45" s="346" t="s">
        <v>919</v>
      </c>
      <c r="C45" s="343" t="s">
        <v>920</v>
      </c>
      <c r="D45" s="341">
        <v>0.58109999999999995</v>
      </c>
      <c r="E45" s="342">
        <v>24512504</v>
      </c>
      <c r="F45" s="340">
        <f t="shared" si="0"/>
        <v>14244216.074399998</v>
      </c>
      <c r="G45" s="341">
        <v>0.58109999999999995</v>
      </c>
      <c r="H45" s="342">
        <v>24512504</v>
      </c>
      <c r="I45" s="340">
        <f t="shared" si="1"/>
        <v>14244216.074399998</v>
      </c>
      <c r="J45" s="339">
        <f t="shared" si="2"/>
        <v>0</v>
      </c>
      <c r="K45" s="340">
        <f t="shared" si="3"/>
        <v>0</v>
      </c>
      <c r="L45" s="341">
        <f t="shared" si="4"/>
        <v>0</v>
      </c>
      <c r="M45" s="342">
        <f t="shared" si="5"/>
        <v>0</v>
      </c>
      <c r="N45" s="343"/>
    </row>
    <row r="46" spans="1:14" ht="32.25" customHeight="1">
      <c r="A46" s="345">
        <v>14</v>
      </c>
      <c r="B46" s="346" t="s">
        <v>949</v>
      </c>
      <c r="C46" s="343" t="s">
        <v>920</v>
      </c>
      <c r="D46" s="341">
        <v>1.7214</v>
      </c>
      <c r="E46" s="342">
        <v>25684686</v>
      </c>
      <c r="F46" s="340">
        <f t="shared" si="0"/>
        <v>44213618.480400003</v>
      </c>
      <c r="G46" s="341">
        <v>1.7214</v>
      </c>
      <c r="H46" s="342">
        <v>25684686</v>
      </c>
      <c r="I46" s="340">
        <f t="shared" si="1"/>
        <v>44213618.480400003</v>
      </c>
      <c r="J46" s="339">
        <f t="shared" si="2"/>
        <v>0</v>
      </c>
      <c r="K46" s="340">
        <f t="shared" si="3"/>
        <v>0</v>
      </c>
      <c r="L46" s="341">
        <f t="shared" si="4"/>
        <v>0</v>
      </c>
      <c r="M46" s="342">
        <f t="shared" si="5"/>
        <v>0</v>
      </c>
      <c r="N46" s="343"/>
    </row>
    <row r="47" spans="1:14" ht="32.25" customHeight="1">
      <c r="A47" s="345">
        <v>15</v>
      </c>
      <c r="B47" s="346" t="s">
        <v>950</v>
      </c>
      <c r="C47" s="343" t="s">
        <v>920</v>
      </c>
      <c r="D47" s="341">
        <v>0.68940000000000001</v>
      </c>
      <c r="E47" s="342">
        <v>25367620</v>
      </c>
      <c r="F47" s="340">
        <f t="shared" si="0"/>
        <v>17488437.228</v>
      </c>
      <c r="G47" s="341">
        <v>0.68940000000000001</v>
      </c>
      <c r="H47" s="342">
        <v>25367620</v>
      </c>
      <c r="I47" s="340">
        <f t="shared" si="1"/>
        <v>17488437.228</v>
      </c>
      <c r="J47" s="339">
        <f t="shared" si="2"/>
        <v>0</v>
      </c>
      <c r="K47" s="340">
        <f t="shared" si="3"/>
        <v>0</v>
      </c>
      <c r="L47" s="341">
        <f t="shared" si="4"/>
        <v>0</v>
      </c>
      <c r="M47" s="342">
        <f t="shared" si="5"/>
        <v>0</v>
      </c>
      <c r="N47" s="343"/>
    </row>
    <row r="48" spans="1:14" ht="32.25" customHeight="1">
      <c r="A48" s="345">
        <v>16</v>
      </c>
      <c r="B48" s="346" t="s">
        <v>951</v>
      </c>
      <c r="C48" s="343" t="s">
        <v>920</v>
      </c>
      <c r="D48" s="341">
        <v>0.61509999999999998</v>
      </c>
      <c r="E48" s="342">
        <v>27010598</v>
      </c>
      <c r="F48" s="340">
        <f t="shared" si="0"/>
        <v>16614218.829799999</v>
      </c>
      <c r="G48" s="341">
        <v>0.61509999999999998</v>
      </c>
      <c r="H48" s="342">
        <v>27010598</v>
      </c>
      <c r="I48" s="340">
        <f t="shared" si="1"/>
        <v>16614218.829799999</v>
      </c>
      <c r="J48" s="339">
        <f t="shared" si="2"/>
        <v>0</v>
      </c>
      <c r="K48" s="340">
        <f t="shared" si="3"/>
        <v>0</v>
      </c>
      <c r="L48" s="341">
        <f t="shared" si="4"/>
        <v>0</v>
      </c>
      <c r="M48" s="342">
        <f t="shared" si="5"/>
        <v>0</v>
      </c>
      <c r="N48" s="343"/>
    </row>
    <row r="49" spans="1:14" ht="32.25" customHeight="1">
      <c r="A49" s="345">
        <v>17</v>
      </c>
      <c r="B49" s="346" t="s">
        <v>952</v>
      </c>
      <c r="C49" s="343" t="s">
        <v>901</v>
      </c>
      <c r="D49" s="341">
        <v>20.3</v>
      </c>
      <c r="E49" s="342">
        <v>1676247</v>
      </c>
      <c r="F49" s="340">
        <f t="shared" si="0"/>
        <v>34027814.100000001</v>
      </c>
      <c r="G49" s="341">
        <v>20.3</v>
      </c>
      <c r="H49" s="342">
        <v>1676247</v>
      </c>
      <c r="I49" s="340">
        <f t="shared" si="1"/>
        <v>34027814.100000001</v>
      </c>
      <c r="J49" s="339">
        <f t="shared" si="2"/>
        <v>0</v>
      </c>
      <c r="K49" s="340">
        <f t="shared" si="3"/>
        <v>0</v>
      </c>
      <c r="L49" s="341">
        <f t="shared" si="4"/>
        <v>0</v>
      </c>
      <c r="M49" s="342">
        <f t="shared" si="5"/>
        <v>0</v>
      </c>
      <c r="N49" s="343"/>
    </row>
    <row r="50" spans="1:14" s="355" customFormat="1" ht="32.25" customHeight="1">
      <c r="A50" s="347">
        <v>18</v>
      </c>
      <c r="B50" s="348" t="s">
        <v>953</v>
      </c>
      <c r="C50" s="354" t="s">
        <v>931</v>
      </c>
      <c r="D50" s="350">
        <v>13.65</v>
      </c>
      <c r="E50" s="351">
        <v>200476</v>
      </c>
      <c r="F50" s="352">
        <f t="shared" si="0"/>
        <v>2736497.4</v>
      </c>
      <c r="G50" s="350">
        <v>10.92</v>
      </c>
      <c r="H50" s="351">
        <v>100000</v>
      </c>
      <c r="I50" s="352">
        <f t="shared" si="1"/>
        <v>1092000</v>
      </c>
      <c r="J50" s="353">
        <f t="shared" si="2"/>
        <v>2.7300000000000004</v>
      </c>
      <c r="K50" s="352">
        <f t="shared" si="3"/>
        <v>1644497.4</v>
      </c>
      <c r="L50" s="350">
        <f t="shared" si="4"/>
        <v>0</v>
      </c>
      <c r="M50" s="351">
        <f t="shared" si="5"/>
        <v>0</v>
      </c>
      <c r="N50" s="354"/>
    </row>
    <row r="51" spans="1:14" s="355" customFormat="1" ht="32.25" customHeight="1">
      <c r="A51" s="347">
        <v>19</v>
      </c>
      <c r="B51" s="348" t="s">
        <v>932</v>
      </c>
      <c r="C51" s="354" t="s">
        <v>931</v>
      </c>
      <c r="D51" s="350">
        <v>21</v>
      </c>
      <c r="E51" s="351">
        <v>187552</v>
      </c>
      <c r="F51" s="352">
        <f t="shared" si="0"/>
        <v>3938592</v>
      </c>
      <c r="G51" s="350">
        <v>21</v>
      </c>
      <c r="H51" s="351">
        <v>100000</v>
      </c>
      <c r="I51" s="352">
        <f t="shared" si="1"/>
        <v>2100000</v>
      </c>
      <c r="J51" s="353">
        <f t="shared" si="2"/>
        <v>0</v>
      </c>
      <c r="K51" s="352">
        <f t="shared" si="3"/>
        <v>1838592</v>
      </c>
      <c r="L51" s="350">
        <f t="shared" si="4"/>
        <v>0</v>
      </c>
      <c r="M51" s="351">
        <f t="shared" si="5"/>
        <v>0</v>
      </c>
      <c r="N51" s="354"/>
    </row>
    <row r="52" spans="1:14" s="355" customFormat="1" ht="32.25" customHeight="1">
      <c r="A52" s="347">
        <v>20</v>
      </c>
      <c r="B52" s="348" t="s">
        <v>954</v>
      </c>
      <c r="C52" s="354" t="s">
        <v>931</v>
      </c>
      <c r="D52" s="350">
        <v>168.35</v>
      </c>
      <c r="E52" s="351">
        <v>424279</v>
      </c>
      <c r="F52" s="352">
        <f t="shared" si="0"/>
        <v>71427369.649999991</v>
      </c>
      <c r="G52" s="350">
        <v>184.73</v>
      </c>
      <c r="H52" s="351">
        <v>100000</v>
      </c>
      <c r="I52" s="352">
        <f t="shared" si="1"/>
        <v>18473000</v>
      </c>
      <c r="J52" s="353">
        <f t="shared" si="2"/>
        <v>0</v>
      </c>
      <c r="K52" s="352">
        <f t="shared" si="3"/>
        <v>52954369.649999991</v>
      </c>
      <c r="L52" s="350">
        <f t="shared" si="4"/>
        <v>16.379999999999995</v>
      </c>
      <c r="M52" s="351">
        <f t="shared" si="5"/>
        <v>0</v>
      </c>
      <c r="N52" s="354"/>
    </row>
    <row r="53" spans="1:14" s="355" customFormat="1" ht="32.25" customHeight="1">
      <c r="A53" s="347">
        <v>21</v>
      </c>
      <c r="B53" s="348" t="s">
        <v>955</v>
      </c>
      <c r="C53" s="354" t="s">
        <v>931</v>
      </c>
      <c r="D53" s="350">
        <v>48</v>
      </c>
      <c r="E53" s="351">
        <v>287331</v>
      </c>
      <c r="F53" s="352">
        <f t="shared" si="0"/>
        <v>13791888</v>
      </c>
      <c r="G53" s="350">
        <v>124.746</v>
      </c>
      <c r="H53" s="351">
        <v>120000</v>
      </c>
      <c r="I53" s="352">
        <f t="shared" si="1"/>
        <v>14969520</v>
      </c>
      <c r="J53" s="353">
        <f t="shared" si="2"/>
        <v>0</v>
      </c>
      <c r="K53" s="352">
        <f t="shared" si="3"/>
        <v>0</v>
      </c>
      <c r="L53" s="350">
        <f t="shared" si="4"/>
        <v>76.745999999999995</v>
      </c>
      <c r="M53" s="351">
        <f t="shared" si="5"/>
        <v>1177632</v>
      </c>
      <c r="N53" s="354"/>
    </row>
    <row r="54" spans="1:14" s="355" customFormat="1" ht="32.25" customHeight="1">
      <c r="A54" s="347">
        <v>22</v>
      </c>
      <c r="B54" s="348" t="s">
        <v>956</v>
      </c>
      <c r="C54" s="354" t="s">
        <v>920</v>
      </c>
      <c r="D54" s="350">
        <v>0.98909999999999998</v>
      </c>
      <c r="E54" s="351">
        <v>29502844</v>
      </c>
      <c r="F54" s="352">
        <f t="shared" si="0"/>
        <v>29181263.000399999</v>
      </c>
      <c r="G54" s="350">
        <v>1.1416999999999999</v>
      </c>
      <c r="H54" s="351">
        <v>29502844</v>
      </c>
      <c r="I54" s="352">
        <f t="shared" si="1"/>
        <v>33683396.994800001</v>
      </c>
      <c r="J54" s="353">
        <f t="shared" si="2"/>
        <v>0</v>
      </c>
      <c r="K54" s="352">
        <f t="shared" si="3"/>
        <v>0</v>
      </c>
      <c r="L54" s="350">
        <f t="shared" si="4"/>
        <v>0.15259999999999996</v>
      </c>
      <c r="M54" s="351">
        <f t="shared" si="5"/>
        <v>4502133.9944000021</v>
      </c>
      <c r="N54" s="354"/>
    </row>
    <row r="55" spans="1:14" s="355" customFormat="1" ht="32.25" customHeight="1">
      <c r="A55" s="347">
        <v>23</v>
      </c>
      <c r="B55" s="348" t="s">
        <v>957</v>
      </c>
      <c r="C55" s="354" t="s">
        <v>920</v>
      </c>
      <c r="D55" s="350">
        <v>0.98909999999999998</v>
      </c>
      <c r="E55" s="351">
        <v>1748576</v>
      </c>
      <c r="F55" s="352">
        <f t="shared" si="0"/>
        <v>1729516.5215999999</v>
      </c>
      <c r="G55" s="350">
        <v>1.1416999999999999</v>
      </c>
      <c r="H55" s="351">
        <v>1748576</v>
      </c>
      <c r="I55" s="352">
        <f t="shared" si="1"/>
        <v>1996349.2191999999</v>
      </c>
      <c r="J55" s="353">
        <f t="shared" si="2"/>
        <v>0</v>
      </c>
      <c r="K55" s="352">
        <f t="shared" si="3"/>
        <v>0</v>
      </c>
      <c r="L55" s="350">
        <f t="shared" si="4"/>
        <v>0.15259999999999996</v>
      </c>
      <c r="M55" s="351">
        <f t="shared" si="5"/>
        <v>266832.69760000007</v>
      </c>
      <c r="N55" s="354"/>
    </row>
    <row r="56" spans="1:14" s="355" customFormat="1" ht="32.25" customHeight="1">
      <c r="A56" s="347">
        <v>24</v>
      </c>
      <c r="B56" s="348" t="s">
        <v>958</v>
      </c>
      <c r="C56" s="354" t="s">
        <v>915</v>
      </c>
      <c r="D56" s="350">
        <v>2.1560000000000001</v>
      </c>
      <c r="E56" s="351">
        <v>16515504</v>
      </c>
      <c r="F56" s="352">
        <f t="shared" si="0"/>
        <v>35607426.624000005</v>
      </c>
      <c r="G56" s="350">
        <v>2.1560000000000001</v>
      </c>
      <c r="H56" s="351">
        <v>26515504</v>
      </c>
      <c r="I56" s="352">
        <f t="shared" si="1"/>
        <v>57167426.624000005</v>
      </c>
      <c r="J56" s="353">
        <f t="shared" si="2"/>
        <v>0</v>
      </c>
      <c r="K56" s="352">
        <f t="shared" si="3"/>
        <v>0</v>
      </c>
      <c r="L56" s="350">
        <f t="shared" si="4"/>
        <v>0</v>
      </c>
      <c r="M56" s="351">
        <f t="shared" si="5"/>
        <v>21560000</v>
      </c>
      <c r="N56" s="354"/>
    </row>
    <row r="57" spans="1:14" s="355" customFormat="1" ht="32.25" customHeight="1">
      <c r="A57" s="347">
        <v>25</v>
      </c>
      <c r="B57" s="348" t="s">
        <v>959</v>
      </c>
      <c r="C57" s="354" t="s">
        <v>901</v>
      </c>
      <c r="D57" s="350">
        <v>32.798999999999999</v>
      </c>
      <c r="E57" s="351">
        <v>1537033</v>
      </c>
      <c r="F57" s="352">
        <f t="shared" si="0"/>
        <v>50413145.366999999</v>
      </c>
      <c r="G57" s="350">
        <v>33.911999999999999</v>
      </c>
      <c r="H57" s="351">
        <v>1537033</v>
      </c>
      <c r="I57" s="352">
        <f t="shared" si="1"/>
        <v>52123863.096000001</v>
      </c>
      <c r="J57" s="353">
        <f t="shared" si="2"/>
        <v>0</v>
      </c>
      <c r="K57" s="352">
        <f t="shared" si="3"/>
        <v>0</v>
      </c>
      <c r="L57" s="350">
        <f t="shared" si="4"/>
        <v>1.1129999999999995</v>
      </c>
      <c r="M57" s="351">
        <f t="shared" si="5"/>
        <v>1710717.7290000021</v>
      </c>
      <c r="N57" s="354"/>
    </row>
    <row r="58" spans="1:14" s="355" customFormat="1" ht="32.25" customHeight="1">
      <c r="A58" s="347">
        <v>26</v>
      </c>
      <c r="B58" s="348" t="s">
        <v>960</v>
      </c>
      <c r="C58" s="354" t="s">
        <v>931</v>
      </c>
      <c r="D58" s="350">
        <v>182</v>
      </c>
      <c r="E58" s="351">
        <v>191935</v>
      </c>
      <c r="F58" s="352">
        <f t="shared" si="0"/>
        <v>34932170</v>
      </c>
      <c r="G58" s="350">
        <v>0</v>
      </c>
      <c r="H58" s="351">
        <v>191935</v>
      </c>
      <c r="I58" s="352">
        <f t="shared" si="1"/>
        <v>0</v>
      </c>
      <c r="J58" s="353">
        <f t="shared" si="2"/>
        <v>182</v>
      </c>
      <c r="K58" s="352">
        <f t="shared" si="3"/>
        <v>34932170</v>
      </c>
      <c r="L58" s="350">
        <f t="shared" si="4"/>
        <v>0</v>
      </c>
      <c r="M58" s="351">
        <f t="shared" si="5"/>
        <v>0</v>
      </c>
      <c r="N58" s="354"/>
    </row>
    <row r="59" spans="1:14" ht="32.25" customHeight="1">
      <c r="A59" s="345">
        <v>27</v>
      </c>
      <c r="B59" s="346" t="s">
        <v>930</v>
      </c>
      <c r="C59" s="343" t="s">
        <v>931</v>
      </c>
      <c r="D59" s="341">
        <v>655.98</v>
      </c>
      <c r="E59" s="342">
        <v>81113</v>
      </c>
      <c r="F59" s="340">
        <f t="shared" si="0"/>
        <v>53208505.740000002</v>
      </c>
      <c r="G59" s="341">
        <v>655.98</v>
      </c>
      <c r="H59" s="342">
        <v>81113</v>
      </c>
      <c r="I59" s="340">
        <f t="shared" si="1"/>
        <v>53208505.740000002</v>
      </c>
      <c r="J59" s="339">
        <f t="shared" si="2"/>
        <v>0</v>
      </c>
      <c r="K59" s="340">
        <f t="shared" si="3"/>
        <v>0</v>
      </c>
      <c r="L59" s="341">
        <f t="shared" si="4"/>
        <v>0</v>
      </c>
      <c r="M59" s="342">
        <f t="shared" si="5"/>
        <v>0</v>
      </c>
      <c r="N59" s="343"/>
    </row>
    <row r="60" spans="1:14" ht="32.25" customHeight="1">
      <c r="A60" s="345">
        <v>28</v>
      </c>
      <c r="B60" s="346" t="s">
        <v>961</v>
      </c>
      <c r="C60" s="343" t="s">
        <v>931</v>
      </c>
      <c r="D60" s="341">
        <v>50.468000000000004</v>
      </c>
      <c r="E60" s="342">
        <v>57407</v>
      </c>
      <c r="F60" s="340">
        <f t="shared" si="0"/>
        <v>2897216.4760000003</v>
      </c>
      <c r="G60" s="341">
        <v>50.468000000000004</v>
      </c>
      <c r="H60" s="342">
        <v>57407</v>
      </c>
      <c r="I60" s="340">
        <f t="shared" si="1"/>
        <v>2897216.4760000003</v>
      </c>
      <c r="J60" s="339">
        <f t="shared" si="2"/>
        <v>0</v>
      </c>
      <c r="K60" s="340">
        <f t="shared" si="3"/>
        <v>0</v>
      </c>
      <c r="L60" s="341">
        <f t="shared" si="4"/>
        <v>0</v>
      </c>
      <c r="M60" s="342">
        <f t="shared" si="5"/>
        <v>0</v>
      </c>
      <c r="N60" s="343"/>
    </row>
    <row r="61" spans="1:14" ht="32.25" customHeight="1">
      <c r="A61" s="345">
        <v>29</v>
      </c>
      <c r="B61" s="346" t="s">
        <v>962</v>
      </c>
      <c r="C61" s="343" t="s">
        <v>963</v>
      </c>
      <c r="D61" s="341">
        <v>68.2</v>
      </c>
      <c r="E61" s="342">
        <v>81305</v>
      </c>
      <c r="F61" s="340">
        <f t="shared" si="0"/>
        <v>5545001</v>
      </c>
      <c r="G61" s="341">
        <v>68.2</v>
      </c>
      <c r="H61" s="342">
        <v>81305</v>
      </c>
      <c r="I61" s="340">
        <f t="shared" si="1"/>
        <v>5545001</v>
      </c>
      <c r="J61" s="339">
        <f t="shared" si="2"/>
        <v>0</v>
      </c>
      <c r="K61" s="340">
        <f t="shared" si="3"/>
        <v>0</v>
      </c>
      <c r="L61" s="341">
        <f t="shared" si="4"/>
        <v>0</v>
      </c>
      <c r="M61" s="342">
        <f t="shared" si="5"/>
        <v>0</v>
      </c>
      <c r="N61" s="343"/>
    </row>
    <row r="62" spans="1:14" ht="32.25" customHeight="1">
      <c r="A62" s="345">
        <v>30</v>
      </c>
      <c r="B62" s="346" t="s">
        <v>964</v>
      </c>
      <c r="C62" s="343" t="s">
        <v>963</v>
      </c>
      <c r="D62" s="341">
        <v>68.2</v>
      </c>
      <c r="E62" s="342">
        <v>64868</v>
      </c>
      <c r="F62" s="340">
        <f t="shared" si="0"/>
        <v>4423997.6000000006</v>
      </c>
      <c r="G62" s="341">
        <v>68.2</v>
      </c>
      <c r="H62" s="342">
        <v>64868</v>
      </c>
      <c r="I62" s="340">
        <f t="shared" si="1"/>
        <v>4423997.6000000006</v>
      </c>
      <c r="J62" s="339">
        <f t="shared" si="2"/>
        <v>0</v>
      </c>
      <c r="K62" s="340">
        <f t="shared" si="3"/>
        <v>0</v>
      </c>
      <c r="L62" s="341">
        <f t="shared" si="4"/>
        <v>0</v>
      </c>
      <c r="M62" s="342">
        <f t="shared" si="5"/>
        <v>0</v>
      </c>
      <c r="N62" s="343"/>
    </row>
    <row r="63" spans="1:14" ht="32.25" customHeight="1">
      <c r="A63" s="345">
        <v>31</v>
      </c>
      <c r="B63" s="346" t="s">
        <v>965</v>
      </c>
      <c r="C63" s="343" t="s">
        <v>931</v>
      </c>
      <c r="D63" s="341">
        <v>136.78800000000001</v>
      </c>
      <c r="E63" s="342">
        <v>47287</v>
      </c>
      <c r="F63" s="340">
        <f t="shared" si="0"/>
        <v>6468294.1560000004</v>
      </c>
      <c r="G63" s="341">
        <v>136.78800000000001</v>
      </c>
      <c r="H63" s="342">
        <v>47287</v>
      </c>
      <c r="I63" s="340">
        <f t="shared" si="1"/>
        <v>6468294.1560000004</v>
      </c>
      <c r="J63" s="339">
        <f t="shared" si="2"/>
        <v>0</v>
      </c>
      <c r="K63" s="340">
        <f t="shared" si="3"/>
        <v>0</v>
      </c>
      <c r="L63" s="341">
        <f t="shared" si="4"/>
        <v>0</v>
      </c>
      <c r="M63" s="342">
        <f t="shared" si="5"/>
        <v>0</v>
      </c>
      <c r="N63" s="343"/>
    </row>
    <row r="64" spans="1:14" ht="32.25" customHeight="1">
      <c r="A64" s="345">
        <v>32</v>
      </c>
      <c r="B64" s="346" t="s">
        <v>925</v>
      </c>
      <c r="C64" s="343" t="s">
        <v>915</v>
      </c>
      <c r="D64" s="341">
        <v>2.0299999999999998</v>
      </c>
      <c r="E64" s="342">
        <v>682496</v>
      </c>
      <c r="F64" s="340">
        <f t="shared" si="0"/>
        <v>1385466.8799999999</v>
      </c>
      <c r="G64" s="341">
        <v>2.0299999999999998</v>
      </c>
      <c r="H64" s="342">
        <v>682496</v>
      </c>
      <c r="I64" s="340">
        <f t="shared" si="1"/>
        <v>1385466.8799999999</v>
      </c>
      <c r="J64" s="339">
        <f t="shared" si="2"/>
        <v>0</v>
      </c>
      <c r="K64" s="340">
        <f t="shared" si="3"/>
        <v>0</v>
      </c>
      <c r="L64" s="341">
        <f t="shared" si="4"/>
        <v>0</v>
      </c>
      <c r="M64" s="342">
        <f t="shared" si="5"/>
        <v>0</v>
      </c>
      <c r="N64" s="343"/>
    </row>
    <row r="65" spans="1:14" s="355" customFormat="1" ht="32.25" customHeight="1">
      <c r="A65" s="347">
        <v>33</v>
      </c>
      <c r="B65" s="348" t="s">
        <v>966</v>
      </c>
      <c r="C65" s="354" t="s">
        <v>931</v>
      </c>
      <c r="D65" s="350">
        <v>676.58</v>
      </c>
      <c r="E65" s="351">
        <v>81113</v>
      </c>
      <c r="F65" s="352">
        <f t="shared" si="0"/>
        <v>54879433.540000007</v>
      </c>
      <c r="G65" s="350">
        <v>672.73099999999999</v>
      </c>
      <c r="H65" s="351">
        <v>81113</v>
      </c>
      <c r="I65" s="352">
        <f t="shared" si="1"/>
        <v>54567229.603</v>
      </c>
      <c r="J65" s="353">
        <f t="shared" si="2"/>
        <v>3.8490000000000464</v>
      </c>
      <c r="K65" s="352">
        <f t="shared" si="3"/>
        <v>312203.93700000644</v>
      </c>
      <c r="L65" s="350">
        <f t="shared" si="4"/>
        <v>0</v>
      </c>
      <c r="M65" s="351">
        <f t="shared" si="5"/>
        <v>0</v>
      </c>
      <c r="N65" s="354"/>
    </row>
    <row r="66" spans="1:14" ht="32.25" customHeight="1">
      <c r="A66" s="345">
        <v>34</v>
      </c>
      <c r="B66" s="346" t="s">
        <v>967</v>
      </c>
      <c r="C66" s="343" t="s">
        <v>931</v>
      </c>
      <c r="D66" s="341">
        <v>136.78800000000001</v>
      </c>
      <c r="E66" s="342">
        <v>76892</v>
      </c>
      <c r="F66" s="340">
        <f t="shared" si="0"/>
        <v>10517902.896000002</v>
      </c>
      <c r="G66" s="341">
        <v>136.78800000000001</v>
      </c>
      <c r="H66" s="342">
        <v>76892</v>
      </c>
      <c r="I66" s="340">
        <f t="shared" si="1"/>
        <v>10517902.896000002</v>
      </c>
      <c r="J66" s="339">
        <f t="shared" si="2"/>
        <v>0</v>
      </c>
      <c r="K66" s="340">
        <f t="shared" si="3"/>
        <v>0</v>
      </c>
      <c r="L66" s="341">
        <f t="shared" si="4"/>
        <v>0</v>
      </c>
      <c r="M66" s="342">
        <f t="shared" si="5"/>
        <v>0</v>
      </c>
      <c r="N66" s="343"/>
    </row>
    <row r="67" spans="1:14" s="355" customFormat="1" ht="32.25" customHeight="1">
      <c r="A67" s="347">
        <v>35</v>
      </c>
      <c r="B67" s="348" t="s">
        <v>968</v>
      </c>
      <c r="C67" s="354" t="s">
        <v>931</v>
      </c>
      <c r="D67" s="350">
        <v>813.35799999999995</v>
      </c>
      <c r="E67" s="351">
        <v>83662</v>
      </c>
      <c r="F67" s="352">
        <f t="shared" si="0"/>
        <v>68047156.995999992</v>
      </c>
      <c r="G67" s="350">
        <v>758.178</v>
      </c>
      <c r="H67" s="351">
        <v>83740</v>
      </c>
      <c r="I67" s="352">
        <f t="shared" si="1"/>
        <v>63489825.719999999</v>
      </c>
      <c r="J67" s="353">
        <f t="shared" si="2"/>
        <v>55.17999999999995</v>
      </c>
      <c r="K67" s="352">
        <f t="shared" si="3"/>
        <v>4557331.2759999931</v>
      </c>
      <c r="L67" s="350">
        <f t="shared" si="4"/>
        <v>0</v>
      </c>
      <c r="M67" s="351">
        <f t="shared" si="5"/>
        <v>0</v>
      </c>
      <c r="N67" s="354"/>
    </row>
    <row r="68" spans="1:14" s="355" customFormat="1" ht="32.25" customHeight="1">
      <c r="A68" s="347">
        <v>36</v>
      </c>
      <c r="B68" s="348" t="s">
        <v>935</v>
      </c>
      <c r="C68" s="354" t="s">
        <v>931</v>
      </c>
      <c r="D68" s="350">
        <v>813.35799999999995</v>
      </c>
      <c r="E68" s="351">
        <v>59365</v>
      </c>
      <c r="F68" s="352">
        <f t="shared" si="0"/>
        <v>48284997.669999994</v>
      </c>
      <c r="G68" s="350">
        <v>758.178</v>
      </c>
      <c r="H68" s="351">
        <v>29710</v>
      </c>
      <c r="I68" s="352">
        <f t="shared" si="1"/>
        <v>22525468.379999999</v>
      </c>
      <c r="J68" s="353">
        <f t="shared" si="2"/>
        <v>55.17999999999995</v>
      </c>
      <c r="K68" s="352">
        <f t="shared" si="3"/>
        <v>25759529.289999995</v>
      </c>
      <c r="L68" s="350">
        <f t="shared" si="4"/>
        <v>0</v>
      </c>
      <c r="M68" s="351">
        <f t="shared" si="5"/>
        <v>0</v>
      </c>
      <c r="N68" s="354"/>
    </row>
    <row r="69" spans="1:14" ht="32.25" customHeight="1">
      <c r="A69" s="345">
        <v>37</v>
      </c>
      <c r="B69" s="346" t="s">
        <v>969</v>
      </c>
      <c r="C69" s="343" t="s">
        <v>940</v>
      </c>
      <c r="D69" s="341">
        <v>0.48</v>
      </c>
      <c r="E69" s="342">
        <v>14072168</v>
      </c>
      <c r="F69" s="340">
        <f t="shared" si="0"/>
        <v>6754640.6399999997</v>
      </c>
      <c r="G69" s="341">
        <v>0.48</v>
      </c>
      <c r="H69" s="342">
        <v>14072168</v>
      </c>
      <c r="I69" s="340">
        <f t="shared" si="1"/>
        <v>6754640.6399999997</v>
      </c>
      <c r="J69" s="339">
        <f t="shared" si="2"/>
        <v>0</v>
      </c>
      <c r="K69" s="340">
        <f t="shared" si="3"/>
        <v>0</v>
      </c>
      <c r="L69" s="341">
        <f t="shared" si="4"/>
        <v>0</v>
      </c>
      <c r="M69" s="342">
        <f t="shared" si="5"/>
        <v>0</v>
      </c>
      <c r="N69" s="343"/>
    </row>
    <row r="70" spans="1:14" ht="32.25" customHeight="1">
      <c r="A70" s="345">
        <v>38</v>
      </c>
      <c r="B70" s="346" t="s">
        <v>970</v>
      </c>
      <c r="C70" s="343" t="s">
        <v>904</v>
      </c>
      <c r="D70" s="341">
        <v>8</v>
      </c>
      <c r="E70" s="342">
        <v>44770</v>
      </c>
      <c r="F70" s="340">
        <f t="shared" ref="F70:F133" si="7">D70*E70</f>
        <v>358160</v>
      </c>
      <c r="G70" s="341">
        <v>8</v>
      </c>
      <c r="H70" s="342">
        <v>44770</v>
      </c>
      <c r="I70" s="340">
        <f t="shared" ref="I70:I133" si="8">G70*H70</f>
        <v>358160</v>
      </c>
      <c r="J70" s="339">
        <f t="shared" ref="J70:J133" si="9">MAX(D70-G70,0)</f>
        <v>0</v>
      </c>
      <c r="K70" s="340">
        <f t="shared" ref="K70:K133" si="10">MAX(F70-I70,0)</f>
        <v>0</v>
      </c>
      <c r="L70" s="341">
        <f t="shared" ref="L70:L133" si="11">MAX(G70-D70,0)</f>
        <v>0</v>
      </c>
      <c r="M70" s="342">
        <f t="shared" ref="M70:M133" si="12">MAX(I70-F70,0)</f>
        <v>0</v>
      </c>
      <c r="N70" s="343"/>
    </row>
    <row r="71" spans="1:14" s="355" customFormat="1" ht="32.25" customHeight="1">
      <c r="A71" s="347">
        <v>39</v>
      </c>
      <c r="B71" s="348" t="s">
        <v>927</v>
      </c>
      <c r="C71" s="354" t="s">
        <v>901</v>
      </c>
      <c r="D71" s="350"/>
      <c r="E71" s="351"/>
      <c r="F71" s="352">
        <f t="shared" si="7"/>
        <v>0</v>
      </c>
      <c r="G71" s="350">
        <v>7.68</v>
      </c>
      <c r="H71" s="351">
        <v>2602936</v>
      </c>
      <c r="I71" s="352">
        <f t="shared" si="8"/>
        <v>19990548.48</v>
      </c>
      <c r="J71" s="353">
        <f t="shared" si="9"/>
        <v>0</v>
      </c>
      <c r="K71" s="352">
        <f t="shared" si="10"/>
        <v>0</v>
      </c>
      <c r="L71" s="350">
        <f t="shared" si="11"/>
        <v>7.68</v>
      </c>
      <c r="M71" s="351">
        <f t="shared" si="12"/>
        <v>19990548.48</v>
      </c>
      <c r="N71" s="354"/>
    </row>
    <row r="72" spans="1:14" s="330" customFormat="1" ht="32.25" customHeight="1">
      <c r="A72" s="515" t="s">
        <v>94</v>
      </c>
      <c r="B72" s="515"/>
      <c r="C72" s="515"/>
      <c r="D72" s="331"/>
      <c r="E72" s="332"/>
      <c r="F72" s="332">
        <f>SUM(F33:F71)</f>
        <v>983200701.69799995</v>
      </c>
      <c r="G72" s="331"/>
      <c r="H72" s="332"/>
      <c r="I72" s="332">
        <f t="shared" ref="I72:M72" si="13">SUM(I33:I71)</f>
        <v>913695868.5660001</v>
      </c>
      <c r="J72" s="331"/>
      <c r="K72" s="332">
        <f t="shared" si="13"/>
        <v>121998693.55299997</v>
      </c>
      <c r="L72" s="331"/>
      <c r="M72" s="332">
        <f t="shared" si="13"/>
        <v>52493860.421000004</v>
      </c>
      <c r="N72" s="363"/>
    </row>
    <row r="73" spans="1:14" ht="32.25" customHeight="1">
      <c r="A73" s="515" t="s">
        <v>971</v>
      </c>
      <c r="B73" s="515"/>
      <c r="C73" s="515"/>
      <c r="D73" s="341"/>
      <c r="E73" s="342"/>
      <c r="F73" s="340"/>
      <c r="G73" s="341"/>
      <c r="H73" s="342"/>
      <c r="I73" s="340"/>
      <c r="J73" s="339"/>
      <c r="K73" s="340"/>
      <c r="L73" s="341"/>
      <c r="M73" s="342"/>
      <c r="N73" s="343"/>
    </row>
    <row r="74" spans="1:14" ht="32.25" customHeight="1">
      <c r="A74" s="345">
        <v>1</v>
      </c>
      <c r="B74" s="346" t="s">
        <v>900</v>
      </c>
      <c r="C74" s="343" t="s">
        <v>901</v>
      </c>
      <c r="D74" s="341">
        <v>125.4838</v>
      </c>
      <c r="E74" s="342">
        <v>157460</v>
      </c>
      <c r="F74" s="340">
        <f t="shared" si="7"/>
        <v>19758679.148000002</v>
      </c>
      <c r="G74" s="341">
        <v>125.4838</v>
      </c>
      <c r="H74" s="342">
        <v>157460</v>
      </c>
      <c r="I74" s="340">
        <f t="shared" si="8"/>
        <v>19758679.148000002</v>
      </c>
      <c r="J74" s="339">
        <f t="shared" si="9"/>
        <v>0</v>
      </c>
      <c r="K74" s="340">
        <f t="shared" si="10"/>
        <v>0</v>
      </c>
      <c r="L74" s="341">
        <f t="shared" si="11"/>
        <v>0</v>
      </c>
      <c r="M74" s="342">
        <f t="shared" si="12"/>
        <v>0</v>
      </c>
      <c r="N74" s="343"/>
    </row>
    <row r="75" spans="1:14" ht="32.25" customHeight="1">
      <c r="A75" s="345">
        <v>2</v>
      </c>
      <c r="B75" s="346" t="s">
        <v>902</v>
      </c>
      <c r="C75" s="343" t="s">
        <v>901</v>
      </c>
      <c r="D75" s="341">
        <v>83.656000000000006</v>
      </c>
      <c r="E75" s="342">
        <v>124194</v>
      </c>
      <c r="F75" s="340">
        <f t="shared" si="7"/>
        <v>10389573.264</v>
      </c>
      <c r="G75" s="341">
        <v>83.656000000000006</v>
      </c>
      <c r="H75" s="342">
        <v>124194</v>
      </c>
      <c r="I75" s="340">
        <f t="shared" si="8"/>
        <v>10389573.264</v>
      </c>
      <c r="J75" s="339">
        <f t="shared" si="9"/>
        <v>0</v>
      </c>
      <c r="K75" s="340">
        <f t="shared" si="10"/>
        <v>0</v>
      </c>
      <c r="L75" s="341">
        <f t="shared" si="11"/>
        <v>0</v>
      </c>
      <c r="M75" s="342">
        <f t="shared" si="12"/>
        <v>0</v>
      </c>
      <c r="N75" s="343"/>
    </row>
    <row r="76" spans="1:14" ht="32.25" customHeight="1">
      <c r="A76" s="345">
        <v>3</v>
      </c>
      <c r="B76" s="346" t="s">
        <v>939</v>
      </c>
      <c r="C76" s="343" t="s">
        <v>901</v>
      </c>
      <c r="D76" s="341">
        <v>61.75</v>
      </c>
      <c r="E76" s="342">
        <v>1207823</v>
      </c>
      <c r="F76" s="340">
        <f t="shared" si="7"/>
        <v>74583070.25</v>
      </c>
      <c r="G76" s="341">
        <v>61.75</v>
      </c>
      <c r="H76" s="342">
        <v>1207823</v>
      </c>
      <c r="I76" s="340">
        <f t="shared" si="8"/>
        <v>74583070.25</v>
      </c>
      <c r="J76" s="339">
        <f t="shared" si="9"/>
        <v>0</v>
      </c>
      <c r="K76" s="340">
        <f t="shared" si="10"/>
        <v>0</v>
      </c>
      <c r="L76" s="341">
        <f t="shared" si="11"/>
        <v>0</v>
      </c>
      <c r="M76" s="342">
        <f t="shared" si="12"/>
        <v>0</v>
      </c>
      <c r="N76" s="343"/>
    </row>
    <row r="77" spans="1:14" s="355" customFormat="1" ht="32.25" customHeight="1">
      <c r="A77" s="347">
        <v>4</v>
      </c>
      <c r="B77" s="348" t="s">
        <v>972</v>
      </c>
      <c r="C77" s="354" t="s">
        <v>901</v>
      </c>
      <c r="D77" s="350">
        <v>5.6779999999999999</v>
      </c>
      <c r="E77" s="351">
        <v>1284797</v>
      </c>
      <c r="F77" s="352">
        <f t="shared" si="7"/>
        <v>7295077.3659999995</v>
      </c>
      <c r="G77" s="350">
        <v>9.0380000000000003</v>
      </c>
      <c r="H77" s="351">
        <v>1284797</v>
      </c>
      <c r="I77" s="352">
        <f t="shared" si="8"/>
        <v>11611995.286</v>
      </c>
      <c r="J77" s="353">
        <f t="shared" si="9"/>
        <v>0</v>
      </c>
      <c r="K77" s="352">
        <f t="shared" si="10"/>
        <v>0</v>
      </c>
      <c r="L77" s="350">
        <f t="shared" si="11"/>
        <v>3.3600000000000003</v>
      </c>
      <c r="M77" s="351">
        <f t="shared" si="12"/>
        <v>4316917.9200000009</v>
      </c>
      <c r="N77" s="354"/>
    </row>
    <row r="78" spans="1:14" ht="32.25" customHeight="1">
      <c r="A78" s="345">
        <v>5</v>
      </c>
      <c r="B78" s="346" t="s">
        <v>973</v>
      </c>
      <c r="C78" s="343" t="s">
        <v>901</v>
      </c>
      <c r="D78" s="341">
        <v>14.7072</v>
      </c>
      <c r="E78" s="342">
        <v>1686193</v>
      </c>
      <c r="F78" s="340">
        <f t="shared" si="7"/>
        <v>24799177.689600002</v>
      </c>
      <c r="G78" s="341">
        <v>14.7072</v>
      </c>
      <c r="H78" s="342">
        <v>1686193</v>
      </c>
      <c r="I78" s="340">
        <f t="shared" si="8"/>
        <v>24799177.689600002</v>
      </c>
      <c r="J78" s="339">
        <f t="shared" si="9"/>
        <v>0</v>
      </c>
      <c r="K78" s="340">
        <f t="shared" si="10"/>
        <v>0</v>
      </c>
      <c r="L78" s="341">
        <f t="shared" si="11"/>
        <v>0</v>
      </c>
      <c r="M78" s="342">
        <f t="shared" si="12"/>
        <v>0</v>
      </c>
      <c r="N78" s="343"/>
    </row>
    <row r="79" spans="1:14" ht="32.25" customHeight="1">
      <c r="A79" s="345">
        <v>6</v>
      </c>
      <c r="B79" s="346" t="s">
        <v>974</v>
      </c>
      <c r="C79" s="343" t="s">
        <v>901</v>
      </c>
      <c r="D79" s="341">
        <v>15.308999999999999</v>
      </c>
      <c r="E79" s="342">
        <v>2218781</v>
      </c>
      <c r="F79" s="340">
        <f t="shared" si="7"/>
        <v>33967318.328999996</v>
      </c>
      <c r="G79" s="341">
        <v>15.308999999999999</v>
      </c>
      <c r="H79" s="342">
        <v>2218781</v>
      </c>
      <c r="I79" s="340">
        <f t="shared" si="8"/>
        <v>33967318.328999996</v>
      </c>
      <c r="J79" s="339">
        <f t="shared" si="9"/>
        <v>0</v>
      </c>
      <c r="K79" s="340">
        <f t="shared" si="10"/>
        <v>0</v>
      </c>
      <c r="L79" s="341">
        <f t="shared" si="11"/>
        <v>0</v>
      </c>
      <c r="M79" s="342">
        <f t="shared" si="12"/>
        <v>0</v>
      </c>
      <c r="N79" s="343"/>
    </row>
    <row r="80" spans="1:14" ht="32.25" customHeight="1">
      <c r="A80" s="345">
        <v>7</v>
      </c>
      <c r="B80" s="346" t="s">
        <v>975</v>
      </c>
      <c r="C80" s="343" t="s">
        <v>901</v>
      </c>
      <c r="D80" s="341">
        <v>2.6027</v>
      </c>
      <c r="E80" s="342">
        <v>2545968</v>
      </c>
      <c r="F80" s="340">
        <f t="shared" si="7"/>
        <v>6626390.9135999996</v>
      </c>
      <c r="G80" s="341">
        <v>2.6027</v>
      </c>
      <c r="H80" s="342">
        <v>2545968</v>
      </c>
      <c r="I80" s="340">
        <f t="shared" si="8"/>
        <v>6626390.9135999996</v>
      </c>
      <c r="J80" s="339">
        <f t="shared" si="9"/>
        <v>0</v>
      </c>
      <c r="K80" s="340">
        <f t="shared" si="10"/>
        <v>0</v>
      </c>
      <c r="L80" s="341">
        <f t="shared" si="11"/>
        <v>0</v>
      </c>
      <c r="M80" s="342">
        <f t="shared" si="12"/>
        <v>0</v>
      </c>
      <c r="N80" s="343"/>
    </row>
    <row r="81" spans="1:14" ht="32.25" customHeight="1">
      <c r="A81" s="345">
        <v>8</v>
      </c>
      <c r="B81" s="346" t="s">
        <v>944</v>
      </c>
      <c r="C81" s="343" t="s">
        <v>901</v>
      </c>
      <c r="D81" s="341">
        <v>6.16</v>
      </c>
      <c r="E81" s="342">
        <v>2263632</v>
      </c>
      <c r="F81" s="340">
        <f t="shared" si="7"/>
        <v>13943973.120000001</v>
      </c>
      <c r="G81" s="341">
        <v>6.16</v>
      </c>
      <c r="H81" s="342">
        <v>2263632</v>
      </c>
      <c r="I81" s="340">
        <f t="shared" si="8"/>
        <v>13943973.120000001</v>
      </c>
      <c r="J81" s="339">
        <f t="shared" si="9"/>
        <v>0</v>
      </c>
      <c r="K81" s="340">
        <f t="shared" si="10"/>
        <v>0</v>
      </c>
      <c r="L81" s="341">
        <f t="shared" si="11"/>
        <v>0</v>
      </c>
      <c r="M81" s="342">
        <f t="shared" si="12"/>
        <v>0</v>
      </c>
      <c r="N81" s="343"/>
    </row>
    <row r="82" spans="1:14" ht="32.25" customHeight="1">
      <c r="A82" s="345">
        <v>9</v>
      </c>
      <c r="B82" s="346" t="s">
        <v>945</v>
      </c>
      <c r="C82" s="343" t="s">
        <v>915</v>
      </c>
      <c r="D82" s="341">
        <v>0.63859999999999995</v>
      </c>
      <c r="E82" s="342">
        <v>16080494</v>
      </c>
      <c r="F82" s="340">
        <f t="shared" si="7"/>
        <v>10269003.4684</v>
      </c>
      <c r="G82" s="341">
        <v>0.63859999999999995</v>
      </c>
      <c r="H82" s="342">
        <v>16080494</v>
      </c>
      <c r="I82" s="340">
        <f t="shared" si="8"/>
        <v>10269003.4684</v>
      </c>
      <c r="J82" s="339">
        <f t="shared" si="9"/>
        <v>0</v>
      </c>
      <c r="K82" s="340">
        <f t="shared" si="10"/>
        <v>0</v>
      </c>
      <c r="L82" s="341">
        <f t="shared" si="11"/>
        <v>0</v>
      </c>
      <c r="M82" s="342">
        <f t="shared" si="12"/>
        <v>0</v>
      </c>
      <c r="N82" s="343"/>
    </row>
    <row r="83" spans="1:14" ht="32.25" customHeight="1">
      <c r="A83" s="345">
        <v>10</v>
      </c>
      <c r="B83" s="346" t="s">
        <v>976</v>
      </c>
      <c r="C83" s="343" t="s">
        <v>915</v>
      </c>
      <c r="D83" s="341">
        <v>2.9556</v>
      </c>
      <c r="E83" s="342">
        <v>21634016</v>
      </c>
      <c r="F83" s="340">
        <f t="shared" si="7"/>
        <v>63941497.689599998</v>
      </c>
      <c r="G83" s="341">
        <v>2.9556</v>
      </c>
      <c r="H83" s="342">
        <v>21634016</v>
      </c>
      <c r="I83" s="340">
        <f t="shared" si="8"/>
        <v>63941497.689599998</v>
      </c>
      <c r="J83" s="339">
        <f t="shared" si="9"/>
        <v>0</v>
      </c>
      <c r="K83" s="340">
        <f t="shared" si="10"/>
        <v>0</v>
      </c>
      <c r="L83" s="341">
        <f t="shared" si="11"/>
        <v>0</v>
      </c>
      <c r="M83" s="342">
        <f t="shared" si="12"/>
        <v>0</v>
      </c>
      <c r="N83" s="343"/>
    </row>
    <row r="84" spans="1:14" ht="32.25" customHeight="1">
      <c r="A84" s="345">
        <v>11</v>
      </c>
      <c r="B84" s="346" t="s">
        <v>947</v>
      </c>
      <c r="C84" s="343" t="s">
        <v>915</v>
      </c>
      <c r="D84" s="341">
        <v>0.67759999999999998</v>
      </c>
      <c r="E84" s="342">
        <v>17838122</v>
      </c>
      <c r="F84" s="340">
        <f t="shared" si="7"/>
        <v>12087111.4672</v>
      </c>
      <c r="G84" s="341">
        <v>0.67759999999999998</v>
      </c>
      <c r="H84" s="342">
        <v>17838122</v>
      </c>
      <c r="I84" s="340">
        <f t="shared" si="8"/>
        <v>12087111.4672</v>
      </c>
      <c r="J84" s="339">
        <f t="shared" si="9"/>
        <v>0</v>
      </c>
      <c r="K84" s="340">
        <f t="shared" si="10"/>
        <v>0</v>
      </c>
      <c r="L84" s="341">
        <f t="shared" si="11"/>
        <v>0</v>
      </c>
      <c r="M84" s="342">
        <f t="shared" si="12"/>
        <v>0</v>
      </c>
      <c r="N84" s="343"/>
    </row>
    <row r="85" spans="1:14" ht="32.25" customHeight="1">
      <c r="A85" s="345">
        <v>12</v>
      </c>
      <c r="B85" s="346" t="s">
        <v>977</v>
      </c>
      <c r="C85" s="343" t="s">
        <v>915</v>
      </c>
      <c r="D85" s="341">
        <v>1.19</v>
      </c>
      <c r="E85" s="342">
        <v>17589393</v>
      </c>
      <c r="F85" s="340">
        <f t="shared" si="7"/>
        <v>20931377.669999998</v>
      </c>
      <c r="G85" s="341">
        <v>1.19</v>
      </c>
      <c r="H85" s="342">
        <v>17589393</v>
      </c>
      <c r="I85" s="340">
        <f t="shared" si="8"/>
        <v>20931377.669999998</v>
      </c>
      <c r="J85" s="339">
        <f t="shared" si="9"/>
        <v>0</v>
      </c>
      <c r="K85" s="340">
        <f t="shared" si="10"/>
        <v>0</v>
      </c>
      <c r="L85" s="341">
        <f t="shared" si="11"/>
        <v>0</v>
      </c>
      <c r="M85" s="342">
        <f t="shared" si="12"/>
        <v>0</v>
      </c>
      <c r="N85" s="343"/>
    </row>
    <row r="86" spans="1:14" ht="32.25" customHeight="1">
      <c r="A86" s="345">
        <v>13</v>
      </c>
      <c r="B86" s="346" t="s">
        <v>978</v>
      </c>
      <c r="C86" s="343" t="s">
        <v>979</v>
      </c>
      <c r="D86" s="341">
        <v>0.37490000000000001</v>
      </c>
      <c r="E86" s="342">
        <v>21961313</v>
      </c>
      <c r="F86" s="340">
        <f t="shared" si="7"/>
        <v>8233296.2437000005</v>
      </c>
      <c r="G86" s="341">
        <v>0.37490000000000001</v>
      </c>
      <c r="H86" s="342">
        <v>21961313</v>
      </c>
      <c r="I86" s="340">
        <f t="shared" si="8"/>
        <v>8233296.2437000005</v>
      </c>
      <c r="J86" s="339">
        <f t="shared" si="9"/>
        <v>0</v>
      </c>
      <c r="K86" s="340">
        <f t="shared" si="10"/>
        <v>0</v>
      </c>
      <c r="L86" s="341">
        <f t="shared" si="11"/>
        <v>0</v>
      </c>
      <c r="M86" s="342">
        <f t="shared" si="12"/>
        <v>0</v>
      </c>
      <c r="N86" s="343"/>
    </row>
    <row r="87" spans="1:14" ht="32.25" customHeight="1">
      <c r="A87" s="345">
        <v>14</v>
      </c>
      <c r="B87" s="346" t="s">
        <v>980</v>
      </c>
      <c r="C87" s="343" t="s">
        <v>979</v>
      </c>
      <c r="D87" s="341">
        <v>2.5287999999999999</v>
      </c>
      <c r="E87" s="342">
        <v>23134596</v>
      </c>
      <c r="F87" s="340">
        <f t="shared" si="7"/>
        <v>58502766.364799999</v>
      </c>
      <c r="G87" s="341">
        <v>2.5287999999999999</v>
      </c>
      <c r="H87" s="342">
        <v>23134596</v>
      </c>
      <c r="I87" s="340">
        <f t="shared" si="8"/>
        <v>58502766.364799999</v>
      </c>
      <c r="J87" s="339">
        <f t="shared" si="9"/>
        <v>0</v>
      </c>
      <c r="K87" s="340">
        <f t="shared" si="10"/>
        <v>0</v>
      </c>
      <c r="L87" s="341">
        <f t="shared" si="11"/>
        <v>0</v>
      </c>
      <c r="M87" s="342">
        <f t="shared" si="12"/>
        <v>0</v>
      </c>
      <c r="N87" s="343"/>
    </row>
    <row r="88" spans="1:14" ht="32.25" customHeight="1">
      <c r="A88" s="345">
        <v>15</v>
      </c>
      <c r="B88" s="346" t="s">
        <v>981</v>
      </c>
      <c r="C88" s="343" t="s">
        <v>979</v>
      </c>
      <c r="D88" s="341">
        <v>0.89800000000000002</v>
      </c>
      <c r="E88" s="342">
        <v>22817232</v>
      </c>
      <c r="F88" s="340">
        <f t="shared" si="7"/>
        <v>20489874.335999999</v>
      </c>
      <c r="G88" s="341">
        <v>0.89800000000000002</v>
      </c>
      <c r="H88" s="342">
        <v>22817232</v>
      </c>
      <c r="I88" s="340">
        <f t="shared" si="8"/>
        <v>20489874.335999999</v>
      </c>
      <c r="J88" s="339">
        <f t="shared" si="9"/>
        <v>0</v>
      </c>
      <c r="K88" s="340">
        <f t="shared" si="10"/>
        <v>0</v>
      </c>
      <c r="L88" s="341">
        <f t="shared" si="11"/>
        <v>0</v>
      </c>
      <c r="M88" s="342">
        <f t="shared" si="12"/>
        <v>0</v>
      </c>
      <c r="N88" s="343"/>
    </row>
    <row r="89" spans="1:14" ht="32.25" customHeight="1">
      <c r="A89" s="345">
        <v>16</v>
      </c>
      <c r="B89" s="346" t="s">
        <v>982</v>
      </c>
      <c r="C89" s="343" t="s">
        <v>979</v>
      </c>
      <c r="D89" s="341">
        <v>0.47820000000000001</v>
      </c>
      <c r="E89" s="342">
        <v>24461752</v>
      </c>
      <c r="F89" s="340">
        <f t="shared" si="7"/>
        <v>11697609.806400001</v>
      </c>
      <c r="G89" s="341">
        <v>0.47820000000000001</v>
      </c>
      <c r="H89" s="342">
        <v>24461752</v>
      </c>
      <c r="I89" s="340">
        <f t="shared" si="8"/>
        <v>11697609.806400001</v>
      </c>
      <c r="J89" s="339">
        <f t="shared" si="9"/>
        <v>0</v>
      </c>
      <c r="K89" s="340">
        <f t="shared" si="10"/>
        <v>0</v>
      </c>
      <c r="L89" s="341">
        <f t="shared" si="11"/>
        <v>0</v>
      </c>
      <c r="M89" s="342">
        <f t="shared" si="12"/>
        <v>0</v>
      </c>
      <c r="N89" s="343"/>
    </row>
    <row r="90" spans="1:14" ht="32.25" customHeight="1">
      <c r="A90" s="345">
        <v>17</v>
      </c>
      <c r="B90" s="346" t="s">
        <v>927</v>
      </c>
      <c r="C90" s="343" t="s">
        <v>901</v>
      </c>
      <c r="D90" s="341">
        <v>6.8520000000000003</v>
      </c>
      <c r="E90" s="342">
        <v>2602936</v>
      </c>
      <c r="F90" s="340">
        <f t="shared" si="7"/>
        <v>17835317.471999999</v>
      </c>
      <c r="G90" s="341">
        <v>6.8520000000000003</v>
      </c>
      <c r="H90" s="342">
        <v>2602936</v>
      </c>
      <c r="I90" s="340">
        <f t="shared" si="8"/>
        <v>17835317.471999999</v>
      </c>
      <c r="J90" s="339">
        <f t="shared" si="9"/>
        <v>0</v>
      </c>
      <c r="K90" s="340">
        <f t="shared" si="10"/>
        <v>0</v>
      </c>
      <c r="L90" s="341">
        <f t="shared" si="11"/>
        <v>0</v>
      </c>
      <c r="M90" s="342">
        <f t="shared" si="12"/>
        <v>0</v>
      </c>
      <c r="N90" s="343"/>
    </row>
    <row r="91" spans="1:14" s="355" customFormat="1" ht="32.25" customHeight="1">
      <c r="A91" s="347">
        <v>18</v>
      </c>
      <c r="B91" s="348" t="s">
        <v>959</v>
      </c>
      <c r="C91" s="354" t="s">
        <v>901</v>
      </c>
      <c r="D91" s="350">
        <v>39.2395</v>
      </c>
      <c r="E91" s="351">
        <v>1538476</v>
      </c>
      <c r="F91" s="352">
        <f t="shared" si="7"/>
        <v>60369029.001999997</v>
      </c>
      <c r="G91" s="350">
        <v>39.266500000000001</v>
      </c>
      <c r="H91" s="351">
        <v>1538476</v>
      </c>
      <c r="I91" s="352">
        <f t="shared" si="8"/>
        <v>60410567.854000002</v>
      </c>
      <c r="J91" s="353">
        <f t="shared" si="9"/>
        <v>0</v>
      </c>
      <c r="K91" s="352">
        <f t="shared" si="10"/>
        <v>0</v>
      </c>
      <c r="L91" s="350">
        <f t="shared" si="11"/>
        <v>2.7000000000001023E-2</v>
      </c>
      <c r="M91" s="351">
        <f t="shared" si="12"/>
        <v>41538.852000005543</v>
      </c>
      <c r="N91" s="354"/>
    </row>
    <row r="92" spans="1:14" s="355" customFormat="1" ht="32.25" customHeight="1">
      <c r="A92" s="347">
        <v>19</v>
      </c>
      <c r="B92" s="348" t="s">
        <v>983</v>
      </c>
      <c r="C92" s="354" t="s">
        <v>931</v>
      </c>
      <c r="D92" s="350">
        <v>337.60500000000002</v>
      </c>
      <c r="E92" s="351">
        <v>81190</v>
      </c>
      <c r="F92" s="352">
        <f t="shared" si="7"/>
        <v>27410149.950000003</v>
      </c>
      <c r="G92" s="350">
        <v>352.86500000000001</v>
      </c>
      <c r="H92" s="351">
        <v>81190</v>
      </c>
      <c r="I92" s="352">
        <f t="shared" si="8"/>
        <v>28649109.350000001</v>
      </c>
      <c r="J92" s="353">
        <f t="shared" si="9"/>
        <v>0</v>
      </c>
      <c r="K92" s="352">
        <f t="shared" si="10"/>
        <v>0</v>
      </c>
      <c r="L92" s="350">
        <f t="shared" si="11"/>
        <v>15.259999999999991</v>
      </c>
      <c r="M92" s="351">
        <f t="shared" si="12"/>
        <v>1238959.3999999985</v>
      </c>
      <c r="N92" s="354"/>
    </row>
    <row r="93" spans="1:14" ht="32.25" customHeight="1">
      <c r="A93" s="345">
        <v>20</v>
      </c>
      <c r="B93" s="346" t="s">
        <v>984</v>
      </c>
      <c r="C93" s="343" t="s">
        <v>931</v>
      </c>
      <c r="D93" s="341">
        <v>118.32</v>
      </c>
      <c r="E93" s="342">
        <v>76963</v>
      </c>
      <c r="F93" s="340">
        <f t="shared" si="7"/>
        <v>9106262.1600000001</v>
      </c>
      <c r="G93" s="341">
        <v>118.32</v>
      </c>
      <c r="H93" s="342">
        <v>76963</v>
      </c>
      <c r="I93" s="340">
        <f t="shared" si="8"/>
        <v>9106262.1600000001</v>
      </c>
      <c r="J93" s="339">
        <f t="shared" si="9"/>
        <v>0</v>
      </c>
      <c r="K93" s="340">
        <f t="shared" si="10"/>
        <v>0</v>
      </c>
      <c r="L93" s="341">
        <f t="shared" si="11"/>
        <v>0</v>
      </c>
      <c r="M93" s="342">
        <f t="shared" si="12"/>
        <v>0</v>
      </c>
      <c r="N93" s="343"/>
    </row>
    <row r="94" spans="1:14" ht="32.25" customHeight="1">
      <c r="A94" s="345">
        <v>21</v>
      </c>
      <c r="B94" s="346" t="s">
        <v>985</v>
      </c>
      <c r="C94" s="343" t="s">
        <v>931</v>
      </c>
      <c r="D94" s="341">
        <v>32.015999999999998</v>
      </c>
      <c r="E94" s="342">
        <v>60916</v>
      </c>
      <c r="F94" s="340">
        <f t="shared" si="7"/>
        <v>1950286.656</v>
      </c>
      <c r="G94" s="341">
        <v>32.015999999999998</v>
      </c>
      <c r="H94" s="342">
        <v>60916</v>
      </c>
      <c r="I94" s="340">
        <f t="shared" si="8"/>
        <v>1950286.656</v>
      </c>
      <c r="J94" s="339">
        <f t="shared" si="9"/>
        <v>0</v>
      </c>
      <c r="K94" s="340">
        <f t="shared" si="10"/>
        <v>0</v>
      </c>
      <c r="L94" s="341">
        <f t="shared" si="11"/>
        <v>0</v>
      </c>
      <c r="M94" s="342">
        <f t="shared" si="12"/>
        <v>0</v>
      </c>
      <c r="N94" s="343"/>
    </row>
    <row r="95" spans="1:14" ht="32.25" customHeight="1">
      <c r="A95" s="345">
        <v>22</v>
      </c>
      <c r="B95" s="346" t="s">
        <v>962</v>
      </c>
      <c r="C95" s="343" t="s">
        <v>986</v>
      </c>
      <c r="D95" s="341">
        <v>34.799999999999997</v>
      </c>
      <c r="E95" s="342">
        <v>81382</v>
      </c>
      <c r="F95" s="340">
        <f t="shared" si="7"/>
        <v>2832093.5999999996</v>
      </c>
      <c r="G95" s="341">
        <v>34.799999999999997</v>
      </c>
      <c r="H95" s="342">
        <v>81382</v>
      </c>
      <c r="I95" s="340">
        <f t="shared" si="8"/>
        <v>2832093.5999999996</v>
      </c>
      <c r="J95" s="339">
        <f t="shared" si="9"/>
        <v>0</v>
      </c>
      <c r="K95" s="340">
        <f t="shared" si="10"/>
        <v>0</v>
      </c>
      <c r="L95" s="341">
        <f t="shared" si="11"/>
        <v>0</v>
      </c>
      <c r="M95" s="342">
        <f t="shared" si="12"/>
        <v>0</v>
      </c>
      <c r="N95" s="343"/>
    </row>
    <row r="96" spans="1:14" ht="32.25" customHeight="1">
      <c r="A96" s="345">
        <v>23</v>
      </c>
      <c r="B96" s="346" t="s">
        <v>964</v>
      </c>
      <c r="C96" s="343" t="s">
        <v>986</v>
      </c>
      <c r="D96" s="341">
        <v>34.799999999999997</v>
      </c>
      <c r="E96" s="342">
        <v>64929</v>
      </c>
      <c r="F96" s="340">
        <f t="shared" si="7"/>
        <v>2259529.1999999997</v>
      </c>
      <c r="G96" s="341">
        <v>34.799999999999997</v>
      </c>
      <c r="H96" s="342">
        <v>64929</v>
      </c>
      <c r="I96" s="340">
        <f t="shared" si="8"/>
        <v>2259529.1999999997</v>
      </c>
      <c r="J96" s="339">
        <f t="shared" si="9"/>
        <v>0</v>
      </c>
      <c r="K96" s="340">
        <f t="shared" si="10"/>
        <v>0</v>
      </c>
      <c r="L96" s="341">
        <f t="shared" si="11"/>
        <v>0</v>
      </c>
      <c r="M96" s="342">
        <f t="shared" si="12"/>
        <v>0</v>
      </c>
      <c r="N96" s="343"/>
    </row>
    <row r="97" spans="1:14" ht="32.25" customHeight="1">
      <c r="A97" s="345">
        <v>24</v>
      </c>
      <c r="B97" s="346" t="s">
        <v>965</v>
      </c>
      <c r="C97" s="343" t="s">
        <v>931</v>
      </c>
      <c r="D97" s="341">
        <v>76.56</v>
      </c>
      <c r="E97" s="342">
        <v>47332</v>
      </c>
      <c r="F97" s="340">
        <f t="shared" si="7"/>
        <v>3623737.92</v>
      </c>
      <c r="G97" s="341">
        <v>76.56</v>
      </c>
      <c r="H97" s="342">
        <v>47332</v>
      </c>
      <c r="I97" s="340">
        <f t="shared" si="8"/>
        <v>3623737.92</v>
      </c>
      <c r="J97" s="339">
        <f t="shared" si="9"/>
        <v>0</v>
      </c>
      <c r="K97" s="340">
        <f t="shared" si="10"/>
        <v>0</v>
      </c>
      <c r="L97" s="341">
        <f t="shared" si="11"/>
        <v>0</v>
      </c>
      <c r="M97" s="342">
        <f t="shared" si="12"/>
        <v>0</v>
      </c>
      <c r="N97" s="343"/>
    </row>
    <row r="98" spans="1:14" ht="32.25" customHeight="1">
      <c r="A98" s="345">
        <v>25</v>
      </c>
      <c r="B98" s="346" t="s">
        <v>987</v>
      </c>
      <c r="C98" s="343" t="s">
        <v>979</v>
      </c>
      <c r="D98" s="341">
        <v>0.98340000000000005</v>
      </c>
      <c r="E98" s="342">
        <v>29530547</v>
      </c>
      <c r="F98" s="340">
        <f t="shared" si="7"/>
        <v>29040339.919800002</v>
      </c>
      <c r="G98" s="341">
        <v>0.98340000000000005</v>
      </c>
      <c r="H98" s="342">
        <v>29530547</v>
      </c>
      <c r="I98" s="340">
        <f t="shared" si="8"/>
        <v>29040339.919800002</v>
      </c>
      <c r="J98" s="339">
        <f t="shared" si="9"/>
        <v>0</v>
      </c>
      <c r="K98" s="340">
        <f t="shared" si="10"/>
        <v>0</v>
      </c>
      <c r="L98" s="341">
        <f t="shared" si="11"/>
        <v>0</v>
      </c>
      <c r="M98" s="342">
        <f t="shared" si="12"/>
        <v>0</v>
      </c>
      <c r="N98" s="343"/>
    </row>
    <row r="99" spans="1:14" ht="32.25" customHeight="1">
      <c r="A99" s="345">
        <v>26</v>
      </c>
      <c r="B99" s="346" t="s">
        <v>957</v>
      </c>
      <c r="C99" s="343" t="s">
        <v>979</v>
      </c>
      <c r="D99" s="341">
        <v>0.98340000000000005</v>
      </c>
      <c r="E99" s="342">
        <v>1750217</v>
      </c>
      <c r="F99" s="340">
        <f t="shared" si="7"/>
        <v>1721163.3978000002</v>
      </c>
      <c r="G99" s="341">
        <v>0.98340000000000005</v>
      </c>
      <c r="H99" s="342">
        <v>1750217</v>
      </c>
      <c r="I99" s="340">
        <f t="shared" si="8"/>
        <v>1721163.3978000002</v>
      </c>
      <c r="J99" s="339">
        <f t="shared" si="9"/>
        <v>0</v>
      </c>
      <c r="K99" s="340">
        <f t="shared" si="10"/>
        <v>0</v>
      </c>
      <c r="L99" s="341">
        <f t="shared" si="11"/>
        <v>0</v>
      </c>
      <c r="M99" s="342">
        <f t="shared" si="12"/>
        <v>0</v>
      </c>
      <c r="N99" s="343"/>
    </row>
    <row r="100" spans="1:14" ht="32.25" customHeight="1">
      <c r="A100" s="345">
        <v>27</v>
      </c>
      <c r="B100" s="346" t="s">
        <v>988</v>
      </c>
      <c r="C100" s="343" t="s">
        <v>915</v>
      </c>
      <c r="D100" s="341">
        <v>2.262</v>
      </c>
      <c r="E100" s="342">
        <v>16531011</v>
      </c>
      <c r="F100" s="340">
        <f t="shared" si="7"/>
        <v>37393146.881999999</v>
      </c>
      <c r="G100" s="341">
        <v>2.262</v>
      </c>
      <c r="H100" s="342">
        <v>16531011</v>
      </c>
      <c r="I100" s="340">
        <f t="shared" si="8"/>
        <v>37393146.881999999</v>
      </c>
      <c r="J100" s="339">
        <f t="shared" si="9"/>
        <v>0</v>
      </c>
      <c r="K100" s="340">
        <f t="shared" si="10"/>
        <v>0</v>
      </c>
      <c r="L100" s="341">
        <f t="shared" si="11"/>
        <v>0</v>
      </c>
      <c r="M100" s="342">
        <f t="shared" si="12"/>
        <v>0</v>
      </c>
      <c r="N100" s="343"/>
    </row>
    <row r="101" spans="1:14" s="355" customFormat="1" ht="32.25" customHeight="1">
      <c r="A101" s="347">
        <v>28</v>
      </c>
      <c r="B101" s="348" t="s">
        <v>960</v>
      </c>
      <c r="C101" s="354" t="s">
        <v>931</v>
      </c>
      <c r="D101" s="350">
        <v>208.8</v>
      </c>
      <c r="E101" s="351">
        <v>192116</v>
      </c>
      <c r="F101" s="352">
        <f t="shared" si="7"/>
        <v>40113820.800000004</v>
      </c>
      <c r="G101" s="350">
        <v>0</v>
      </c>
      <c r="H101" s="351">
        <v>192116</v>
      </c>
      <c r="I101" s="352">
        <f t="shared" si="8"/>
        <v>0</v>
      </c>
      <c r="J101" s="353">
        <f t="shared" si="9"/>
        <v>208.8</v>
      </c>
      <c r="K101" s="352">
        <f t="shared" si="10"/>
        <v>40113820.800000004</v>
      </c>
      <c r="L101" s="350">
        <f t="shared" si="11"/>
        <v>0</v>
      </c>
      <c r="M101" s="351">
        <f t="shared" si="12"/>
        <v>0</v>
      </c>
      <c r="N101" s="354"/>
    </row>
    <row r="102" spans="1:14" ht="32.25" customHeight="1">
      <c r="A102" s="345">
        <v>29</v>
      </c>
      <c r="B102" s="346" t="s">
        <v>989</v>
      </c>
      <c r="C102" s="343" t="s">
        <v>901</v>
      </c>
      <c r="D102" s="341">
        <v>25.404</v>
      </c>
      <c r="E102" s="342">
        <v>1677821</v>
      </c>
      <c r="F102" s="340">
        <f t="shared" si="7"/>
        <v>42623364.684</v>
      </c>
      <c r="G102" s="341">
        <v>25.404</v>
      </c>
      <c r="H102" s="342">
        <v>1677821</v>
      </c>
      <c r="I102" s="340">
        <f t="shared" si="8"/>
        <v>42623364.684</v>
      </c>
      <c r="J102" s="339">
        <f t="shared" si="9"/>
        <v>0</v>
      </c>
      <c r="K102" s="340">
        <f t="shared" si="10"/>
        <v>0</v>
      </c>
      <c r="L102" s="341">
        <f t="shared" si="11"/>
        <v>0</v>
      </c>
      <c r="M102" s="342">
        <f t="shared" si="12"/>
        <v>0</v>
      </c>
      <c r="N102" s="343"/>
    </row>
    <row r="103" spans="1:14" ht="32.25" customHeight="1">
      <c r="A103" s="345">
        <v>30</v>
      </c>
      <c r="B103" s="346" t="s">
        <v>990</v>
      </c>
      <c r="C103" s="343" t="s">
        <v>901</v>
      </c>
      <c r="D103" s="341">
        <v>66.12</v>
      </c>
      <c r="E103" s="342">
        <v>195422</v>
      </c>
      <c r="F103" s="340">
        <f t="shared" si="7"/>
        <v>12921302.640000001</v>
      </c>
      <c r="G103" s="341">
        <v>66.12</v>
      </c>
      <c r="H103" s="342">
        <v>195422</v>
      </c>
      <c r="I103" s="340">
        <f t="shared" si="8"/>
        <v>12921302.640000001</v>
      </c>
      <c r="J103" s="339">
        <f t="shared" si="9"/>
        <v>0</v>
      </c>
      <c r="K103" s="340">
        <f t="shared" si="10"/>
        <v>0</v>
      </c>
      <c r="L103" s="341">
        <f t="shared" si="11"/>
        <v>0</v>
      </c>
      <c r="M103" s="342">
        <f t="shared" si="12"/>
        <v>0</v>
      </c>
      <c r="N103" s="343"/>
    </row>
    <row r="104" spans="1:14" ht="32.25" customHeight="1">
      <c r="A104" s="345">
        <v>31</v>
      </c>
      <c r="B104" s="346" t="s">
        <v>925</v>
      </c>
      <c r="C104" s="343" t="s">
        <v>915</v>
      </c>
      <c r="D104" s="341">
        <v>2.4359999999999999</v>
      </c>
      <c r="E104" s="342">
        <v>683138</v>
      </c>
      <c r="F104" s="340">
        <f t="shared" si="7"/>
        <v>1664124.1680000001</v>
      </c>
      <c r="G104" s="341">
        <v>2.4359999999999999</v>
      </c>
      <c r="H104" s="342">
        <v>683138</v>
      </c>
      <c r="I104" s="340">
        <f t="shared" si="8"/>
        <v>1664124.1680000001</v>
      </c>
      <c r="J104" s="339">
        <f t="shared" si="9"/>
        <v>0</v>
      </c>
      <c r="K104" s="340">
        <f t="shared" si="10"/>
        <v>0</v>
      </c>
      <c r="L104" s="341">
        <f t="shared" si="11"/>
        <v>0</v>
      </c>
      <c r="M104" s="342">
        <f t="shared" si="12"/>
        <v>0</v>
      </c>
      <c r="N104" s="343"/>
    </row>
    <row r="105" spans="1:14" s="355" customFormat="1" ht="32.25" customHeight="1">
      <c r="A105" s="347">
        <v>32</v>
      </c>
      <c r="B105" s="348" t="s">
        <v>991</v>
      </c>
      <c r="C105" s="354" t="s">
        <v>931</v>
      </c>
      <c r="D105" s="350">
        <v>30</v>
      </c>
      <c r="E105" s="351">
        <v>424678</v>
      </c>
      <c r="F105" s="352">
        <f t="shared" si="7"/>
        <v>12740340</v>
      </c>
      <c r="G105" s="350">
        <v>30</v>
      </c>
      <c r="H105" s="351">
        <v>100000</v>
      </c>
      <c r="I105" s="352">
        <f t="shared" si="8"/>
        <v>3000000</v>
      </c>
      <c r="J105" s="353">
        <f t="shared" si="9"/>
        <v>0</v>
      </c>
      <c r="K105" s="352">
        <f t="shared" si="10"/>
        <v>9740340</v>
      </c>
      <c r="L105" s="350">
        <f t="shared" si="11"/>
        <v>0</v>
      </c>
      <c r="M105" s="351">
        <f t="shared" si="12"/>
        <v>0</v>
      </c>
      <c r="N105" s="354"/>
    </row>
    <row r="106" spans="1:14" s="355" customFormat="1" ht="32.25" customHeight="1">
      <c r="A106" s="347">
        <v>33</v>
      </c>
      <c r="B106" s="348" t="s">
        <v>992</v>
      </c>
      <c r="C106" s="354" t="s">
        <v>931</v>
      </c>
      <c r="D106" s="350">
        <v>217.08</v>
      </c>
      <c r="E106" s="351">
        <v>187728</v>
      </c>
      <c r="F106" s="352">
        <f t="shared" si="7"/>
        <v>40751994.240000002</v>
      </c>
      <c r="G106" s="350">
        <v>217.08</v>
      </c>
      <c r="H106" s="351">
        <v>100000</v>
      </c>
      <c r="I106" s="352">
        <f t="shared" si="8"/>
        <v>21708000</v>
      </c>
      <c r="J106" s="353">
        <f t="shared" si="9"/>
        <v>0</v>
      </c>
      <c r="K106" s="352">
        <f t="shared" si="10"/>
        <v>19043994.240000002</v>
      </c>
      <c r="L106" s="350">
        <f t="shared" si="11"/>
        <v>0</v>
      </c>
      <c r="M106" s="351">
        <f t="shared" si="12"/>
        <v>0</v>
      </c>
      <c r="N106" s="354"/>
    </row>
    <row r="107" spans="1:14" s="355" customFormat="1" ht="32.25" customHeight="1">
      <c r="A107" s="347">
        <v>34</v>
      </c>
      <c r="B107" s="348" t="s">
        <v>993</v>
      </c>
      <c r="C107" s="354" t="s">
        <v>931</v>
      </c>
      <c r="D107" s="350">
        <v>464.22</v>
      </c>
      <c r="E107" s="351">
        <v>302887</v>
      </c>
      <c r="F107" s="352">
        <f t="shared" si="7"/>
        <v>140606203.14000002</v>
      </c>
      <c r="G107" s="350">
        <v>464.22</v>
      </c>
      <c r="H107" s="351">
        <v>120000</v>
      </c>
      <c r="I107" s="352">
        <f t="shared" si="8"/>
        <v>55706400</v>
      </c>
      <c r="J107" s="353">
        <f t="shared" si="9"/>
        <v>0</v>
      </c>
      <c r="K107" s="352">
        <f t="shared" si="10"/>
        <v>84899803.140000015</v>
      </c>
      <c r="L107" s="350">
        <f t="shared" si="11"/>
        <v>0</v>
      </c>
      <c r="M107" s="351">
        <f t="shared" si="12"/>
        <v>0</v>
      </c>
      <c r="N107" s="354"/>
    </row>
    <row r="108" spans="1:14" s="355" customFormat="1" ht="32.25" customHeight="1">
      <c r="A108" s="347">
        <v>35</v>
      </c>
      <c r="B108" s="367" t="s">
        <v>934</v>
      </c>
      <c r="C108" s="354" t="s">
        <v>931</v>
      </c>
      <c r="D108" s="350">
        <v>455.92500000000001</v>
      </c>
      <c r="E108" s="351">
        <v>83740</v>
      </c>
      <c r="F108" s="352">
        <f t="shared" si="7"/>
        <v>38179159.5</v>
      </c>
      <c r="G108" s="350">
        <v>456.46499999999997</v>
      </c>
      <c r="H108" s="351">
        <v>83740</v>
      </c>
      <c r="I108" s="352">
        <f t="shared" si="8"/>
        <v>38224379.100000001</v>
      </c>
      <c r="J108" s="353">
        <f t="shared" si="9"/>
        <v>0</v>
      </c>
      <c r="K108" s="352">
        <f t="shared" si="10"/>
        <v>0</v>
      </c>
      <c r="L108" s="350">
        <f t="shared" si="11"/>
        <v>0.53999999999996362</v>
      </c>
      <c r="M108" s="351">
        <f t="shared" si="12"/>
        <v>45219.60000000149</v>
      </c>
      <c r="N108" s="354"/>
    </row>
    <row r="109" spans="1:14" s="355" customFormat="1" ht="32.25" customHeight="1">
      <c r="A109" s="347">
        <v>36</v>
      </c>
      <c r="B109" s="348" t="s">
        <v>994</v>
      </c>
      <c r="C109" s="354" t="s">
        <v>931</v>
      </c>
      <c r="D109" s="350">
        <v>455.92500000000001</v>
      </c>
      <c r="E109" s="368">
        <v>59420</v>
      </c>
      <c r="F109" s="352">
        <f t="shared" si="7"/>
        <v>27091063.5</v>
      </c>
      <c r="G109" s="350">
        <v>456.46499999999997</v>
      </c>
      <c r="H109" s="351">
        <v>29710</v>
      </c>
      <c r="I109" s="352">
        <f t="shared" si="8"/>
        <v>13561575.149999999</v>
      </c>
      <c r="J109" s="353">
        <f t="shared" si="9"/>
        <v>0</v>
      </c>
      <c r="K109" s="352">
        <f t="shared" si="10"/>
        <v>13529488.350000001</v>
      </c>
      <c r="L109" s="350">
        <f t="shared" si="11"/>
        <v>0.53999999999996362</v>
      </c>
      <c r="M109" s="351">
        <f t="shared" si="12"/>
        <v>0</v>
      </c>
      <c r="N109" s="354"/>
    </row>
    <row r="110" spans="1:14" ht="32.25" customHeight="1">
      <c r="A110" s="345">
        <v>37</v>
      </c>
      <c r="B110" s="346" t="s">
        <v>969</v>
      </c>
      <c r="C110" s="343" t="s">
        <v>940</v>
      </c>
      <c r="D110" s="341">
        <v>0.3</v>
      </c>
      <c r="E110" s="342">
        <v>14085381</v>
      </c>
      <c r="F110" s="340">
        <f t="shared" si="7"/>
        <v>4225614.3</v>
      </c>
      <c r="G110" s="341">
        <v>0.3</v>
      </c>
      <c r="H110" s="342">
        <v>14085381</v>
      </c>
      <c r="I110" s="340">
        <f t="shared" si="8"/>
        <v>4225614.3</v>
      </c>
      <c r="J110" s="339">
        <f t="shared" si="9"/>
        <v>0</v>
      </c>
      <c r="K110" s="340">
        <f t="shared" si="10"/>
        <v>0</v>
      </c>
      <c r="L110" s="341">
        <f t="shared" si="11"/>
        <v>0</v>
      </c>
      <c r="M110" s="342">
        <f t="shared" si="12"/>
        <v>0</v>
      </c>
      <c r="N110" s="343"/>
    </row>
    <row r="111" spans="1:14" ht="32.25" customHeight="1">
      <c r="A111" s="345">
        <v>38</v>
      </c>
      <c r="B111" s="346" t="s">
        <v>970</v>
      </c>
      <c r="C111" s="343" t="s">
        <v>995</v>
      </c>
      <c r="D111" s="341">
        <v>5</v>
      </c>
      <c r="E111" s="342">
        <v>44813</v>
      </c>
      <c r="F111" s="340">
        <f t="shared" si="7"/>
        <v>224065</v>
      </c>
      <c r="G111" s="341">
        <v>5</v>
      </c>
      <c r="H111" s="342">
        <v>44813</v>
      </c>
      <c r="I111" s="340">
        <f t="shared" si="8"/>
        <v>224065</v>
      </c>
      <c r="J111" s="339">
        <f t="shared" si="9"/>
        <v>0</v>
      </c>
      <c r="K111" s="340">
        <f t="shared" si="10"/>
        <v>0</v>
      </c>
      <c r="L111" s="341">
        <f t="shared" si="11"/>
        <v>0</v>
      </c>
      <c r="M111" s="342">
        <f t="shared" si="12"/>
        <v>0</v>
      </c>
      <c r="N111" s="343"/>
    </row>
    <row r="112" spans="1:14" s="330" customFormat="1" ht="32.25" customHeight="1">
      <c r="A112" s="515" t="s">
        <v>94</v>
      </c>
      <c r="B112" s="515"/>
      <c r="C112" s="515"/>
      <c r="D112" s="331"/>
      <c r="E112" s="332"/>
      <c r="F112" s="332">
        <f>SUM(F73:F111)</f>
        <v>952197905.25789988</v>
      </c>
      <c r="G112" s="331"/>
      <c r="H112" s="332"/>
      <c r="I112" s="332">
        <f t="shared" ref="I112" si="14">SUM(I73:I111)</f>
        <v>790513094.49989998</v>
      </c>
      <c r="J112" s="331"/>
      <c r="K112" s="332">
        <f t="shared" ref="K112" si="15">SUM(K73:K111)</f>
        <v>167327446.53</v>
      </c>
      <c r="L112" s="331"/>
      <c r="M112" s="332">
        <f t="shared" ref="M112" si="16">SUM(M73:M111)</f>
        <v>5642635.7720000064</v>
      </c>
      <c r="N112" s="363"/>
    </row>
    <row r="113" spans="1:14" ht="32.25" customHeight="1">
      <c r="A113" s="515" t="s">
        <v>996</v>
      </c>
      <c r="B113" s="515"/>
      <c r="C113" s="515"/>
      <c r="D113" s="341"/>
      <c r="E113" s="342"/>
      <c r="F113" s="340"/>
      <c r="G113" s="341"/>
      <c r="H113" s="342"/>
      <c r="I113" s="340"/>
      <c r="J113" s="339"/>
      <c r="K113" s="340"/>
      <c r="L113" s="341"/>
      <c r="M113" s="342"/>
      <c r="N113" s="343"/>
    </row>
    <row r="114" spans="1:14" s="355" customFormat="1" ht="32.25" customHeight="1">
      <c r="A114" s="347">
        <v>1</v>
      </c>
      <c r="B114" s="354" t="s">
        <v>900</v>
      </c>
      <c r="C114" s="354" t="s">
        <v>901</v>
      </c>
      <c r="D114" s="350">
        <v>219.32040000000001</v>
      </c>
      <c r="E114" s="351">
        <v>157313</v>
      </c>
      <c r="F114" s="352">
        <f t="shared" si="7"/>
        <v>34501950.085200004</v>
      </c>
      <c r="G114" s="350">
        <v>211.85059999999999</v>
      </c>
      <c r="H114" s="351">
        <v>157313</v>
      </c>
      <c r="I114" s="352">
        <f t="shared" si="8"/>
        <v>33326853.437799998</v>
      </c>
      <c r="J114" s="353">
        <f t="shared" si="9"/>
        <v>7.4698000000000206</v>
      </c>
      <c r="K114" s="352">
        <f t="shared" si="10"/>
        <v>1175096.6474000067</v>
      </c>
      <c r="L114" s="350">
        <f t="shared" si="11"/>
        <v>0</v>
      </c>
      <c r="M114" s="351">
        <f t="shared" si="12"/>
        <v>0</v>
      </c>
      <c r="N114" s="354"/>
    </row>
    <row r="115" spans="1:14" s="355" customFormat="1" ht="32.25" customHeight="1">
      <c r="A115" s="347">
        <v>2</v>
      </c>
      <c r="B115" s="354" t="s">
        <v>997</v>
      </c>
      <c r="C115" s="354" t="s">
        <v>901</v>
      </c>
      <c r="D115" s="350">
        <v>146.21360000000001</v>
      </c>
      <c r="E115" s="351">
        <v>124076</v>
      </c>
      <c r="F115" s="352">
        <f t="shared" si="7"/>
        <v>18141598.6336</v>
      </c>
      <c r="G115" s="350">
        <v>141.2337</v>
      </c>
      <c r="H115" s="351">
        <v>124076</v>
      </c>
      <c r="I115" s="352">
        <f t="shared" si="8"/>
        <v>17523712.5612</v>
      </c>
      <c r="J115" s="353">
        <f t="shared" si="9"/>
        <v>4.9799000000000149</v>
      </c>
      <c r="K115" s="352">
        <f t="shared" si="10"/>
        <v>617886.07239999995</v>
      </c>
      <c r="L115" s="350">
        <f t="shared" si="11"/>
        <v>0</v>
      </c>
      <c r="M115" s="351">
        <f t="shared" si="12"/>
        <v>0</v>
      </c>
      <c r="N115" s="354"/>
    </row>
    <row r="116" spans="1:14" s="355" customFormat="1" ht="32.25" customHeight="1">
      <c r="A116" s="347">
        <v>3</v>
      </c>
      <c r="B116" s="354" t="s">
        <v>939</v>
      </c>
      <c r="C116" s="354" t="s">
        <v>940</v>
      </c>
      <c r="D116" s="350">
        <v>109.6</v>
      </c>
      <c r="E116" s="351">
        <v>1206690</v>
      </c>
      <c r="F116" s="352">
        <f t="shared" si="7"/>
        <v>132253224</v>
      </c>
      <c r="G116" s="350">
        <v>106</v>
      </c>
      <c r="H116" s="351">
        <v>1206690</v>
      </c>
      <c r="I116" s="352">
        <f t="shared" si="8"/>
        <v>127909140</v>
      </c>
      <c r="J116" s="353">
        <f t="shared" si="9"/>
        <v>3.5999999999999943</v>
      </c>
      <c r="K116" s="352">
        <f t="shared" si="10"/>
        <v>4344084</v>
      </c>
      <c r="L116" s="350">
        <f t="shared" si="11"/>
        <v>0</v>
      </c>
      <c r="M116" s="351">
        <f t="shared" si="12"/>
        <v>0</v>
      </c>
      <c r="N116" s="354"/>
    </row>
    <row r="117" spans="1:14" s="355" customFormat="1" ht="32.25" customHeight="1">
      <c r="A117" s="347">
        <v>4</v>
      </c>
      <c r="B117" s="354" t="s">
        <v>998</v>
      </c>
      <c r="C117" s="354" t="s">
        <v>901</v>
      </c>
      <c r="D117" s="350">
        <v>9.9239999999999995</v>
      </c>
      <c r="E117" s="351">
        <v>1283592</v>
      </c>
      <c r="F117" s="352">
        <f t="shared" si="7"/>
        <v>12738367.007999999</v>
      </c>
      <c r="G117" s="350">
        <v>16.466000000000001</v>
      </c>
      <c r="H117" s="351">
        <v>1283592</v>
      </c>
      <c r="I117" s="352">
        <f t="shared" si="8"/>
        <v>21135625.872000001</v>
      </c>
      <c r="J117" s="353">
        <f t="shared" si="9"/>
        <v>0</v>
      </c>
      <c r="K117" s="352">
        <f t="shared" si="10"/>
        <v>0</v>
      </c>
      <c r="L117" s="350">
        <f t="shared" si="11"/>
        <v>6.5420000000000016</v>
      </c>
      <c r="M117" s="351">
        <f t="shared" si="12"/>
        <v>8397258.8640000019</v>
      </c>
      <c r="N117" s="354"/>
    </row>
    <row r="118" spans="1:14" s="355" customFormat="1" ht="32.25" customHeight="1">
      <c r="A118" s="347">
        <v>5</v>
      </c>
      <c r="B118" s="354" t="s">
        <v>999</v>
      </c>
      <c r="C118" s="354" t="s">
        <v>901</v>
      </c>
      <c r="D118" s="350">
        <v>28.216000000000001</v>
      </c>
      <c r="E118" s="351">
        <v>1684611</v>
      </c>
      <c r="F118" s="352">
        <f t="shared" si="7"/>
        <v>47532983.976000004</v>
      </c>
      <c r="G118" s="350">
        <v>27.396000000000001</v>
      </c>
      <c r="H118" s="351">
        <v>1684611</v>
      </c>
      <c r="I118" s="352">
        <f t="shared" si="8"/>
        <v>46151602.956</v>
      </c>
      <c r="J118" s="353">
        <f t="shared" si="9"/>
        <v>0.82000000000000028</v>
      </c>
      <c r="K118" s="352">
        <f t="shared" si="10"/>
        <v>1381381.0200000033</v>
      </c>
      <c r="L118" s="350">
        <f t="shared" si="11"/>
        <v>0</v>
      </c>
      <c r="M118" s="351">
        <f t="shared" si="12"/>
        <v>0</v>
      </c>
      <c r="N118" s="354"/>
    </row>
    <row r="119" spans="1:14" s="355" customFormat="1" ht="32.25" customHeight="1">
      <c r="A119" s="347">
        <v>6</v>
      </c>
      <c r="B119" s="354" t="s">
        <v>1000</v>
      </c>
      <c r="C119" s="354" t="s">
        <v>901</v>
      </c>
      <c r="D119" s="350">
        <v>24.6174</v>
      </c>
      <c r="E119" s="351">
        <v>2216701</v>
      </c>
      <c r="F119" s="352">
        <f t="shared" si="7"/>
        <v>54569415.197399996</v>
      </c>
      <c r="G119" s="350">
        <v>23.7484</v>
      </c>
      <c r="H119" s="351">
        <v>2216701</v>
      </c>
      <c r="I119" s="352">
        <f t="shared" si="8"/>
        <v>52643102.028400004</v>
      </c>
      <c r="J119" s="353">
        <f t="shared" si="9"/>
        <v>0.86899999999999977</v>
      </c>
      <c r="K119" s="352">
        <f t="shared" si="10"/>
        <v>1926313.1689999923</v>
      </c>
      <c r="L119" s="350">
        <f t="shared" si="11"/>
        <v>0</v>
      </c>
      <c r="M119" s="351">
        <f t="shared" si="12"/>
        <v>0</v>
      </c>
      <c r="N119" s="354"/>
    </row>
    <row r="120" spans="1:14" s="355" customFormat="1" ht="32.25" customHeight="1">
      <c r="A120" s="347">
        <v>7</v>
      </c>
      <c r="B120" s="354" t="s">
        <v>975</v>
      </c>
      <c r="C120" s="354" t="s">
        <v>901</v>
      </c>
      <c r="D120" s="350">
        <v>3.2490999999999999</v>
      </c>
      <c r="E120" s="351">
        <v>2543579</v>
      </c>
      <c r="F120" s="352">
        <f t="shared" si="7"/>
        <v>8264342.5288999993</v>
      </c>
      <c r="G120" s="350">
        <v>3.0779999999999998</v>
      </c>
      <c r="H120" s="351">
        <v>2543579</v>
      </c>
      <c r="I120" s="352">
        <f t="shared" si="8"/>
        <v>7829136.1619999995</v>
      </c>
      <c r="J120" s="353">
        <f t="shared" si="9"/>
        <v>0.17110000000000003</v>
      </c>
      <c r="K120" s="352">
        <f t="shared" si="10"/>
        <v>435206.36689999979</v>
      </c>
      <c r="L120" s="350">
        <f t="shared" si="11"/>
        <v>0</v>
      </c>
      <c r="M120" s="351">
        <f t="shared" si="12"/>
        <v>0</v>
      </c>
      <c r="N120" s="354"/>
    </row>
    <row r="121" spans="1:14" s="355" customFormat="1" ht="32.25" customHeight="1">
      <c r="A121" s="347">
        <v>8</v>
      </c>
      <c r="B121" s="354" t="s">
        <v>944</v>
      </c>
      <c r="C121" s="354" t="s">
        <v>901</v>
      </c>
      <c r="D121" s="350">
        <v>12.9024</v>
      </c>
      <c r="E121" s="351">
        <v>2261508</v>
      </c>
      <c r="F121" s="352">
        <f t="shared" si="7"/>
        <v>29178880.819200002</v>
      </c>
      <c r="G121" s="350">
        <v>5.9454000000000002</v>
      </c>
      <c r="H121" s="351">
        <v>2261508</v>
      </c>
      <c r="I121" s="352">
        <f t="shared" si="8"/>
        <v>13445569.6632</v>
      </c>
      <c r="J121" s="353">
        <f t="shared" si="9"/>
        <v>6.9569999999999999</v>
      </c>
      <c r="K121" s="352">
        <f t="shared" si="10"/>
        <v>15733311.156000001</v>
      </c>
      <c r="L121" s="350">
        <f t="shared" si="11"/>
        <v>0</v>
      </c>
      <c r="M121" s="351">
        <f t="shared" si="12"/>
        <v>0</v>
      </c>
      <c r="N121" s="354"/>
    </row>
    <row r="122" spans="1:14" s="355" customFormat="1" ht="32.25" customHeight="1">
      <c r="A122" s="347">
        <v>9</v>
      </c>
      <c r="B122" s="354" t="s">
        <v>1001</v>
      </c>
      <c r="C122" s="354" t="s">
        <v>915</v>
      </c>
      <c r="D122" s="350">
        <v>1.1681999999999999</v>
      </c>
      <c r="E122" s="351">
        <v>16065408</v>
      </c>
      <c r="F122" s="352">
        <f t="shared" si="7"/>
        <v>18767609.625599999</v>
      </c>
      <c r="G122" s="350">
        <v>1.1216999999999999</v>
      </c>
      <c r="H122" s="351">
        <v>16065408</v>
      </c>
      <c r="I122" s="352">
        <f t="shared" si="8"/>
        <v>18020568.1536</v>
      </c>
      <c r="J122" s="353">
        <f t="shared" si="9"/>
        <v>4.6499999999999986E-2</v>
      </c>
      <c r="K122" s="352">
        <f t="shared" si="10"/>
        <v>747041.47199999914</v>
      </c>
      <c r="L122" s="350">
        <f t="shared" si="11"/>
        <v>0</v>
      </c>
      <c r="M122" s="351">
        <f t="shared" si="12"/>
        <v>0</v>
      </c>
      <c r="N122" s="354"/>
    </row>
    <row r="123" spans="1:14" s="355" customFormat="1" ht="32.25" customHeight="1">
      <c r="A123" s="347">
        <v>10</v>
      </c>
      <c r="B123" s="354" t="s">
        <v>1002</v>
      </c>
      <c r="C123" s="354" t="s">
        <v>915</v>
      </c>
      <c r="D123" s="350">
        <v>3.2162000000000002</v>
      </c>
      <c r="E123" s="351">
        <v>21613723</v>
      </c>
      <c r="F123" s="352">
        <f t="shared" si="7"/>
        <v>69514055.912600011</v>
      </c>
      <c r="G123" s="350">
        <v>3.1038000000000001</v>
      </c>
      <c r="H123" s="351">
        <v>21613723</v>
      </c>
      <c r="I123" s="352">
        <f t="shared" si="8"/>
        <v>67084673.447400004</v>
      </c>
      <c r="J123" s="353">
        <f t="shared" si="9"/>
        <v>0.11240000000000006</v>
      </c>
      <c r="K123" s="352">
        <f t="shared" si="10"/>
        <v>2429382.465200007</v>
      </c>
      <c r="L123" s="350">
        <f t="shared" si="11"/>
        <v>0</v>
      </c>
      <c r="M123" s="351">
        <f t="shared" si="12"/>
        <v>0</v>
      </c>
      <c r="N123" s="354"/>
    </row>
    <row r="124" spans="1:14" s="355" customFormat="1" ht="32.25" customHeight="1">
      <c r="A124" s="347">
        <v>11</v>
      </c>
      <c r="B124" s="354" t="s">
        <v>947</v>
      </c>
      <c r="C124" s="354" t="s">
        <v>915</v>
      </c>
      <c r="D124" s="350">
        <v>0.86639999999999995</v>
      </c>
      <c r="E124" s="351">
        <v>17821387</v>
      </c>
      <c r="F124" s="352">
        <f t="shared" si="7"/>
        <v>15440449.696799999</v>
      </c>
      <c r="G124" s="350">
        <v>0.82079999999999997</v>
      </c>
      <c r="H124" s="351">
        <v>17821387</v>
      </c>
      <c r="I124" s="352">
        <f t="shared" si="8"/>
        <v>14627794.4496</v>
      </c>
      <c r="J124" s="353">
        <f t="shared" si="9"/>
        <v>4.5599999999999974E-2</v>
      </c>
      <c r="K124" s="352">
        <f t="shared" si="10"/>
        <v>812655.24719999917</v>
      </c>
      <c r="L124" s="350">
        <f t="shared" si="11"/>
        <v>0</v>
      </c>
      <c r="M124" s="351">
        <f t="shared" si="12"/>
        <v>0</v>
      </c>
      <c r="N124" s="354"/>
    </row>
    <row r="125" spans="1:14" s="355" customFormat="1" ht="32.25" customHeight="1">
      <c r="A125" s="347">
        <v>12</v>
      </c>
      <c r="B125" s="354" t="s">
        <v>1003</v>
      </c>
      <c r="C125" s="354" t="s">
        <v>915</v>
      </c>
      <c r="D125" s="350">
        <v>2.4527999999999999</v>
      </c>
      <c r="E125" s="351">
        <v>17572894</v>
      </c>
      <c r="F125" s="352">
        <f t="shared" si="7"/>
        <v>43102794.403200001</v>
      </c>
      <c r="G125" s="350">
        <v>2.3652000000000002</v>
      </c>
      <c r="H125" s="351">
        <v>17572894</v>
      </c>
      <c r="I125" s="352">
        <f t="shared" si="8"/>
        <v>41563408.888800003</v>
      </c>
      <c r="J125" s="353">
        <f t="shared" si="9"/>
        <v>8.7599999999999678E-2</v>
      </c>
      <c r="K125" s="352">
        <f t="shared" si="10"/>
        <v>1539385.5143999979</v>
      </c>
      <c r="L125" s="350">
        <f t="shared" si="11"/>
        <v>0</v>
      </c>
      <c r="M125" s="351">
        <f t="shared" si="12"/>
        <v>0</v>
      </c>
      <c r="N125" s="354"/>
    </row>
    <row r="126" spans="1:14" s="355" customFormat="1" ht="32.25" customHeight="1">
      <c r="A126" s="347">
        <v>13</v>
      </c>
      <c r="B126" s="354" t="s">
        <v>978</v>
      </c>
      <c r="C126" s="354" t="s">
        <v>979</v>
      </c>
      <c r="D126" s="350">
        <v>1.4698</v>
      </c>
      <c r="E126" s="351">
        <v>21993359</v>
      </c>
      <c r="F126" s="352">
        <f t="shared" si="7"/>
        <v>32325839.058200002</v>
      </c>
      <c r="G126" s="350">
        <v>1.4165000000000001</v>
      </c>
      <c r="H126" s="351">
        <v>21993359</v>
      </c>
      <c r="I126" s="352">
        <f t="shared" si="8"/>
        <v>31153593.023500003</v>
      </c>
      <c r="J126" s="353">
        <f t="shared" si="9"/>
        <v>5.3299999999999903E-2</v>
      </c>
      <c r="K126" s="352">
        <f t="shared" si="10"/>
        <v>1172246.0346999988</v>
      </c>
      <c r="L126" s="350">
        <f t="shared" si="11"/>
        <v>0</v>
      </c>
      <c r="M126" s="351">
        <f t="shared" si="12"/>
        <v>0</v>
      </c>
      <c r="N126" s="354"/>
    </row>
    <row r="127" spans="1:14" s="355" customFormat="1" ht="32.25" customHeight="1">
      <c r="A127" s="347">
        <v>14</v>
      </c>
      <c r="B127" s="354" t="s">
        <v>1004</v>
      </c>
      <c r="C127" s="354" t="s">
        <v>979</v>
      </c>
      <c r="D127" s="350">
        <v>3.7120000000000002</v>
      </c>
      <c r="E127" s="351">
        <v>23112893</v>
      </c>
      <c r="F127" s="352">
        <f t="shared" si="7"/>
        <v>85795058.816</v>
      </c>
      <c r="G127" s="350">
        <v>3.5625</v>
      </c>
      <c r="H127" s="351">
        <v>23112893</v>
      </c>
      <c r="I127" s="352">
        <f t="shared" si="8"/>
        <v>82339681.3125</v>
      </c>
      <c r="J127" s="353">
        <f t="shared" si="9"/>
        <v>0.14950000000000019</v>
      </c>
      <c r="K127" s="352">
        <f t="shared" si="10"/>
        <v>3455377.5034999996</v>
      </c>
      <c r="L127" s="350">
        <f t="shared" si="11"/>
        <v>0</v>
      </c>
      <c r="M127" s="351">
        <f t="shared" si="12"/>
        <v>0</v>
      </c>
      <c r="N127" s="354"/>
    </row>
    <row r="128" spans="1:14" s="355" customFormat="1" ht="32.25" customHeight="1">
      <c r="A128" s="347">
        <v>15</v>
      </c>
      <c r="B128" s="354" t="s">
        <v>981</v>
      </c>
      <c r="C128" s="354" t="s">
        <v>979</v>
      </c>
      <c r="D128" s="350">
        <v>1.095</v>
      </c>
      <c r="E128" s="351">
        <v>22795827</v>
      </c>
      <c r="F128" s="352">
        <f t="shared" si="7"/>
        <v>24961430.564999998</v>
      </c>
      <c r="G128" s="350">
        <v>1.0523</v>
      </c>
      <c r="H128" s="351">
        <v>22795827</v>
      </c>
      <c r="I128" s="352">
        <f t="shared" si="8"/>
        <v>23988048.752100002</v>
      </c>
      <c r="J128" s="353">
        <f t="shared" si="9"/>
        <v>4.269999999999996E-2</v>
      </c>
      <c r="K128" s="352">
        <f t="shared" si="10"/>
        <v>973381.8128999956</v>
      </c>
      <c r="L128" s="350">
        <f t="shared" si="11"/>
        <v>0</v>
      </c>
      <c r="M128" s="351">
        <f t="shared" si="12"/>
        <v>0</v>
      </c>
      <c r="N128" s="354"/>
    </row>
    <row r="129" spans="1:14" s="355" customFormat="1" ht="32.25" customHeight="1">
      <c r="A129" s="347">
        <v>16</v>
      </c>
      <c r="B129" s="354" t="s">
        <v>982</v>
      </c>
      <c r="C129" s="354" t="s">
        <v>979</v>
      </c>
      <c r="D129" s="350">
        <v>1.0525</v>
      </c>
      <c r="E129" s="351">
        <v>24438803</v>
      </c>
      <c r="F129" s="352">
        <f t="shared" si="7"/>
        <v>25721840.157499999</v>
      </c>
      <c r="G129" s="350">
        <v>1.0148999999999999</v>
      </c>
      <c r="H129" s="351">
        <v>24438803</v>
      </c>
      <c r="I129" s="352">
        <f t="shared" si="8"/>
        <v>24802941.164699998</v>
      </c>
      <c r="J129" s="353">
        <f t="shared" si="9"/>
        <v>3.7600000000000078E-2</v>
      </c>
      <c r="K129" s="352">
        <f t="shared" si="10"/>
        <v>918898.99280000106</v>
      </c>
      <c r="L129" s="350">
        <f t="shared" si="11"/>
        <v>0</v>
      </c>
      <c r="M129" s="351">
        <f t="shared" si="12"/>
        <v>0</v>
      </c>
      <c r="N129" s="354"/>
    </row>
    <row r="130" spans="1:14" s="355" customFormat="1" ht="32.25" customHeight="1">
      <c r="A130" s="347">
        <v>17</v>
      </c>
      <c r="B130" s="354" t="s">
        <v>927</v>
      </c>
      <c r="C130" s="354" t="s">
        <v>901</v>
      </c>
      <c r="D130" s="350">
        <v>6.57</v>
      </c>
      <c r="E130" s="351">
        <v>2600494</v>
      </c>
      <c r="F130" s="352">
        <f t="shared" si="7"/>
        <v>17085245.580000002</v>
      </c>
      <c r="G130" s="350">
        <v>7.16</v>
      </c>
      <c r="H130" s="351">
        <v>2600494</v>
      </c>
      <c r="I130" s="352">
        <f t="shared" si="8"/>
        <v>18619537.039999999</v>
      </c>
      <c r="J130" s="353">
        <f t="shared" si="9"/>
        <v>0</v>
      </c>
      <c r="K130" s="352">
        <f t="shared" si="10"/>
        <v>0</v>
      </c>
      <c r="L130" s="350">
        <f t="shared" si="11"/>
        <v>0.58999999999999986</v>
      </c>
      <c r="M130" s="351">
        <f t="shared" si="12"/>
        <v>1534291.4599999972</v>
      </c>
      <c r="N130" s="354"/>
    </row>
    <row r="131" spans="1:14" s="355" customFormat="1" ht="32.25" customHeight="1">
      <c r="A131" s="347">
        <v>18</v>
      </c>
      <c r="B131" s="354" t="s">
        <v>959</v>
      </c>
      <c r="C131" s="354" t="s">
        <v>901</v>
      </c>
      <c r="D131" s="350">
        <v>46.268799999999999</v>
      </c>
      <c r="E131" s="351">
        <v>1537033</v>
      </c>
      <c r="F131" s="352">
        <f t="shared" si="7"/>
        <v>71116672.470400006</v>
      </c>
      <c r="G131" s="350">
        <v>45.828899999999997</v>
      </c>
      <c r="H131" s="351">
        <v>1537033</v>
      </c>
      <c r="I131" s="352">
        <f t="shared" si="8"/>
        <v>70440531.653699994</v>
      </c>
      <c r="J131" s="353">
        <f t="shared" si="9"/>
        <v>0.43990000000000151</v>
      </c>
      <c r="K131" s="352">
        <f t="shared" si="10"/>
        <v>676140.81670001149</v>
      </c>
      <c r="L131" s="350">
        <f t="shared" si="11"/>
        <v>0</v>
      </c>
      <c r="M131" s="351">
        <f t="shared" si="12"/>
        <v>0</v>
      </c>
      <c r="N131" s="354"/>
    </row>
    <row r="132" spans="1:14" s="355" customFormat="1" ht="32.25" customHeight="1">
      <c r="A132" s="347">
        <v>19</v>
      </c>
      <c r="B132" s="354" t="s">
        <v>983</v>
      </c>
      <c r="C132" s="354" t="s">
        <v>931</v>
      </c>
      <c r="D132" s="350">
        <v>528.76</v>
      </c>
      <c r="E132" s="351">
        <v>81113</v>
      </c>
      <c r="F132" s="352">
        <f t="shared" si="7"/>
        <v>42889309.880000003</v>
      </c>
      <c r="G132" s="350">
        <v>530.74</v>
      </c>
      <c r="H132" s="351">
        <v>81113</v>
      </c>
      <c r="I132" s="352">
        <f t="shared" si="8"/>
        <v>43049913.619999997</v>
      </c>
      <c r="J132" s="353">
        <f t="shared" si="9"/>
        <v>0</v>
      </c>
      <c r="K132" s="352">
        <f t="shared" si="10"/>
        <v>0</v>
      </c>
      <c r="L132" s="350">
        <f t="shared" si="11"/>
        <v>1.9800000000000182</v>
      </c>
      <c r="M132" s="351">
        <f t="shared" si="12"/>
        <v>160603.73999999464</v>
      </c>
      <c r="N132" s="354"/>
    </row>
    <row r="133" spans="1:14" s="355" customFormat="1" ht="32.25" customHeight="1">
      <c r="A133" s="347">
        <v>20</v>
      </c>
      <c r="B133" s="354" t="s">
        <v>1005</v>
      </c>
      <c r="C133" s="354" t="s">
        <v>931</v>
      </c>
      <c r="D133" s="350">
        <v>522.20000000000005</v>
      </c>
      <c r="E133" s="351">
        <v>105194</v>
      </c>
      <c r="F133" s="352">
        <f t="shared" si="7"/>
        <v>54932306.800000004</v>
      </c>
      <c r="G133" s="350">
        <v>513.52</v>
      </c>
      <c r="H133" s="351">
        <v>105194</v>
      </c>
      <c r="I133" s="352">
        <f t="shared" si="8"/>
        <v>54019222.879999995</v>
      </c>
      <c r="J133" s="353">
        <f t="shared" si="9"/>
        <v>8.6800000000000637</v>
      </c>
      <c r="K133" s="352">
        <f t="shared" si="10"/>
        <v>913083.92000000924</v>
      </c>
      <c r="L133" s="350">
        <f t="shared" si="11"/>
        <v>0</v>
      </c>
      <c r="M133" s="351">
        <f t="shared" si="12"/>
        <v>0</v>
      </c>
      <c r="N133" s="354"/>
    </row>
    <row r="134" spans="1:14" s="355" customFormat="1" ht="32.25" customHeight="1">
      <c r="A134" s="347">
        <v>21</v>
      </c>
      <c r="B134" s="354" t="s">
        <v>984</v>
      </c>
      <c r="C134" s="354" t="s">
        <v>931</v>
      </c>
      <c r="D134" s="350">
        <v>252</v>
      </c>
      <c r="E134" s="351">
        <v>76892</v>
      </c>
      <c r="F134" s="352">
        <f t="shared" ref="F134:F151" si="17">D134*E134</f>
        <v>19376784</v>
      </c>
      <c r="G134" s="350">
        <v>243</v>
      </c>
      <c r="H134" s="351">
        <v>76892</v>
      </c>
      <c r="I134" s="352">
        <f t="shared" ref="I134:I151" si="18">G134*H134</f>
        <v>18684756</v>
      </c>
      <c r="J134" s="353">
        <f t="shared" ref="J134:J151" si="19">MAX(D134-G134,0)</f>
        <v>9</v>
      </c>
      <c r="K134" s="352">
        <f t="shared" ref="K134:K151" si="20">MAX(F134-I134,0)</f>
        <v>692028</v>
      </c>
      <c r="L134" s="350">
        <f t="shared" ref="L134:L151" si="21">MAX(G134-D134,0)</f>
        <v>0</v>
      </c>
      <c r="M134" s="351">
        <f t="shared" ref="M134:M151" si="22">MAX(I134-F134,0)</f>
        <v>0</v>
      </c>
      <c r="N134" s="354"/>
    </row>
    <row r="135" spans="1:14" s="355" customFormat="1" ht="32.25" customHeight="1">
      <c r="A135" s="347">
        <v>22</v>
      </c>
      <c r="B135" s="354" t="s">
        <v>985</v>
      </c>
      <c r="C135" s="354" t="s">
        <v>931</v>
      </c>
      <c r="D135" s="350">
        <v>84</v>
      </c>
      <c r="E135" s="351">
        <v>60860</v>
      </c>
      <c r="F135" s="352">
        <f t="shared" si="17"/>
        <v>5112240</v>
      </c>
      <c r="G135" s="350">
        <v>81</v>
      </c>
      <c r="H135" s="351">
        <v>60860</v>
      </c>
      <c r="I135" s="352">
        <f t="shared" si="18"/>
        <v>4929660</v>
      </c>
      <c r="J135" s="353">
        <f t="shared" si="19"/>
        <v>3</v>
      </c>
      <c r="K135" s="352">
        <f t="shared" si="20"/>
        <v>182580</v>
      </c>
      <c r="L135" s="350">
        <f t="shared" si="21"/>
        <v>0</v>
      </c>
      <c r="M135" s="351">
        <f t="shared" si="22"/>
        <v>0</v>
      </c>
      <c r="N135" s="354"/>
    </row>
    <row r="136" spans="1:14" s="355" customFormat="1" ht="32.25" customHeight="1">
      <c r="A136" s="347">
        <v>23</v>
      </c>
      <c r="B136" s="354" t="s">
        <v>962</v>
      </c>
      <c r="C136" s="354" t="s">
        <v>986</v>
      </c>
      <c r="D136" s="350">
        <v>83</v>
      </c>
      <c r="E136" s="351">
        <v>81305</v>
      </c>
      <c r="F136" s="352">
        <f t="shared" si="17"/>
        <v>6748315</v>
      </c>
      <c r="G136" s="350">
        <v>80</v>
      </c>
      <c r="H136" s="351">
        <v>81305</v>
      </c>
      <c r="I136" s="352">
        <f t="shared" si="18"/>
        <v>6504400</v>
      </c>
      <c r="J136" s="353">
        <f t="shared" si="19"/>
        <v>3</v>
      </c>
      <c r="K136" s="352">
        <f t="shared" si="20"/>
        <v>243915</v>
      </c>
      <c r="L136" s="350">
        <f t="shared" si="21"/>
        <v>0</v>
      </c>
      <c r="M136" s="351">
        <f t="shared" si="22"/>
        <v>0</v>
      </c>
      <c r="N136" s="354"/>
    </row>
    <row r="137" spans="1:14" s="355" customFormat="1" ht="32.25" customHeight="1">
      <c r="A137" s="347">
        <v>24</v>
      </c>
      <c r="B137" s="354" t="s">
        <v>964</v>
      </c>
      <c r="C137" s="354" t="s">
        <v>986</v>
      </c>
      <c r="D137" s="350">
        <v>83</v>
      </c>
      <c r="E137" s="351">
        <v>64868</v>
      </c>
      <c r="F137" s="352">
        <f t="shared" si="17"/>
        <v>5384044</v>
      </c>
      <c r="G137" s="350">
        <v>80</v>
      </c>
      <c r="H137" s="351">
        <v>64868</v>
      </c>
      <c r="I137" s="352">
        <f t="shared" si="18"/>
        <v>5189440</v>
      </c>
      <c r="J137" s="353">
        <f t="shared" si="19"/>
        <v>3</v>
      </c>
      <c r="K137" s="352">
        <f t="shared" si="20"/>
        <v>194604</v>
      </c>
      <c r="L137" s="350">
        <f t="shared" si="21"/>
        <v>0</v>
      </c>
      <c r="M137" s="351">
        <f t="shared" si="22"/>
        <v>0</v>
      </c>
      <c r="N137" s="354"/>
    </row>
    <row r="138" spans="1:14" s="355" customFormat="1" ht="32.25" customHeight="1">
      <c r="A138" s="347">
        <v>25</v>
      </c>
      <c r="B138" s="354" t="s">
        <v>965</v>
      </c>
      <c r="C138" s="354" t="s">
        <v>931</v>
      </c>
      <c r="D138" s="350">
        <v>168</v>
      </c>
      <c r="E138" s="351">
        <v>47287</v>
      </c>
      <c r="F138" s="352">
        <f t="shared" si="17"/>
        <v>7944216</v>
      </c>
      <c r="G138" s="350">
        <v>162</v>
      </c>
      <c r="H138" s="351">
        <v>47287</v>
      </c>
      <c r="I138" s="352">
        <f t="shared" si="18"/>
        <v>7660494</v>
      </c>
      <c r="J138" s="353">
        <f t="shared" si="19"/>
        <v>6</v>
      </c>
      <c r="K138" s="352">
        <f t="shared" si="20"/>
        <v>283722</v>
      </c>
      <c r="L138" s="350">
        <f t="shared" si="21"/>
        <v>0</v>
      </c>
      <c r="M138" s="351">
        <f t="shared" si="22"/>
        <v>0</v>
      </c>
      <c r="N138" s="354"/>
    </row>
    <row r="139" spans="1:14" s="355" customFormat="1" ht="32.25" customHeight="1">
      <c r="A139" s="347">
        <v>26</v>
      </c>
      <c r="B139" s="354" t="s">
        <v>987</v>
      </c>
      <c r="C139" s="354" t="s">
        <v>979</v>
      </c>
      <c r="D139" s="350">
        <v>1.8243</v>
      </c>
      <c r="E139" s="351">
        <v>29584362</v>
      </c>
      <c r="F139" s="352">
        <f t="shared" si="17"/>
        <v>53970751.596600004</v>
      </c>
      <c r="G139" s="350">
        <v>1.7584</v>
      </c>
      <c r="H139" s="351">
        <v>29584362</v>
      </c>
      <c r="I139" s="352">
        <f t="shared" si="18"/>
        <v>52021142.140799999</v>
      </c>
      <c r="J139" s="353">
        <f t="shared" si="19"/>
        <v>6.590000000000007E-2</v>
      </c>
      <c r="K139" s="352">
        <f t="shared" si="20"/>
        <v>1949609.4558000043</v>
      </c>
      <c r="L139" s="350">
        <f t="shared" si="21"/>
        <v>0</v>
      </c>
      <c r="M139" s="351">
        <f t="shared" si="22"/>
        <v>0</v>
      </c>
      <c r="N139" s="354"/>
    </row>
    <row r="140" spans="1:14" s="355" customFormat="1" ht="32.25" customHeight="1">
      <c r="A140" s="347">
        <v>27</v>
      </c>
      <c r="B140" s="354" t="s">
        <v>957</v>
      </c>
      <c r="C140" s="354" t="s">
        <v>979</v>
      </c>
      <c r="D140" s="350">
        <v>1.8243</v>
      </c>
      <c r="E140" s="351">
        <v>2401505</v>
      </c>
      <c r="F140" s="352">
        <f t="shared" si="17"/>
        <v>4381065.5715000005</v>
      </c>
      <c r="G140" s="350">
        <v>1.7584</v>
      </c>
      <c r="H140" s="351">
        <v>2401505</v>
      </c>
      <c r="I140" s="352">
        <f>G140*H140</f>
        <v>4222806.392</v>
      </c>
      <c r="J140" s="353">
        <f t="shared" si="19"/>
        <v>6.590000000000007E-2</v>
      </c>
      <c r="K140" s="352">
        <f t="shared" si="20"/>
        <v>158259.17950000055</v>
      </c>
      <c r="L140" s="350">
        <f t="shared" si="21"/>
        <v>0</v>
      </c>
      <c r="M140" s="351">
        <f t="shared" si="22"/>
        <v>0</v>
      </c>
      <c r="N140" s="354"/>
    </row>
    <row r="141" spans="1:14" s="355" customFormat="1" ht="32.25" customHeight="1">
      <c r="A141" s="347">
        <v>28</v>
      </c>
      <c r="B141" s="354" t="s">
        <v>1006</v>
      </c>
      <c r="C141" s="354" t="s">
        <v>915</v>
      </c>
      <c r="D141" s="350">
        <v>4.6479999999999997</v>
      </c>
      <c r="E141" s="351">
        <v>16515504</v>
      </c>
      <c r="F141" s="352">
        <f t="shared" si="17"/>
        <v>76764062.591999993</v>
      </c>
      <c r="G141" s="350">
        <v>4.4800000000000004</v>
      </c>
      <c r="H141" s="351">
        <v>26515504</v>
      </c>
      <c r="I141" s="352">
        <f t="shared" si="18"/>
        <v>118789457.92000002</v>
      </c>
      <c r="J141" s="353">
        <f t="shared" si="19"/>
        <v>0.16799999999999926</v>
      </c>
      <c r="K141" s="352">
        <f t="shared" si="20"/>
        <v>0</v>
      </c>
      <c r="L141" s="350">
        <f t="shared" si="21"/>
        <v>0</v>
      </c>
      <c r="M141" s="351">
        <f t="shared" si="22"/>
        <v>42025395.328000024</v>
      </c>
      <c r="N141" s="354"/>
    </row>
    <row r="142" spans="1:14" s="355" customFormat="1" ht="32.25" customHeight="1">
      <c r="A142" s="347">
        <v>29</v>
      </c>
      <c r="B142" s="354" t="s">
        <v>960</v>
      </c>
      <c r="C142" s="354" t="s">
        <v>931</v>
      </c>
      <c r="D142" s="350">
        <v>415</v>
      </c>
      <c r="E142" s="351">
        <v>191935</v>
      </c>
      <c r="F142" s="352">
        <f t="shared" si="17"/>
        <v>79653025</v>
      </c>
      <c r="G142" s="350">
        <v>0</v>
      </c>
      <c r="H142" s="351">
        <v>191935</v>
      </c>
      <c r="I142" s="352">
        <f t="shared" si="18"/>
        <v>0</v>
      </c>
      <c r="J142" s="353">
        <f t="shared" si="19"/>
        <v>415</v>
      </c>
      <c r="K142" s="352">
        <f t="shared" si="20"/>
        <v>79653025</v>
      </c>
      <c r="L142" s="350">
        <f t="shared" si="21"/>
        <v>0</v>
      </c>
      <c r="M142" s="351">
        <f t="shared" si="22"/>
        <v>0</v>
      </c>
      <c r="N142" s="354"/>
    </row>
    <row r="143" spans="1:14" s="355" customFormat="1" ht="32.25" customHeight="1">
      <c r="A143" s="347">
        <v>30</v>
      </c>
      <c r="B143" s="354" t="s">
        <v>952</v>
      </c>
      <c r="C143" s="354" t="s">
        <v>901</v>
      </c>
      <c r="D143" s="350">
        <v>51.46</v>
      </c>
      <c r="E143" s="351">
        <v>1676247</v>
      </c>
      <c r="F143" s="352">
        <f t="shared" si="17"/>
        <v>86259670.620000005</v>
      </c>
      <c r="G143" s="350">
        <v>49.6</v>
      </c>
      <c r="H143" s="351">
        <v>1676247</v>
      </c>
      <c r="I143" s="352">
        <f t="shared" si="18"/>
        <v>83141851.200000003</v>
      </c>
      <c r="J143" s="353">
        <f t="shared" si="19"/>
        <v>1.8599999999999994</v>
      </c>
      <c r="K143" s="352">
        <f t="shared" si="20"/>
        <v>3117819.4200000018</v>
      </c>
      <c r="L143" s="350">
        <f t="shared" si="21"/>
        <v>0</v>
      </c>
      <c r="M143" s="351">
        <f t="shared" si="22"/>
        <v>0</v>
      </c>
      <c r="N143" s="354"/>
    </row>
    <row r="144" spans="1:14" s="355" customFormat="1" ht="32.25" customHeight="1">
      <c r="A144" s="347">
        <v>31</v>
      </c>
      <c r="B144" s="354" t="s">
        <v>925</v>
      </c>
      <c r="C144" s="354" t="s">
        <v>915</v>
      </c>
      <c r="D144" s="350">
        <v>4.9800000000000004</v>
      </c>
      <c r="E144" s="351">
        <v>682496</v>
      </c>
      <c r="F144" s="352">
        <f t="shared" si="17"/>
        <v>3398830.0800000001</v>
      </c>
      <c r="G144" s="350">
        <v>4.8</v>
      </c>
      <c r="H144" s="351">
        <v>682496</v>
      </c>
      <c r="I144" s="352">
        <f t="shared" si="18"/>
        <v>3275980.7999999998</v>
      </c>
      <c r="J144" s="353">
        <f t="shared" si="19"/>
        <v>0.1800000000000006</v>
      </c>
      <c r="K144" s="352">
        <f t="shared" si="20"/>
        <v>122849.28000000026</v>
      </c>
      <c r="L144" s="350">
        <f t="shared" si="21"/>
        <v>0</v>
      </c>
      <c r="M144" s="351">
        <f t="shared" si="22"/>
        <v>0</v>
      </c>
      <c r="N144" s="354"/>
    </row>
    <row r="145" spans="1:14" s="355" customFormat="1" ht="32.25" customHeight="1">
      <c r="A145" s="347">
        <v>32</v>
      </c>
      <c r="B145" s="354" t="s">
        <v>992</v>
      </c>
      <c r="C145" s="354" t="s">
        <v>931</v>
      </c>
      <c r="D145" s="350">
        <v>506.3</v>
      </c>
      <c r="E145" s="351">
        <v>187552</v>
      </c>
      <c r="F145" s="352">
        <f t="shared" si="17"/>
        <v>94957577.600000009</v>
      </c>
      <c r="G145" s="350">
        <v>488</v>
      </c>
      <c r="H145" s="351">
        <v>100000</v>
      </c>
      <c r="I145" s="352">
        <f t="shared" si="18"/>
        <v>48800000</v>
      </c>
      <c r="J145" s="353">
        <f t="shared" si="19"/>
        <v>18.300000000000011</v>
      </c>
      <c r="K145" s="352">
        <f t="shared" si="20"/>
        <v>46157577.600000009</v>
      </c>
      <c r="L145" s="350">
        <f t="shared" si="21"/>
        <v>0</v>
      </c>
      <c r="M145" s="351">
        <f t="shared" si="22"/>
        <v>0</v>
      </c>
      <c r="N145" s="354"/>
    </row>
    <row r="146" spans="1:14" s="355" customFormat="1" ht="32.25" customHeight="1">
      <c r="A146" s="347">
        <v>33</v>
      </c>
      <c r="B146" s="354" t="s">
        <v>993</v>
      </c>
      <c r="C146" s="354" t="s">
        <v>931</v>
      </c>
      <c r="D146" s="350">
        <v>515.17999999999995</v>
      </c>
      <c r="E146" s="351">
        <v>302602</v>
      </c>
      <c r="F146" s="352">
        <f t="shared" si="17"/>
        <v>155894498.35999998</v>
      </c>
      <c r="G146" s="350">
        <v>513.95000000000005</v>
      </c>
      <c r="H146" s="351">
        <v>120000</v>
      </c>
      <c r="I146" s="352">
        <f t="shared" si="18"/>
        <v>61674000.000000007</v>
      </c>
      <c r="J146" s="353">
        <f t="shared" si="19"/>
        <v>1.2299999999999045</v>
      </c>
      <c r="K146" s="352">
        <f t="shared" si="20"/>
        <v>94220498.359999985</v>
      </c>
      <c r="L146" s="350">
        <f t="shared" si="21"/>
        <v>0</v>
      </c>
      <c r="M146" s="351">
        <f t="shared" si="22"/>
        <v>0</v>
      </c>
      <c r="N146" s="354"/>
    </row>
    <row r="147" spans="1:14" s="355" customFormat="1" ht="32.25" customHeight="1">
      <c r="A147" s="347">
        <v>34</v>
      </c>
      <c r="B147" s="354" t="s">
        <v>934</v>
      </c>
      <c r="C147" s="354" t="s">
        <v>931</v>
      </c>
      <c r="D147" s="350">
        <v>780.76</v>
      </c>
      <c r="E147" s="351">
        <v>83662</v>
      </c>
      <c r="F147" s="352">
        <f t="shared" si="17"/>
        <v>65319943.119999997</v>
      </c>
      <c r="G147" s="350">
        <v>775.01</v>
      </c>
      <c r="H147" s="351">
        <v>83662</v>
      </c>
      <c r="I147" s="352">
        <f>G147*H147</f>
        <v>64838886.619999997</v>
      </c>
      <c r="J147" s="353">
        <f t="shared" si="19"/>
        <v>5.75</v>
      </c>
      <c r="K147" s="352">
        <f t="shared" si="20"/>
        <v>481056.5</v>
      </c>
      <c r="L147" s="350">
        <f t="shared" si="21"/>
        <v>0</v>
      </c>
      <c r="M147" s="351">
        <f t="shared" si="22"/>
        <v>0</v>
      </c>
      <c r="N147" s="354"/>
    </row>
    <row r="148" spans="1:14" s="355" customFormat="1" ht="32.25" customHeight="1">
      <c r="A148" s="347">
        <v>35</v>
      </c>
      <c r="B148" s="354" t="s">
        <v>1007</v>
      </c>
      <c r="C148" s="354" t="s">
        <v>931</v>
      </c>
      <c r="D148" s="350">
        <v>780.76</v>
      </c>
      <c r="E148" s="351">
        <v>59365</v>
      </c>
      <c r="F148" s="352">
        <f t="shared" si="17"/>
        <v>46349817.399999999</v>
      </c>
      <c r="G148" s="350">
        <v>775.01</v>
      </c>
      <c r="H148" s="351">
        <v>29710</v>
      </c>
      <c r="I148" s="352">
        <f>G148*H148</f>
        <v>23025547.100000001</v>
      </c>
      <c r="J148" s="353">
        <f t="shared" si="19"/>
        <v>5.75</v>
      </c>
      <c r="K148" s="352">
        <f t="shared" si="20"/>
        <v>23324270.299999997</v>
      </c>
      <c r="L148" s="350">
        <f t="shared" si="21"/>
        <v>0</v>
      </c>
      <c r="M148" s="351">
        <f t="shared" si="22"/>
        <v>0</v>
      </c>
      <c r="N148" s="354"/>
    </row>
    <row r="149" spans="1:14" ht="32.25" customHeight="1">
      <c r="A149" s="345">
        <v>36</v>
      </c>
      <c r="B149" s="343" t="s">
        <v>969</v>
      </c>
      <c r="C149" s="343" t="s">
        <v>940</v>
      </c>
      <c r="D149" s="341">
        <v>0.6</v>
      </c>
      <c r="E149" s="342">
        <v>14072168</v>
      </c>
      <c r="F149" s="340">
        <f t="shared" si="17"/>
        <v>8443300.7999999989</v>
      </c>
      <c r="G149" s="341">
        <v>0.6</v>
      </c>
      <c r="H149" s="342">
        <v>14072168</v>
      </c>
      <c r="I149" s="340">
        <f t="shared" si="18"/>
        <v>8443300.7999999989</v>
      </c>
      <c r="J149" s="339">
        <f t="shared" si="19"/>
        <v>0</v>
      </c>
      <c r="K149" s="340">
        <f t="shared" si="20"/>
        <v>0</v>
      </c>
      <c r="L149" s="341">
        <f t="shared" si="21"/>
        <v>0</v>
      </c>
      <c r="M149" s="342">
        <f t="shared" si="22"/>
        <v>0</v>
      </c>
      <c r="N149" s="343"/>
    </row>
    <row r="150" spans="1:14" ht="32.25" customHeight="1">
      <c r="A150" s="345">
        <v>37</v>
      </c>
      <c r="B150" s="343" t="s">
        <v>970</v>
      </c>
      <c r="C150" s="343" t="s">
        <v>995</v>
      </c>
      <c r="D150" s="341">
        <v>10</v>
      </c>
      <c r="E150" s="342">
        <v>44770</v>
      </c>
      <c r="F150" s="340">
        <f t="shared" si="17"/>
        <v>447700</v>
      </c>
      <c r="G150" s="341">
        <v>10</v>
      </c>
      <c r="H150" s="342">
        <v>44770</v>
      </c>
      <c r="I150" s="340">
        <f t="shared" si="18"/>
        <v>447700</v>
      </c>
      <c r="J150" s="339">
        <f t="shared" si="19"/>
        <v>0</v>
      </c>
      <c r="K150" s="340">
        <f t="shared" si="20"/>
        <v>0</v>
      </c>
      <c r="L150" s="341">
        <f t="shared" si="21"/>
        <v>0</v>
      </c>
      <c r="M150" s="342">
        <f t="shared" si="22"/>
        <v>0</v>
      </c>
      <c r="N150" s="343"/>
    </row>
    <row r="151" spans="1:14" ht="32.25" customHeight="1">
      <c r="A151" s="345">
        <v>38</v>
      </c>
      <c r="B151" s="343"/>
      <c r="C151" s="343"/>
      <c r="D151" s="341"/>
      <c r="E151" s="342"/>
      <c r="F151" s="340">
        <f t="shared" si="17"/>
        <v>0</v>
      </c>
      <c r="G151" s="341"/>
      <c r="H151" s="342"/>
      <c r="I151" s="340">
        <f t="shared" si="18"/>
        <v>0</v>
      </c>
      <c r="J151" s="339">
        <f t="shared" si="19"/>
        <v>0</v>
      </c>
      <c r="K151" s="340">
        <f t="shared" si="20"/>
        <v>0</v>
      </c>
      <c r="L151" s="341">
        <f t="shared" si="21"/>
        <v>0</v>
      </c>
      <c r="M151" s="342">
        <f t="shared" si="22"/>
        <v>0</v>
      </c>
      <c r="N151" s="343"/>
    </row>
    <row r="152" spans="1:14" s="330" customFormat="1" ht="32.25" customHeight="1">
      <c r="A152" s="515" t="s">
        <v>94</v>
      </c>
      <c r="B152" s="515"/>
      <c r="C152" s="515"/>
      <c r="D152" s="331"/>
      <c r="E152" s="332"/>
      <c r="F152" s="332">
        <f>SUM(F113:F151)</f>
        <v>1559239216.9536996</v>
      </c>
      <c r="G152" s="331"/>
      <c r="H152" s="332"/>
      <c r="I152" s="332">
        <f t="shared" ref="I152" si="23">SUM(I113:I151)</f>
        <v>1321324080.0392997</v>
      </c>
      <c r="J152" s="331"/>
      <c r="K152" s="332">
        <f t="shared" ref="K152" si="24">SUM(K113:K151)</f>
        <v>290032686.3064</v>
      </c>
      <c r="L152" s="331"/>
      <c r="M152" s="332">
        <f t="shared" ref="M152" si="25">SUM(M113:M151)</f>
        <v>52117549.39200002</v>
      </c>
      <c r="N152" s="363"/>
    </row>
    <row r="153" spans="1:14" ht="32.25" customHeight="1">
      <c r="A153" s="515" t="s">
        <v>1008</v>
      </c>
      <c r="B153" s="515"/>
      <c r="C153" s="515"/>
      <c r="D153" s="341"/>
      <c r="E153" s="342"/>
      <c r="F153" s="340"/>
      <c r="G153" s="341"/>
      <c r="H153" s="342"/>
      <c r="I153" s="340"/>
      <c r="J153" s="339"/>
      <c r="K153" s="340"/>
      <c r="L153" s="341"/>
      <c r="M153" s="342"/>
      <c r="N153" s="343"/>
    </row>
    <row r="154" spans="1:14" ht="32.25" customHeight="1">
      <c r="A154" s="345">
        <v>1</v>
      </c>
      <c r="B154" s="343" t="s">
        <v>900</v>
      </c>
      <c r="C154" s="343" t="s">
        <v>901</v>
      </c>
      <c r="D154" s="341">
        <v>123.30240000000001</v>
      </c>
      <c r="E154" s="342">
        <v>157313</v>
      </c>
      <c r="F154" s="340">
        <f t="shared" ref="F154:F179" si="26">D154*E154</f>
        <v>19397070.451200001</v>
      </c>
      <c r="G154" s="341">
        <v>123.30240000000001</v>
      </c>
      <c r="H154" s="342">
        <v>157313</v>
      </c>
      <c r="I154" s="340">
        <f t="shared" ref="I154:I179" si="27">G154*H154</f>
        <v>19397070.451200001</v>
      </c>
      <c r="J154" s="339">
        <f t="shared" ref="J154:J179" si="28">MAX(D154-G154,0)</f>
        <v>0</v>
      </c>
      <c r="K154" s="340">
        <f t="shared" ref="K154:K179" si="29">MAX(F154-I154,0)</f>
        <v>0</v>
      </c>
      <c r="L154" s="341">
        <f t="shared" ref="L154:L179" si="30">MAX(G154-D154,0)</f>
        <v>0</v>
      </c>
      <c r="M154" s="342">
        <f t="shared" ref="M154:M179" si="31">MAX(I154-F154,0)</f>
        <v>0</v>
      </c>
      <c r="N154" s="343" t="s">
        <v>1009</v>
      </c>
    </row>
    <row r="155" spans="1:14" ht="32.25" customHeight="1">
      <c r="A155" s="345">
        <v>2</v>
      </c>
      <c r="B155" s="343" t="s">
        <v>997</v>
      </c>
      <c r="C155" s="343" t="s">
        <v>901</v>
      </c>
      <c r="D155" s="341">
        <v>41.1008</v>
      </c>
      <c r="E155" s="342">
        <v>124076</v>
      </c>
      <c r="F155" s="340">
        <f t="shared" si="26"/>
        <v>5099622.8607999999</v>
      </c>
      <c r="G155" s="341">
        <v>41.1008</v>
      </c>
      <c r="H155" s="342">
        <v>124076</v>
      </c>
      <c r="I155" s="340">
        <f t="shared" si="27"/>
        <v>5099622.8607999999</v>
      </c>
      <c r="J155" s="339">
        <f t="shared" si="28"/>
        <v>0</v>
      </c>
      <c r="K155" s="340">
        <f t="shared" si="29"/>
        <v>0</v>
      </c>
      <c r="L155" s="341">
        <f t="shared" si="30"/>
        <v>0</v>
      </c>
      <c r="M155" s="342">
        <f t="shared" si="31"/>
        <v>0</v>
      </c>
      <c r="N155" s="343"/>
    </row>
    <row r="156" spans="1:14" ht="32.25" customHeight="1">
      <c r="A156" s="345">
        <v>3</v>
      </c>
      <c r="B156" s="343" t="s">
        <v>1010</v>
      </c>
      <c r="C156" s="343" t="s">
        <v>940</v>
      </c>
      <c r="D156" s="341">
        <v>42.625</v>
      </c>
      <c r="E156" s="342">
        <v>1206690</v>
      </c>
      <c r="F156" s="340">
        <f t="shared" si="26"/>
        <v>51435161.25</v>
      </c>
      <c r="G156" s="341">
        <v>42.625</v>
      </c>
      <c r="H156" s="342">
        <v>1206690</v>
      </c>
      <c r="I156" s="340">
        <f t="shared" si="27"/>
        <v>51435161.25</v>
      </c>
      <c r="J156" s="339">
        <f t="shared" si="28"/>
        <v>0</v>
      </c>
      <c r="K156" s="340">
        <f t="shared" si="29"/>
        <v>0</v>
      </c>
      <c r="L156" s="341">
        <f t="shared" si="30"/>
        <v>0</v>
      </c>
      <c r="M156" s="342">
        <f t="shared" si="31"/>
        <v>0</v>
      </c>
      <c r="N156" s="343"/>
    </row>
    <row r="157" spans="1:14" ht="32.25" customHeight="1">
      <c r="A157" s="345">
        <v>4</v>
      </c>
      <c r="B157" s="343" t="s">
        <v>1011</v>
      </c>
      <c r="C157" s="343" t="s">
        <v>901</v>
      </c>
      <c r="D157" s="341">
        <v>3.6480000000000001</v>
      </c>
      <c r="E157" s="342">
        <v>1283592</v>
      </c>
      <c r="F157" s="340">
        <f t="shared" si="26"/>
        <v>4682543.6160000004</v>
      </c>
      <c r="G157" s="341">
        <v>3.6480000000000001</v>
      </c>
      <c r="H157" s="342">
        <v>1283592</v>
      </c>
      <c r="I157" s="340">
        <f t="shared" si="27"/>
        <v>4682543.6160000004</v>
      </c>
      <c r="J157" s="339">
        <f t="shared" si="28"/>
        <v>0</v>
      </c>
      <c r="K157" s="340">
        <f t="shared" si="29"/>
        <v>0</v>
      </c>
      <c r="L157" s="341">
        <f t="shared" si="30"/>
        <v>0</v>
      </c>
      <c r="M157" s="342">
        <f t="shared" si="31"/>
        <v>0</v>
      </c>
      <c r="N157" s="343"/>
    </row>
    <row r="158" spans="1:14" ht="32.25" customHeight="1">
      <c r="A158" s="345">
        <v>5</v>
      </c>
      <c r="B158" s="343" t="s">
        <v>1000</v>
      </c>
      <c r="C158" s="343" t="s">
        <v>901</v>
      </c>
      <c r="D158" s="341">
        <v>4.6440000000000001</v>
      </c>
      <c r="E158" s="342">
        <v>2216701</v>
      </c>
      <c r="F158" s="340">
        <f t="shared" si="26"/>
        <v>10294359.444</v>
      </c>
      <c r="G158" s="341">
        <v>4.6440000000000001</v>
      </c>
      <c r="H158" s="342">
        <v>2216701</v>
      </c>
      <c r="I158" s="340">
        <f t="shared" si="27"/>
        <v>10294359.444</v>
      </c>
      <c r="J158" s="339">
        <f t="shared" si="28"/>
        <v>0</v>
      </c>
      <c r="K158" s="340">
        <f t="shared" si="29"/>
        <v>0</v>
      </c>
      <c r="L158" s="341">
        <f t="shared" si="30"/>
        <v>0</v>
      </c>
      <c r="M158" s="342">
        <f t="shared" si="31"/>
        <v>0</v>
      </c>
      <c r="N158" s="343"/>
    </row>
    <row r="159" spans="1:14" ht="32.25" customHeight="1">
      <c r="A159" s="345">
        <v>6</v>
      </c>
      <c r="B159" s="343" t="s">
        <v>975</v>
      </c>
      <c r="C159" s="343" t="s">
        <v>901</v>
      </c>
      <c r="D159" s="341">
        <v>2</v>
      </c>
      <c r="E159" s="342">
        <v>2543579</v>
      </c>
      <c r="F159" s="340">
        <f t="shared" si="26"/>
        <v>5087158</v>
      </c>
      <c r="G159" s="341">
        <v>2</v>
      </c>
      <c r="H159" s="342">
        <v>2543579</v>
      </c>
      <c r="I159" s="340">
        <f t="shared" si="27"/>
        <v>5087158</v>
      </c>
      <c r="J159" s="339">
        <f t="shared" si="28"/>
        <v>0</v>
      </c>
      <c r="K159" s="340">
        <f t="shared" si="29"/>
        <v>0</v>
      </c>
      <c r="L159" s="341">
        <f t="shared" si="30"/>
        <v>0</v>
      </c>
      <c r="M159" s="342">
        <f t="shared" si="31"/>
        <v>0</v>
      </c>
      <c r="N159" s="343"/>
    </row>
    <row r="160" spans="1:14" ht="32.25" customHeight="1">
      <c r="A160" s="345">
        <v>7</v>
      </c>
      <c r="B160" s="343" t="s">
        <v>1012</v>
      </c>
      <c r="C160" s="343" t="s">
        <v>901</v>
      </c>
      <c r="D160" s="341">
        <v>24.95</v>
      </c>
      <c r="E160" s="342">
        <v>2522566</v>
      </c>
      <c r="F160" s="340">
        <f t="shared" si="26"/>
        <v>62938021.699999996</v>
      </c>
      <c r="G160" s="341">
        <v>24.95</v>
      </c>
      <c r="H160" s="342">
        <v>2522566</v>
      </c>
      <c r="I160" s="340">
        <f t="shared" si="27"/>
        <v>62938021.699999996</v>
      </c>
      <c r="J160" s="339">
        <f t="shared" si="28"/>
        <v>0</v>
      </c>
      <c r="K160" s="340">
        <f t="shared" si="29"/>
        <v>0</v>
      </c>
      <c r="L160" s="341">
        <f t="shared" si="30"/>
        <v>0</v>
      </c>
      <c r="M160" s="342">
        <f t="shared" si="31"/>
        <v>0</v>
      </c>
      <c r="N160" s="343"/>
    </row>
    <row r="161" spans="1:14" ht="32.25" customHeight="1">
      <c r="A161" s="345">
        <v>8</v>
      </c>
      <c r="B161" s="343" t="s">
        <v>1013</v>
      </c>
      <c r="C161" s="343" t="s">
        <v>901</v>
      </c>
      <c r="D161" s="341">
        <v>2.9580000000000002</v>
      </c>
      <c r="E161" s="342">
        <v>1944442</v>
      </c>
      <c r="F161" s="340">
        <f t="shared" si="26"/>
        <v>5751659.4360000007</v>
      </c>
      <c r="G161" s="341">
        <v>2.9580000000000002</v>
      </c>
      <c r="H161" s="342">
        <v>1944442</v>
      </c>
      <c r="I161" s="340">
        <f t="shared" si="27"/>
        <v>5751659.4360000007</v>
      </c>
      <c r="J161" s="339">
        <f t="shared" si="28"/>
        <v>0</v>
      </c>
      <c r="K161" s="340">
        <f t="shared" si="29"/>
        <v>0</v>
      </c>
      <c r="L161" s="341">
        <f t="shared" si="30"/>
        <v>0</v>
      </c>
      <c r="M161" s="342">
        <f t="shared" si="31"/>
        <v>0</v>
      </c>
      <c r="N161" s="343"/>
    </row>
    <row r="162" spans="1:14" ht="32.25" customHeight="1">
      <c r="A162" s="345">
        <v>9</v>
      </c>
      <c r="B162" s="343" t="s">
        <v>1014</v>
      </c>
      <c r="C162" s="343" t="s">
        <v>915</v>
      </c>
      <c r="D162" s="341">
        <v>0.53779999999999994</v>
      </c>
      <c r="E162" s="342">
        <v>21613723</v>
      </c>
      <c r="F162" s="340">
        <f t="shared" si="26"/>
        <v>11623860.2294</v>
      </c>
      <c r="G162" s="341">
        <v>0.53779999999999994</v>
      </c>
      <c r="H162" s="342">
        <v>21613723</v>
      </c>
      <c r="I162" s="340">
        <f t="shared" si="27"/>
        <v>11623860.2294</v>
      </c>
      <c r="J162" s="339">
        <f t="shared" si="28"/>
        <v>0</v>
      </c>
      <c r="K162" s="340">
        <f t="shared" si="29"/>
        <v>0</v>
      </c>
      <c r="L162" s="341">
        <f t="shared" si="30"/>
        <v>0</v>
      </c>
      <c r="M162" s="342">
        <f t="shared" si="31"/>
        <v>0</v>
      </c>
      <c r="N162" s="343"/>
    </row>
    <row r="163" spans="1:14" ht="32.25" customHeight="1">
      <c r="A163" s="345">
        <v>10</v>
      </c>
      <c r="B163" s="343" t="s">
        <v>947</v>
      </c>
      <c r="C163" s="343" t="s">
        <v>915</v>
      </c>
      <c r="D163" s="341">
        <v>0.4</v>
      </c>
      <c r="E163" s="342">
        <v>17821387</v>
      </c>
      <c r="F163" s="340">
        <f t="shared" si="26"/>
        <v>7128554.8000000007</v>
      </c>
      <c r="G163" s="341">
        <v>0.4</v>
      </c>
      <c r="H163" s="342">
        <v>17821387</v>
      </c>
      <c r="I163" s="340">
        <f t="shared" si="27"/>
        <v>7128554.8000000007</v>
      </c>
      <c r="J163" s="339">
        <f t="shared" si="28"/>
        <v>0</v>
      </c>
      <c r="K163" s="340">
        <f t="shared" si="29"/>
        <v>0</v>
      </c>
      <c r="L163" s="341">
        <f t="shared" si="30"/>
        <v>0</v>
      </c>
      <c r="M163" s="342">
        <f t="shared" si="31"/>
        <v>0</v>
      </c>
      <c r="N163" s="343"/>
    </row>
    <row r="164" spans="1:14" ht="32.25" customHeight="1">
      <c r="A164" s="345">
        <v>11</v>
      </c>
      <c r="B164" s="343" t="s">
        <v>1015</v>
      </c>
      <c r="C164" s="343" t="s">
        <v>915</v>
      </c>
      <c r="D164" s="341">
        <v>1.7678</v>
      </c>
      <c r="E164" s="342">
        <v>16155898</v>
      </c>
      <c r="F164" s="340">
        <f t="shared" si="26"/>
        <v>28560396.4844</v>
      </c>
      <c r="G164" s="341">
        <v>1.7678</v>
      </c>
      <c r="H164" s="342">
        <v>16155898</v>
      </c>
      <c r="I164" s="340">
        <f t="shared" si="27"/>
        <v>28560396.4844</v>
      </c>
      <c r="J164" s="339">
        <f t="shared" si="28"/>
        <v>0</v>
      </c>
      <c r="K164" s="340">
        <f t="shared" si="29"/>
        <v>0</v>
      </c>
      <c r="L164" s="341">
        <f t="shared" si="30"/>
        <v>0</v>
      </c>
      <c r="M164" s="342">
        <f t="shared" si="31"/>
        <v>0</v>
      </c>
      <c r="N164" s="343"/>
    </row>
    <row r="165" spans="1:14" ht="32.25" customHeight="1">
      <c r="A165" s="345">
        <v>12</v>
      </c>
      <c r="B165" s="343" t="s">
        <v>1016</v>
      </c>
      <c r="C165" s="343" t="s">
        <v>915</v>
      </c>
      <c r="D165" s="341">
        <v>0.29580000000000001</v>
      </c>
      <c r="E165" s="342">
        <v>17179470</v>
      </c>
      <c r="F165" s="340">
        <f t="shared" si="26"/>
        <v>5081687.2259999998</v>
      </c>
      <c r="G165" s="341">
        <v>0.29580000000000001</v>
      </c>
      <c r="H165" s="342">
        <v>17179470</v>
      </c>
      <c r="I165" s="340">
        <f t="shared" si="27"/>
        <v>5081687.2259999998</v>
      </c>
      <c r="J165" s="339">
        <f t="shared" si="28"/>
        <v>0</v>
      </c>
      <c r="K165" s="340">
        <f t="shared" si="29"/>
        <v>0</v>
      </c>
      <c r="L165" s="341">
        <f t="shared" si="30"/>
        <v>0</v>
      </c>
      <c r="M165" s="342">
        <f t="shared" si="31"/>
        <v>0</v>
      </c>
      <c r="N165" s="343"/>
    </row>
    <row r="166" spans="1:14" ht="32.25" customHeight="1">
      <c r="A166" s="345">
        <v>13</v>
      </c>
      <c r="B166" s="343" t="s">
        <v>1017</v>
      </c>
      <c r="C166" s="343" t="s">
        <v>920</v>
      </c>
      <c r="D166" s="341">
        <v>1.0991</v>
      </c>
      <c r="E166" s="342">
        <v>23112893</v>
      </c>
      <c r="F166" s="340">
        <f t="shared" si="26"/>
        <v>25403380.6963</v>
      </c>
      <c r="G166" s="341">
        <v>1.0991</v>
      </c>
      <c r="H166" s="342">
        <v>23112893</v>
      </c>
      <c r="I166" s="340">
        <f t="shared" si="27"/>
        <v>25403380.6963</v>
      </c>
      <c r="J166" s="339">
        <f t="shared" si="28"/>
        <v>0</v>
      </c>
      <c r="K166" s="340">
        <f t="shared" si="29"/>
        <v>0</v>
      </c>
      <c r="L166" s="341">
        <f t="shared" si="30"/>
        <v>0</v>
      </c>
      <c r="M166" s="342">
        <f t="shared" si="31"/>
        <v>0</v>
      </c>
      <c r="N166" s="343"/>
    </row>
    <row r="167" spans="1:14" ht="32.25" customHeight="1">
      <c r="A167" s="345">
        <v>14</v>
      </c>
      <c r="B167" s="343" t="s">
        <v>1018</v>
      </c>
      <c r="C167" s="343" t="s">
        <v>920</v>
      </c>
      <c r="D167" s="341">
        <v>0.49980000000000002</v>
      </c>
      <c r="E167" s="342">
        <v>22795827</v>
      </c>
      <c r="F167" s="340">
        <f t="shared" si="26"/>
        <v>11393354.3346</v>
      </c>
      <c r="G167" s="341">
        <v>0.49980000000000002</v>
      </c>
      <c r="H167" s="342">
        <v>22795827</v>
      </c>
      <c r="I167" s="340">
        <f t="shared" si="27"/>
        <v>11393354.3346</v>
      </c>
      <c r="J167" s="339">
        <f t="shared" si="28"/>
        <v>0</v>
      </c>
      <c r="K167" s="340">
        <f t="shared" si="29"/>
        <v>0</v>
      </c>
      <c r="L167" s="341">
        <f t="shared" si="30"/>
        <v>0</v>
      </c>
      <c r="M167" s="342">
        <f t="shared" si="31"/>
        <v>0</v>
      </c>
      <c r="N167" s="343"/>
    </row>
    <row r="168" spans="1:14" ht="32.25" customHeight="1">
      <c r="A168" s="345">
        <v>15</v>
      </c>
      <c r="B168" s="343" t="s">
        <v>1019</v>
      </c>
      <c r="C168" s="343" t="s">
        <v>920</v>
      </c>
      <c r="D168" s="341">
        <v>4.4955999999999996</v>
      </c>
      <c r="E168" s="342">
        <v>24438803</v>
      </c>
      <c r="F168" s="340">
        <f t="shared" si="26"/>
        <v>109867082.76679999</v>
      </c>
      <c r="G168" s="341">
        <v>4.4955999999999996</v>
      </c>
      <c r="H168" s="342">
        <v>24438803</v>
      </c>
      <c r="I168" s="340">
        <f t="shared" si="27"/>
        <v>109867082.76679999</v>
      </c>
      <c r="J168" s="339">
        <f t="shared" si="28"/>
        <v>0</v>
      </c>
      <c r="K168" s="340">
        <f t="shared" si="29"/>
        <v>0</v>
      </c>
      <c r="L168" s="341">
        <f t="shared" si="30"/>
        <v>0</v>
      </c>
      <c r="M168" s="342">
        <f t="shared" si="31"/>
        <v>0</v>
      </c>
      <c r="N168" s="343"/>
    </row>
    <row r="169" spans="1:14" ht="32.25" customHeight="1">
      <c r="A169" s="345">
        <v>16</v>
      </c>
      <c r="B169" s="343" t="s">
        <v>1020</v>
      </c>
      <c r="C169" s="343" t="s">
        <v>920</v>
      </c>
      <c r="D169" s="341">
        <v>0.56810000000000005</v>
      </c>
      <c r="E169" s="342">
        <v>22736885</v>
      </c>
      <c r="F169" s="340">
        <f t="shared" si="26"/>
        <v>12916824.368500002</v>
      </c>
      <c r="G169" s="341">
        <v>0.56810000000000005</v>
      </c>
      <c r="H169" s="342">
        <v>22736885</v>
      </c>
      <c r="I169" s="340">
        <f t="shared" si="27"/>
        <v>12916824.368500002</v>
      </c>
      <c r="J169" s="339">
        <f t="shared" si="28"/>
        <v>0</v>
      </c>
      <c r="K169" s="340">
        <f t="shared" si="29"/>
        <v>0</v>
      </c>
      <c r="L169" s="341">
        <f t="shared" si="30"/>
        <v>0</v>
      </c>
      <c r="M169" s="342">
        <f t="shared" si="31"/>
        <v>0</v>
      </c>
      <c r="N169" s="343"/>
    </row>
    <row r="170" spans="1:14" ht="32.25" customHeight="1">
      <c r="A170" s="345">
        <v>17</v>
      </c>
      <c r="B170" s="343" t="s">
        <v>930</v>
      </c>
      <c r="C170" s="343" t="s">
        <v>931</v>
      </c>
      <c r="D170" s="341">
        <v>147.19999999999999</v>
      </c>
      <c r="E170" s="342">
        <v>81113</v>
      </c>
      <c r="F170" s="340">
        <f t="shared" si="26"/>
        <v>11939833.6</v>
      </c>
      <c r="G170" s="341">
        <v>147.19999999999999</v>
      </c>
      <c r="H170" s="342">
        <v>81113</v>
      </c>
      <c r="I170" s="340">
        <f t="shared" si="27"/>
        <v>11939833.6</v>
      </c>
      <c r="J170" s="339">
        <f t="shared" si="28"/>
        <v>0</v>
      </c>
      <c r="K170" s="340">
        <f t="shared" si="29"/>
        <v>0</v>
      </c>
      <c r="L170" s="341">
        <f t="shared" si="30"/>
        <v>0</v>
      </c>
      <c r="M170" s="342">
        <f t="shared" si="31"/>
        <v>0</v>
      </c>
      <c r="N170" s="343"/>
    </row>
    <row r="171" spans="1:14" ht="32.25" customHeight="1">
      <c r="A171" s="345">
        <v>18</v>
      </c>
      <c r="B171" s="343" t="s">
        <v>1021</v>
      </c>
      <c r="C171" s="343" t="s">
        <v>931</v>
      </c>
      <c r="D171" s="341">
        <v>28.8</v>
      </c>
      <c r="E171" s="342">
        <v>149196</v>
      </c>
      <c r="F171" s="340">
        <f t="shared" si="26"/>
        <v>4296844.8</v>
      </c>
      <c r="G171" s="341">
        <v>28.8</v>
      </c>
      <c r="H171" s="342">
        <v>149196</v>
      </c>
      <c r="I171" s="340">
        <f t="shared" si="27"/>
        <v>4296844.8</v>
      </c>
      <c r="J171" s="339">
        <f t="shared" si="28"/>
        <v>0</v>
      </c>
      <c r="K171" s="340">
        <f t="shared" si="29"/>
        <v>0</v>
      </c>
      <c r="L171" s="341">
        <f t="shared" si="30"/>
        <v>0</v>
      </c>
      <c r="M171" s="342">
        <f t="shared" si="31"/>
        <v>0</v>
      </c>
      <c r="N171" s="343"/>
    </row>
    <row r="172" spans="1:14" ht="32.25" customHeight="1">
      <c r="A172" s="345">
        <v>19</v>
      </c>
      <c r="B172" s="343" t="s">
        <v>1005</v>
      </c>
      <c r="C172" s="343" t="s">
        <v>931</v>
      </c>
      <c r="D172" s="341">
        <v>53.78</v>
      </c>
      <c r="E172" s="342">
        <v>105194</v>
      </c>
      <c r="F172" s="340">
        <f t="shared" si="26"/>
        <v>5657333.3200000003</v>
      </c>
      <c r="G172" s="341">
        <v>53.78</v>
      </c>
      <c r="H172" s="342">
        <v>105194</v>
      </c>
      <c r="I172" s="340">
        <f t="shared" si="27"/>
        <v>5657333.3200000003</v>
      </c>
      <c r="J172" s="339">
        <f t="shared" si="28"/>
        <v>0</v>
      </c>
      <c r="K172" s="340">
        <f t="shared" si="29"/>
        <v>0</v>
      </c>
      <c r="L172" s="341">
        <f t="shared" si="30"/>
        <v>0</v>
      </c>
      <c r="M172" s="342">
        <f t="shared" si="31"/>
        <v>0</v>
      </c>
      <c r="N172" s="343"/>
    </row>
    <row r="173" spans="1:14" ht="32.25" customHeight="1">
      <c r="A173" s="345">
        <v>20</v>
      </c>
      <c r="B173" s="343" t="s">
        <v>1022</v>
      </c>
      <c r="C173" s="343" t="s">
        <v>931</v>
      </c>
      <c r="D173" s="341">
        <v>59.16</v>
      </c>
      <c r="E173" s="342">
        <v>144019</v>
      </c>
      <c r="F173" s="340">
        <f t="shared" si="26"/>
        <v>8520164.0399999991</v>
      </c>
      <c r="G173" s="341">
        <v>59.16</v>
      </c>
      <c r="H173" s="342">
        <v>144019</v>
      </c>
      <c r="I173" s="340">
        <f t="shared" si="27"/>
        <v>8520164.0399999991</v>
      </c>
      <c r="J173" s="339">
        <f t="shared" si="28"/>
        <v>0</v>
      </c>
      <c r="K173" s="340">
        <f t="shared" si="29"/>
        <v>0</v>
      </c>
      <c r="L173" s="341">
        <f t="shared" si="30"/>
        <v>0</v>
      </c>
      <c r="M173" s="342">
        <f t="shared" si="31"/>
        <v>0</v>
      </c>
      <c r="N173" s="343"/>
    </row>
    <row r="174" spans="1:14" ht="32.25" customHeight="1">
      <c r="A174" s="345">
        <v>21</v>
      </c>
      <c r="B174" s="343" t="s">
        <v>1023</v>
      </c>
      <c r="C174" s="343" t="s">
        <v>931</v>
      </c>
      <c r="D174" s="341">
        <v>29.58</v>
      </c>
      <c r="E174" s="342">
        <v>57407</v>
      </c>
      <c r="F174" s="340">
        <f t="shared" si="26"/>
        <v>1698099.0599999998</v>
      </c>
      <c r="G174" s="341">
        <v>29.58</v>
      </c>
      <c r="H174" s="342">
        <v>57407</v>
      </c>
      <c r="I174" s="340">
        <f t="shared" si="27"/>
        <v>1698099.0599999998</v>
      </c>
      <c r="J174" s="339">
        <f t="shared" si="28"/>
        <v>0</v>
      </c>
      <c r="K174" s="340">
        <f t="shared" si="29"/>
        <v>0</v>
      </c>
      <c r="L174" s="341">
        <f t="shared" si="30"/>
        <v>0</v>
      </c>
      <c r="M174" s="342">
        <f t="shared" si="31"/>
        <v>0</v>
      </c>
      <c r="N174" s="343"/>
    </row>
    <row r="175" spans="1:14" ht="32.25" customHeight="1">
      <c r="A175" s="345">
        <v>22</v>
      </c>
      <c r="B175" s="343" t="s">
        <v>992</v>
      </c>
      <c r="C175" s="343" t="s">
        <v>931</v>
      </c>
      <c r="D175" s="341">
        <v>34.1</v>
      </c>
      <c r="E175" s="342">
        <v>187552</v>
      </c>
      <c r="F175" s="340">
        <f t="shared" si="26"/>
        <v>6395523.2000000002</v>
      </c>
      <c r="G175" s="341">
        <v>34.1</v>
      </c>
      <c r="H175" s="342">
        <v>187552</v>
      </c>
      <c r="I175" s="340">
        <f t="shared" si="27"/>
        <v>6395523.2000000002</v>
      </c>
      <c r="J175" s="339">
        <f t="shared" si="28"/>
        <v>0</v>
      </c>
      <c r="K175" s="340">
        <f t="shared" si="29"/>
        <v>0</v>
      </c>
      <c r="L175" s="341">
        <f t="shared" si="30"/>
        <v>0</v>
      </c>
      <c r="M175" s="342">
        <f t="shared" si="31"/>
        <v>0</v>
      </c>
      <c r="N175" s="343"/>
    </row>
    <row r="176" spans="1:14" ht="32.25" customHeight="1">
      <c r="A176" s="345">
        <v>23</v>
      </c>
      <c r="B176" s="343" t="s">
        <v>955</v>
      </c>
      <c r="C176" s="343" t="s">
        <v>931</v>
      </c>
      <c r="D176" s="341">
        <v>103.18</v>
      </c>
      <c r="E176" s="342">
        <v>274407</v>
      </c>
      <c r="F176" s="340">
        <f t="shared" si="26"/>
        <v>28313314.260000002</v>
      </c>
      <c r="G176" s="341">
        <v>103.18</v>
      </c>
      <c r="H176" s="342">
        <v>274407</v>
      </c>
      <c r="I176" s="340">
        <f t="shared" si="27"/>
        <v>28313314.260000002</v>
      </c>
      <c r="J176" s="339">
        <f t="shared" si="28"/>
        <v>0</v>
      </c>
      <c r="K176" s="340">
        <f t="shared" si="29"/>
        <v>0</v>
      </c>
      <c r="L176" s="341">
        <f t="shared" si="30"/>
        <v>0</v>
      </c>
      <c r="M176" s="342">
        <f t="shared" si="31"/>
        <v>0</v>
      </c>
      <c r="N176" s="343"/>
    </row>
    <row r="177" spans="1:14" ht="32.25" customHeight="1">
      <c r="A177" s="345">
        <v>24</v>
      </c>
      <c r="B177" s="343" t="s">
        <v>965</v>
      </c>
      <c r="C177" s="343" t="s">
        <v>931</v>
      </c>
      <c r="D177" s="341">
        <v>68.2</v>
      </c>
      <c r="E177" s="342">
        <v>47287</v>
      </c>
      <c r="F177" s="340">
        <f t="shared" si="26"/>
        <v>3224973.4</v>
      </c>
      <c r="G177" s="341">
        <v>68.2</v>
      </c>
      <c r="H177" s="342">
        <v>47287</v>
      </c>
      <c r="I177" s="340">
        <f t="shared" si="27"/>
        <v>3224973.4</v>
      </c>
      <c r="J177" s="339">
        <f t="shared" si="28"/>
        <v>0</v>
      </c>
      <c r="K177" s="340">
        <f t="shared" si="29"/>
        <v>0</v>
      </c>
      <c r="L177" s="341">
        <f t="shared" si="30"/>
        <v>0</v>
      </c>
      <c r="M177" s="342">
        <f t="shared" si="31"/>
        <v>0</v>
      </c>
      <c r="N177" s="343"/>
    </row>
    <row r="178" spans="1:14" ht="32.25" customHeight="1">
      <c r="A178" s="345">
        <v>25</v>
      </c>
      <c r="B178" s="343" t="s">
        <v>934</v>
      </c>
      <c r="C178" s="343" t="s">
        <v>931</v>
      </c>
      <c r="D178" s="341">
        <v>90.72</v>
      </c>
      <c r="E178" s="342">
        <v>83662</v>
      </c>
      <c r="F178" s="340">
        <f t="shared" si="26"/>
        <v>7589816.6399999997</v>
      </c>
      <c r="G178" s="341">
        <v>90.72</v>
      </c>
      <c r="H178" s="342">
        <v>83662</v>
      </c>
      <c r="I178" s="340">
        <f t="shared" si="27"/>
        <v>7589816.6399999997</v>
      </c>
      <c r="J178" s="339">
        <f t="shared" si="28"/>
        <v>0</v>
      </c>
      <c r="K178" s="340">
        <f t="shared" si="29"/>
        <v>0</v>
      </c>
      <c r="L178" s="341">
        <f t="shared" si="30"/>
        <v>0</v>
      </c>
      <c r="M178" s="342">
        <f t="shared" si="31"/>
        <v>0</v>
      </c>
      <c r="N178" s="343"/>
    </row>
    <row r="179" spans="1:14" s="355" customFormat="1" ht="32.25" customHeight="1">
      <c r="A179" s="347">
        <v>26</v>
      </c>
      <c r="B179" s="354" t="s">
        <v>935</v>
      </c>
      <c r="C179" s="354" t="s">
        <v>931</v>
      </c>
      <c r="D179" s="350">
        <v>90.72</v>
      </c>
      <c r="E179" s="351">
        <v>59365</v>
      </c>
      <c r="F179" s="352">
        <f t="shared" si="26"/>
        <v>5385592.7999999998</v>
      </c>
      <c r="G179" s="350">
        <v>90.72</v>
      </c>
      <c r="H179" s="351">
        <v>29710</v>
      </c>
      <c r="I179" s="352">
        <f t="shared" si="27"/>
        <v>2695291.2</v>
      </c>
      <c r="J179" s="353">
        <f t="shared" si="28"/>
        <v>0</v>
      </c>
      <c r="K179" s="352">
        <f t="shared" si="29"/>
        <v>2690301.5999999996</v>
      </c>
      <c r="L179" s="350">
        <f t="shared" si="30"/>
        <v>0</v>
      </c>
      <c r="M179" s="351">
        <f t="shared" si="31"/>
        <v>0</v>
      </c>
      <c r="N179" s="354"/>
    </row>
    <row r="180" spans="1:14" s="330" customFormat="1" ht="32.25" customHeight="1">
      <c r="A180" s="515" t="s">
        <v>94</v>
      </c>
      <c r="B180" s="515"/>
      <c r="C180" s="515"/>
      <c r="D180" s="331"/>
      <c r="E180" s="332"/>
      <c r="F180" s="332">
        <f>SUM(F153:F179)</f>
        <v>459682232.78400004</v>
      </c>
      <c r="G180" s="331"/>
      <c r="H180" s="332"/>
      <c r="I180" s="332">
        <f>SUM(I153:I179)</f>
        <v>456991931.18400002</v>
      </c>
      <c r="J180" s="331"/>
      <c r="K180" s="332">
        <f>SUM(K153:K179)</f>
        <v>2690301.5999999996</v>
      </c>
      <c r="L180" s="331"/>
      <c r="M180" s="332">
        <f>SUM(M153:M179)</f>
        <v>0</v>
      </c>
      <c r="N180" s="363"/>
    </row>
    <row r="181" spans="1:14" ht="32.25" customHeight="1">
      <c r="A181" s="515" t="s">
        <v>1024</v>
      </c>
      <c r="B181" s="515"/>
      <c r="C181" s="515"/>
      <c r="D181" s="341"/>
      <c r="E181" s="342"/>
      <c r="F181" s="340"/>
      <c r="G181" s="341"/>
      <c r="H181" s="342"/>
      <c r="I181" s="340"/>
      <c r="J181" s="339"/>
      <c r="K181" s="340"/>
      <c r="L181" s="341"/>
      <c r="M181" s="342"/>
      <c r="N181" s="343"/>
    </row>
    <row r="182" spans="1:14" ht="32.25" customHeight="1">
      <c r="A182" s="345">
        <v>1</v>
      </c>
      <c r="B182" s="343" t="s">
        <v>1025</v>
      </c>
      <c r="C182" s="343" t="s">
        <v>901</v>
      </c>
      <c r="D182" s="341">
        <v>18.4041</v>
      </c>
      <c r="E182" s="342">
        <v>230428</v>
      </c>
      <c r="F182" s="340">
        <f t="shared" ref="F182:F199" si="32">D182*E182</f>
        <v>4240819.9547999995</v>
      </c>
      <c r="G182" s="341">
        <v>18.4041</v>
      </c>
      <c r="H182" s="342">
        <v>230428</v>
      </c>
      <c r="I182" s="340">
        <f t="shared" ref="I182:I199" si="33">G182*H182</f>
        <v>4240819.9547999995</v>
      </c>
      <c r="J182" s="339">
        <f t="shared" ref="J182:J199" si="34">MAX(D182-G182,0)</f>
        <v>0</v>
      </c>
      <c r="K182" s="340">
        <f t="shared" ref="K182:K199" si="35">MAX(F182-I182,0)</f>
        <v>0</v>
      </c>
      <c r="L182" s="341">
        <f t="shared" ref="L182:L199" si="36">MAX(G182-D182,0)</f>
        <v>0</v>
      </c>
      <c r="M182" s="342">
        <f t="shared" ref="M182:M199" si="37">MAX(I182-F182,0)</f>
        <v>0</v>
      </c>
      <c r="N182" s="343"/>
    </row>
    <row r="183" spans="1:14" s="355" customFormat="1" ht="32.25" customHeight="1">
      <c r="A183" s="347">
        <v>2</v>
      </c>
      <c r="B183" s="354" t="s">
        <v>1026</v>
      </c>
      <c r="C183" s="354" t="s">
        <v>901</v>
      </c>
      <c r="D183" s="350">
        <v>1.3</v>
      </c>
      <c r="E183" s="351">
        <v>201625</v>
      </c>
      <c r="F183" s="352">
        <f t="shared" si="32"/>
        <v>262112.5</v>
      </c>
      <c r="G183" s="350">
        <v>19.448</v>
      </c>
      <c r="H183" s="351">
        <v>201625</v>
      </c>
      <c r="I183" s="352">
        <f t="shared" si="33"/>
        <v>3921203</v>
      </c>
      <c r="J183" s="353">
        <f t="shared" si="34"/>
        <v>0</v>
      </c>
      <c r="K183" s="352">
        <f t="shared" si="35"/>
        <v>0</v>
      </c>
      <c r="L183" s="350">
        <f t="shared" si="36"/>
        <v>18.148</v>
      </c>
      <c r="M183" s="351">
        <f t="shared" si="37"/>
        <v>3659090.5</v>
      </c>
      <c r="N183" s="354"/>
    </row>
    <row r="184" spans="1:14" s="355" customFormat="1" ht="32.25" customHeight="1">
      <c r="A184" s="347">
        <v>3</v>
      </c>
      <c r="B184" s="354" t="s">
        <v>1027</v>
      </c>
      <c r="C184" s="354" t="s">
        <v>901</v>
      </c>
      <c r="D184" s="350">
        <v>12.7026</v>
      </c>
      <c r="E184" s="351">
        <v>124076</v>
      </c>
      <c r="F184" s="352">
        <f t="shared" si="32"/>
        <v>1576087.7975999999</v>
      </c>
      <c r="G184" s="350">
        <v>18.751999999999999</v>
      </c>
      <c r="H184" s="351">
        <v>124076</v>
      </c>
      <c r="I184" s="352">
        <f t="shared" si="33"/>
        <v>2326673.1519999998</v>
      </c>
      <c r="J184" s="353">
        <f t="shared" si="34"/>
        <v>0</v>
      </c>
      <c r="K184" s="352">
        <f t="shared" si="35"/>
        <v>0</v>
      </c>
      <c r="L184" s="350">
        <f t="shared" si="36"/>
        <v>6.0493999999999986</v>
      </c>
      <c r="M184" s="351">
        <f t="shared" si="37"/>
        <v>750585.35439999984</v>
      </c>
      <c r="N184" s="354"/>
    </row>
    <row r="185" spans="1:14" ht="32.25" customHeight="1">
      <c r="A185" s="345">
        <v>4</v>
      </c>
      <c r="B185" s="343" t="s">
        <v>939</v>
      </c>
      <c r="C185" s="343"/>
      <c r="D185" s="341">
        <v>8.8000000000000007</v>
      </c>
      <c r="E185" s="342">
        <v>1206690</v>
      </c>
      <c r="F185" s="340">
        <f t="shared" si="32"/>
        <v>10618872</v>
      </c>
      <c r="G185" s="341">
        <v>8.8000000000000007</v>
      </c>
      <c r="H185" s="342">
        <v>1206690</v>
      </c>
      <c r="I185" s="340">
        <f t="shared" si="33"/>
        <v>10618872</v>
      </c>
      <c r="J185" s="339">
        <f t="shared" si="34"/>
        <v>0</v>
      </c>
      <c r="K185" s="340">
        <f t="shared" si="35"/>
        <v>0</v>
      </c>
      <c r="L185" s="341">
        <f t="shared" si="36"/>
        <v>0</v>
      </c>
      <c r="M185" s="342">
        <f t="shared" si="37"/>
        <v>0</v>
      </c>
      <c r="N185" s="343"/>
    </row>
    <row r="186" spans="1:14" s="355" customFormat="1" ht="32.25" customHeight="1">
      <c r="A186" s="347">
        <v>5</v>
      </c>
      <c r="B186" s="354" t="s">
        <v>1028</v>
      </c>
      <c r="C186" s="354" t="s">
        <v>901</v>
      </c>
      <c r="D186" s="350">
        <v>1.089</v>
      </c>
      <c r="E186" s="351">
        <v>1283592</v>
      </c>
      <c r="F186" s="352">
        <f t="shared" si="32"/>
        <v>1397831.6879999998</v>
      </c>
      <c r="G186" s="350">
        <v>8.5690000000000008</v>
      </c>
      <c r="H186" s="351">
        <v>1283592</v>
      </c>
      <c r="I186" s="352">
        <f t="shared" si="33"/>
        <v>10999099.848000001</v>
      </c>
      <c r="J186" s="353">
        <f t="shared" si="34"/>
        <v>0</v>
      </c>
      <c r="K186" s="352">
        <f t="shared" si="35"/>
        <v>0</v>
      </c>
      <c r="L186" s="350">
        <f t="shared" si="36"/>
        <v>7.48</v>
      </c>
      <c r="M186" s="351">
        <f t="shared" si="37"/>
        <v>9601268.160000002</v>
      </c>
      <c r="N186" s="354"/>
    </row>
    <row r="187" spans="1:14" ht="32.25" customHeight="1">
      <c r="A187" s="345">
        <v>6</v>
      </c>
      <c r="B187" s="343" t="s">
        <v>1029</v>
      </c>
      <c r="C187" s="343" t="s">
        <v>901</v>
      </c>
      <c r="D187" s="341">
        <v>5.6870000000000003</v>
      </c>
      <c r="E187" s="342">
        <v>1684611</v>
      </c>
      <c r="F187" s="340">
        <f t="shared" si="32"/>
        <v>9580382.7570000011</v>
      </c>
      <c r="G187" s="341">
        <v>5.6870000000000003</v>
      </c>
      <c r="H187" s="342">
        <v>1684611</v>
      </c>
      <c r="I187" s="340">
        <f t="shared" si="33"/>
        <v>9580382.7570000011</v>
      </c>
      <c r="J187" s="339">
        <f t="shared" si="34"/>
        <v>0</v>
      </c>
      <c r="K187" s="340">
        <f t="shared" si="35"/>
        <v>0</v>
      </c>
      <c r="L187" s="341">
        <f t="shared" si="36"/>
        <v>0</v>
      </c>
      <c r="M187" s="342">
        <f t="shared" si="37"/>
        <v>0</v>
      </c>
      <c r="N187" s="343"/>
    </row>
    <row r="188" spans="1:14" s="355" customFormat="1" ht="32.25" customHeight="1">
      <c r="A188" s="347">
        <v>7</v>
      </c>
      <c r="B188" s="354" t="s">
        <v>1000</v>
      </c>
      <c r="C188" s="354" t="s">
        <v>901</v>
      </c>
      <c r="D188" s="350">
        <v>3</v>
      </c>
      <c r="E188" s="351">
        <v>2216701</v>
      </c>
      <c r="F188" s="352">
        <f t="shared" si="32"/>
        <v>6650103</v>
      </c>
      <c r="G188" s="350">
        <v>9.7200000000000006</v>
      </c>
      <c r="H188" s="351">
        <v>2216701</v>
      </c>
      <c r="I188" s="352">
        <f t="shared" si="33"/>
        <v>21546333.720000003</v>
      </c>
      <c r="J188" s="353">
        <f t="shared" si="34"/>
        <v>0</v>
      </c>
      <c r="K188" s="352">
        <f t="shared" si="35"/>
        <v>0</v>
      </c>
      <c r="L188" s="350">
        <f t="shared" si="36"/>
        <v>6.7200000000000006</v>
      </c>
      <c r="M188" s="351">
        <f t="shared" si="37"/>
        <v>14896230.720000003</v>
      </c>
      <c r="N188" s="354"/>
    </row>
    <row r="189" spans="1:14" s="355" customFormat="1" ht="32.25" customHeight="1">
      <c r="A189" s="347">
        <v>8</v>
      </c>
      <c r="B189" s="354" t="s">
        <v>952</v>
      </c>
      <c r="C189" s="354" t="s">
        <v>901</v>
      </c>
      <c r="D189" s="350">
        <v>39.159999999999997</v>
      </c>
      <c r="E189" s="351">
        <v>1676247</v>
      </c>
      <c r="F189" s="352">
        <f t="shared" si="32"/>
        <v>65641832.519999996</v>
      </c>
      <c r="G189" s="350">
        <v>30</v>
      </c>
      <c r="H189" s="351">
        <v>1676247</v>
      </c>
      <c r="I189" s="352">
        <f t="shared" si="33"/>
        <v>50287410</v>
      </c>
      <c r="J189" s="353">
        <f t="shared" si="34"/>
        <v>9.1599999999999966</v>
      </c>
      <c r="K189" s="352">
        <f t="shared" si="35"/>
        <v>15354422.519999996</v>
      </c>
      <c r="L189" s="350">
        <f t="shared" si="36"/>
        <v>0</v>
      </c>
      <c r="M189" s="351">
        <f t="shared" si="37"/>
        <v>0</v>
      </c>
      <c r="N189" s="354"/>
    </row>
    <row r="190" spans="1:14" s="355" customFormat="1" ht="32.25" customHeight="1">
      <c r="A190" s="347">
        <v>9</v>
      </c>
      <c r="B190" s="354" t="s">
        <v>990</v>
      </c>
      <c r="C190" s="354" t="s">
        <v>901</v>
      </c>
      <c r="D190" s="350">
        <v>90</v>
      </c>
      <c r="E190" s="351">
        <v>195237</v>
      </c>
      <c r="F190" s="352">
        <f t="shared" si="32"/>
        <v>17571330</v>
      </c>
      <c r="G190" s="350">
        <v>183</v>
      </c>
      <c r="H190" s="351">
        <v>118811</v>
      </c>
      <c r="I190" s="352">
        <f t="shared" si="33"/>
        <v>21742413</v>
      </c>
      <c r="J190" s="353">
        <f t="shared" si="34"/>
        <v>0</v>
      </c>
      <c r="K190" s="352">
        <f t="shared" si="35"/>
        <v>0</v>
      </c>
      <c r="L190" s="350">
        <f t="shared" si="36"/>
        <v>93</v>
      </c>
      <c r="M190" s="351">
        <f t="shared" si="37"/>
        <v>4171083</v>
      </c>
      <c r="N190" s="354"/>
    </row>
    <row r="191" spans="1:14" s="355" customFormat="1" ht="32.25" customHeight="1">
      <c r="A191" s="347">
        <v>10</v>
      </c>
      <c r="B191" s="354" t="s">
        <v>1030</v>
      </c>
      <c r="C191" s="354" t="s">
        <v>901</v>
      </c>
      <c r="D191" s="350">
        <v>2.88</v>
      </c>
      <c r="E191" s="351">
        <v>2142036</v>
      </c>
      <c r="F191" s="352">
        <f t="shared" si="32"/>
        <v>6169063.6799999997</v>
      </c>
      <c r="G191" s="350">
        <v>0</v>
      </c>
      <c r="H191" s="351">
        <v>2142036</v>
      </c>
      <c r="I191" s="352">
        <f t="shared" si="33"/>
        <v>0</v>
      </c>
      <c r="J191" s="353">
        <f t="shared" si="34"/>
        <v>2.88</v>
      </c>
      <c r="K191" s="352">
        <f t="shared" si="35"/>
        <v>6169063.6799999997</v>
      </c>
      <c r="L191" s="350">
        <f t="shared" si="36"/>
        <v>0</v>
      </c>
      <c r="M191" s="351">
        <f t="shared" si="37"/>
        <v>0</v>
      </c>
      <c r="N191" s="354"/>
    </row>
    <row r="192" spans="1:14" s="355" customFormat="1" ht="32.25" customHeight="1">
      <c r="A192" s="347">
        <v>11</v>
      </c>
      <c r="B192" s="354" t="s">
        <v>930</v>
      </c>
      <c r="C192" s="354" t="s">
        <v>931</v>
      </c>
      <c r="D192" s="350">
        <v>28.8</v>
      </c>
      <c r="E192" s="351">
        <v>81113</v>
      </c>
      <c r="F192" s="352">
        <f t="shared" si="32"/>
        <v>2336054.4</v>
      </c>
      <c r="G192" s="350">
        <v>4.4880000000000004</v>
      </c>
      <c r="H192" s="351">
        <v>81113</v>
      </c>
      <c r="I192" s="352">
        <f t="shared" si="33"/>
        <v>364035.14400000003</v>
      </c>
      <c r="J192" s="353">
        <f t="shared" si="34"/>
        <v>24.312000000000001</v>
      </c>
      <c r="K192" s="352">
        <f t="shared" si="35"/>
        <v>1972019.2559999998</v>
      </c>
      <c r="L192" s="350">
        <f t="shared" si="36"/>
        <v>0</v>
      </c>
      <c r="M192" s="351">
        <f t="shared" si="37"/>
        <v>0</v>
      </c>
      <c r="N192" s="354"/>
    </row>
    <row r="193" spans="1:14" ht="32.25" customHeight="1">
      <c r="A193" s="345">
        <v>12</v>
      </c>
      <c r="B193" s="343" t="s">
        <v>945</v>
      </c>
      <c r="C193" s="343" t="s">
        <v>915</v>
      </c>
      <c r="D193" s="341">
        <v>0.35970000000000002</v>
      </c>
      <c r="E193" s="342">
        <v>16065408</v>
      </c>
      <c r="F193" s="340">
        <f t="shared" si="32"/>
        <v>5778727.2576000001</v>
      </c>
      <c r="G193" s="341">
        <v>0.35970000000000002</v>
      </c>
      <c r="H193" s="342">
        <v>16065408</v>
      </c>
      <c r="I193" s="340">
        <f t="shared" si="33"/>
        <v>5778727.2576000001</v>
      </c>
      <c r="J193" s="339">
        <f t="shared" si="34"/>
        <v>0</v>
      </c>
      <c r="K193" s="340">
        <f t="shared" si="35"/>
        <v>0</v>
      </c>
      <c r="L193" s="341">
        <f t="shared" si="36"/>
        <v>0</v>
      </c>
      <c r="M193" s="342">
        <f t="shared" si="37"/>
        <v>0</v>
      </c>
      <c r="N193" s="343"/>
    </row>
    <row r="194" spans="1:14" ht="32.25" customHeight="1">
      <c r="A194" s="345">
        <v>13</v>
      </c>
      <c r="B194" s="343" t="s">
        <v>1002</v>
      </c>
      <c r="C194" s="343" t="s">
        <v>915</v>
      </c>
      <c r="D194" s="341">
        <v>0.3</v>
      </c>
      <c r="E194" s="342">
        <v>21613723</v>
      </c>
      <c r="F194" s="340">
        <f t="shared" si="32"/>
        <v>6484116.8999999994</v>
      </c>
      <c r="G194" s="341">
        <v>0.3</v>
      </c>
      <c r="H194" s="342">
        <v>21613723</v>
      </c>
      <c r="I194" s="340">
        <f t="shared" si="33"/>
        <v>6484116.8999999994</v>
      </c>
      <c r="J194" s="339">
        <f t="shared" si="34"/>
        <v>0</v>
      </c>
      <c r="K194" s="340">
        <f t="shared" si="35"/>
        <v>0</v>
      </c>
      <c r="L194" s="341">
        <f t="shared" si="36"/>
        <v>0</v>
      </c>
      <c r="M194" s="342">
        <f t="shared" si="37"/>
        <v>0</v>
      </c>
      <c r="N194" s="343"/>
    </row>
    <row r="195" spans="1:14" s="355" customFormat="1" ht="32.25" customHeight="1">
      <c r="A195" s="347">
        <v>14</v>
      </c>
      <c r="B195" s="354" t="s">
        <v>1031</v>
      </c>
      <c r="C195" s="354" t="s">
        <v>920</v>
      </c>
      <c r="D195" s="350">
        <v>0.25159999999999999</v>
      </c>
      <c r="E195" s="351">
        <v>21940712</v>
      </c>
      <c r="F195" s="352">
        <f t="shared" si="32"/>
        <v>5520283.1392000001</v>
      </c>
      <c r="G195" s="350">
        <v>0.50319999999999998</v>
      </c>
      <c r="H195" s="351">
        <v>21940712</v>
      </c>
      <c r="I195" s="352">
        <f t="shared" si="33"/>
        <v>11040566.2784</v>
      </c>
      <c r="J195" s="353">
        <f t="shared" si="34"/>
        <v>0</v>
      </c>
      <c r="K195" s="352">
        <f t="shared" si="35"/>
        <v>0</v>
      </c>
      <c r="L195" s="350">
        <f t="shared" si="36"/>
        <v>0.25159999999999999</v>
      </c>
      <c r="M195" s="351">
        <f t="shared" si="37"/>
        <v>5520283.1392000001</v>
      </c>
      <c r="N195" s="354"/>
    </row>
    <row r="196" spans="1:14" ht="32.25" customHeight="1">
      <c r="A196" s="345">
        <v>15</v>
      </c>
      <c r="B196" s="343" t="s">
        <v>1032</v>
      </c>
      <c r="C196" s="343" t="s">
        <v>920</v>
      </c>
      <c r="D196" s="341">
        <v>0.70209999999999995</v>
      </c>
      <c r="E196" s="342">
        <v>23112893</v>
      </c>
      <c r="F196" s="340">
        <f t="shared" si="32"/>
        <v>16227562.175299998</v>
      </c>
      <c r="G196" s="341">
        <v>0.70209999999999995</v>
      </c>
      <c r="H196" s="342">
        <v>23112893</v>
      </c>
      <c r="I196" s="340">
        <f t="shared" si="33"/>
        <v>16227562.175299998</v>
      </c>
      <c r="J196" s="339">
        <f t="shared" si="34"/>
        <v>0</v>
      </c>
      <c r="K196" s="340">
        <f t="shared" si="35"/>
        <v>0</v>
      </c>
      <c r="L196" s="341">
        <f t="shared" si="36"/>
        <v>0</v>
      </c>
      <c r="M196" s="342">
        <f t="shared" si="37"/>
        <v>0</v>
      </c>
      <c r="N196" s="343"/>
    </row>
    <row r="197" spans="1:14" s="355" customFormat="1" ht="32.25" customHeight="1">
      <c r="A197" s="347">
        <v>16</v>
      </c>
      <c r="B197" s="354" t="s">
        <v>925</v>
      </c>
      <c r="C197" s="354" t="s">
        <v>915</v>
      </c>
      <c r="D197" s="350">
        <v>3.5</v>
      </c>
      <c r="E197" s="351">
        <v>682496</v>
      </c>
      <c r="F197" s="352">
        <f t="shared" si="32"/>
        <v>2388736</v>
      </c>
      <c r="G197" s="350">
        <v>3</v>
      </c>
      <c r="H197" s="351">
        <v>682496</v>
      </c>
      <c r="I197" s="352">
        <f t="shared" si="33"/>
        <v>2047488</v>
      </c>
      <c r="J197" s="353">
        <f t="shared" si="34"/>
        <v>0.5</v>
      </c>
      <c r="K197" s="352">
        <f t="shared" si="35"/>
        <v>341248</v>
      </c>
      <c r="L197" s="350">
        <f t="shared" si="36"/>
        <v>0</v>
      </c>
      <c r="M197" s="351">
        <f t="shared" si="37"/>
        <v>0</v>
      </c>
      <c r="N197" s="354"/>
    </row>
    <row r="198" spans="1:14" s="355" customFormat="1" ht="32.25" customHeight="1">
      <c r="A198" s="347">
        <v>17</v>
      </c>
      <c r="B198" s="354" t="s">
        <v>1033</v>
      </c>
      <c r="C198" s="354" t="s">
        <v>920</v>
      </c>
      <c r="D198" s="350"/>
      <c r="E198" s="351"/>
      <c r="F198" s="352">
        <f t="shared" si="32"/>
        <v>0</v>
      </c>
      <c r="G198" s="350">
        <v>0.74119999999999997</v>
      </c>
      <c r="H198" s="351">
        <v>22329835</v>
      </c>
      <c r="I198" s="352">
        <f t="shared" si="33"/>
        <v>16550873.702</v>
      </c>
      <c r="J198" s="353">
        <f t="shared" si="34"/>
        <v>0</v>
      </c>
      <c r="K198" s="352">
        <f t="shared" si="35"/>
        <v>0</v>
      </c>
      <c r="L198" s="350">
        <f t="shared" si="36"/>
        <v>0.74119999999999997</v>
      </c>
      <c r="M198" s="351">
        <f t="shared" si="37"/>
        <v>16550873.702</v>
      </c>
      <c r="N198" s="354"/>
    </row>
    <row r="199" spans="1:14" s="355" customFormat="1" ht="32.25" customHeight="1">
      <c r="A199" s="347">
        <v>18</v>
      </c>
      <c r="B199" s="354" t="s">
        <v>959</v>
      </c>
      <c r="C199" s="354"/>
      <c r="D199" s="350"/>
      <c r="E199" s="351"/>
      <c r="F199" s="352">
        <f t="shared" si="32"/>
        <v>0</v>
      </c>
      <c r="G199" s="350">
        <v>4.24</v>
      </c>
      <c r="H199" s="351">
        <v>1537033</v>
      </c>
      <c r="I199" s="352">
        <f t="shared" si="33"/>
        <v>6517019.9199999999</v>
      </c>
      <c r="J199" s="353">
        <f t="shared" si="34"/>
        <v>0</v>
      </c>
      <c r="K199" s="352">
        <f t="shared" si="35"/>
        <v>0</v>
      </c>
      <c r="L199" s="350">
        <f t="shared" si="36"/>
        <v>4.24</v>
      </c>
      <c r="M199" s="351">
        <f t="shared" si="37"/>
        <v>6517019.9199999999</v>
      </c>
      <c r="N199" s="354"/>
    </row>
    <row r="200" spans="1:14" s="330" customFormat="1" ht="32.25" customHeight="1">
      <c r="A200" s="515" t="s">
        <v>94</v>
      </c>
      <c r="B200" s="515"/>
      <c r="C200" s="515"/>
      <c r="D200" s="331"/>
      <c r="E200" s="332"/>
      <c r="F200" s="332">
        <f>SUM(F181:F199)</f>
        <v>162443915.76949999</v>
      </c>
      <c r="G200" s="331"/>
      <c r="H200" s="332"/>
      <c r="I200" s="332">
        <f>SUM(I181:I199)</f>
        <v>200273596.8091</v>
      </c>
      <c r="J200" s="331"/>
      <c r="K200" s="332">
        <f>SUM(K181:K199)</f>
        <v>23836753.455999997</v>
      </c>
      <c r="L200" s="331"/>
      <c r="M200" s="332">
        <f>SUM(M181:M199)</f>
        <v>61666434.495600007</v>
      </c>
      <c r="N200" s="363"/>
    </row>
    <row r="201" spans="1:14" ht="32.25" customHeight="1">
      <c r="A201" s="515" t="s">
        <v>1034</v>
      </c>
      <c r="B201" s="515"/>
      <c r="C201" s="515"/>
      <c r="D201" s="341"/>
      <c r="E201" s="342"/>
      <c r="F201" s="340"/>
      <c r="G201" s="341"/>
      <c r="H201" s="342"/>
      <c r="I201" s="340"/>
      <c r="J201" s="339"/>
      <c r="K201" s="340"/>
      <c r="L201" s="341"/>
      <c r="M201" s="342"/>
      <c r="N201" s="343"/>
    </row>
    <row r="202" spans="1:14" s="355" customFormat="1" ht="32.25" customHeight="1">
      <c r="A202" s="347">
        <v>1</v>
      </c>
      <c r="B202" s="354" t="s">
        <v>900</v>
      </c>
      <c r="C202" s="354" t="s">
        <v>901</v>
      </c>
      <c r="D202" s="350">
        <v>9.8552999999999997</v>
      </c>
      <c r="E202" s="351">
        <v>158277</v>
      </c>
      <c r="F202" s="352">
        <f t="shared" ref="F202:F213" si="38">D202*E202</f>
        <v>1559867.3181</v>
      </c>
      <c r="G202" s="350">
        <v>15.069599999999999</v>
      </c>
      <c r="H202" s="351">
        <v>158277</v>
      </c>
      <c r="I202" s="352">
        <f t="shared" ref="I202:I212" si="39">G202*H202</f>
        <v>2385171.0792</v>
      </c>
      <c r="J202" s="353">
        <f t="shared" ref="J202:J213" si="40">MAX(D202-G202,0)</f>
        <v>0</v>
      </c>
      <c r="K202" s="352">
        <f t="shared" ref="K202:K213" si="41">MAX(F202-I202,0)</f>
        <v>0</v>
      </c>
      <c r="L202" s="350">
        <f t="shared" ref="L202:L213" si="42">MAX(G202-D202,0)</f>
        <v>5.2142999999999997</v>
      </c>
      <c r="M202" s="351">
        <f t="shared" ref="M202:M213" si="43">MAX(I202-F202,0)</f>
        <v>825303.7611</v>
      </c>
      <c r="N202" s="354"/>
    </row>
    <row r="203" spans="1:14" s="355" customFormat="1" ht="32.25" customHeight="1">
      <c r="A203" s="347">
        <v>2</v>
      </c>
      <c r="B203" s="354" t="s">
        <v>1035</v>
      </c>
      <c r="C203" s="354" t="s">
        <v>940</v>
      </c>
      <c r="D203" s="350"/>
      <c r="E203" s="351"/>
      <c r="F203" s="352">
        <f t="shared" si="38"/>
        <v>0</v>
      </c>
      <c r="G203" s="350">
        <v>5.7750000000000004</v>
      </c>
      <c r="H203" s="351">
        <v>1206690</v>
      </c>
      <c r="I203" s="352">
        <f t="shared" si="39"/>
        <v>6968634.75</v>
      </c>
      <c r="J203" s="353">
        <f t="shared" si="40"/>
        <v>0</v>
      </c>
      <c r="K203" s="352">
        <f t="shared" si="41"/>
        <v>0</v>
      </c>
      <c r="L203" s="350">
        <f t="shared" si="42"/>
        <v>5.7750000000000004</v>
      </c>
      <c r="M203" s="351">
        <f t="shared" si="43"/>
        <v>6968634.75</v>
      </c>
      <c r="N203" s="354"/>
    </row>
    <row r="204" spans="1:14" s="355" customFormat="1" ht="32.25" customHeight="1">
      <c r="A204" s="347">
        <v>3</v>
      </c>
      <c r="B204" s="354" t="s">
        <v>1036</v>
      </c>
      <c r="C204" s="354" t="s">
        <v>901</v>
      </c>
      <c r="D204" s="350">
        <v>6.5707000000000004</v>
      </c>
      <c r="E204" s="351">
        <v>124836</v>
      </c>
      <c r="F204" s="352">
        <f t="shared" si="38"/>
        <v>820259.90520000004</v>
      </c>
      <c r="G204" s="350">
        <v>10.0464</v>
      </c>
      <c r="H204" s="351">
        <v>124836</v>
      </c>
      <c r="I204" s="352">
        <f t="shared" si="39"/>
        <v>1254152.3903999999</v>
      </c>
      <c r="J204" s="353">
        <f t="shared" si="40"/>
        <v>0</v>
      </c>
      <c r="K204" s="352">
        <f t="shared" si="41"/>
        <v>0</v>
      </c>
      <c r="L204" s="350">
        <f t="shared" si="42"/>
        <v>3.4756999999999998</v>
      </c>
      <c r="M204" s="351">
        <f t="shared" si="43"/>
        <v>433892.48519999988</v>
      </c>
      <c r="N204" s="354"/>
    </row>
    <row r="205" spans="1:14" s="355" customFormat="1" ht="32.25" customHeight="1">
      <c r="A205" s="347">
        <v>4</v>
      </c>
      <c r="B205" s="354" t="s">
        <v>972</v>
      </c>
      <c r="C205" s="354" t="s">
        <v>901</v>
      </c>
      <c r="D205" s="350">
        <v>0.47</v>
      </c>
      <c r="E205" s="351">
        <v>1285523</v>
      </c>
      <c r="F205" s="352">
        <f t="shared" si="38"/>
        <v>604195.80999999994</v>
      </c>
      <c r="G205" s="350">
        <v>0.55200000000000005</v>
      </c>
      <c r="H205" s="351">
        <v>1285523</v>
      </c>
      <c r="I205" s="352">
        <f t="shared" si="39"/>
        <v>709608.69600000011</v>
      </c>
      <c r="J205" s="353">
        <f t="shared" si="40"/>
        <v>0</v>
      </c>
      <c r="K205" s="352">
        <f t="shared" si="41"/>
        <v>0</v>
      </c>
      <c r="L205" s="350">
        <f t="shared" si="42"/>
        <v>8.2000000000000073E-2</v>
      </c>
      <c r="M205" s="351">
        <f t="shared" si="43"/>
        <v>105412.88600000017</v>
      </c>
      <c r="N205" s="354"/>
    </row>
    <row r="206" spans="1:14" s="355" customFormat="1" ht="32.25" customHeight="1">
      <c r="A206" s="347">
        <v>5</v>
      </c>
      <c r="B206" s="354" t="s">
        <v>1037</v>
      </c>
      <c r="C206" s="354" t="s">
        <v>901</v>
      </c>
      <c r="D206" s="350">
        <v>0.621</v>
      </c>
      <c r="E206" s="351">
        <v>1798035</v>
      </c>
      <c r="F206" s="352">
        <f t="shared" si="38"/>
        <v>1116579.7350000001</v>
      </c>
      <c r="G206" s="350">
        <v>0.55200000000000005</v>
      </c>
      <c r="H206" s="351">
        <v>1798035</v>
      </c>
      <c r="I206" s="352">
        <f t="shared" si="39"/>
        <v>992515.32000000007</v>
      </c>
      <c r="J206" s="353">
        <f t="shared" si="40"/>
        <v>6.899999999999995E-2</v>
      </c>
      <c r="K206" s="352">
        <f t="shared" si="41"/>
        <v>124064.41500000004</v>
      </c>
      <c r="L206" s="350">
        <f t="shared" si="42"/>
        <v>0</v>
      </c>
      <c r="M206" s="351">
        <f t="shared" si="43"/>
        <v>0</v>
      </c>
      <c r="N206" s="354"/>
    </row>
    <row r="207" spans="1:14" s="355" customFormat="1" ht="32.25" customHeight="1">
      <c r="A207" s="347">
        <v>6</v>
      </c>
      <c r="B207" s="354" t="s">
        <v>1038</v>
      </c>
      <c r="C207" s="354" t="s">
        <v>901</v>
      </c>
      <c r="D207" s="350">
        <v>0.29970000000000002</v>
      </c>
      <c r="E207" s="351">
        <v>2267107</v>
      </c>
      <c r="F207" s="352">
        <f t="shared" si="38"/>
        <v>679451.96790000005</v>
      </c>
      <c r="G207" s="350">
        <v>0.36959999999999998</v>
      </c>
      <c r="H207" s="351">
        <v>2267107</v>
      </c>
      <c r="I207" s="352">
        <f t="shared" si="39"/>
        <v>837922.74719999998</v>
      </c>
      <c r="J207" s="353">
        <f t="shared" si="40"/>
        <v>0</v>
      </c>
      <c r="K207" s="352">
        <f t="shared" si="41"/>
        <v>0</v>
      </c>
      <c r="L207" s="350">
        <f t="shared" si="42"/>
        <v>6.9899999999999962E-2</v>
      </c>
      <c r="M207" s="351">
        <f t="shared" si="43"/>
        <v>158470.77929999994</v>
      </c>
      <c r="N207" s="354"/>
    </row>
    <row r="208" spans="1:14" s="355" customFormat="1" ht="32.25" customHeight="1">
      <c r="A208" s="347">
        <v>7</v>
      </c>
      <c r="B208" s="354" t="s">
        <v>1039</v>
      </c>
      <c r="C208" s="354" t="s">
        <v>920</v>
      </c>
      <c r="D208" s="350">
        <v>2.4500000000000001E-2</v>
      </c>
      <c r="E208" s="351">
        <v>24470797</v>
      </c>
      <c r="F208" s="352">
        <f t="shared" si="38"/>
        <v>599534.52650000004</v>
      </c>
      <c r="G208" s="350">
        <v>5.4899999999999997E-2</v>
      </c>
      <c r="H208" s="351">
        <v>24470797</v>
      </c>
      <c r="I208" s="352">
        <f t="shared" si="39"/>
        <v>1343446.7552999998</v>
      </c>
      <c r="J208" s="353">
        <f t="shared" si="40"/>
        <v>0</v>
      </c>
      <c r="K208" s="352">
        <f t="shared" si="41"/>
        <v>0</v>
      </c>
      <c r="L208" s="350">
        <f t="shared" si="42"/>
        <v>3.0399999999999996E-2</v>
      </c>
      <c r="M208" s="351">
        <f t="shared" si="43"/>
        <v>743912.22879999981</v>
      </c>
      <c r="N208" s="354"/>
    </row>
    <row r="209" spans="1:14" s="355" customFormat="1" ht="32.25" customHeight="1">
      <c r="A209" s="347">
        <v>8</v>
      </c>
      <c r="B209" s="354" t="s">
        <v>1040</v>
      </c>
      <c r="C209" s="354" t="s">
        <v>995</v>
      </c>
      <c r="D209" s="350">
        <v>4</v>
      </c>
      <c r="E209" s="351">
        <v>69401</v>
      </c>
      <c r="F209" s="352">
        <f t="shared" si="38"/>
        <v>277604</v>
      </c>
      <c r="G209" s="350">
        <v>3</v>
      </c>
      <c r="H209" s="351">
        <v>69401</v>
      </c>
      <c r="I209" s="352">
        <f t="shared" si="39"/>
        <v>208203</v>
      </c>
      <c r="J209" s="353">
        <f t="shared" si="40"/>
        <v>1</v>
      </c>
      <c r="K209" s="352">
        <f t="shared" si="41"/>
        <v>69401</v>
      </c>
      <c r="L209" s="350">
        <f t="shared" si="42"/>
        <v>0</v>
      </c>
      <c r="M209" s="351">
        <f t="shared" si="43"/>
        <v>0</v>
      </c>
      <c r="N209" s="354"/>
    </row>
    <row r="210" spans="1:14" s="355" customFormat="1" ht="32.25" customHeight="1">
      <c r="A210" s="347">
        <v>9</v>
      </c>
      <c r="B210" s="354" t="s">
        <v>927</v>
      </c>
      <c r="C210" s="354" t="s">
        <v>901</v>
      </c>
      <c r="D210" s="350">
        <v>2.38</v>
      </c>
      <c r="E210" s="351">
        <v>2604470</v>
      </c>
      <c r="F210" s="352">
        <f t="shared" si="38"/>
        <v>6198638.5999999996</v>
      </c>
      <c r="G210" s="350">
        <v>3.2759999999999998</v>
      </c>
      <c r="H210" s="351">
        <v>2604470</v>
      </c>
      <c r="I210" s="352">
        <f t="shared" si="39"/>
        <v>8532243.7199999988</v>
      </c>
      <c r="J210" s="353">
        <f t="shared" si="40"/>
        <v>0</v>
      </c>
      <c r="K210" s="352">
        <f t="shared" si="41"/>
        <v>0</v>
      </c>
      <c r="L210" s="350">
        <f t="shared" si="42"/>
        <v>0.89599999999999991</v>
      </c>
      <c r="M210" s="351">
        <f t="shared" si="43"/>
        <v>2333605.1199999992</v>
      </c>
      <c r="N210" s="354"/>
    </row>
    <row r="211" spans="1:14" s="355" customFormat="1" ht="32.25" customHeight="1">
      <c r="A211" s="347">
        <v>10</v>
      </c>
      <c r="B211" s="354" t="s">
        <v>930</v>
      </c>
      <c r="C211" s="354" t="s">
        <v>931</v>
      </c>
      <c r="D211" s="350">
        <v>18.100000000000001</v>
      </c>
      <c r="E211" s="351">
        <v>81524</v>
      </c>
      <c r="F211" s="352">
        <f t="shared" si="38"/>
        <v>1475584.4000000001</v>
      </c>
      <c r="G211" s="350">
        <v>17.472000000000001</v>
      </c>
      <c r="H211" s="351">
        <v>81524</v>
      </c>
      <c r="I211" s="352">
        <f t="shared" si="39"/>
        <v>1424387.3280000002</v>
      </c>
      <c r="J211" s="353">
        <f t="shared" si="40"/>
        <v>0.62800000000000011</v>
      </c>
      <c r="K211" s="352">
        <f t="shared" si="41"/>
        <v>51197.071999999927</v>
      </c>
      <c r="L211" s="350">
        <f t="shared" si="42"/>
        <v>0</v>
      </c>
      <c r="M211" s="351">
        <f t="shared" si="43"/>
        <v>0</v>
      </c>
      <c r="N211" s="354"/>
    </row>
    <row r="212" spans="1:14" s="355" customFormat="1" ht="32.25" customHeight="1">
      <c r="A212" s="347">
        <v>11</v>
      </c>
      <c r="B212" s="354" t="s">
        <v>1041</v>
      </c>
      <c r="C212" s="354" t="s">
        <v>931</v>
      </c>
      <c r="D212" s="350">
        <v>14.09</v>
      </c>
      <c r="E212" s="351">
        <v>61795</v>
      </c>
      <c r="F212" s="352">
        <f t="shared" si="38"/>
        <v>870691.55</v>
      </c>
      <c r="G212" s="350">
        <v>2.82</v>
      </c>
      <c r="H212" s="351">
        <v>61793</v>
      </c>
      <c r="I212" s="352">
        <f t="shared" si="39"/>
        <v>174256.25999999998</v>
      </c>
      <c r="J212" s="353">
        <f t="shared" si="40"/>
        <v>11.27</v>
      </c>
      <c r="K212" s="352">
        <f t="shared" si="41"/>
        <v>696435.29</v>
      </c>
      <c r="L212" s="350">
        <f t="shared" si="42"/>
        <v>0</v>
      </c>
      <c r="M212" s="351">
        <f t="shared" si="43"/>
        <v>0</v>
      </c>
      <c r="N212" s="354"/>
    </row>
    <row r="213" spans="1:14" s="355" customFormat="1" ht="32.25" customHeight="1">
      <c r="A213" s="347">
        <v>12</v>
      </c>
      <c r="B213" s="369" t="s">
        <v>1042</v>
      </c>
      <c r="C213" s="369" t="s">
        <v>901</v>
      </c>
      <c r="D213" s="362">
        <v>8.0799999999999997E-2</v>
      </c>
      <c r="E213" s="361">
        <v>1535399</v>
      </c>
      <c r="F213" s="361">
        <f t="shared" si="38"/>
        <v>124060.2392</v>
      </c>
      <c r="G213" s="362"/>
      <c r="H213" s="361"/>
      <c r="I213" s="361"/>
      <c r="J213" s="353">
        <f t="shared" si="40"/>
        <v>8.0799999999999997E-2</v>
      </c>
      <c r="K213" s="352">
        <f t="shared" si="41"/>
        <v>124060.2392</v>
      </c>
      <c r="L213" s="350">
        <f t="shared" si="42"/>
        <v>0</v>
      </c>
      <c r="M213" s="351">
        <f t="shared" si="43"/>
        <v>0</v>
      </c>
      <c r="N213" s="354"/>
    </row>
    <row r="214" spans="1:14" s="330" customFormat="1" ht="32.25" customHeight="1">
      <c r="A214" s="515" t="s">
        <v>94</v>
      </c>
      <c r="B214" s="515"/>
      <c r="C214" s="515"/>
      <c r="D214" s="331"/>
      <c r="E214" s="332"/>
      <c r="F214" s="332">
        <f>SUM(F201:F213)</f>
        <v>14326468.051900001</v>
      </c>
      <c r="G214" s="331"/>
      <c r="H214" s="332"/>
      <c r="I214" s="332">
        <f>SUM(I201:I213)</f>
        <v>24830542.046100002</v>
      </c>
      <c r="J214" s="331"/>
      <c r="K214" s="332">
        <f>SUM(K201:K213)</f>
        <v>1065158.0162</v>
      </c>
      <c r="L214" s="331"/>
      <c r="M214" s="332">
        <f>SUM(M201:M213)</f>
        <v>11569232.010399999</v>
      </c>
      <c r="N214" s="363"/>
    </row>
    <row r="215" spans="1:14" s="330" customFormat="1" ht="32.25" customHeight="1">
      <c r="A215" s="525" t="s">
        <v>1043</v>
      </c>
      <c r="B215" s="525"/>
      <c r="C215" s="525"/>
      <c r="D215" s="333"/>
      <c r="E215" s="334"/>
      <c r="F215" s="334"/>
      <c r="G215" s="333"/>
      <c r="H215" s="334"/>
      <c r="I215" s="334">
        <v>32901264</v>
      </c>
      <c r="J215" s="333">
        <f t="shared" ref="J215:J218" si="44">MAX(D215-G215,0)</f>
        <v>0</v>
      </c>
      <c r="K215" s="334">
        <f t="shared" ref="K215:K220" si="45">MAX(F215-I215,0)</f>
        <v>0</v>
      </c>
      <c r="L215" s="333">
        <f t="shared" ref="L215:L218" si="46">MAX(G215-D215,0)</f>
        <v>0</v>
      </c>
      <c r="M215" s="334">
        <f t="shared" ref="M215:M220" si="47">MAX(I215-F215,0)</f>
        <v>32901264</v>
      </c>
      <c r="N215" s="335"/>
    </row>
    <row r="216" spans="1:14" s="330" customFormat="1" ht="32.25" customHeight="1">
      <c r="A216" s="526" t="s">
        <v>1044</v>
      </c>
      <c r="B216" s="526"/>
      <c r="C216" s="526"/>
      <c r="D216" s="370"/>
      <c r="E216" s="371"/>
      <c r="F216" s="371"/>
      <c r="G216" s="370"/>
      <c r="H216" s="371"/>
      <c r="I216" s="371">
        <v>119905555</v>
      </c>
      <c r="J216" s="370">
        <f t="shared" si="44"/>
        <v>0</v>
      </c>
      <c r="K216" s="371">
        <f t="shared" si="45"/>
        <v>0</v>
      </c>
      <c r="L216" s="370">
        <f t="shared" si="46"/>
        <v>0</v>
      </c>
      <c r="M216" s="371">
        <f t="shared" si="47"/>
        <v>119905555</v>
      </c>
      <c r="N216" s="372"/>
    </row>
    <row r="217" spans="1:14" s="330" customFormat="1" ht="32.25" customHeight="1">
      <c r="A217" s="526" t="s">
        <v>1045</v>
      </c>
      <c r="B217" s="526"/>
      <c r="C217" s="526"/>
      <c r="D217" s="370"/>
      <c r="E217" s="371"/>
      <c r="F217" s="371"/>
      <c r="G217" s="370"/>
      <c r="H217" s="371"/>
      <c r="I217" s="371">
        <v>886969404</v>
      </c>
      <c r="J217" s="370">
        <f t="shared" si="44"/>
        <v>0</v>
      </c>
      <c r="K217" s="371">
        <f t="shared" si="45"/>
        <v>0</v>
      </c>
      <c r="L217" s="370">
        <f t="shared" si="46"/>
        <v>0</v>
      </c>
      <c r="M217" s="371">
        <f t="shared" si="47"/>
        <v>886969404</v>
      </c>
      <c r="N217" s="372"/>
    </row>
    <row r="218" spans="1:14" s="330" customFormat="1" ht="32.25" customHeight="1">
      <c r="A218" s="526" t="s">
        <v>1046</v>
      </c>
      <c r="B218" s="526"/>
      <c r="C218" s="526"/>
      <c r="D218" s="370"/>
      <c r="E218" s="371"/>
      <c r="F218" s="371"/>
      <c r="G218" s="370"/>
      <c r="H218" s="371"/>
      <c r="I218" s="371">
        <v>286230000</v>
      </c>
      <c r="J218" s="370">
        <f t="shared" si="44"/>
        <v>0</v>
      </c>
      <c r="K218" s="371">
        <f t="shared" si="45"/>
        <v>0</v>
      </c>
      <c r="L218" s="370">
        <f t="shared" si="46"/>
        <v>0</v>
      </c>
      <c r="M218" s="371">
        <f t="shared" si="47"/>
        <v>286230000</v>
      </c>
      <c r="N218" s="372"/>
    </row>
    <row r="219" spans="1:14" s="330" customFormat="1" ht="32.25" customHeight="1">
      <c r="A219" s="526" t="s">
        <v>1047</v>
      </c>
      <c r="B219" s="526"/>
      <c r="C219" s="526"/>
      <c r="D219" s="370"/>
      <c r="E219" s="371"/>
      <c r="F219" s="371"/>
      <c r="G219" s="370"/>
      <c r="H219" s="371"/>
      <c r="I219" s="371">
        <v>300003882</v>
      </c>
      <c r="J219" s="370"/>
      <c r="K219" s="371">
        <f t="shared" si="45"/>
        <v>0</v>
      </c>
      <c r="L219" s="370"/>
      <c r="M219" s="371">
        <f t="shared" si="47"/>
        <v>300003882</v>
      </c>
      <c r="N219" s="372"/>
    </row>
    <row r="220" spans="1:14" s="330" customFormat="1" ht="32.25" customHeight="1">
      <c r="A220" s="527" t="s">
        <v>1048</v>
      </c>
      <c r="B220" s="527"/>
      <c r="C220" s="527"/>
      <c r="D220" s="373"/>
      <c r="E220" s="374"/>
      <c r="F220" s="374"/>
      <c r="G220" s="373"/>
      <c r="H220" s="374"/>
      <c r="I220" s="374">
        <v>53183258</v>
      </c>
      <c r="J220" s="373"/>
      <c r="K220" s="374">
        <f t="shared" si="45"/>
        <v>0</v>
      </c>
      <c r="L220" s="373"/>
      <c r="M220" s="374">
        <f t="shared" si="47"/>
        <v>53183258</v>
      </c>
      <c r="N220" s="375"/>
    </row>
    <row r="221" spans="1:14" s="330" customFormat="1" ht="32.25" customHeight="1">
      <c r="A221" s="515" t="s">
        <v>94</v>
      </c>
      <c r="B221" s="515"/>
      <c r="C221" s="515"/>
      <c r="D221" s="331"/>
      <c r="E221" s="332"/>
      <c r="F221" s="332">
        <f>SUM(F215:F220)</f>
        <v>0</v>
      </c>
      <c r="G221" s="331"/>
      <c r="H221" s="332"/>
      <c r="I221" s="332">
        <f>SUM(I215:I220)</f>
        <v>1679193363</v>
      </c>
      <c r="J221" s="331"/>
      <c r="K221" s="332">
        <f>SUM(K215:K220)</f>
        <v>0</v>
      </c>
      <c r="L221" s="331"/>
      <c r="M221" s="332">
        <f>SUM(M215:M220)</f>
        <v>1679193363</v>
      </c>
      <c r="N221" s="363"/>
    </row>
    <row r="222" spans="1:14" s="330" customFormat="1" ht="32.25" customHeight="1">
      <c r="A222" s="522" t="s">
        <v>1049</v>
      </c>
      <c r="B222" s="523"/>
      <c r="C222" s="524"/>
      <c r="D222" s="331"/>
      <c r="E222" s="332"/>
      <c r="F222" s="332">
        <f>F31+F72+F112+F152+F180+F200+F214+F221</f>
        <v>8748426395.2454014</v>
      </c>
      <c r="G222" s="332"/>
      <c r="H222" s="332"/>
      <c r="I222" s="332">
        <f>I31+I72+I112+I152+I180+I200+I214+I221</f>
        <v>10172568447.6012</v>
      </c>
      <c r="J222" s="332"/>
      <c r="K222" s="332">
        <f>K31+K72+K112+K152+K180+K200+K214+K221</f>
        <v>1267596478.4047</v>
      </c>
      <c r="L222" s="332"/>
      <c r="M222" s="332">
        <f>M31+M72+M112+M152+M180+M200+M214+M221</f>
        <v>2691738530.7605</v>
      </c>
      <c r="N222" s="363"/>
    </row>
    <row r="224" spans="1:14" ht="32.25" customHeight="1">
      <c r="G224" s="379"/>
    </row>
  </sheetData>
  <mergeCells count="30">
    <mergeCell ref="A152:C152"/>
    <mergeCell ref="A153:C153"/>
    <mergeCell ref="A222:C222"/>
    <mergeCell ref="A181:C181"/>
    <mergeCell ref="A200:C200"/>
    <mergeCell ref="A201:C201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180:C180"/>
    <mergeCell ref="D2:F2"/>
    <mergeCell ref="L2:M2"/>
    <mergeCell ref="N2:N3"/>
    <mergeCell ref="A4:C4"/>
    <mergeCell ref="A31:C31"/>
    <mergeCell ref="G2:I2"/>
    <mergeCell ref="J2:K2"/>
    <mergeCell ref="A73:C73"/>
    <mergeCell ref="A112:C112"/>
    <mergeCell ref="A113:C113"/>
    <mergeCell ref="A72:C72"/>
    <mergeCell ref="A2:A3"/>
    <mergeCell ref="B2:B3"/>
    <mergeCell ref="C2:C3"/>
    <mergeCell ref="A32:C32"/>
  </mergeCells>
  <pageMargins left="0.16" right="0.15" top="0.16" bottom="0.16" header="0.13" footer="0.16"/>
  <pageSetup scale="7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17</vt:i4>
      </vt:variant>
    </vt:vector>
  </HeadingPairs>
  <TitlesOfParts>
    <vt:vector size="25" baseType="lpstr">
      <vt:lpstr>CDPS</vt:lpstr>
      <vt:lpstr>TH</vt:lpstr>
      <vt:lpstr>tra vinh</vt:lpstr>
      <vt:lpstr>TH - TT</vt:lpstr>
      <vt:lpstr>331</vt:lpstr>
      <vt:lpstr>331-CT</vt:lpstr>
      <vt:lpstr>HOANG KIM</vt:lpstr>
      <vt:lpstr>KHANH TRÂN</vt:lpstr>
      <vt:lpstr>DSKH</vt:lpstr>
      <vt:lpstr>DSTK</vt:lpstr>
      <vt:lpstr>'HOANG KIM'!DSTT</vt:lpstr>
      <vt:lpstr>DSTT</vt:lpstr>
      <vt:lpstr>'HOANG KIM'!DSTT1</vt:lpstr>
      <vt:lpstr>DSTT1</vt:lpstr>
      <vt:lpstr>KH</vt:lpstr>
      <vt:lpstr>KHC</vt:lpstr>
      <vt:lpstr>KHN</vt:lpstr>
      <vt:lpstr>'TH - TT'!Print_Area</vt:lpstr>
      <vt:lpstr>'HOANG KIM'!Print_Titles</vt:lpstr>
      <vt:lpstr>'KHANH TRÂN'!Print_Titles</vt:lpstr>
      <vt:lpstr>'TH - TT'!Print_Titles</vt:lpstr>
      <vt:lpstr>'tra vinh'!Print_Titles</vt:lpstr>
      <vt:lpstr>TH</vt:lpstr>
      <vt:lpstr>THN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2016-01-04T03:50:32Z</cp:lastPrinted>
  <dcterms:created xsi:type="dcterms:W3CDTF">1996-10-14T23:33:28Z</dcterms:created>
  <dcterms:modified xsi:type="dcterms:W3CDTF">2016-01-12T09:17:51Z</dcterms:modified>
</cp:coreProperties>
</file>