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15330" windowHeight="4425" tabRatio="716" activeTab="7"/>
  </bookViews>
  <sheets>
    <sheet name="IN-NX" sheetId="87" r:id="rId1"/>
    <sheet name="NXT" sheetId="70" r:id="rId2"/>
    <sheet name="TH" sheetId="88" r:id="rId3"/>
    <sheet name="SO CT" sheetId="75" r:id="rId4"/>
    <sheet name="THE KHO" sheetId="84" r:id="rId5"/>
    <sheet name="BANG KE NL" sheetId="89" r:id="rId6"/>
    <sheet name="BTGT" sheetId="92" r:id="rId7"/>
    <sheet name="THEGT" sheetId="91" r:id="rId8"/>
  </sheets>
  <externalReferences>
    <externalReference r:id="rId9"/>
    <externalReference r:id="rId10"/>
  </externalReferences>
  <definedNames>
    <definedName name="_DNL1">IF(Loai='SO CT'!$J$8,ROW(Loai)-1,"")</definedName>
    <definedName name="_Fill" localSheetId="6" hidden="1">#REF!</definedName>
    <definedName name="_Fill" hidden="1">#REF!</definedName>
    <definedName name="_xlnm._FilterDatabase" localSheetId="5" hidden="1">'BANG KE NL'!$A$13:$CH$66</definedName>
    <definedName name="_xlnm._FilterDatabase" localSheetId="1" hidden="1">NXT!$B$11:$O$11</definedName>
    <definedName name="_xlnm._FilterDatabase" localSheetId="2" hidden="1">TH!$A$4:$O$854</definedName>
    <definedName name="_xlnm._FilterDatabase" localSheetId="4" hidden="1">'THE KHO'!$A$1:$J$1</definedName>
    <definedName name="_NXT1">NXT!$M$12:$M$447</definedName>
    <definedName name="Dong">IF(Loai01="x",ROW(Loai01)-1,"")</definedName>
    <definedName name="Dong3">IF(Loai='THE KHO'!$E$7,ROW(Loai)-1,"")</definedName>
    <definedName name="DS">TH!$B$5:$O$854</definedName>
    <definedName name="DSGT1">BTGT!$B$10:$B$13</definedName>
    <definedName name="DSGT10">BTGT!$B$178:$B$183</definedName>
    <definedName name="DSGT11">BTGT!$B$208:$B$212</definedName>
    <definedName name="DSGT12">BTGT!$B$231:$B$254</definedName>
    <definedName name="DSGT2">BTGT!$B$27:$B$28</definedName>
    <definedName name="DSGT3">BTGT!$B$40:$B$44</definedName>
    <definedName name="DSGT4">BTGT!$B$64:$B$68</definedName>
    <definedName name="DSGT5">BTGT!$B$83:$B$88</definedName>
    <definedName name="DSGT6">BTGT!$B$101:$B$104</definedName>
    <definedName name="DSGT7">BTGT!$B$117:$B$120</definedName>
    <definedName name="DSGT8">BTGT!$B$133:$B$140</definedName>
    <definedName name="DSGT9">BTGT!$B$156:$B$160</definedName>
    <definedName name="DSNL">NXT!$N$12:$R$594</definedName>
    <definedName name="DSNX1">TH!$F$5:$F$988</definedName>
    <definedName name="DSNX2">TH!$K$5:$K$988</definedName>
    <definedName name="DSNX3">TH!$M$5:$M$988</definedName>
    <definedName name="DSNX4">TH!$N$5:$N$988</definedName>
    <definedName name="DSNX5">TH!$L$5:$L$988</definedName>
    <definedName name="DSNXT1">NXT!$C$91:$C$125</definedName>
    <definedName name="DSSP1">BTGT!$B$10:$O$13</definedName>
    <definedName name="DSSP10">BTGT!$B$178:$O$183</definedName>
    <definedName name="DSSP11">BTGT!$B$208:$O$212</definedName>
    <definedName name="DSSP12">BTGT!$B$231:$O$254</definedName>
    <definedName name="DSSP2">BTGT!$B$27:$O$28</definedName>
    <definedName name="DSSP3">BTGT!$B$40:$O$44</definedName>
    <definedName name="DSSP4">BTGT!$B$64:$O$68</definedName>
    <definedName name="DSSP5">BTGT!$B$83:$O$88</definedName>
    <definedName name="DSSP6">BTGT!$B$101:$O$104</definedName>
    <definedName name="DSSP7">BTGT!$B$117:$O$120</definedName>
    <definedName name="DSSP8">BTGT!$B$133:$O$140</definedName>
    <definedName name="DSSP9">BTGT!$B$156:$O$160</definedName>
    <definedName name="Loai">OFFSET(TH!$F$5,,,COUNTA(TH!$F$5:$F$40524))</definedName>
    <definedName name="Loai01">OFFSET(TH!$O$5,,,COUNTA(TH!$O$5:$O$30524))</definedName>
    <definedName name="Loai1">OFFSET(TH!$B$5,,,COUNTA(TH!$B$5:$B$30524))</definedName>
    <definedName name="Loai2">OFFSET(INDIRECT(ADDRESS(MATCH(RIGHT(TH!$C1,2),NXT,0)+11,3,,,"NXT")),0,0,COUNTIF(NXT,RIGHT(TH!$C1,2)),1)</definedName>
    <definedName name="Loai3">OFFSET(INDIRECT(ADDRESS(MATCH(RIGHT(TH!$C1,2),_NXT1,0)+11,14,,,"NXT")),0,0,COUNTIF(_NXT1,RIGHT(TH!$C1,2)),1)</definedName>
    <definedName name="NXT">NXT!$A$12:$A$449</definedName>
    <definedName name="_xlnm.Print_Area" localSheetId="5">'BANG KE NL'!$A$1:$K$66</definedName>
    <definedName name="_xlnm.Print_Area" localSheetId="3">'SO CT'!$B$2:$M$108</definedName>
    <definedName name="_xlnm.Print_Area" localSheetId="4">'THE KHO'!$A$1:$J$131</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V266" i="92"/>
  <c r="U266"/>
  <c r="J255" s="1"/>
  <c r="V255"/>
  <c r="U255"/>
  <c r="G255" s="1"/>
  <c r="V225"/>
  <c r="U225"/>
  <c r="J213" s="1"/>
  <c r="V213"/>
  <c r="U213"/>
  <c r="G213" s="1"/>
  <c r="V202"/>
  <c r="U202"/>
  <c r="J184" s="1"/>
  <c r="V184"/>
  <c r="U184"/>
  <c r="G184" s="1"/>
  <c r="V172"/>
  <c r="U172"/>
  <c r="J161" s="1"/>
  <c r="V161"/>
  <c r="U161"/>
  <c r="G161" s="1"/>
  <c r="V150"/>
  <c r="U150"/>
  <c r="J141" s="1"/>
  <c r="V141"/>
  <c r="U141"/>
  <c r="G141" s="1"/>
  <c r="V127"/>
  <c r="U127"/>
  <c r="J121" s="1"/>
  <c r="V121"/>
  <c r="U121"/>
  <c r="G121" s="1"/>
  <c r="V111"/>
  <c r="U111"/>
  <c r="J105" s="1"/>
  <c r="U105"/>
  <c r="G105" s="1"/>
  <c r="V105"/>
  <c r="V95"/>
  <c r="U95"/>
  <c r="J89" s="1"/>
  <c r="V89"/>
  <c r="U89"/>
  <c r="G89" s="1"/>
  <c r="U58"/>
  <c r="V77" l="1"/>
  <c r="U77"/>
  <c r="J69" s="1"/>
  <c r="V69"/>
  <c r="U69"/>
  <c r="G69" s="1"/>
  <c r="J45"/>
  <c r="V58"/>
  <c r="V45"/>
  <c r="U45"/>
  <c r="G45" s="1"/>
  <c r="V14"/>
  <c r="V21"/>
  <c r="U21"/>
  <c r="J14" s="1"/>
  <c r="U14"/>
  <c r="G14" s="1"/>
  <c r="U32"/>
  <c r="F12"/>
  <c r="F10"/>
  <c r="F11"/>
  <c r="J64" i="89" l="1"/>
  <c r="O62" i="70"/>
  <c r="P62"/>
  <c r="Q62"/>
  <c r="O63"/>
  <c r="P63"/>
  <c r="Q63"/>
  <c r="O64"/>
  <c r="P64"/>
  <c r="Q64"/>
  <c r="O65"/>
  <c r="P65"/>
  <c r="Q65"/>
  <c r="O66"/>
  <c r="P66"/>
  <c r="Q66"/>
  <c r="O67"/>
  <c r="P67"/>
  <c r="Q67"/>
  <c r="G62"/>
  <c r="H62"/>
  <c r="I62"/>
  <c r="J62"/>
  <c r="K62"/>
  <c r="L62"/>
  <c r="G63"/>
  <c r="H63"/>
  <c r="I63"/>
  <c r="J63"/>
  <c r="K63"/>
  <c r="L63"/>
  <c r="G64"/>
  <c r="H64"/>
  <c r="I64"/>
  <c r="J64"/>
  <c r="K64"/>
  <c r="L64"/>
  <c r="G65"/>
  <c r="H65"/>
  <c r="I65"/>
  <c r="J65"/>
  <c r="K65"/>
  <c r="L65"/>
  <c r="G66"/>
  <c r="H66"/>
  <c r="I66"/>
  <c r="J66"/>
  <c r="K66"/>
  <c r="O52"/>
  <c r="P52"/>
  <c r="Q52"/>
  <c r="O53"/>
  <c r="P53"/>
  <c r="Q53"/>
  <c r="O54"/>
  <c r="P54"/>
  <c r="Q54"/>
  <c r="O55"/>
  <c r="P55"/>
  <c r="Q55"/>
  <c r="O56"/>
  <c r="P56"/>
  <c r="Q56"/>
  <c r="O57"/>
  <c r="P57"/>
  <c r="Q57"/>
  <c r="O58"/>
  <c r="P58"/>
  <c r="Q58"/>
  <c r="O59"/>
  <c r="P59"/>
  <c r="Q59"/>
  <c r="O60"/>
  <c r="P60"/>
  <c r="Q60"/>
  <c r="O61"/>
  <c r="P61"/>
  <c r="Q61"/>
  <c r="A6" i="88"/>
  <c r="B6"/>
  <c r="A7"/>
  <c r="B7"/>
  <c r="A8"/>
  <c r="B8"/>
  <c r="A9"/>
  <c r="B9"/>
  <c r="A10"/>
  <c r="B10"/>
  <c r="A11"/>
  <c r="B11"/>
  <c r="A12"/>
  <c r="B12"/>
  <c r="A13"/>
  <c r="B13"/>
  <c r="A14"/>
  <c r="B14"/>
  <c r="A15"/>
  <c r="B15"/>
  <c r="A16"/>
  <c r="B16"/>
  <c r="A17"/>
  <c r="B17"/>
  <c r="A18"/>
  <c r="B18"/>
  <c r="A19"/>
  <c r="B19"/>
  <c r="A20"/>
  <c r="B20"/>
  <c r="A21"/>
  <c r="B21"/>
  <c r="A22"/>
  <c r="B22"/>
  <c r="A23"/>
  <c r="B23"/>
  <c r="A24"/>
  <c r="B24"/>
  <c r="A25"/>
  <c r="B25"/>
  <c r="A26"/>
  <c r="B26"/>
  <c r="A27"/>
  <c r="B27"/>
  <c r="A28"/>
  <c r="B28"/>
  <c r="A29"/>
  <c r="B29"/>
  <c r="A30"/>
  <c r="B30"/>
  <c r="A31"/>
  <c r="B31"/>
  <c r="A32"/>
  <c r="B32"/>
  <c r="A33"/>
  <c r="B33"/>
  <c r="A34"/>
  <c r="B34"/>
  <c r="A35"/>
  <c r="B35"/>
  <c r="A36"/>
  <c r="B36"/>
  <c r="A37"/>
  <c r="B37"/>
  <c r="A38"/>
  <c r="B38"/>
  <c r="A39"/>
  <c r="B39"/>
  <c r="A40"/>
  <c r="B40"/>
  <c r="A41"/>
  <c r="B41"/>
  <c r="A42"/>
  <c r="B42"/>
  <c r="A43"/>
  <c r="B43"/>
  <c r="A44"/>
  <c r="B44"/>
  <c r="A45"/>
  <c r="B45"/>
  <c r="A46"/>
  <c r="B46"/>
  <c r="A47"/>
  <c r="B47"/>
  <c r="A48"/>
  <c r="B48"/>
  <c r="A49"/>
  <c r="B49"/>
  <c r="A50"/>
  <c r="B50"/>
  <c r="A51"/>
  <c r="B51"/>
  <c r="A52"/>
  <c r="B52"/>
  <c r="A53"/>
  <c r="B53"/>
  <c r="A54"/>
  <c r="B54"/>
  <c r="A55"/>
  <c r="B55"/>
  <c r="A56"/>
  <c r="B56"/>
  <c r="A57"/>
  <c r="B57"/>
  <c r="A58"/>
  <c r="B58"/>
  <c r="A59"/>
  <c r="B59"/>
  <c r="A60"/>
  <c r="B60"/>
  <c r="A61"/>
  <c r="B61"/>
  <c r="A62"/>
  <c r="B62"/>
  <c r="A63"/>
  <c r="B63"/>
  <c r="A64"/>
  <c r="B64"/>
  <c r="A65"/>
  <c r="B65"/>
  <c r="A66"/>
  <c r="B66"/>
  <c r="A67"/>
  <c r="B67"/>
  <c r="A68"/>
  <c r="B68"/>
  <c r="A69"/>
  <c r="B69"/>
  <c r="A70"/>
  <c r="B70"/>
  <c r="A71"/>
  <c r="B71"/>
  <c r="A72"/>
  <c r="B72"/>
  <c r="A73"/>
  <c r="B73"/>
  <c r="A74"/>
  <c r="B74"/>
  <c r="A75"/>
  <c r="B75"/>
  <c r="A76"/>
  <c r="B76"/>
  <c r="A77"/>
  <c r="B77"/>
  <c r="A78"/>
  <c r="B78"/>
  <c r="A79"/>
  <c r="B79"/>
  <c r="A80"/>
  <c r="B80"/>
  <c r="A81"/>
  <c r="B81"/>
  <c r="A82"/>
  <c r="B82"/>
  <c r="A83"/>
  <c r="B83"/>
  <c r="A84"/>
  <c r="B84"/>
  <c r="A85"/>
  <c r="B85"/>
  <c r="A86"/>
  <c r="B86"/>
  <c r="A87"/>
  <c r="B87"/>
  <c r="A88"/>
  <c r="B88"/>
  <c r="A89"/>
  <c r="B89"/>
  <c r="A90"/>
  <c r="B90"/>
  <c r="A91"/>
  <c r="B91"/>
  <c r="A92"/>
  <c r="B92"/>
  <c r="A93"/>
  <c r="B93"/>
  <c r="A94"/>
  <c r="B94"/>
  <c r="A95"/>
  <c r="B95"/>
  <c r="A96"/>
  <c r="B96"/>
  <c r="A97"/>
  <c r="B97"/>
  <c r="A98"/>
  <c r="B98"/>
  <c r="A99"/>
  <c r="B99"/>
  <c r="A100"/>
  <c r="B100"/>
  <c r="A101"/>
  <c r="B101"/>
  <c r="A102"/>
  <c r="B102"/>
  <c r="A103"/>
  <c r="B103"/>
  <c r="A104"/>
  <c r="B104"/>
  <c r="A105"/>
  <c r="B105"/>
  <c r="A106"/>
  <c r="B106"/>
  <c r="A107"/>
  <c r="B107"/>
  <c r="A108"/>
  <c r="B108"/>
  <c r="A109"/>
  <c r="B109"/>
  <c r="A110"/>
  <c r="B110"/>
  <c r="A111"/>
  <c r="B111"/>
  <c r="A112"/>
  <c r="B112"/>
  <c r="A113"/>
  <c r="B113"/>
  <c r="A114"/>
  <c r="B114"/>
  <c r="A115"/>
  <c r="B115"/>
  <c r="A116"/>
  <c r="B116"/>
  <c r="A117"/>
  <c r="B117"/>
  <c r="A118"/>
  <c r="B118"/>
  <c r="A119"/>
  <c r="B119"/>
  <c r="A120"/>
  <c r="B120"/>
  <c r="A121"/>
  <c r="B121"/>
  <c r="A122"/>
  <c r="B122"/>
  <c r="A123"/>
  <c r="B123"/>
  <c r="A124"/>
  <c r="B124"/>
  <c r="A125"/>
  <c r="B125"/>
  <c r="A126"/>
  <c r="B126"/>
  <c r="A127"/>
  <c r="B127"/>
  <c r="A128"/>
  <c r="B128"/>
  <c r="A129"/>
  <c r="B129"/>
  <c r="A130"/>
  <c r="B130"/>
  <c r="A131"/>
  <c r="B131"/>
  <c r="A132"/>
  <c r="B132"/>
  <c r="A133"/>
  <c r="B133"/>
  <c r="A134"/>
  <c r="B134"/>
  <c r="A135"/>
  <c r="B135"/>
  <c r="A136"/>
  <c r="B136"/>
  <c r="A137"/>
  <c r="B137"/>
  <c r="A138"/>
  <c r="B138"/>
  <c r="A139"/>
  <c r="B139"/>
  <c r="A140"/>
  <c r="B140"/>
  <c r="A141"/>
  <c r="B141"/>
  <c r="A142"/>
  <c r="B142"/>
  <c r="A143"/>
  <c r="B143"/>
  <c r="A144"/>
  <c r="B144"/>
  <c r="A145"/>
  <c r="B145"/>
  <c r="A146"/>
  <c r="B146"/>
  <c r="A147"/>
  <c r="B147"/>
  <c r="A148"/>
  <c r="B148"/>
  <c r="A149"/>
  <c r="B149"/>
  <c r="A150"/>
  <c r="B150"/>
  <c r="A151"/>
  <c r="B151"/>
  <c r="A152"/>
  <c r="B152"/>
  <c r="A153"/>
  <c r="B153"/>
  <c r="A154"/>
  <c r="B154"/>
  <c r="A155"/>
  <c r="B155"/>
  <c r="A156"/>
  <c r="B156"/>
  <c r="A157"/>
  <c r="B157"/>
  <c r="A158"/>
  <c r="B158"/>
  <c r="A159"/>
  <c r="B159"/>
  <c r="A160"/>
  <c r="B160"/>
  <c r="A161"/>
  <c r="B161"/>
  <c r="A162"/>
  <c r="B162"/>
  <c r="A163"/>
  <c r="B163"/>
  <c r="A164"/>
  <c r="B164"/>
  <c r="A165"/>
  <c r="B165"/>
  <c r="A166"/>
  <c r="B166"/>
  <c r="A167"/>
  <c r="B167"/>
  <c r="A168"/>
  <c r="B168"/>
  <c r="A169"/>
  <c r="B169"/>
  <c r="A170"/>
  <c r="B170"/>
  <c r="A171"/>
  <c r="B171"/>
  <c r="A172"/>
  <c r="B172"/>
  <c r="A173"/>
  <c r="B173"/>
  <c r="A174"/>
  <c r="B174"/>
  <c r="A175"/>
  <c r="B175"/>
  <c r="A176"/>
  <c r="B176"/>
  <c r="A177"/>
  <c r="B177"/>
  <c r="A178"/>
  <c r="B178"/>
  <c r="A179"/>
  <c r="B179"/>
  <c r="A180"/>
  <c r="B180"/>
  <c r="A181"/>
  <c r="B181"/>
  <c r="A182"/>
  <c r="B182"/>
  <c r="A183"/>
  <c r="B183"/>
  <c r="A184"/>
  <c r="B184"/>
  <c r="A185"/>
  <c r="B185"/>
  <c r="A186"/>
  <c r="B186"/>
  <c r="A187"/>
  <c r="B187"/>
  <c r="A188"/>
  <c r="B188"/>
  <c r="A189"/>
  <c r="B189"/>
  <c r="A190"/>
  <c r="B190"/>
  <c r="A191"/>
  <c r="B191"/>
  <c r="A192"/>
  <c r="B192"/>
  <c r="A193"/>
  <c r="B193"/>
  <c r="A194"/>
  <c r="B194"/>
  <c r="A195"/>
  <c r="B195"/>
  <c r="A196"/>
  <c r="B196"/>
  <c r="A197"/>
  <c r="B197"/>
  <c r="A198"/>
  <c r="B198"/>
  <c r="A199"/>
  <c r="B199"/>
  <c r="A200"/>
  <c r="B200"/>
  <c r="A201"/>
  <c r="B201"/>
  <c r="A202"/>
  <c r="B202"/>
  <c r="A203"/>
  <c r="B203"/>
  <c r="A204"/>
  <c r="B204"/>
  <c r="A205"/>
  <c r="B205"/>
  <c r="A206"/>
  <c r="B206"/>
  <c r="A207"/>
  <c r="B207"/>
  <c r="A208"/>
  <c r="B208"/>
  <c r="A209"/>
  <c r="B209"/>
  <c r="A210"/>
  <c r="B210"/>
  <c r="A211"/>
  <c r="B211"/>
  <c r="A212"/>
  <c r="B212"/>
  <c r="A213"/>
  <c r="B213"/>
  <c r="A214"/>
  <c r="B214"/>
  <c r="A215"/>
  <c r="B215"/>
  <c r="A216"/>
  <c r="B216"/>
  <c r="A217"/>
  <c r="B217"/>
  <c r="A218"/>
  <c r="B218"/>
  <c r="A219"/>
  <c r="B219"/>
  <c r="A220"/>
  <c r="B220"/>
  <c r="A221"/>
  <c r="B221"/>
  <c r="A222"/>
  <c r="B222"/>
  <c r="A223"/>
  <c r="B223"/>
  <c r="A224"/>
  <c r="B224"/>
  <c r="A225"/>
  <c r="B225"/>
  <c r="A226"/>
  <c r="B226"/>
  <c r="A227"/>
  <c r="B227"/>
  <c r="A228"/>
  <c r="B228"/>
  <c r="A229"/>
  <c r="B229"/>
  <c r="A230"/>
  <c r="B230"/>
  <c r="A231"/>
  <c r="B231"/>
  <c r="A232"/>
  <c r="B232"/>
  <c r="A233"/>
  <c r="B233"/>
  <c r="A234"/>
  <c r="B234"/>
  <c r="A235"/>
  <c r="B235"/>
  <c r="A236"/>
  <c r="B236"/>
  <c r="A237"/>
  <c r="B237"/>
  <c r="A238"/>
  <c r="B238"/>
  <c r="A239"/>
  <c r="B239"/>
  <c r="A240"/>
  <c r="B240"/>
  <c r="A241"/>
  <c r="B241"/>
  <c r="A242"/>
  <c r="B242"/>
  <c r="A243"/>
  <c r="B243"/>
  <c r="A244"/>
  <c r="B244"/>
  <c r="A245"/>
  <c r="B245"/>
  <c r="A246"/>
  <c r="B246"/>
  <c r="A247"/>
  <c r="B247"/>
  <c r="A248"/>
  <c r="B248"/>
  <c r="A249"/>
  <c r="B249"/>
  <c r="A250"/>
  <c r="B250"/>
  <c r="A251"/>
  <c r="B251"/>
  <c r="A252"/>
  <c r="B252"/>
  <c r="A253"/>
  <c r="B253"/>
  <c r="A254"/>
  <c r="B254"/>
  <c r="A255"/>
  <c r="B255"/>
  <c r="A256"/>
  <c r="B256"/>
  <c r="A257"/>
  <c r="B257"/>
  <c r="A258"/>
  <c r="B258"/>
  <c r="A259"/>
  <c r="B259"/>
  <c r="A260"/>
  <c r="B260"/>
  <c r="A261"/>
  <c r="B261"/>
  <c r="A262"/>
  <c r="B262"/>
  <c r="A263"/>
  <c r="B263"/>
  <c r="A264"/>
  <c r="B264"/>
  <c r="A265"/>
  <c r="B265"/>
  <c r="A266"/>
  <c r="B266"/>
  <c r="A267"/>
  <c r="B267"/>
  <c r="A268"/>
  <c r="B268"/>
  <c r="A269"/>
  <c r="B269"/>
  <c r="A270"/>
  <c r="B270"/>
  <c r="A271"/>
  <c r="B271"/>
  <c r="A272"/>
  <c r="B272"/>
  <c r="A273"/>
  <c r="B273"/>
  <c r="A274"/>
  <c r="B274"/>
  <c r="A275"/>
  <c r="B275"/>
  <c r="A276"/>
  <c r="B276"/>
  <c r="A277"/>
  <c r="B277"/>
  <c r="A278"/>
  <c r="B278"/>
  <c r="A279"/>
  <c r="B279"/>
  <c r="A280"/>
  <c r="B280"/>
  <c r="A281"/>
  <c r="B281"/>
  <c r="A282"/>
  <c r="B282"/>
  <c r="A283"/>
  <c r="B283"/>
  <c r="A284"/>
  <c r="B284"/>
  <c r="A285"/>
  <c r="B285"/>
  <c r="A286"/>
  <c r="B286"/>
  <c r="A287"/>
  <c r="B287"/>
  <c r="A288"/>
  <c r="B288"/>
  <c r="A289"/>
  <c r="B289"/>
  <c r="A290"/>
  <c r="B290"/>
  <c r="A291"/>
  <c r="B291"/>
  <c r="A292"/>
  <c r="B292"/>
  <c r="A293"/>
  <c r="B293"/>
  <c r="A294"/>
  <c r="B294"/>
  <c r="A295"/>
  <c r="B295"/>
  <c r="A296"/>
  <c r="B296"/>
  <c r="A297"/>
  <c r="B297"/>
  <c r="A298"/>
  <c r="B298"/>
  <c r="A299"/>
  <c r="B299"/>
  <c r="A300"/>
  <c r="B300"/>
  <c r="A301"/>
  <c r="B301"/>
  <c r="A302"/>
  <c r="B302"/>
  <c r="A303"/>
  <c r="B303"/>
  <c r="A304"/>
  <c r="B304"/>
  <c r="A305"/>
  <c r="B305"/>
  <c r="A306"/>
  <c r="B306"/>
  <c r="A307"/>
  <c r="B307"/>
  <c r="A308"/>
  <c r="B308"/>
  <c r="A309"/>
  <c r="B309"/>
  <c r="A310"/>
  <c r="B310"/>
  <c r="A311"/>
  <c r="B311"/>
  <c r="A312"/>
  <c r="B312"/>
  <c r="A313"/>
  <c r="B313"/>
  <c r="A314"/>
  <c r="B314"/>
  <c r="A315"/>
  <c r="B315"/>
  <c r="A316"/>
  <c r="B316"/>
  <c r="A317"/>
  <c r="B317"/>
  <c r="A318"/>
  <c r="B318"/>
  <c r="A319"/>
  <c r="B319"/>
  <c r="A320"/>
  <c r="B320"/>
  <c r="A321"/>
  <c r="B321"/>
  <c r="A322"/>
  <c r="B322"/>
  <c r="A323"/>
  <c r="B323"/>
  <c r="A324"/>
  <c r="B324"/>
  <c r="A325"/>
  <c r="B325"/>
  <c r="A326"/>
  <c r="B326"/>
  <c r="A327"/>
  <c r="B327"/>
  <c r="A328"/>
  <c r="B328"/>
  <c r="A329"/>
  <c r="B329"/>
  <c r="A330"/>
  <c r="B330"/>
  <c r="A331"/>
  <c r="B331"/>
  <c r="A332"/>
  <c r="B332"/>
  <c r="A333"/>
  <c r="B333"/>
  <c r="A334"/>
  <c r="B334"/>
  <c r="A335"/>
  <c r="B335"/>
  <c r="A336"/>
  <c r="B336"/>
  <c r="A337"/>
  <c r="B337"/>
  <c r="A338"/>
  <c r="B338"/>
  <c r="A339"/>
  <c r="B339"/>
  <c r="A340"/>
  <c r="B340"/>
  <c r="A341"/>
  <c r="B341"/>
  <c r="A342"/>
  <c r="B342"/>
  <c r="A343"/>
  <c r="B343"/>
  <c r="A344"/>
  <c r="B344"/>
  <c r="A345"/>
  <c r="B345"/>
  <c r="A346"/>
  <c r="B346"/>
  <c r="A347"/>
  <c r="B347"/>
  <c r="A348"/>
  <c r="B348"/>
  <c r="A349"/>
  <c r="B349"/>
  <c r="A350"/>
  <c r="B350"/>
  <c r="A351"/>
  <c r="B351"/>
  <c r="A352"/>
  <c r="B352"/>
  <c r="A353"/>
  <c r="B353"/>
  <c r="A354"/>
  <c r="B354"/>
  <c r="A355"/>
  <c r="B355"/>
  <c r="A356"/>
  <c r="B356"/>
  <c r="A357"/>
  <c r="B357"/>
  <c r="A358"/>
  <c r="B358"/>
  <c r="A359"/>
  <c r="B359"/>
  <c r="A360"/>
  <c r="B360"/>
  <c r="A361"/>
  <c r="B361"/>
  <c r="A362"/>
  <c r="B362"/>
  <c r="A363"/>
  <c r="B363"/>
  <c r="A364"/>
  <c r="B364"/>
  <c r="A365"/>
  <c r="B365"/>
  <c r="A366"/>
  <c r="B366"/>
  <c r="A367"/>
  <c r="B367"/>
  <c r="A368"/>
  <c r="B368"/>
  <c r="A369"/>
  <c r="B369"/>
  <c r="A370"/>
  <c r="B370"/>
  <c r="A371"/>
  <c r="B371"/>
  <c r="A372"/>
  <c r="B372"/>
  <c r="A373"/>
  <c r="B373"/>
  <c r="A374"/>
  <c r="B374"/>
  <c r="A375"/>
  <c r="B375"/>
  <c r="A376"/>
  <c r="B376"/>
  <c r="A377"/>
  <c r="B377"/>
  <c r="A378"/>
  <c r="B378"/>
  <c r="A379"/>
  <c r="B379"/>
  <c r="A380"/>
  <c r="B380"/>
  <c r="A381"/>
  <c r="B381"/>
  <c r="A382"/>
  <c r="B382"/>
  <c r="A383"/>
  <c r="B383"/>
  <c r="A384"/>
  <c r="B384"/>
  <c r="A385"/>
  <c r="B385"/>
  <c r="A386"/>
  <c r="B386"/>
  <c r="A387"/>
  <c r="B387"/>
  <c r="A388"/>
  <c r="B388"/>
  <c r="A389"/>
  <c r="B389"/>
  <c r="A390"/>
  <c r="B390"/>
  <c r="A391"/>
  <c r="B391"/>
  <c r="A392"/>
  <c r="B392"/>
  <c r="A393"/>
  <c r="B393"/>
  <c r="A394"/>
  <c r="B394"/>
  <c r="A395"/>
  <c r="B395"/>
  <c r="A396"/>
  <c r="B396"/>
  <c r="A397"/>
  <c r="B397"/>
  <c r="A398"/>
  <c r="B398"/>
  <c r="A399"/>
  <c r="B399"/>
  <c r="A400"/>
  <c r="B400"/>
  <c r="A401"/>
  <c r="B401"/>
  <c r="A402"/>
  <c r="B402"/>
  <c r="A403"/>
  <c r="B403"/>
  <c r="A404"/>
  <c r="B404"/>
  <c r="A405"/>
  <c r="B405"/>
  <c r="A406"/>
  <c r="B406"/>
  <c r="A407"/>
  <c r="B407"/>
  <c r="A408"/>
  <c r="B408"/>
  <c r="A409"/>
  <c r="B409"/>
  <c r="A410"/>
  <c r="B410"/>
  <c r="A411"/>
  <c r="B411"/>
  <c r="A412"/>
  <c r="B412"/>
  <c r="A413"/>
  <c r="B413"/>
  <c r="A414"/>
  <c r="B414"/>
  <c r="A415"/>
  <c r="B415"/>
  <c r="A416"/>
  <c r="B416"/>
  <c r="A417"/>
  <c r="B417"/>
  <c r="A418"/>
  <c r="B418"/>
  <c r="A419"/>
  <c r="B419"/>
  <c r="A420"/>
  <c r="B420"/>
  <c r="A421"/>
  <c r="B421"/>
  <c r="A422"/>
  <c r="B422"/>
  <c r="A423"/>
  <c r="B423"/>
  <c r="A424"/>
  <c r="B424"/>
  <c r="A425"/>
  <c r="B425"/>
  <c r="A426"/>
  <c r="B426"/>
  <c r="A427"/>
  <c r="B427"/>
  <c r="A428"/>
  <c r="B428"/>
  <c r="A429"/>
  <c r="B429"/>
  <c r="A430"/>
  <c r="B430"/>
  <c r="A431"/>
  <c r="B431"/>
  <c r="A432"/>
  <c r="B432"/>
  <c r="A433"/>
  <c r="B433"/>
  <c r="A434"/>
  <c r="B434"/>
  <c r="A435"/>
  <c r="B435"/>
  <c r="A436"/>
  <c r="B436"/>
  <c r="A437"/>
  <c r="B437"/>
  <c r="A438"/>
  <c r="B438"/>
  <c r="A439"/>
  <c r="B439"/>
  <c r="A440"/>
  <c r="B440"/>
  <c r="A441"/>
  <c r="B441"/>
  <c r="A442"/>
  <c r="B442"/>
  <c r="A443"/>
  <c r="B443"/>
  <c r="A444"/>
  <c r="B444"/>
  <c r="A445"/>
  <c r="B445"/>
  <c r="A446"/>
  <c r="B446"/>
  <c r="A447"/>
  <c r="B447"/>
  <c r="A448"/>
  <c r="B448"/>
  <c r="A449"/>
  <c r="B449"/>
  <c r="A450"/>
  <c r="B450"/>
  <c r="A451"/>
  <c r="B451"/>
  <c r="A452"/>
  <c r="B452"/>
  <c r="A453"/>
  <c r="B453"/>
  <c r="A454"/>
  <c r="B454"/>
  <c r="A455"/>
  <c r="B455"/>
  <c r="A456"/>
  <c r="B456"/>
  <c r="A457"/>
  <c r="B457"/>
  <c r="A458"/>
  <c r="B458"/>
  <c r="A459"/>
  <c r="B459"/>
  <c r="A460"/>
  <c r="B460"/>
  <c r="A461"/>
  <c r="B461"/>
  <c r="A462"/>
  <c r="B462"/>
  <c r="A463"/>
  <c r="B463"/>
  <c r="A464"/>
  <c r="B464"/>
  <c r="A465"/>
  <c r="B465"/>
  <c r="A466"/>
  <c r="B466"/>
  <c r="A467"/>
  <c r="B467"/>
  <c r="A468"/>
  <c r="B468"/>
  <c r="A469"/>
  <c r="B469"/>
  <c r="A470"/>
  <c r="B470"/>
  <c r="A471"/>
  <c r="B471"/>
  <c r="A472"/>
  <c r="B472"/>
  <c r="A473"/>
  <c r="B473"/>
  <c r="A474"/>
  <c r="B474"/>
  <c r="A475"/>
  <c r="B475"/>
  <c r="A476"/>
  <c r="B476"/>
  <c r="A477"/>
  <c r="B477"/>
  <c r="A478"/>
  <c r="B478"/>
  <c r="A479"/>
  <c r="B479"/>
  <c r="A480"/>
  <c r="B480"/>
  <c r="A481"/>
  <c r="B481"/>
  <c r="A482"/>
  <c r="B482"/>
  <c r="A483"/>
  <c r="B483"/>
  <c r="A484"/>
  <c r="B484"/>
  <c r="A485"/>
  <c r="B485"/>
  <c r="A486"/>
  <c r="B486"/>
  <c r="A487"/>
  <c r="B487"/>
  <c r="A488"/>
  <c r="B488"/>
  <c r="A489"/>
  <c r="B489"/>
  <c r="A490"/>
  <c r="B490"/>
  <c r="A491"/>
  <c r="B491"/>
  <c r="A492"/>
  <c r="B492"/>
  <c r="A493"/>
  <c r="B493"/>
  <c r="A494"/>
  <c r="B494"/>
  <c r="A495"/>
  <c r="B495"/>
  <c r="A496"/>
  <c r="B496"/>
  <c r="A497"/>
  <c r="B497"/>
  <c r="A498"/>
  <c r="B498"/>
  <c r="A499"/>
  <c r="B499"/>
  <c r="A500"/>
  <c r="B500"/>
  <c r="A501"/>
  <c r="B501"/>
  <c r="A502"/>
  <c r="B502"/>
  <c r="A503"/>
  <c r="B503"/>
  <c r="A504"/>
  <c r="B504"/>
  <c r="A505"/>
  <c r="B505"/>
  <c r="A506"/>
  <c r="B506"/>
  <c r="A507"/>
  <c r="B507"/>
  <c r="A508"/>
  <c r="B508"/>
  <c r="A509"/>
  <c r="B509"/>
  <c r="A510"/>
  <c r="B510"/>
  <c r="A511"/>
  <c r="B511"/>
  <c r="A512"/>
  <c r="B512"/>
  <c r="A513"/>
  <c r="B513"/>
  <c r="A514"/>
  <c r="B514"/>
  <c r="A515"/>
  <c r="B515"/>
  <c r="A516"/>
  <c r="B516"/>
  <c r="A517"/>
  <c r="B517"/>
  <c r="A518"/>
  <c r="B518"/>
  <c r="A519"/>
  <c r="B519"/>
  <c r="A520"/>
  <c r="B520"/>
  <c r="A521"/>
  <c r="B521"/>
  <c r="A522"/>
  <c r="B522"/>
  <c r="A523"/>
  <c r="B523"/>
  <c r="A524"/>
  <c r="B524"/>
  <c r="A525"/>
  <c r="B525"/>
  <c r="A526"/>
  <c r="B526"/>
  <c r="A527"/>
  <c r="B527"/>
  <c r="A528"/>
  <c r="B528"/>
  <c r="A529"/>
  <c r="B529"/>
  <c r="A530"/>
  <c r="B530"/>
  <c r="A531"/>
  <c r="B531"/>
  <c r="A532"/>
  <c r="B532"/>
  <c r="A533"/>
  <c r="B533"/>
  <c r="A534"/>
  <c r="B534"/>
  <c r="A535"/>
  <c r="B535"/>
  <c r="A536"/>
  <c r="B536"/>
  <c r="A537"/>
  <c r="B537"/>
  <c r="A538"/>
  <c r="B538"/>
  <c r="A539"/>
  <c r="B539"/>
  <c r="A540"/>
  <c r="B540"/>
  <c r="A541"/>
  <c r="B541"/>
  <c r="A542"/>
  <c r="B542"/>
  <c r="A543"/>
  <c r="B543"/>
  <c r="A544"/>
  <c r="B544"/>
  <c r="A545"/>
  <c r="B545"/>
  <c r="A546"/>
  <c r="B546"/>
  <c r="A547"/>
  <c r="B547"/>
  <c r="A548"/>
  <c r="B548"/>
  <c r="A549"/>
  <c r="B549"/>
  <c r="A550"/>
  <c r="B550"/>
  <c r="A551"/>
  <c r="B551"/>
  <c r="A552"/>
  <c r="B552"/>
  <c r="A553"/>
  <c r="B553"/>
  <c r="A554"/>
  <c r="B554"/>
  <c r="A555"/>
  <c r="B555"/>
  <c r="A556"/>
  <c r="B556"/>
  <c r="A557"/>
  <c r="B557"/>
  <c r="A558"/>
  <c r="B558"/>
  <c r="A559"/>
  <c r="B559"/>
  <c r="A560"/>
  <c r="B560"/>
  <c r="A561"/>
  <c r="B561"/>
  <c r="A562"/>
  <c r="B562"/>
  <c r="A563"/>
  <c r="B563"/>
  <c r="A564"/>
  <c r="B564"/>
  <c r="A565"/>
  <c r="B565"/>
  <c r="A566"/>
  <c r="B566"/>
  <c r="A567"/>
  <c r="B567"/>
  <c r="A568"/>
  <c r="B568"/>
  <c r="A569"/>
  <c r="B569"/>
  <c r="A570"/>
  <c r="B570"/>
  <c r="A571"/>
  <c r="B571"/>
  <c r="A572"/>
  <c r="B572"/>
  <c r="A573"/>
  <c r="B573"/>
  <c r="A574"/>
  <c r="B574"/>
  <c r="A575"/>
  <c r="B575"/>
  <c r="A576"/>
  <c r="B576"/>
  <c r="A577"/>
  <c r="B577"/>
  <c r="A578"/>
  <c r="B578"/>
  <c r="A579"/>
  <c r="B579"/>
  <c r="A580"/>
  <c r="B580"/>
  <c r="A581"/>
  <c r="B581"/>
  <c r="A582"/>
  <c r="B582"/>
  <c r="A583"/>
  <c r="B583"/>
  <c r="A584"/>
  <c r="B584"/>
  <c r="A585"/>
  <c r="B585"/>
  <c r="A586"/>
  <c r="B586"/>
  <c r="A587"/>
  <c r="B587"/>
  <c r="A588"/>
  <c r="B588"/>
  <c r="A589"/>
  <c r="B589"/>
  <c r="A590"/>
  <c r="B590"/>
  <c r="A591"/>
  <c r="B591"/>
  <c r="A592"/>
  <c r="B592"/>
  <c r="A593"/>
  <c r="B593"/>
  <c r="A594"/>
  <c r="B594"/>
  <c r="A595"/>
  <c r="B595"/>
  <c r="A596"/>
  <c r="B596"/>
  <c r="A597"/>
  <c r="B597"/>
  <c r="A598"/>
  <c r="B598"/>
  <c r="A599"/>
  <c r="B599"/>
  <c r="A600"/>
  <c r="B600"/>
  <c r="A601"/>
  <c r="B601"/>
  <c r="A602"/>
  <c r="B602"/>
  <c r="A603"/>
  <c r="B603"/>
  <c r="A604"/>
  <c r="B604"/>
  <c r="A605"/>
  <c r="B605"/>
  <c r="A606"/>
  <c r="B606"/>
  <c r="A607"/>
  <c r="B607"/>
  <c r="A608"/>
  <c r="B608"/>
  <c r="A609"/>
  <c r="B609"/>
  <c r="A610"/>
  <c r="B610"/>
  <c r="A611"/>
  <c r="B611"/>
  <c r="A612"/>
  <c r="B612"/>
  <c r="A613"/>
  <c r="B613"/>
  <c r="A614"/>
  <c r="B614"/>
  <c r="A615"/>
  <c r="B615"/>
  <c r="A616"/>
  <c r="B616"/>
  <c r="A617"/>
  <c r="B617"/>
  <c r="A618"/>
  <c r="B618"/>
  <c r="A619"/>
  <c r="B619"/>
  <c r="A620"/>
  <c r="B620"/>
  <c r="A621"/>
  <c r="B621"/>
  <c r="A622"/>
  <c r="B622"/>
  <c r="A623"/>
  <c r="B623"/>
  <c r="A624"/>
  <c r="B624"/>
  <c r="A625"/>
  <c r="B625"/>
  <c r="A626"/>
  <c r="B626"/>
  <c r="A627"/>
  <c r="B627"/>
  <c r="A628"/>
  <c r="B628"/>
  <c r="A629"/>
  <c r="B629"/>
  <c r="A630"/>
  <c r="B630"/>
  <c r="A631"/>
  <c r="B631"/>
  <c r="A632"/>
  <c r="B632"/>
  <c r="A633"/>
  <c r="B633"/>
  <c r="A634"/>
  <c r="B634"/>
  <c r="A635"/>
  <c r="B635"/>
  <c r="A636"/>
  <c r="B636"/>
  <c r="A637"/>
  <c r="B637"/>
  <c r="A638"/>
  <c r="B638"/>
  <c r="A639"/>
  <c r="B639"/>
  <c r="A640"/>
  <c r="B640"/>
  <c r="A641"/>
  <c r="B641"/>
  <c r="A642"/>
  <c r="B642"/>
  <c r="A643"/>
  <c r="B643"/>
  <c r="A644"/>
  <c r="B644"/>
  <c r="A645"/>
  <c r="B645"/>
  <c r="A646"/>
  <c r="B646"/>
  <c r="A647"/>
  <c r="B647"/>
  <c r="A648"/>
  <c r="B648"/>
  <c r="A649"/>
  <c r="B649"/>
  <c r="A650"/>
  <c r="B650"/>
  <c r="A651"/>
  <c r="B651"/>
  <c r="A652"/>
  <c r="B652"/>
  <c r="A653"/>
  <c r="B653"/>
  <c r="A654"/>
  <c r="B654"/>
  <c r="A655"/>
  <c r="B655"/>
  <c r="A656"/>
  <c r="B656"/>
  <c r="A657"/>
  <c r="B657"/>
  <c r="A658"/>
  <c r="B658"/>
  <c r="A659"/>
  <c r="B659"/>
  <c r="A660"/>
  <c r="B660"/>
  <c r="A661"/>
  <c r="B661"/>
  <c r="A662"/>
  <c r="B662"/>
  <c r="A663"/>
  <c r="B663"/>
  <c r="A664"/>
  <c r="B664"/>
  <c r="A665"/>
  <c r="B665"/>
  <c r="A666"/>
  <c r="B666"/>
  <c r="A667"/>
  <c r="B667"/>
  <c r="A668"/>
  <c r="B668"/>
  <c r="A669"/>
  <c r="B669"/>
  <c r="A670"/>
  <c r="B670"/>
  <c r="A671"/>
  <c r="B671"/>
  <c r="A672"/>
  <c r="B672"/>
  <c r="A673"/>
  <c r="B673"/>
  <c r="A674"/>
  <c r="B674"/>
  <c r="A675"/>
  <c r="B675"/>
  <c r="A676"/>
  <c r="B676"/>
  <c r="A677"/>
  <c r="B677"/>
  <c r="A678"/>
  <c r="B678"/>
  <c r="A679"/>
  <c r="B679"/>
  <c r="A680"/>
  <c r="B680"/>
  <c r="A681"/>
  <c r="B681"/>
  <c r="A682"/>
  <c r="B682"/>
  <c r="A683"/>
  <c r="B683"/>
  <c r="A684"/>
  <c r="B684"/>
  <c r="A685"/>
  <c r="B685"/>
  <c r="A686"/>
  <c r="B686"/>
  <c r="A687"/>
  <c r="B687"/>
  <c r="A688"/>
  <c r="B688"/>
  <c r="A689"/>
  <c r="B689"/>
  <c r="A690"/>
  <c r="B690"/>
  <c r="A691"/>
  <c r="B691"/>
  <c r="A692"/>
  <c r="B692"/>
  <c r="A693"/>
  <c r="B693"/>
  <c r="A694"/>
  <c r="B694"/>
  <c r="A695"/>
  <c r="B695"/>
  <c r="A696"/>
  <c r="B696"/>
  <c r="A697"/>
  <c r="B697"/>
  <c r="A698"/>
  <c r="B698"/>
  <c r="A699"/>
  <c r="B699"/>
  <c r="A700"/>
  <c r="B700"/>
  <c r="A701"/>
  <c r="B701"/>
  <c r="A702"/>
  <c r="B702"/>
  <c r="A703"/>
  <c r="B703"/>
  <c r="A704"/>
  <c r="B704"/>
  <c r="A705"/>
  <c r="B705"/>
  <c r="A706"/>
  <c r="B706"/>
  <c r="A707"/>
  <c r="B707"/>
  <c r="A708"/>
  <c r="B708"/>
  <c r="A709"/>
  <c r="B709"/>
  <c r="A710"/>
  <c r="B710"/>
  <c r="A711"/>
  <c r="B711"/>
  <c r="A712"/>
  <c r="B712"/>
  <c r="A713"/>
  <c r="B713"/>
  <c r="A714"/>
  <c r="B714"/>
  <c r="A715"/>
  <c r="B715"/>
  <c r="A716"/>
  <c r="B716"/>
  <c r="A717"/>
  <c r="B717"/>
  <c r="A718"/>
  <c r="B718"/>
  <c r="A719"/>
  <c r="B719"/>
  <c r="A720"/>
  <c r="B720"/>
  <c r="A721"/>
  <c r="B721"/>
  <c r="A722"/>
  <c r="B722"/>
  <c r="A723"/>
  <c r="B723"/>
  <c r="A724"/>
  <c r="B724"/>
  <c r="A725"/>
  <c r="B725"/>
  <c r="A726"/>
  <c r="B726"/>
  <c r="A727"/>
  <c r="B727"/>
  <c r="A728"/>
  <c r="B728"/>
  <c r="A729"/>
  <c r="B729"/>
  <c r="A730"/>
  <c r="B730"/>
  <c r="A731"/>
  <c r="B731"/>
  <c r="A732"/>
  <c r="B732"/>
  <c r="A733"/>
  <c r="B733"/>
  <c r="A734"/>
  <c r="B734"/>
  <c r="A735"/>
  <c r="B735"/>
  <c r="A736"/>
  <c r="B736"/>
  <c r="A737"/>
  <c r="B737"/>
  <c r="A738"/>
  <c r="B738"/>
  <c r="A739"/>
  <c r="B739"/>
  <c r="A740"/>
  <c r="B740"/>
  <c r="A741"/>
  <c r="B741"/>
  <c r="A742"/>
  <c r="B742"/>
  <c r="A743"/>
  <c r="B743"/>
  <c r="A744"/>
  <c r="B744"/>
  <c r="A745"/>
  <c r="B745"/>
  <c r="A746"/>
  <c r="B746"/>
  <c r="A747"/>
  <c r="B747"/>
  <c r="A748"/>
  <c r="B748"/>
  <c r="A749"/>
  <c r="B749"/>
  <c r="A750"/>
  <c r="B750"/>
  <c r="A751"/>
  <c r="B751"/>
  <c r="A752"/>
  <c r="B752"/>
  <c r="A753"/>
  <c r="B753"/>
  <c r="A754"/>
  <c r="B754"/>
  <c r="A755"/>
  <c r="B755"/>
  <c r="A756"/>
  <c r="B756"/>
  <c r="A757"/>
  <c r="B757"/>
  <c r="A758"/>
  <c r="B758"/>
  <c r="A759"/>
  <c r="B759"/>
  <c r="A760"/>
  <c r="B760"/>
  <c r="A761"/>
  <c r="B761"/>
  <c r="A762"/>
  <c r="B762"/>
  <c r="A763"/>
  <c r="B763"/>
  <c r="A764"/>
  <c r="B764"/>
  <c r="A765"/>
  <c r="B765"/>
  <c r="A766"/>
  <c r="B766"/>
  <c r="A767"/>
  <c r="B767"/>
  <c r="A768"/>
  <c r="B768"/>
  <c r="A769"/>
  <c r="B769"/>
  <c r="A770"/>
  <c r="B770"/>
  <c r="A771"/>
  <c r="B771"/>
  <c r="A772"/>
  <c r="B772"/>
  <c r="A773"/>
  <c r="B773"/>
  <c r="A774"/>
  <c r="B774"/>
  <c r="A775"/>
  <c r="B775"/>
  <c r="A776"/>
  <c r="B776"/>
  <c r="A777"/>
  <c r="B777"/>
  <c r="A778"/>
  <c r="B778"/>
  <c r="A779"/>
  <c r="B779"/>
  <c r="A780"/>
  <c r="B780"/>
  <c r="A781"/>
  <c r="B781"/>
  <c r="A782"/>
  <c r="B782"/>
  <c r="A783"/>
  <c r="B783"/>
  <c r="A784"/>
  <c r="B784"/>
  <c r="A785"/>
  <c r="B785"/>
  <c r="A786"/>
  <c r="B786"/>
  <c r="A787"/>
  <c r="B787"/>
  <c r="A788"/>
  <c r="B788"/>
  <c r="A789"/>
  <c r="B789"/>
  <c r="A790"/>
  <c r="B790"/>
  <c r="A791"/>
  <c r="B791"/>
  <c r="A792"/>
  <c r="B792"/>
  <c r="A793"/>
  <c r="B793"/>
  <c r="A794"/>
  <c r="B794"/>
  <c r="A795"/>
  <c r="B795"/>
  <c r="A796"/>
  <c r="B796"/>
  <c r="A797"/>
  <c r="B797"/>
  <c r="A798"/>
  <c r="B798"/>
  <c r="A799"/>
  <c r="B799"/>
  <c r="A800"/>
  <c r="B800"/>
  <c r="A801"/>
  <c r="B801"/>
  <c r="A802"/>
  <c r="B802"/>
  <c r="A803"/>
  <c r="B803"/>
  <c r="A804"/>
  <c r="B804"/>
  <c r="A805"/>
  <c r="B805"/>
  <c r="A806"/>
  <c r="B806"/>
  <c r="A807"/>
  <c r="B807"/>
  <c r="A808"/>
  <c r="B808"/>
  <c r="A809"/>
  <c r="B809"/>
  <c r="A810"/>
  <c r="B810"/>
  <c r="A811"/>
  <c r="B811"/>
  <c r="A812"/>
  <c r="B812"/>
  <c r="A813"/>
  <c r="B813"/>
  <c r="A814"/>
  <c r="B814"/>
  <c r="A815"/>
  <c r="B815"/>
  <c r="A816"/>
  <c r="B816"/>
  <c r="A817"/>
  <c r="B817"/>
  <c r="A818"/>
  <c r="B818"/>
  <c r="A819"/>
  <c r="B819"/>
  <c r="A820"/>
  <c r="B820"/>
  <c r="A821"/>
  <c r="B821"/>
  <c r="A822"/>
  <c r="B822"/>
  <c r="A823"/>
  <c r="B823"/>
  <c r="A824"/>
  <c r="B824"/>
  <c r="A825"/>
  <c r="B825"/>
  <c r="A826"/>
  <c r="B826"/>
  <c r="A827"/>
  <c r="B827"/>
  <c r="A828"/>
  <c r="B828"/>
  <c r="A829"/>
  <c r="B829"/>
  <c r="A830"/>
  <c r="B830"/>
  <c r="A831"/>
  <c r="B831"/>
  <c r="A832"/>
  <c r="B832"/>
  <c r="A833"/>
  <c r="B833"/>
  <c r="A834"/>
  <c r="B834"/>
  <c r="A835"/>
  <c r="B835"/>
  <c r="A836"/>
  <c r="B836"/>
  <c r="A837"/>
  <c r="B837"/>
  <c r="A838"/>
  <c r="B838"/>
  <c r="A839"/>
  <c r="B839"/>
  <c r="A840"/>
  <c r="B840"/>
  <c r="A841"/>
  <c r="B841"/>
  <c r="A842"/>
  <c r="B842"/>
  <c r="A843"/>
  <c r="B843"/>
  <c r="A844"/>
  <c r="B844"/>
  <c r="A845"/>
  <c r="B845"/>
  <c r="A846"/>
  <c r="B846"/>
  <c r="A847"/>
  <c r="B847"/>
  <c r="A848"/>
  <c r="B848"/>
  <c r="A849"/>
  <c r="B849"/>
  <c r="A850"/>
  <c r="B850"/>
  <c r="A851"/>
  <c r="B851"/>
  <c r="A852"/>
  <c r="B852"/>
  <c r="A853"/>
  <c r="B853"/>
  <c r="A854"/>
  <c r="B854"/>
  <c r="O758"/>
  <c r="O757"/>
  <c r="O698"/>
  <c r="O697"/>
  <c r="O246"/>
  <c r="O247"/>
  <c r="O248"/>
  <c r="O249"/>
  <c r="O250"/>
  <c r="O251"/>
  <c r="O252"/>
  <c r="O253"/>
  <c r="O254"/>
  <c r="O255"/>
  <c r="O256"/>
  <c r="O257"/>
  <c r="O258"/>
  <c r="O259"/>
  <c r="O260"/>
  <c r="O261"/>
  <c r="O262"/>
  <c r="O263"/>
  <c r="O264"/>
  <c r="O265"/>
  <c r="O266"/>
  <c r="O267"/>
  <c r="O268"/>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L66" i="70" l="1"/>
  <c r="N5" i="88"/>
  <c r="N6"/>
  <c r="N7"/>
  <c r="N8"/>
  <c r="N9"/>
  <c r="N10"/>
  <c r="N11"/>
  <c r="N12"/>
  <c r="N13"/>
  <c r="N14"/>
  <c r="N15"/>
  <c r="N16"/>
  <c r="N17"/>
  <c r="N18"/>
  <c r="N19"/>
  <c r="N20"/>
  <c r="N21"/>
  <c r="L5"/>
  <c r="L6"/>
  <c r="L7"/>
  <c r="L8"/>
  <c r="L9"/>
  <c r="L10"/>
  <c r="L11"/>
  <c r="L12"/>
  <c r="L13"/>
  <c r="L14"/>
  <c r="L15"/>
  <c r="L16"/>
  <c r="L17"/>
  <c r="L18"/>
  <c r="L19"/>
  <c r="L20"/>
  <c r="L21"/>
  <c r="G121" i="70"/>
  <c r="H121"/>
  <c r="I121"/>
  <c r="J121"/>
  <c r="G122"/>
  <c r="H122"/>
  <c r="I122"/>
  <c r="J122"/>
  <c r="G123"/>
  <c r="H123"/>
  <c r="I123"/>
  <c r="K123" s="1"/>
  <c r="J123"/>
  <c r="G124"/>
  <c r="H124"/>
  <c r="I124"/>
  <c r="J124"/>
  <c r="B87"/>
  <c r="A87" s="1"/>
  <c r="G83"/>
  <c r="H83"/>
  <c r="I83"/>
  <c r="J83"/>
  <c r="G84"/>
  <c r="H84"/>
  <c r="I84"/>
  <c r="J84"/>
  <c r="G85"/>
  <c r="H85"/>
  <c r="I85"/>
  <c r="J85"/>
  <c r="G86"/>
  <c r="H86"/>
  <c r="I86"/>
  <c r="J86"/>
  <c r="L86" s="1"/>
  <c r="E88"/>
  <c r="F88"/>
  <c r="F90" s="1"/>
  <c r="E90"/>
  <c r="E68"/>
  <c r="A4" i="89"/>
  <c r="O51" i="70"/>
  <c r="P51"/>
  <c r="Q51"/>
  <c r="O46"/>
  <c r="P46"/>
  <c r="Q46"/>
  <c r="O47"/>
  <c r="P47"/>
  <c r="Q47"/>
  <c r="O48"/>
  <c r="P48"/>
  <c r="Q48"/>
  <c r="O49"/>
  <c r="P49"/>
  <c r="Q49"/>
  <c r="O50"/>
  <c r="P50"/>
  <c r="Q50"/>
  <c r="O44"/>
  <c r="P44"/>
  <c r="Q44"/>
  <c r="O45"/>
  <c r="P45"/>
  <c r="Q45"/>
  <c r="O42"/>
  <c r="P42"/>
  <c r="Q42"/>
  <c r="O43"/>
  <c r="P43"/>
  <c r="Q43"/>
  <c r="O41"/>
  <c r="P41"/>
  <c r="Q41"/>
  <c r="O40"/>
  <c r="P40"/>
  <c r="Q40"/>
  <c r="O39"/>
  <c r="P39"/>
  <c r="Q39"/>
  <c r="O38"/>
  <c r="P38"/>
  <c r="Q38"/>
  <c r="O37"/>
  <c r="P37"/>
  <c r="Q37"/>
  <c r="O36"/>
  <c r="P36"/>
  <c r="Q36"/>
  <c r="O28"/>
  <c r="P28"/>
  <c r="Q28"/>
  <c r="O29"/>
  <c r="P29"/>
  <c r="Q29"/>
  <c r="O30"/>
  <c r="P30"/>
  <c r="Q30"/>
  <c r="O31"/>
  <c r="P31"/>
  <c r="Q31"/>
  <c r="O32"/>
  <c r="P32"/>
  <c r="Q32"/>
  <c r="O33"/>
  <c r="P33"/>
  <c r="Q33"/>
  <c r="O34"/>
  <c r="P34"/>
  <c r="Q34"/>
  <c r="O35"/>
  <c r="P35"/>
  <c r="Q35"/>
  <c r="O13"/>
  <c r="P13"/>
  <c r="Q13"/>
  <c r="O14"/>
  <c r="P14"/>
  <c r="Q14"/>
  <c r="O15"/>
  <c r="P15"/>
  <c r="Q15"/>
  <c r="O16"/>
  <c r="P16"/>
  <c r="Q16"/>
  <c r="O17"/>
  <c r="P17"/>
  <c r="Q17"/>
  <c r="O18"/>
  <c r="P18"/>
  <c r="Q18"/>
  <c r="O19"/>
  <c r="P19"/>
  <c r="Q19"/>
  <c r="O20"/>
  <c r="P20"/>
  <c r="Q20"/>
  <c r="O21"/>
  <c r="P21"/>
  <c r="Q21"/>
  <c r="O22"/>
  <c r="P22"/>
  <c r="Q22"/>
  <c r="O23"/>
  <c r="P23"/>
  <c r="Q23"/>
  <c r="O24"/>
  <c r="P24"/>
  <c r="Q24"/>
  <c r="O25"/>
  <c r="P25"/>
  <c r="Q25"/>
  <c r="O26"/>
  <c r="P26"/>
  <c r="Q26"/>
  <c r="O27"/>
  <c r="P27"/>
  <c r="Q27"/>
  <c r="Q12"/>
  <c r="P12"/>
  <c r="O12"/>
  <c r="N255" i="92"/>
  <c r="N213"/>
  <c r="N184"/>
  <c r="N161"/>
  <c r="N141"/>
  <c r="D141"/>
  <c r="N121"/>
  <c r="N105"/>
  <c r="J101" s="1"/>
  <c r="N89"/>
  <c r="L89"/>
  <c r="N45"/>
  <c r="V32"/>
  <c r="N14"/>
  <c r="L14"/>
  <c r="M72" i="70"/>
  <c r="M73"/>
  <c r="M74"/>
  <c r="M75"/>
  <c r="M76"/>
  <c r="M77"/>
  <c r="M78"/>
  <c r="M79"/>
  <c r="M80"/>
  <c r="M81"/>
  <c r="M82"/>
  <c r="M87"/>
  <c r="M88"/>
  <c r="M89"/>
  <c r="M90"/>
  <c r="M68"/>
  <c r="M67"/>
  <c r="F12" i="91"/>
  <c r="I12"/>
  <c r="F13" l="1"/>
  <c r="J235" i="92"/>
  <c r="J239"/>
  <c r="J243"/>
  <c r="J247"/>
  <c r="J251"/>
  <c r="J232"/>
  <c r="J236"/>
  <c r="J240"/>
  <c r="J244"/>
  <c r="J248"/>
  <c r="J252"/>
  <c r="J233"/>
  <c r="J237"/>
  <c r="J241"/>
  <c r="J245"/>
  <c r="J249"/>
  <c r="J253"/>
  <c r="J234"/>
  <c r="J238"/>
  <c r="J242"/>
  <c r="J246"/>
  <c r="J250"/>
  <c r="J231"/>
  <c r="F255"/>
  <c r="J208"/>
  <c r="J211"/>
  <c r="J210"/>
  <c r="J209"/>
  <c r="J179"/>
  <c r="J180"/>
  <c r="J181"/>
  <c r="J182"/>
  <c r="J178"/>
  <c r="J157"/>
  <c r="J158"/>
  <c r="J159"/>
  <c r="J156"/>
  <c r="J134"/>
  <c r="J139"/>
  <c r="J137"/>
  <c r="J135"/>
  <c r="J133"/>
  <c r="J138"/>
  <c r="J136"/>
  <c r="I134"/>
  <c r="I135"/>
  <c r="I136"/>
  <c r="I137"/>
  <c r="I138"/>
  <c r="I139"/>
  <c r="L134"/>
  <c r="L135"/>
  <c r="L136"/>
  <c r="L137"/>
  <c r="L138"/>
  <c r="L139"/>
  <c r="G138"/>
  <c r="G136"/>
  <c r="G134"/>
  <c r="G139"/>
  <c r="G137"/>
  <c r="G135"/>
  <c r="I133"/>
  <c r="D184"/>
  <c r="J83"/>
  <c r="J84"/>
  <c r="J85"/>
  <c r="J86"/>
  <c r="J87"/>
  <c r="D213"/>
  <c r="J40"/>
  <c r="J43"/>
  <c r="J42"/>
  <c r="J41"/>
  <c r="D161"/>
  <c r="D45"/>
  <c r="G43" s="1"/>
  <c r="D121"/>
  <c r="D69"/>
  <c r="I64" s="1"/>
  <c r="A27"/>
  <c r="D89"/>
  <c r="D105"/>
  <c r="A118"/>
  <c r="A133"/>
  <c r="A134" s="1"/>
  <c r="A135" s="1"/>
  <c r="A136" s="1"/>
  <c r="A137" s="1"/>
  <c r="A138" s="1"/>
  <c r="A139" s="1"/>
  <c r="D255"/>
  <c r="A83"/>
  <c r="A84" s="1"/>
  <c r="A85" s="1"/>
  <c r="A86" s="1"/>
  <c r="A87" s="1"/>
  <c r="A231"/>
  <c r="A232" s="1"/>
  <c r="A233" s="1"/>
  <c r="A234" s="1"/>
  <c r="A235" s="1"/>
  <c r="A236" s="1"/>
  <c r="A237" s="1"/>
  <c r="A238" s="1"/>
  <c r="A239" s="1"/>
  <c r="A240" s="1"/>
  <c r="A241" s="1"/>
  <c r="A242" s="1"/>
  <c r="A243" s="1"/>
  <c r="A244" s="1"/>
  <c r="A245" s="1"/>
  <c r="A246" s="1"/>
  <c r="A247" s="1"/>
  <c r="A248" s="1"/>
  <c r="A249" s="1"/>
  <c r="A250" s="1"/>
  <c r="A251" s="1"/>
  <c r="A252" s="1"/>
  <c r="A253" s="1"/>
  <c r="J12"/>
  <c r="J10"/>
  <c r="J11"/>
  <c r="K84" i="70"/>
  <c r="L122"/>
  <c r="K83"/>
  <c r="K121"/>
  <c r="K122"/>
  <c r="K124"/>
  <c r="K85"/>
  <c r="L124"/>
  <c r="K86"/>
  <c r="L121"/>
  <c r="L123"/>
  <c r="L85"/>
  <c r="L83"/>
  <c r="L84"/>
  <c r="F14" i="91"/>
  <c r="F14" i="92"/>
  <c r="H10" s="1"/>
  <c r="G42"/>
  <c r="N69"/>
  <c r="L69"/>
  <c r="D14"/>
  <c r="I10" s="1"/>
  <c r="A10"/>
  <c r="A11" s="1"/>
  <c r="A12" s="1"/>
  <c r="A40"/>
  <c r="A41" s="1"/>
  <c r="A42" s="1"/>
  <c r="A43" s="1"/>
  <c r="A44" s="1"/>
  <c r="A64"/>
  <c r="A65" s="1"/>
  <c r="A66" s="1"/>
  <c r="A67" s="1"/>
  <c r="A68" s="1"/>
  <c r="F89"/>
  <c r="A101"/>
  <c r="A102" s="1"/>
  <c r="A103" s="1"/>
  <c r="A156"/>
  <c r="A157" s="1"/>
  <c r="A158" s="1"/>
  <c r="A159" s="1"/>
  <c r="A178"/>
  <c r="A179" s="1"/>
  <c r="A180" s="1"/>
  <c r="A181" s="1"/>
  <c r="A182" s="1"/>
  <c r="A208"/>
  <c r="A209" s="1"/>
  <c r="A210" s="1"/>
  <c r="A211" s="1"/>
  <c r="A119"/>
  <c r="B125" i="70"/>
  <c r="A125" s="1"/>
  <c r="F126"/>
  <c r="F128" s="1"/>
  <c r="E126"/>
  <c r="E128" s="1"/>
  <c r="G110"/>
  <c r="H110"/>
  <c r="I110"/>
  <c r="J110"/>
  <c r="G111"/>
  <c r="H111"/>
  <c r="I111"/>
  <c r="J111"/>
  <c r="G112"/>
  <c r="H112"/>
  <c r="I112"/>
  <c r="J112"/>
  <c r="G113"/>
  <c r="H113"/>
  <c r="I113"/>
  <c r="J113"/>
  <c r="L113" s="1"/>
  <c r="G114"/>
  <c r="H114"/>
  <c r="I114"/>
  <c r="J114"/>
  <c r="G115"/>
  <c r="H115"/>
  <c r="I115"/>
  <c r="J115"/>
  <c r="G116"/>
  <c r="H116"/>
  <c r="I116"/>
  <c r="J116"/>
  <c r="G117"/>
  <c r="H117"/>
  <c r="I117"/>
  <c r="J117"/>
  <c r="L117" s="1"/>
  <c r="G118"/>
  <c r="H118"/>
  <c r="I118"/>
  <c r="J118"/>
  <c r="G119"/>
  <c r="H119"/>
  <c r="I119"/>
  <c r="J119"/>
  <c r="G120"/>
  <c r="H120"/>
  <c r="I120"/>
  <c r="K120" s="1"/>
  <c r="J120"/>
  <c r="G12" i="91"/>
  <c r="C12"/>
  <c r="E12"/>
  <c r="D12"/>
  <c r="G13" l="1"/>
  <c r="I232" i="92"/>
  <c r="M232" s="1"/>
  <c r="O232" s="1"/>
  <c r="I233"/>
  <c r="I234"/>
  <c r="I235"/>
  <c r="I236"/>
  <c r="I237"/>
  <c r="I238"/>
  <c r="M238" s="1"/>
  <c r="O238" s="1"/>
  <c r="I239"/>
  <c r="I240"/>
  <c r="I241"/>
  <c r="I242"/>
  <c r="I243"/>
  <c r="I244"/>
  <c r="I245"/>
  <c r="I246"/>
  <c r="I247"/>
  <c r="I248"/>
  <c r="I249"/>
  <c r="I250"/>
  <c r="I251"/>
  <c r="I252"/>
  <c r="I253"/>
  <c r="G232"/>
  <c r="G234"/>
  <c r="G236"/>
  <c r="G238"/>
  <c r="G240"/>
  <c r="G242"/>
  <c r="G244"/>
  <c r="G246"/>
  <c r="G248"/>
  <c r="G250"/>
  <c r="G252"/>
  <c r="G233"/>
  <c r="G235"/>
  <c r="G237"/>
  <c r="G239"/>
  <c r="G241"/>
  <c r="G243"/>
  <c r="G245"/>
  <c r="G247"/>
  <c r="G249"/>
  <c r="G251"/>
  <c r="G253"/>
  <c r="L232"/>
  <c r="L233"/>
  <c r="L234"/>
  <c r="L235"/>
  <c r="L236"/>
  <c r="L237"/>
  <c r="L238"/>
  <c r="L239"/>
  <c r="L240"/>
  <c r="L241"/>
  <c r="L242"/>
  <c r="L243"/>
  <c r="L244"/>
  <c r="L245"/>
  <c r="L246"/>
  <c r="L247"/>
  <c r="L248"/>
  <c r="L249"/>
  <c r="L250"/>
  <c r="L251"/>
  <c r="L252"/>
  <c r="L253"/>
  <c r="K231"/>
  <c r="H232"/>
  <c r="K232"/>
  <c r="H233"/>
  <c r="K233"/>
  <c r="H234"/>
  <c r="K234"/>
  <c r="H235"/>
  <c r="K235"/>
  <c r="H236"/>
  <c r="K236"/>
  <c r="H237"/>
  <c r="K237"/>
  <c r="H238"/>
  <c r="K238"/>
  <c r="H239"/>
  <c r="K239"/>
  <c r="H240"/>
  <c r="K240"/>
  <c r="H241"/>
  <c r="K241"/>
  <c r="H242"/>
  <c r="K242"/>
  <c r="H243"/>
  <c r="K243"/>
  <c r="H244"/>
  <c r="K244"/>
  <c r="H245"/>
  <c r="K245"/>
  <c r="H246"/>
  <c r="K246"/>
  <c r="H247"/>
  <c r="K247"/>
  <c r="H248"/>
  <c r="K248"/>
  <c r="H249"/>
  <c r="K249"/>
  <c r="H250"/>
  <c r="K250"/>
  <c r="H251"/>
  <c r="K251"/>
  <c r="H252"/>
  <c r="K252"/>
  <c r="H253"/>
  <c r="K253"/>
  <c r="L231"/>
  <c r="H231"/>
  <c r="M231" s="1"/>
  <c r="O231" s="1"/>
  <c r="G41"/>
  <c r="I231"/>
  <c r="G231"/>
  <c r="I209"/>
  <c r="I211"/>
  <c r="I210"/>
  <c r="G209"/>
  <c r="G210"/>
  <c r="G211"/>
  <c r="I208"/>
  <c r="G208"/>
  <c r="G178"/>
  <c r="G179"/>
  <c r="I179"/>
  <c r="G180"/>
  <c r="I180"/>
  <c r="G181"/>
  <c r="I181"/>
  <c r="G182"/>
  <c r="I182"/>
  <c r="I178"/>
  <c r="G157"/>
  <c r="I157"/>
  <c r="G158"/>
  <c r="I158"/>
  <c r="G159"/>
  <c r="I159"/>
  <c r="G156"/>
  <c r="I101"/>
  <c r="G101"/>
  <c r="I117"/>
  <c r="K117"/>
  <c r="G117"/>
  <c r="H117"/>
  <c r="J117"/>
  <c r="L117"/>
  <c r="K85"/>
  <c r="K87"/>
  <c r="H83"/>
  <c r="K84"/>
  <c r="K86"/>
  <c r="K83"/>
  <c r="H84"/>
  <c r="H85"/>
  <c r="H86"/>
  <c r="H87"/>
  <c r="G84"/>
  <c r="I84"/>
  <c r="G85"/>
  <c r="I85"/>
  <c r="G86"/>
  <c r="I86"/>
  <c r="G87"/>
  <c r="I87"/>
  <c r="G83"/>
  <c r="I66"/>
  <c r="I65"/>
  <c r="I67"/>
  <c r="G67"/>
  <c r="G64"/>
  <c r="G65"/>
  <c r="G66"/>
  <c r="M236"/>
  <c r="O236" s="1"/>
  <c r="J66"/>
  <c r="J67"/>
  <c r="J65"/>
  <c r="J64"/>
  <c r="M233"/>
  <c r="O233" s="1"/>
  <c r="M237"/>
  <c r="O237" s="1"/>
  <c r="L42"/>
  <c r="L40"/>
  <c r="I41"/>
  <c r="I42"/>
  <c r="I43"/>
  <c r="L41"/>
  <c r="L43"/>
  <c r="I156"/>
  <c r="I83"/>
  <c r="I40"/>
  <c r="G40"/>
  <c r="K11"/>
  <c r="H11"/>
  <c r="K12"/>
  <c r="K10"/>
  <c r="H12"/>
  <c r="L115" i="70"/>
  <c r="K115"/>
  <c r="L118"/>
  <c r="L114"/>
  <c r="L116"/>
  <c r="L111"/>
  <c r="F121" i="92"/>
  <c r="F69"/>
  <c r="F45"/>
  <c r="I11"/>
  <c r="G11"/>
  <c r="I12"/>
  <c r="G12"/>
  <c r="G10"/>
  <c r="F141"/>
  <c r="F213"/>
  <c r="F184"/>
  <c r="F161"/>
  <c r="F105"/>
  <c r="K114" i="70"/>
  <c r="L119"/>
  <c r="K118"/>
  <c r="K113"/>
  <c r="L112"/>
  <c r="K119"/>
  <c r="K112"/>
  <c r="K111"/>
  <c r="L110"/>
  <c r="K116"/>
  <c r="K110"/>
  <c r="L120"/>
  <c r="K117"/>
  <c r="B72" i="75"/>
  <c r="C72"/>
  <c r="D72"/>
  <c r="E72"/>
  <c r="F72"/>
  <c r="G72"/>
  <c r="I72"/>
  <c r="J72" s="1"/>
  <c r="B73"/>
  <c r="C73"/>
  <c r="D73"/>
  <c r="E73"/>
  <c r="F73"/>
  <c r="G73"/>
  <c r="I73"/>
  <c r="J73" s="1"/>
  <c r="B74"/>
  <c r="C74"/>
  <c r="D74"/>
  <c r="E74"/>
  <c r="F74"/>
  <c r="G74"/>
  <c r="I74"/>
  <c r="J74" s="1"/>
  <c r="B75"/>
  <c r="C75"/>
  <c r="D75"/>
  <c r="E75"/>
  <c r="F75"/>
  <c r="G75"/>
  <c r="I75"/>
  <c r="J75" s="1"/>
  <c r="B76"/>
  <c r="C76"/>
  <c r="D76"/>
  <c r="E76"/>
  <c r="F76"/>
  <c r="G76"/>
  <c r="I76"/>
  <c r="J76" s="1"/>
  <c r="B77"/>
  <c r="C77"/>
  <c r="D77"/>
  <c r="E77"/>
  <c r="F77"/>
  <c r="G77"/>
  <c r="I77"/>
  <c r="J77" s="1"/>
  <c r="B78"/>
  <c r="C78"/>
  <c r="D78"/>
  <c r="E78"/>
  <c r="F78"/>
  <c r="G78"/>
  <c r="I78"/>
  <c r="J78" s="1"/>
  <c r="B79"/>
  <c r="C79"/>
  <c r="D79"/>
  <c r="E79"/>
  <c r="F79"/>
  <c r="G79"/>
  <c r="I79"/>
  <c r="J79" s="1"/>
  <c r="B80"/>
  <c r="C80"/>
  <c r="D80"/>
  <c r="E80"/>
  <c r="F80"/>
  <c r="G80"/>
  <c r="I80"/>
  <c r="J80" s="1"/>
  <c r="B81"/>
  <c r="C81"/>
  <c r="D81"/>
  <c r="E81"/>
  <c r="F81"/>
  <c r="G81"/>
  <c r="I81"/>
  <c r="J81" s="1"/>
  <c r="B82"/>
  <c r="C82"/>
  <c r="D82"/>
  <c r="E82"/>
  <c r="F82"/>
  <c r="G82"/>
  <c r="I82"/>
  <c r="J82" s="1"/>
  <c r="B83"/>
  <c r="C83"/>
  <c r="D83"/>
  <c r="E83"/>
  <c r="F83"/>
  <c r="G83"/>
  <c r="I83"/>
  <c r="J83" s="1"/>
  <c r="B84"/>
  <c r="C84"/>
  <c r="D84"/>
  <c r="E84"/>
  <c r="F84"/>
  <c r="G84"/>
  <c r="I84"/>
  <c r="J84" s="1"/>
  <c r="B85"/>
  <c r="C85"/>
  <c r="D85"/>
  <c r="A85" s="1"/>
  <c r="E85"/>
  <c r="F85"/>
  <c r="G85"/>
  <c r="I85"/>
  <c r="J85" s="1"/>
  <c r="B86"/>
  <c r="C86"/>
  <c r="D86"/>
  <c r="A86" s="1"/>
  <c r="E86"/>
  <c r="F86"/>
  <c r="G86"/>
  <c r="I86"/>
  <c r="J86" s="1"/>
  <c r="B87"/>
  <c r="C87"/>
  <c r="D87"/>
  <c r="A87" s="1"/>
  <c r="E87"/>
  <c r="F87"/>
  <c r="G87"/>
  <c r="I87"/>
  <c r="J87" s="1"/>
  <c r="B88"/>
  <c r="C88"/>
  <c r="D88"/>
  <c r="A88" s="1"/>
  <c r="E88"/>
  <c r="F88"/>
  <c r="G88"/>
  <c r="I88"/>
  <c r="J88" s="1"/>
  <c r="B89"/>
  <c r="C89"/>
  <c r="D89"/>
  <c r="A89" s="1"/>
  <c r="E89"/>
  <c r="F89"/>
  <c r="G89"/>
  <c r="I89"/>
  <c r="J89" s="1"/>
  <c r="B90"/>
  <c r="C90"/>
  <c r="D90"/>
  <c r="A90" s="1"/>
  <c r="E90"/>
  <c r="F90"/>
  <c r="G90"/>
  <c r="I90"/>
  <c r="J90" s="1"/>
  <c r="B91"/>
  <c r="C91"/>
  <c r="D91"/>
  <c r="A91" s="1"/>
  <c r="E91"/>
  <c r="F91"/>
  <c r="G91"/>
  <c r="I91"/>
  <c r="B92"/>
  <c r="C92"/>
  <c r="D92"/>
  <c r="A92" s="1"/>
  <c r="E92"/>
  <c r="F92"/>
  <c r="G92"/>
  <c r="I92"/>
  <c r="J92" s="1"/>
  <c r="B93"/>
  <c r="C93"/>
  <c r="D93"/>
  <c r="A93" s="1"/>
  <c r="E93"/>
  <c r="F93"/>
  <c r="G93"/>
  <c r="I93"/>
  <c r="J93" s="1"/>
  <c r="B94"/>
  <c r="C94"/>
  <c r="D94"/>
  <c r="A94" s="1"/>
  <c r="E94"/>
  <c r="F94"/>
  <c r="G94"/>
  <c r="I94"/>
  <c r="J94" s="1"/>
  <c r="B95"/>
  <c r="C95"/>
  <c r="D95"/>
  <c r="A95" s="1"/>
  <c r="E95"/>
  <c r="F95"/>
  <c r="G95"/>
  <c r="I95"/>
  <c r="J95" s="1"/>
  <c r="B96"/>
  <c r="C96"/>
  <c r="D96"/>
  <c r="A96" s="1"/>
  <c r="E96"/>
  <c r="F96"/>
  <c r="G96"/>
  <c r="I96"/>
  <c r="B97"/>
  <c r="C97"/>
  <c r="D97"/>
  <c r="A97" s="1"/>
  <c r="E97"/>
  <c r="F97"/>
  <c r="G97"/>
  <c r="I97"/>
  <c r="J97" s="1"/>
  <c r="B98"/>
  <c r="C98"/>
  <c r="D98"/>
  <c r="A98" s="1"/>
  <c r="E98"/>
  <c r="F98"/>
  <c r="G98"/>
  <c r="I98"/>
  <c r="J98" s="1"/>
  <c r="B99"/>
  <c r="C99"/>
  <c r="D99"/>
  <c r="A99" s="1"/>
  <c r="E99"/>
  <c r="F99"/>
  <c r="G99"/>
  <c r="I99"/>
  <c r="J99" s="1"/>
  <c r="B100"/>
  <c r="C100"/>
  <c r="D100"/>
  <c r="A100" s="1"/>
  <c r="E100"/>
  <c r="F100"/>
  <c r="G100"/>
  <c r="I100"/>
  <c r="B101"/>
  <c r="C101"/>
  <c r="D101"/>
  <c r="A101" s="1"/>
  <c r="E101"/>
  <c r="F101"/>
  <c r="G101"/>
  <c r="I101"/>
  <c r="F68" i="70"/>
  <c r="G80"/>
  <c r="H80"/>
  <c r="I80"/>
  <c r="K80" s="1"/>
  <c r="J80"/>
  <c r="L80" s="1"/>
  <c r="G81"/>
  <c r="H81"/>
  <c r="I81"/>
  <c r="K81" s="1"/>
  <c r="J81"/>
  <c r="G82"/>
  <c r="H82"/>
  <c r="I82"/>
  <c r="K82" s="1"/>
  <c r="J82"/>
  <c r="I61"/>
  <c r="G61"/>
  <c r="I60"/>
  <c r="G60"/>
  <c r="I59"/>
  <c r="G59"/>
  <c r="I58"/>
  <c r="G58"/>
  <c r="I57"/>
  <c r="G57"/>
  <c r="I56"/>
  <c r="G56"/>
  <c r="I55"/>
  <c r="G55"/>
  <c r="I54"/>
  <c r="G54"/>
  <c r="I53"/>
  <c r="G53"/>
  <c r="I52"/>
  <c r="G52"/>
  <c r="I51"/>
  <c r="G51"/>
  <c r="I50"/>
  <c r="G50"/>
  <c r="I49"/>
  <c r="G49"/>
  <c r="I48"/>
  <c r="G48"/>
  <c r="I47"/>
  <c r="G47"/>
  <c r="I46"/>
  <c r="G46"/>
  <c r="I45"/>
  <c r="G45"/>
  <c r="I44"/>
  <c r="G44"/>
  <c r="I43"/>
  <c r="G43"/>
  <c r="I42"/>
  <c r="G42"/>
  <c r="I41"/>
  <c r="G41"/>
  <c r="I40"/>
  <c r="G40"/>
  <c r="I39"/>
  <c r="G39"/>
  <c r="I38"/>
  <c r="G38"/>
  <c r="I37"/>
  <c r="G37"/>
  <c r="I36"/>
  <c r="G36"/>
  <c r="I35"/>
  <c r="G35"/>
  <c r="I34"/>
  <c r="G34"/>
  <c r="I33"/>
  <c r="G33"/>
  <c r="I32"/>
  <c r="G32"/>
  <c r="I31"/>
  <c r="G31"/>
  <c r="I30"/>
  <c r="G30"/>
  <c r="E70"/>
  <c r="F70"/>
  <c r="J31"/>
  <c r="J32"/>
  <c r="J34"/>
  <c r="J38"/>
  <c r="J39"/>
  <c r="J40"/>
  <c r="J41"/>
  <c r="J49"/>
  <c r="J50"/>
  <c r="J51"/>
  <c r="J54"/>
  <c r="J55"/>
  <c r="H31"/>
  <c r="H32"/>
  <c r="H34"/>
  <c r="H38"/>
  <c r="H39"/>
  <c r="H40"/>
  <c r="H41"/>
  <c r="H49"/>
  <c r="H50"/>
  <c r="H51"/>
  <c r="H54"/>
  <c r="H55"/>
  <c r="B13" i="91"/>
  <c r="M235" i="92" l="1"/>
  <c r="O235" s="1"/>
  <c r="M252"/>
  <c r="O252" s="1"/>
  <c r="M250"/>
  <c r="O250" s="1"/>
  <c r="M248"/>
  <c r="O248" s="1"/>
  <c r="M246"/>
  <c r="O246" s="1"/>
  <c r="M244"/>
  <c r="O244" s="1"/>
  <c r="M242"/>
  <c r="O242" s="1"/>
  <c r="M240"/>
  <c r="O240" s="1"/>
  <c r="M253"/>
  <c r="O253" s="1"/>
  <c r="M251"/>
  <c r="O251" s="1"/>
  <c r="M249"/>
  <c r="O249" s="1"/>
  <c r="M247"/>
  <c r="O247" s="1"/>
  <c r="M245"/>
  <c r="O245" s="1"/>
  <c r="M243"/>
  <c r="O243" s="1"/>
  <c r="M241"/>
  <c r="O241" s="1"/>
  <c r="M239"/>
  <c r="O239" s="1"/>
  <c r="M234"/>
  <c r="O234" s="1"/>
  <c r="K209"/>
  <c r="H210"/>
  <c r="L210"/>
  <c r="K211"/>
  <c r="L208"/>
  <c r="H209"/>
  <c r="L209"/>
  <c r="K210"/>
  <c r="H211"/>
  <c r="L211"/>
  <c r="H208"/>
  <c r="K208"/>
  <c r="M210"/>
  <c r="O210" s="1"/>
  <c r="L158"/>
  <c r="L156"/>
  <c r="L157"/>
  <c r="L159"/>
  <c r="H179"/>
  <c r="L179"/>
  <c r="H180"/>
  <c r="L180"/>
  <c r="H181"/>
  <c r="L181"/>
  <c r="H182"/>
  <c r="L182"/>
  <c r="K178"/>
  <c r="H178"/>
  <c r="K179"/>
  <c r="K180"/>
  <c r="K181"/>
  <c r="K182"/>
  <c r="L178"/>
  <c r="H157"/>
  <c r="H158"/>
  <c r="H159"/>
  <c r="K157"/>
  <c r="K158"/>
  <c r="K159"/>
  <c r="K156"/>
  <c r="H156"/>
  <c r="K134"/>
  <c r="K135"/>
  <c r="K136"/>
  <c r="K137"/>
  <c r="K138"/>
  <c r="K139"/>
  <c r="K133"/>
  <c r="H133"/>
  <c r="H134"/>
  <c r="H135"/>
  <c r="H136"/>
  <c r="H137"/>
  <c r="H138"/>
  <c r="H139"/>
  <c r="M178"/>
  <c r="O178" s="1"/>
  <c r="M182"/>
  <c r="O182" s="1"/>
  <c r="M211"/>
  <c r="O211" s="1"/>
  <c r="M156"/>
  <c r="M255"/>
  <c r="M83"/>
  <c r="H101"/>
  <c r="L101"/>
  <c r="K101"/>
  <c r="M85"/>
  <c r="O85" s="1"/>
  <c r="M117"/>
  <c r="H65"/>
  <c r="K65"/>
  <c r="H67"/>
  <c r="K67"/>
  <c r="H64"/>
  <c r="K64"/>
  <c r="H66"/>
  <c r="K66"/>
  <c r="O83"/>
  <c r="M87"/>
  <c r="O87" s="1"/>
  <c r="M86"/>
  <c r="O86" s="1"/>
  <c r="M159"/>
  <c r="K42"/>
  <c r="K40"/>
  <c r="K41"/>
  <c r="K43"/>
  <c r="H41"/>
  <c r="M41" s="1"/>
  <c r="O41" s="1"/>
  <c r="H42"/>
  <c r="H43"/>
  <c r="M43" s="1"/>
  <c r="O43" s="1"/>
  <c r="H40"/>
  <c r="M84"/>
  <c r="O84" s="1"/>
  <c r="M157"/>
  <c r="M40"/>
  <c r="O40" s="1"/>
  <c r="J96" i="75"/>
  <c r="M10" i="92"/>
  <c r="M12"/>
  <c r="L55" i="70"/>
  <c r="L51"/>
  <c r="L49"/>
  <c r="L41"/>
  <c r="L39"/>
  <c r="L31"/>
  <c r="L38"/>
  <c r="L34"/>
  <c r="L54"/>
  <c r="L50"/>
  <c r="L40"/>
  <c r="J91" i="75"/>
  <c r="J101"/>
  <c r="M121" i="92"/>
  <c r="O117"/>
  <c r="M11"/>
  <c r="L82" i="70"/>
  <c r="J100" i="75"/>
  <c r="L81" i="70"/>
  <c r="L92" i="75"/>
  <c r="L91"/>
  <c r="L90"/>
  <c r="L85"/>
  <c r="L88"/>
  <c r="L87"/>
  <c r="L86"/>
  <c r="L96"/>
  <c r="L95"/>
  <c r="L94"/>
  <c r="L93"/>
  <c r="K90"/>
  <c r="H90"/>
  <c r="L89"/>
  <c r="L101"/>
  <c r="L100"/>
  <c r="L99"/>
  <c r="L98"/>
  <c r="L97"/>
  <c r="K91"/>
  <c r="K89"/>
  <c r="H89"/>
  <c r="K88"/>
  <c r="H88"/>
  <c r="K87"/>
  <c r="H87"/>
  <c r="K86"/>
  <c r="H86"/>
  <c r="K85"/>
  <c r="H85"/>
  <c r="H84"/>
  <c r="H82"/>
  <c r="H80"/>
  <c r="H78"/>
  <c r="H76"/>
  <c r="H74"/>
  <c r="H72"/>
  <c r="H83"/>
  <c r="H81"/>
  <c r="H79"/>
  <c r="H77"/>
  <c r="H75"/>
  <c r="H73"/>
  <c r="K101"/>
  <c r="H101"/>
  <c r="K100"/>
  <c r="H100"/>
  <c r="K99"/>
  <c r="H99"/>
  <c r="K98"/>
  <c r="H98"/>
  <c r="K97"/>
  <c r="H97"/>
  <c r="K96"/>
  <c r="H96"/>
  <c r="K95"/>
  <c r="H95"/>
  <c r="K94"/>
  <c r="H94"/>
  <c r="K93"/>
  <c r="H93"/>
  <c r="K92"/>
  <c r="H92"/>
  <c r="H91"/>
  <c r="L32" i="70"/>
  <c r="J57"/>
  <c r="J56"/>
  <c r="H61"/>
  <c r="H59"/>
  <c r="H53"/>
  <c r="H45"/>
  <c r="H44"/>
  <c r="H43"/>
  <c r="H48"/>
  <c r="H37"/>
  <c r="H36"/>
  <c r="H35"/>
  <c r="H30"/>
  <c r="J61"/>
  <c r="J60"/>
  <c r="J59"/>
  <c r="L59" s="1"/>
  <c r="J53"/>
  <c r="L53" s="1"/>
  <c r="J48"/>
  <c r="J45"/>
  <c r="J44"/>
  <c r="J43"/>
  <c r="J37"/>
  <c r="J36"/>
  <c r="J35"/>
  <c r="J30"/>
  <c r="L61"/>
  <c r="H60"/>
  <c r="H58"/>
  <c r="H57"/>
  <c r="L57" s="1"/>
  <c r="H56"/>
  <c r="H52"/>
  <c r="H47"/>
  <c r="H46"/>
  <c r="H42"/>
  <c r="J58"/>
  <c r="J52"/>
  <c r="J47"/>
  <c r="J46"/>
  <c r="J42"/>
  <c r="K30"/>
  <c r="K31"/>
  <c r="K32"/>
  <c r="K33"/>
  <c r="K34"/>
  <c r="K35"/>
  <c r="K36"/>
  <c r="K37"/>
  <c r="K38"/>
  <c r="K39"/>
  <c r="K40"/>
  <c r="K41"/>
  <c r="K42"/>
  <c r="K43"/>
  <c r="K44"/>
  <c r="K45"/>
  <c r="K46"/>
  <c r="K47"/>
  <c r="K48"/>
  <c r="K49"/>
  <c r="K50"/>
  <c r="K51"/>
  <c r="K52"/>
  <c r="K53"/>
  <c r="K54"/>
  <c r="K55"/>
  <c r="K56"/>
  <c r="K57"/>
  <c r="K58"/>
  <c r="K59"/>
  <c r="K60"/>
  <c r="K61"/>
  <c r="G107"/>
  <c r="H107"/>
  <c r="I107"/>
  <c r="J107"/>
  <c r="G108"/>
  <c r="H108"/>
  <c r="I108"/>
  <c r="J108"/>
  <c r="G109"/>
  <c r="H109"/>
  <c r="I109"/>
  <c r="J109"/>
  <c r="M208" i="92" l="1"/>
  <c r="O208" s="1"/>
  <c r="M209"/>
  <c r="M101"/>
  <c r="O101" s="1"/>
  <c r="M181"/>
  <c r="O181" s="1"/>
  <c r="M180"/>
  <c r="O180" s="1"/>
  <c r="M179"/>
  <c r="O179" s="1"/>
  <c r="O157"/>
  <c r="O159"/>
  <c r="O156"/>
  <c r="M158"/>
  <c r="M66"/>
  <c r="O66" s="1"/>
  <c r="M64"/>
  <c r="O64" s="1"/>
  <c r="M67"/>
  <c r="O67" s="1"/>
  <c r="M42"/>
  <c r="M65"/>
  <c r="M89"/>
  <c r="O11"/>
  <c r="O12"/>
  <c r="O10"/>
  <c r="M14"/>
  <c r="L56" i="70"/>
  <c r="L60"/>
  <c r="L45"/>
  <c r="L43"/>
  <c r="L44"/>
  <c r="K107"/>
  <c r="L46"/>
  <c r="L52"/>
  <c r="L30"/>
  <c r="L36"/>
  <c r="L48"/>
  <c r="L42"/>
  <c r="L47"/>
  <c r="L58"/>
  <c r="L35"/>
  <c r="L37"/>
  <c r="L109"/>
  <c r="L108"/>
  <c r="L107"/>
  <c r="K109"/>
  <c r="K108"/>
  <c r="O209" i="92" l="1"/>
  <c r="M213"/>
  <c r="M105"/>
  <c r="M184"/>
  <c r="O158"/>
  <c r="M161"/>
  <c r="O42"/>
  <c r="M45"/>
  <c r="O65"/>
  <c r="M69"/>
  <c r="O478" i="8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M71" i="70"/>
  <c r="M91"/>
  <c r="M92"/>
  <c r="M93"/>
  <c r="M94"/>
  <c r="M95"/>
  <c r="M96"/>
  <c r="M97"/>
  <c r="M98"/>
  <c r="M99"/>
  <c r="M100"/>
  <c r="M101"/>
  <c r="M102"/>
  <c r="M103"/>
  <c r="M104"/>
  <c r="M105"/>
  <c r="M106"/>
  <c r="M125"/>
  <c r="M126"/>
  <c r="M128"/>
  <c r="M56"/>
  <c r="M57"/>
  <c r="M58"/>
  <c r="M59"/>
  <c r="M60"/>
  <c r="M61"/>
  <c r="O443" i="88"/>
  <c r="O303"/>
  <c r="O304"/>
  <c r="O299"/>
  <c r="O296"/>
  <c r="O302"/>
  <c r="O301"/>
  <c r="O300"/>
  <c r="O298"/>
  <c r="O297"/>
  <c r="O293" l="1"/>
  <c r="O294"/>
  <c r="O472" l="1"/>
  <c r="M19" i="70" l="1"/>
  <c r="M20"/>
  <c r="M21"/>
  <c r="M22"/>
  <c r="M23"/>
  <c r="M24"/>
  <c r="M25"/>
  <c r="M26"/>
  <c r="M27"/>
  <c r="M28"/>
  <c r="M29"/>
  <c r="M30"/>
  <c r="M31"/>
  <c r="M32"/>
  <c r="M33"/>
  <c r="M34"/>
  <c r="M35"/>
  <c r="M36"/>
  <c r="M37"/>
  <c r="O455" i="88" l="1"/>
  <c r="O456"/>
  <c r="O457"/>
  <c r="O458"/>
  <c r="O453"/>
  <c r="O454"/>
  <c r="O452"/>
  <c r="G26" i="70"/>
  <c r="I26"/>
  <c r="B23" i="75"/>
  <c r="C23"/>
  <c r="D23"/>
  <c r="E23"/>
  <c r="F23"/>
  <c r="G23"/>
  <c r="I23"/>
  <c r="J23" s="1"/>
  <c r="B24"/>
  <c r="C24"/>
  <c r="D24"/>
  <c r="E24"/>
  <c r="F24"/>
  <c r="G24"/>
  <c r="I24"/>
  <c r="J24" s="1"/>
  <c r="B25"/>
  <c r="C25"/>
  <c r="D25"/>
  <c r="E25"/>
  <c r="F25"/>
  <c r="G25"/>
  <c r="I25"/>
  <c r="J25" s="1"/>
  <c r="B26"/>
  <c r="C26"/>
  <c r="D26"/>
  <c r="E26"/>
  <c r="F26"/>
  <c r="G26"/>
  <c r="I26"/>
  <c r="J26" s="1"/>
  <c r="B27"/>
  <c r="C27"/>
  <c r="D27"/>
  <c r="E27"/>
  <c r="F27"/>
  <c r="G27"/>
  <c r="I27"/>
  <c r="J27" s="1"/>
  <c r="B28"/>
  <c r="C28"/>
  <c r="D28"/>
  <c r="E28"/>
  <c r="F28"/>
  <c r="G28"/>
  <c r="I28"/>
  <c r="J28" s="1"/>
  <c r="B29"/>
  <c r="C29"/>
  <c r="D29"/>
  <c r="E29"/>
  <c r="F29"/>
  <c r="G29"/>
  <c r="I29"/>
  <c r="J29" s="1"/>
  <c r="B30"/>
  <c r="C30"/>
  <c r="D30"/>
  <c r="E30"/>
  <c r="F30"/>
  <c r="G30"/>
  <c r="I30"/>
  <c r="J30" s="1"/>
  <c r="B31"/>
  <c r="C31"/>
  <c r="D31"/>
  <c r="E31"/>
  <c r="F31"/>
  <c r="G31"/>
  <c r="I31"/>
  <c r="J31" s="1"/>
  <c r="B32"/>
  <c r="C32"/>
  <c r="D32"/>
  <c r="E32"/>
  <c r="F32"/>
  <c r="G32"/>
  <c r="I32"/>
  <c r="J32" s="1"/>
  <c r="B33"/>
  <c r="C33"/>
  <c r="D33"/>
  <c r="E33"/>
  <c r="F33"/>
  <c r="G33"/>
  <c r="I33"/>
  <c r="J33" s="1"/>
  <c r="B34"/>
  <c r="C34"/>
  <c r="D34"/>
  <c r="E34"/>
  <c r="F34"/>
  <c r="G34"/>
  <c r="I34"/>
  <c r="J34" s="1"/>
  <c r="B35"/>
  <c r="C35"/>
  <c r="D35"/>
  <c r="E35"/>
  <c r="F35"/>
  <c r="G35"/>
  <c r="I35"/>
  <c r="J35" s="1"/>
  <c r="B36"/>
  <c r="C36"/>
  <c r="D36"/>
  <c r="E36"/>
  <c r="F36"/>
  <c r="G36"/>
  <c r="I36"/>
  <c r="J36" s="1"/>
  <c r="B37"/>
  <c r="C37"/>
  <c r="D37"/>
  <c r="E37"/>
  <c r="F37"/>
  <c r="G37"/>
  <c r="I37"/>
  <c r="J37" s="1"/>
  <c r="B38"/>
  <c r="C38"/>
  <c r="D38"/>
  <c r="E38"/>
  <c r="F38"/>
  <c r="G38"/>
  <c r="I38"/>
  <c r="J38" s="1"/>
  <c r="B39"/>
  <c r="C39"/>
  <c r="D39"/>
  <c r="E39"/>
  <c r="F39"/>
  <c r="G39"/>
  <c r="I39"/>
  <c r="J39" s="1"/>
  <c r="B40"/>
  <c r="C40"/>
  <c r="D40"/>
  <c r="E40"/>
  <c r="F40"/>
  <c r="G40"/>
  <c r="I40"/>
  <c r="J40" s="1"/>
  <c r="B41"/>
  <c r="C41"/>
  <c r="D41"/>
  <c r="E41"/>
  <c r="F41"/>
  <c r="G41"/>
  <c r="I41"/>
  <c r="B42"/>
  <c r="C42"/>
  <c r="D42"/>
  <c r="E42"/>
  <c r="F42"/>
  <c r="G42"/>
  <c r="I42"/>
  <c r="J42" s="1"/>
  <c r="B43"/>
  <c r="C43"/>
  <c r="D43"/>
  <c r="E43"/>
  <c r="F43"/>
  <c r="G43"/>
  <c r="I43"/>
  <c r="J43" s="1"/>
  <c r="B44"/>
  <c r="C44"/>
  <c r="D44"/>
  <c r="E44"/>
  <c r="F44"/>
  <c r="G44"/>
  <c r="I44"/>
  <c r="J44" s="1"/>
  <c r="B45"/>
  <c r="C45"/>
  <c r="D45"/>
  <c r="E45"/>
  <c r="F45"/>
  <c r="G45"/>
  <c r="I45"/>
  <c r="J45" s="1"/>
  <c r="B46"/>
  <c r="C46"/>
  <c r="D46"/>
  <c r="E46"/>
  <c r="F46"/>
  <c r="G46"/>
  <c r="I46"/>
  <c r="J46" s="1"/>
  <c r="B47"/>
  <c r="C47"/>
  <c r="D47"/>
  <c r="E47"/>
  <c r="F47"/>
  <c r="G47"/>
  <c r="I47"/>
  <c r="J47" s="1"/>
  <c r="B48"/>
  <c r="C48"/>
  <c r="D48"/>
  <c r="E48"/>
  <c r="F48"/>
  <c r="G48"/>
  <c r="I48"/>
  <c r="J48" s="1"/>
  <c r="B49"/>
  <c r="C49"/>
  <c r="D49"/>
  <c r="E49"/>
  <c r="F49"/>
  <c r="G49"/>
  <c r="I49"/>
  <c r="B50"/>
  <c r="C50"/>
  <c r="D50"/>
  <c r="E50"/>
  <c r="F50"/>
  <c r="G50"/>
  <c r="I50"/>
  <c r="J50" s="1"/>
  <c r="B51"/>
  <c r="C51"/>
  <c r="D51"/>
  <c r="E51"/>
  <c r="F51"/>
  <c r="G51"/>
  <c r="I51"/>
  <c r="J51" s="1"/>
  <c r="B52"/>
  <c r="C52"/>
  <c r="D52"/>
  <c r="E52"/>
  <c r="F52"/>
  <c r="G52"/>
  <c r="I52"/>
  <c r="J52" s="1"/>
  <c r="B53"/>
  <c r="C53"/>
  <c r="D53"/>
  <c r="E53"/>
  <c r="F53"/>
  <c r="G53"/>
  <c r="I53"/>
  <c r="J53" s="1"/>
  <c r="B54"/>
  <c r="C54"/>
  <c r="D54"/>
  <c r="E54"/>
  <c r="F54"/>
  <c r="G54"/>
  <c r="I54"/>
  <c r="B55"/>
  <c r="C55"/>
  <c r="D55"/>
  <c r="E55"/>
  <c r="F55"/>
  <c r="G55"/>
  <c r="I55"/>
  <c r="J55" s="1"/>
  <c r="B56"/>
  <c r="C56"/>
  <c r="D56"/>
  <c r="E56"/>
  <c r="F56"/>
  <c r="G56"/>
  <c r="I56"/>
  <c r="J56" s="1"/>
  <c r="B57"/>
  <c r="C57"/>
  <c r="D57"/>
  <c r="E57"/>
  <c r="F57"/>
  <c r="G57"/>
  <c r="I57"/>
  <c r="J57" s="1"/>
  <c r="B58"/>
  <c r="C58"/>
  <c r="D58"/>
  <c r="E58"/>
  <c r="F58"/>
  <c r="G58"/>
  <c r="I58"/>
  <c r="J58" s="1"/>
  <c r="B59"/>
  <c r="C59"/>
  <c r="D59"/>
  <c r="E59"/>
  <c r="F59"/>
  <c r="G59"/>
  <c r="I59"/>
  <c r="J59" s="1"/>
  <c r="B60"/>
  <c r="C60"/>
  <c r="D60"/>
  <c r="E60"/>
  <c r="F60"/>
  <c r="G60"/>
  <c r="I60"/>
  <c r="J60" s="1"/>
  <c r="B61"/>
  <c r="C61"/>
  <c r="D61"/>
  <c r="E61"/>
  <c r="F61"/>
  <c r="G61"/>
  <c r="I61"/>
  <c r="B62"/>
  <c r="C62"/>
  <c r="D62"/>
  <c r="E62"/>
  <c r="F62"/>
  <c r="G62"/>
  <c r="I62"/>
  <c r="J62" s="1"/>
  <c r="B63"/>
  <c r="C63"/>
  <c r="D63"/>
  <c r="E63"/>
  <c r="F63"/>
  <c r="G63"/>
  <c r="I63"/>
  <c r="B64"/>
  <c r="C64"/>
  <c r="D64"/>
  <c r="E64"/>
  <c r="F64"/>
  <c r="G64"/>
  <c r="I64"/>
  <c r="B65"/>
  <c r="C65"/>
  <c r="D65"/>
  <c r="E65"/>
  <c r="F65"/>
  <c r="G65"/>
  <c r="I65"/>
  <c r="B66"/>
  <c r="C66"/>
  <c r="D66"/>
  <c r="E66"/>
  <c r="F66"/>
  <c r="G66"/>
  <c r="I66"/>
  <c r="B67"/>
  <c r="C67"/>
  <c r="D67"/>
  <c r="E67"/>
  <c r="F67"/>
  <c r="G67"/>
  <c r="I67"/>
  <c r="B68"/>
  <c r="C68"/>
  <c r="D68"/>
  <c r="E68"/>
  <c r="F68"/>
  <c r="G68"/>
  <c r="I68"/>
  <c r="B69"/>
  <c r="C69"/>
  <c r="D69"/>
  <c r="E69"/>
  <c r="F69"/>
  <c r="G69"/>
  <c r="I69"/>
  <c r="B70"/>
  <c r="C70"/>
  <c r="D70"/>
  <c r="E70"/>
  <c r="F70"/>
  <c r="G70"/>
  <c r="I70"/>
  <c r="B71"/>
  <c r="C71"/>
  <c r="D71"/>
  <c r="E71"/>
  <c r="F71"/>
  <c r="G71"/>
  <c r="I71"/>
  <c r="J41" l="1"/>
  <c r="J67"/>
  <c r="J64"/>
  <c r="J69"/>
  <c r="J63"/>
  <c r="K26" i="70"/>
  <c r="J54" i="75"/>
  <c r="J49"/>
  <c r="J70"/>
  <c r="J71"/>
  <c r="J68"/>
  <c r="H24"/>
  <c r="J66"/>
  <c r="J61"/>
  <c r="J65"/>
  <c r="H23"/>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O445" i="88" l="1"/>
  <c r="O295" l="1"/>
  <c r="O292"/>
  <c r="O291"/>
  <c r="O290"/>
  <c r="G79" i="70"/>
  <c r="H79"/>
  <c r="I79"/>
  <c r="J79"/>
  <c r="O442" i="88"/>
  <c r="O444"/>
  <c r="K79" i="70" l="1"/>
  <c r="L79"/>
  <c r="O289" i="88"/>
  <c r="O288"/>
  <c r="O287"/>
  <c r="O309"/>
  <c r="O286"/>
  <c r="O285"/>
  <c r="O284"/>
  <c r="O460" l="1"/>
  <c r="O461"/>
  <c r="O462"/>
  <c r="O463"/>
  <c r="O464"/>
  <c r="O465"/>
  <c r="O466"/>
  <c r="O467"/>
  <c r="O468"/>
  <c r="O469"/>
  <c r="O470"/>
  <c r="O471"/>
  <c r="O212"/>
  <c r="O213"/>
  <c r="O214"/>
  <c r="O215"/>
  <c r="O216"/>
  <c r="O227"/>
  <c r="O228"/>
  <c r="O229"/>
  <c r="O187"/>
  <c r="O188"/>
  <c r="O189"/>
  <c r="O190"/>
  <c r="O191"/>
  <c r="O192"/>
  <c r="O193"/>
  <c r="O194"/>
  <c r="O195"/>
  <c r="O196"/>
  <c r="O197"/>
  <c r="O198"/>
  <c r="O199"/>
  <c r="O200"/>
  <c r="O201"/>
  <c r="O202"/>
  <c r="O203"/>
  <c r="O204"/>
  <c r="O205"/>
  <c r="O206"/>
  <c r="O219"/>
  <c r="O220"/>
  <c r="O221"/>
  <c r="O222"/>
  <c r="O223"/>
  <c r="O224"/>
  <c r="O217"/>
  <c r="O207"/>
  <c r="O218"/>
  <c r="O208"/>
  <c r="O209"/>
  <c r="O210"/>
  <c r="O230"/>
  <c r="O211"/>
  <c r="O225"/>
  <c r="O226"/>
  <c r="O231"/>
  <c r="O232"/>
  <c r="O233"/>
  <c r="O234"/>
  <c r="O235"/>
  <c r="O236"/>
  <c r="O237"/>
  <c r="O238"/>
  <c r="O239"/>
  <c r="O240"/>
  <c r="O241"/>
  <c r="O242"/>
  <c r="O243"/>
  <c r="O244"/>
  <c r="O245"/>
  <c r="O451"/>
  <c r="H26" i="70"/>
  <c r="J26"/>
  <c r="O473" i="88"/>
  <c r="O474"/>
  <c r="O475"/>
  <c r="O476"/>
  <c r="O477"/>
  <c r="O854"/>
  <c r="L854"/>
  <c r="N854"/>
  <c r="O459"/>
  <c r="L26" i="70" l="1"/>
  <c r="O274" i="88"/>
  <c r="O275"/>
  <c r="O276"/>
  <c r="O277"/>
  <c r="O278"/>
  <c r="O279"/>
  <c r="O280"/>
  <c r="O281"/>
  <c r="O282"/>
  <c r="O283"/>
  <c r="O306"/>
  <c r="O305"/>
  <c r="O307"/>
  <c r="O308"/>
  <c r="J104" i="70" l="1"/>
  <c r="I104"/>
  <c r="H104"/>
  <c r="G104"/>
  <c r="K104" l="1"/>
  <c r="L104"/>
  <c r="G106" l="1"/>
  <c r="H106"/>
  <c r="I106"/>
  <c r="J106"/>
  <c r="B67"/>
  <c r="K106" l="1"/>
  <c r="L106"/>
  <c r="O132" i="88"/>
  <c r="O133"/>
  <c r="O134"/>
  <c r="O135"/>
  <c r="O136"/>
  <c r="O140"/>
  <c r="O141"/>
  <c r="O142"/>
  <c r="O145"/>
  <c r="O146"/>
  <c r="O147"/>
  <c r="O137"/>
  <c r="O138"/>
  <c r="O139"/>
  <c r="O143"/>
  <c r="O144"/>
  <c r="O148"/>
  <c r="O149"/>
  <c r="O153"/>
  <c r="O155"/>
  <c r="O157"/>
  <c r="O150"/>
  <c r="O151"/>
  <c r="O152"/>
  <c r="E16" i="91" l="1"/>
  <c r="D5" l="1"/>
  <c r="B11"/>
  <c r="I13" l="1"/>
  <c r="I14" s="1"/>
  <c r="C13"/>
  <c r="C14" s="1"/>
  <c r="H12"/>
  <c r="D13" l="1"/>
  <c r="D14" s="1"/>
  <c r="G14"/>
  <c r="B12"/>
  <c r="E13"/>
  <c r="E14" s="1"/>
  <c r="H13"/>
  <c r="H14" s="1"/>
  <c r="B14" l="1"/>
  <c r="O156" i="88" l="1"/>
  <c r="O154"/>
  <c r="O123" l="1"/>
  <c r="G105" i="70" l="1"/>
  <c r="I105"/>
  <c r="G103"/>
  <c r="I103"/>
  <c r="D7" i="87"/>
  <c r="J105" i="70"/>
  <c r="H105"/>
  <c r="A5" i="88"/>
  <c r="O5" s="1"/>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3"/>
  <c r="O100"/>
  <c r="O101"/>
  <c r="O102"/>
  <c r="O104"/>
  <c r="O105"/>
  <c r="O106"/>
  <c r="O107"/>
  <c r="O108"/>
  <c r="O109"/>
  <c r="O110"/>
  <c r="O111"/>
  <c r="O112"/>
  <c r="O113"/>
  <c r="O114"/>
  <c r="O115"/>
  <c r="O116"/>
  <c r="O117"/>
  <c r="O118"/>
  <c r="O119"/>
  <c r="O120"/>
  <c r="O121"/>
  <c r="O122"/>
  <c r="O124"/>
  <c r="O269"/>
  <c r="O270"/>
  <c r="O271"/>
  <c r="O272"/>
  <c r="O273"/>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125"/>
  <c r="O126"/>
  <c r="O127"/>
  <c r="O128"/>
  <c r="O129"/>
  <c r="O130"/>
  <c r="O131"/>
  <c r="O158"/>
  <c r="O159"/>
  <c r="O160"/>
  <c r="O161"/>
  <c r="O162"/>
  <c r="O163"/>
  <c r="O164"/>
  <c r="O165"/>
  <c r="O166"/>
  <c r="O167"/>
  <c r="O168"/>
  <c r="O169"/>
  <c r="O170"/>
  <c r="O171"/>
  <c r="O172"/>
  <c r="O173"/>
  <c r="O174"/>
  <c r="O175"/>
  <c r="O176"/>
  <c r="O177"/>
  <c r="O178"/>
  <c r="O179"/>
  <c r="O180"/>
  <c r="O181"/>
  <c r="O182"/>
  <c r="O183"/>
  <c r="O184"/>
  <c r="O185"/>
  <c r="O186"/>
  <c r="O436"/>
  <c r="O437"/>
  <c r="O438"/>
  <c r="O439"/>
  <c r="O440"/>
  <c r="O441"/>
  <c r="O446"/>
  <c r="O447"/>
  <c r="O448"/>
  <c r="O449"/>
  <c r="O450"/>
  <c r="C14" i="75"/>
  <c r="B105" s="1"/>
  <c r="B60" i="84"/>
  <c r="B59"/>
  <c r="B58"/>
  <c r="B57"/>
  <c r="B56"/>
  <c r="B55"/>
  <c r="B54"/>
  <c r="B53"/>
  <c r="B52"/>
  <c r="B51"/>
  <c r="B50"/>
  <c r="B49"/>
  <c r="B48"/>
  <c r="B47"/>
  <c r="B46"/>
  <c r="B45"/>
  <c r="B44"/>
  <c r="B43"/>
  <c r="B42"/>
  <c r="B41"/>
  <c r="B40"/>
  <c r="B39"/>
  <c r="B38"/>
  <c r="B37"/>
  <c r="B36"/>
  <c r="B35"/>
  <c r="B34"/>
  <c r="B33"/>
  <c r="B32"/>
  <c r="B31"/>
  <c r="B30"/>
  <c r="B29"/>
  <c r="B28"/>
  <c r="B27"/>
  <c r="B26"/>
  <c r="B25"/>
  <c r="B24"/>
  <c r="B23"/>
  <c r="F23" s="1"/>
  <c r="B22"/>
  <c r="F22" s="1"/>
  <c r="B21"/>
  <c r="B20"/>
  <c r="F20" s="1"/>
  <c r="B19"/>
  <c r="F19" s="1"/>
  <c r="B18"/>
  <c r="F18" s="1"/>
  <c r="B17"/>
  <c r="B16"/>
  <c r="F16" s="1"/>
  <c r="B15"/>
  <c r="F15" s="1"/>
  <c r="B14"/>
  <c r="A14" s="1"/>
  <c r="C60"/>
  <c r="D60"/>
  <c r="E60"/>
  <c r="F60"/>
  <c r="G60"/>
  <c r="H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B61"/>
  <c r="F61" s="1"/>
  <c r="C61"/>
  <c r="D61"/>
  <c r="E61"/>
  <c r="G61"/>
  <c r="H61"/>
  <c r="B62"/>
  <c r="C62"/>
  <c r="D62"/>
  <c r="E62"/>
  <c r="F62"/>
  <c r="G62"/>
  <c r="H62"/>
  <c r="B63"/>
  <c r="F63" s="1"/>
  <c r="C63"/>
  <c r="D63"/>
  <c r="E63"/>
  <c r="G63"/>
  <c r="H63"/>
  <c r="B64"/>
  <c r="C64"/>
  <c r="D64"/>
  <c r="E64"/>
  <c r="F64"/>
  <c r="G64"/>
  <c r="H64"/>
  <c r="B65"/>
  <c r="F65" s="1"/>
  <c r="C65"/>
  <c r="D65"/>
  <c r="E65"/>
  <c r="G65"/>
  <c r="H65"/>
  <c r="B66"/>
  <c r="C66"/>
  <c r="D66"/>
  <c r="E66"/>
  <c r="G66"/>
  <c r="H66"/>
  <c r="B67"/>
  <c r="C67"/>
  <c r="D67"/>
  <c r="E67"/>
  <c r="G67"/>
  <c r="H67"/>
  <c r="B68"/>
  <c r="C68"/>
  <c r="D68"/>
  <c r="E68"/>
  <c r="G68"/>
  <c r="H68"/>
  <c r="B69"/>
  <c r="C69"/>
  <c r="D69"/>
  <c r="E69"/>
  <c r="G69"/>
  <c r="H69"/>
  <c r="B70"/>
  <c r="C70"/>
  <c r="D70"/>
  <c r="E70"/>
  <c r="G70"/>
  <c r="H70"/>
  <c r="B71"/>
  <c r="C71"/>
  <c r="D71"/>
  <c r="E71"/>
  <c r="G71"/>
  <c r="H71"/>
  <c r="B72"/>
  <c r="C72"/>
  <c r="D72"/>
  <c r="E72"/>
  <c r="G72"/>
  <c r="H72"/>
  <c r="B73"/>
  <c r="C73"/>
  <c r="D73"/>
  <c r="E73"/>
  <c r="G73"/>
  <c r="H73"/>
  <c r="B74"/>
  <c r="C74"/>
  <c r="D74"/>
  <c r="E74"/>
  <c r="G74"/>
  <c r="H74"/>
  <c r="B75"/>
  <c r="C75"/>
  <c r="D75"/>
  <c r="E75"/>
  <c r="G75"/>
  <c r="H75"/>
  <c r="B76"/>
  <c r="C76"/>
  <c r="D76"/>
  <c r="E76"/>
  <c r="G76"/>
  <c r="H76"/>
  <c r="B77"/>
  <c r="C77"/>
  <c r="D77"/>
  <c r="E77"/>
  <c r="G77"/>
  <c r="H77"/>
  <c r="B78"/>
  <c r="C78"/>
  <c r="D78"/>
  <c r="E78"/>
  <c r="G78"/>
  <c r="H78"/>
  <c r="B79"/>
  <c r="C79"/>
  <c r="D79"/>
  <c r="E79"/>
  <c r="G79"/>
  <c r="H79"/>
  <c r="B80"/>
  <c r="C80"/>
  <c r="D80"/>
  <c r="E80"/>
  <c r="G80"/>
  <c r="H80"/>
  <c r="B81"/>
  <c r="C81"/>
  <c r="D81"/>
  <c r="E81"/>
  <c r="G81"/>
  <c r="H81"/>
  <c r="B82"/>
  <c r="C82"/>
  <c r="D82"/>
  <c r="E82"/>
  <c r="G82"/>
  <c r="H82"/>
  <c r="B83"/>
  <c r="C83"/>
  <c r="D83"/>
  <c r="E83"/>
  <c r="G83"/>
  <c r="H83"/>
  <c r="B84"/>
  <c r="C84"/>
  <c r="D84"/>
  <c r="E84"/>
  <c r="G84"/>
  <c r="H84"/>
  <c r="B85"/>
  <c r="A85" s="1"/>
  <c r="C85"/>
  <c r="D85"/>
  <c r="E85"/>
  <c r="I85" s="1"/>
  <c r="G85"/>
  <c r="H85"/>
  <c r="B86"/>
  <c r="A86" s="1"/>
  <c r="C86"/>
  <c r="D86"/>
  <c r="E86"/>
  <c r="I86" s="1"/>
  <c r="G86"/>
  <c r="H86"/>
  <c r="B87"/>
  <c r="A87" s="1"/>
  <c r="C87"/>
  <c r="D87"/>
  <c r="E87"/>
  <c r="I87" s="1"/>
  <c r="G87"/>
  <c r="H87"/>
  <c r="B88"/>
  <c r="A88" s="1"/>
  <c r="C88"/>
  <c r="D88"/>
  <c r="E88"/>
  <c r="I88" s="1"/>
  <c r="G88"/>
  <c r="H88"/>
  <c r="B89"/>
  <c r="A89" s="1"/>
  <c r="C89"/>
  <c r="D89"/>
  <c r="E89"/>
  <c r="I89" s="1"/>
  <c r="G89"/>
  <c r="H89"/>
  <c r="B90"/>
  <c r="A90" s="1"/>
  <c r="C90"/>
  <c r="D90"/>
  <c r="E90"/>
  <c r="I90" s="1"/>
  <c r="G90"/>
  <c r="H90"/>
  <c r="B91"/>
  <c r="A91" s="1"/>
  <c r="C91"/>
  <c r="D91"/>
  <c r="E91"/>
  <c r="I91" s="1"/>
  <c r="G91"/>
  <c r="H91"/>
  <c r="B92"/>
  <c r="A92" s="1"/>
  <c r="C92"/>
  <c r="D92"/>
  <c r="E92"/>
  <c r="I92" s="1"/>
  <c r="G92"/>
  <c r="H92"/>
  <c r="B93"/>
  <c r="A93" s="1"/>
  <c r="C93"/>
  <c r="D93"/>
  <c r="E93"/>
  <c r="I93" s="1"/>
  <c r="G93"/>
  <c r="H93"/>
  <c r="B94"/>
  <c r="A94" s="1"/>
  <c r="C94"/>
  <c r="D94"/>
  <c r="E94"/>
  <c r="I94" s="1"/>
  <c r="G94"/>
  <c r="H94"/>
  <c r="B95"/>
  <c r="A95" s="1"/>
  <c r="C95"/>
  <c r="D95"/>
  <c r="E95"/>
  <c r="I95" s="1"/>
  <c r="G95"/>
  <c r="H95"/>
  <c r="B96"/>
  <c r="A96" s="1"/>
  <c r="C96"/>
  <c r="D96"/>
  <c r="E96"/>
  <c r="I96" s="1"/>
  <c r="G96"/>
  <c r="H96"/>
  <c r="B97"/>
  <c r="A97" s="1"/>
  <c r="C97"/>
  <c r="D97"/>
  <c r="E97"/>
  <c r="I97" s="1"/>
  <c r="G97"/>
  <c r="H97"/>
  <c r="B98"/>
  <c r="A98" s="1"/>
  <c r="C98"/>
  <c r="D98"/>
  <c r="E98"/>
  <c r="I98" s="1"/>
  <c r="G98"/>
  <c r="H98"/>
  <c r="B99"/>
  <c r="A99" s="1"/>
  <c r="C99"/>
  <c r="D99"/>
  <c r="E99"/>
  <c r="I99" s="1"/>
  <c r="G99"/>
  <c r="H99"/>
  <c r="B100"/>
  <c r="A100" s="1"/>
  <c r="C100"/>
  <c r="D100"/>
  <c r="E100"/>
  <c r="I100" s="1"/>
  <c r="G100"/>
  <c r="H100"/>
  <c r="B101"/>
  <c r="A101" s="1"/>
  <c r="C101"/>
  <c r="D101"/>
  <c r="E101"/>
  <c r="I101" s="1"/>
  <c r="G101"/>
  <c r="H101"/>
  <c r="B102"/>
  <c r="A102" s="1"/>
  <c r="C102"/>
  <c r="D102"/>
  <c r="E102"/>
  <c r="I102" s="1"/>
  <c r="G102"/>
  <c r="H102"/>
  <c r="B103"/>
  <c r="A103" s="1"/>
  <c r="C103"/>
  <c r="D103"/>
  <c r="E103"/>
  <c r="I103" s="1"/>
  <c r="G103"/>
  <c r="H103"/>
  <c r="B104"/>
  <c r="A104" s="1"/>
  <c r="C104"/>
  <c r="D104"/>
  <c r="E104"/>
  <c r="I104" s="1"/>
  <c r="G104"/>
  <c r="H104"/>
  <c r="B105"/>
  <c r="A105" s="1"/>
  <c r="C105"/>
  <c r="D105"/>
  <c r="E105"/>
  <c r="I105" s="1"/>
  <c r="G105"/>
  <c r="H105"/>
  <c r="B106"/>
  <c r="A106" s="1"/>
  <c r="C106"/>
  <c r="D106"/>
  <c r="E106"/>
  <c r="I106" s="1"/>
  <c r="G106"/>
  <c r="H106"/>
  <c r="B107"/>
  <c r="A107" s="1"/>
  <c r="C107"/>
  <c r="D107"/>
  <c r="E107"/>
  <c r="I107" s="1"/>
  <c r="G107"/>
  <c r="H107"/>
  <c r="B108"/>
  <c r="A108" s="1"/>
  <c r="C108"/>
  <c r="D108"/>
  <c r="E108"/>
  <c r="I108" s="1"/>
  <c r="G108"/>
  <c r="H108"/>
  <c r="B109"/>
  <c r="A109" s="1"/>
  <c r="C109"/>
  <c r="D109"/>
  <c r="E109"/>
  <c r="I109" s="1"/>
  <c r="G109"/>
  <c r="H109"/>
  <c r="B110"/>
  <c r="A110" s="1"/>
  <c r="C110"/>
  <c r="D110"/>
  <c r="E110"/>
  <c r="I110" s="1"/>
  <c r="G110"/>
  <c r="H110"/>
  <c r="B111"/>
  <c r="A111" s="1"/>
  <c r="C111"/>
  <c r="D111"/>
  <c r="E111"/>
  <c r="I111" s="1"/>
  <c r="G111"/>
  <c r="H111"/>
  <c r="B112"/>
  <c r="A112" s="1"/>
  <c r="C112"/>
  <c r="D112"/>
  <c r="E112"/>
  <c r="I112" s="1"/>
  <c r="G112"/>
  <c r="H112"/>
  <c r="B113"/>
  <c r="A113" s="1"/>
  <c r="C113"/>
  <c r="D113"/>
  <c r="E113"/>
  <c r="I113" s="1"/>
  <c r="G113"/>
  <c r="H113"/>
  <c r="B114"/>
  <c r="A114" s="1"/>
  <c r="C114"/>
  <c r="D114"/>
  <c r="E114"/>
  <c r="I114" s="1"/>
  <c r="G114"/>
  <c r="H114"/>
  <c r="B115"/>
  <c r="A115" s="1"/>
  <c r="C115"/>
  <c r="D115"/>
  <c r="E115"/>
  <c r="I115" s="1"/>
  <c r="G115"/>
  <c r="H115"/>
  <c r="B116"/>
  <c r="A116" s="1"/>
  <c r="C116"/>
  <c r="D116"/>
  <c r="E116"/>
  <c r="I116" s="1"/>
  <c r="G116"/>
  <c r="H116"/>
  <c r="B117"/>
  <c r="A117" s="1"/>
  <c r="C117"/>
  <c r="D117"/>
  <c r="E117"/>
  <c r="I117" s="1"/>
  <c r="G117"/>
  <c r="H117"/>
  <c r="B118"/>
  <c r="A118" s="1"/>
  <c r="C118"/>
  <c r="D118"/>
  <c r="E118"/>
  <c r="I118" s="1"/>
  <c r="G118"/>
  <c r="H118"/>
  <c r="B119"/>
  <c r="A119" s="1"/>
  <c r="C119"/>
  <c r="D119"/>
  <c r="E119"/>
  <c r="I119" s="1"/>
  <c r="G119"/>
  <c r="H119"/>
  <c r="B120"/>
  <c r="A120" s="1"/>
  <c r="C120"/>
  <c r="D120"/>
  <c r="E120"/>
  <c r="I120" s="1"/>
  <c r="G120"/>
  <c r="H120"/>
  <c r="B121"/>
  <c r="A121" s="1"/>
  <c r="C121"/>
  <c r="D121"/>
  <c r="E121"/>
  <c r="I121" s="1"/>
  <c r="G121"/>
  <c r="H121"/>
  <c r="B122"/>
  <c r="A122" s="1"/>
  <c r="C122"/>
  <c r="D122"/>
  <c r="E122"/>
  <c r="I122" s="1"/>
  <c r="G122"/>
  <c r="H122"/>
  <c r="B123"/>
  <c r="A123" s="1"/>
  <c r="C123"/>
  <c r="D123"/>
  <c r="E123"/>
  <c r="I123" s="1"/>
  <c r="G123"/>
  <c r="H123"/>
  <c r="C24"/>
  <c r="D24"/>
  <c r="F24"/>
  <c r="C25"/>
  <c r="D25"/>
  <c r="F25"/>
  <c r="C26"/>
  <c r="D26"/>
  <c r="F26"/>
  <c r="C27"/>
  <c r="D27"/>
  <c r="F27"/>
  <c r="C28"/>
  <c r="D28"/>
  <c r="F28"/>
  <c r="C29"/>
  <c r="D29"/>
  <c r="F29"/>
  <c r="C30"/>
  <c r="D30"/>
  <c r="F30"/>
  <c r="C31"/>
  <c r="D31"/>
  <c r="F31"/>
  <c r="C32"/>
  <c r="D32"/>
  <c r="F32"/>
  <c r="C33"/>
  <c r="D33"/>
  <c r="F33"/>
  <c r="C34"/>
  <c r="D34"/>
  <c r="F34"/>
  <c r="C35"/>
  <c r="D35"/>
  <c r="F35"/>
  <c r="C36"/>
  <c r="D36"/>
  <c r="F36"/>
  <c r="C37"/>
  <c r="D37"/>
  <c r="F37"/>
  <c r="C38"/>
  <c r="D38"/>
  <c r="F38"/>
  <c r="C39"/>
  <c r="D39"/>
  <c r="F39"/>
  <c r="C40"/>
  <c r="D40"/>
  <c r="F40"/>
  <c r="C41"/>
  <c r="D41"/>
  <c r="F41"/>
  <c r="C42"/>
  <c r="D42"/>
  <c r="F42"/>
  <c r="C43"/>
  <c r="D43"/>
  <c r="F43"/>
  <c r="C44"/>
  <c r="D44"/>
  <c r="F44"/>
  <c r="C45"/>
  <c r="D45"/>
  <c r="F45"/>
  <c r="C46"/>
  <c r="D46"/>
  <c r="F46"/>
  <c r="C47"/>
  <c r="D47"/>
  <c r="F47"/>
  <c r="C48"/>
  <c r="D48"/>
  <c r="F48"/>
  <c r="C49"/>
  <c r="D49"/>
  <c r="F49"/>
  <c r="C50"/>
  <c r="D50"/>
  <c r="F50"/>
  <c r="C51"/>
  <c r="D51"/>
  <c r="F51"/>
  <c r="C52"/>
  <c r="D52"/>
  <c r="F52"/>
  <c r="C53"/>
  <c r="D53"/>
  <c r="F53"/>
  <c r="C54"/>
  <c r="D54"/>
  <c r="F54"/>
  <c r="C55"/>
  <c r="D55"/>
  <c r="F55"/>
  <c r="C56"/>
  <c r="D56"/>
  <c r="F56"/>
  <c r="C57"/>
  <c r="D57"/>
  <c r="F57"/>
  <c r="C58"/>
  <c r="D58"/>
  <c r="F58"/>
  <c r="C59"/>
  <c r="D59"/>
  <c r="F59"/>
  <c r="I7" i="75"/>
  <c r="H12" i="70"/>
  <c r="H13"/>
  <c r="H14"/>
  <c r="H15"/>
  <c r="H16"/>
  <c r="H17"/>
  <c r="H18"/>
  <c r="H19"/>
  <c r="H20"/>
  <c r="H21"/>
  <c r="H22"/>
  <c r="H23"/>
  <c r="H24"/>
  <c r="H25"/>
  <c r="H27"/>
  <c r="H28"/>
  <c r="H29"/>
  <c r="I12"/>
  <c r="I13"/>
  <c r="I14"/>
  <c r="I15"/>
  <c r="I16"/>
  <c r="I17"/>
  <c r="I18"/>
  <c r="I19"/>
  <c r="I20"/>
  <c r="I21"/>
  <c r="I22"/>
  <c r="I23"/>
  <c r="I24"/>
  <c r="I25"/>
  <c r="I27"/>
  <c r="I28"/>
  <c r="I29"/>
  <c r="J12"/>
  <c r="J13"/>
  <c r="J14"/>
  <c r="J15"/>
  <c r="J16"/>
  <c r="J17"/>
  <c r="J18"/>
  <c r="J19"/>
  <c r="J20"/>
  <c r="J21"/>
  <c r="J22"/>
  <c r="J23"/>
  <c r="L23" s="1"/>
  <c r="J24"/>
  <c r="J25"/>
  <c r="J27"/>
  <c r="J28"/>
  <c r="J29"/>
  <c r="G12"/>
  <c r="G13"/>
  <c r="K13" s="1"/>
  <c r="G14"/>
  <c r="K14" s="1"/>
  <c r="G15"/>
  <c r="K15" s="1"/>
  <c r="G16"/>
  <c r="K16" s="1"/>
  <c r="G17"/>
  <c r="K17" s="1"/>
  <c r="G18"/>
  <c r="K18" s="1"/>
  <c r="G19"/>
  <c r="K19" s="1"/>
  <c r="G20"/>
  <c r="K20" s="1"/>
  <c r="G21"/>
  <c r="K21" s="1"/>
  <c r="G22"/>
  <c r="K22" s="1"/>
  <c r="G23"/>
  <c r="K23" s="1"/>
  <c r="G24"/>
  <c r="K24" s="1"/>
  <c r="G25"/>
  <c r="K25" s="1"/>
  <c r="G27"/>
  <c r="K27" s="1"/>
  <c r="G28"/>
  <c r="K28" s="1"/>
  <c r="G29"/>
  <c r="K29" s="1"/>
  <c r="M50"/>
  <c r="M51"/>
  <c r="M52"/>
  <c r="M53"/>
  <c r="B12"/>
  <c r="G73"/>
  <c r="H73"/>
  <c r="I73"/>
  <c r="J73"/>
  <c r="G74"/>
  <c r="H74"/>
  <c r="I74"/>
  <c r="J74"/>
  <c r="I75"/>
  <c r="J75"/>
  <c r="B71"/>
  <c r="D21" i="75"/>
  <c r="D20"/>
  <c r="D19"/>
  <c r="D18"/>
  <c r="D17"/>
  <c r="D16"/>
  <c r="D15"/>
  <c r="D14"/>
  <c r="A14" s="1"/>
  <c r="B21"/>
  <c r="C21"/>
  <c r="E21"/>
  <c r="F21"/>
  <c r="G21"/>
  <c r="I21"/>
  <c r="K13"/>
  <c r="G14"/>
  <c r="I14"/>
  <c r="G15"/>
  <c r="I15"/>
  <c r="G16"/>
  <c r="I16"/>
  <c r="G17"/>
  <c r="I17"/>
  <c r="G18"/>
  <c r="I18"/>
  <c r="G19"/>
  <c r="I19"/>
  <c r="G20"/>
  <c r="I20"/>
  <c r="L13"/>
  <c r="F15"/>
  <c r="F16"/>
  <c r="F17"/>
  <c r="F18"/>
  <c r="F19"/>
  <c r="F20"/>
  <c r="D22"/>
  <c r="B22"/>
  <c r="C22"/>
  <c r="E22"/>
  <c r="F22"/>
  <c r="G22"/>
  <c r="I22"/>
  <c r="C8" i="84"/>
  <c r="C15"/>
  <c r="D15"/>
  <c r="C16"/>
  <c r="D16"/>
  <c r="C17"/>
  <c r="D17"/>
  <c r="F17"/>
  <c r="C18"/>
  <c r="D18"/>
  <c r="C19"/>
  <c r="D19"/>
  <c r="C20"/>
  <c r="D20"/>
  <c r="C21"/>
  <c r="D21"/>
  <c r="F21"/>
  <c r="C22"/>
  <c r="D22"/>
  <c r="C23"/>
  <c r="D23"/>
  <c r="D14"/>
  <c r="C14"/>
  <c r="G101" i="70"/>
  <c r="I101"/>
  <c r="H101"/>
  <c r="J101"/>
  <c r="G102"/>
  <c r="I102"/>
  <c r="H102"/>
  <c r="J102"/>
  <c r="G92"/>
  <c r="H92"/>
  <c r="I92"/>
  <c r="J92"/>
  <c r="G93"/>
  <c r="H93"/>
  <c r="I93"/>
  <c r="J93"/>
  <c r="G94"/>
  <c r="H94"/>
  <c r="I94"/>
  <c r="J94"/>
  <c r="G95"/>
  <c r="H95"/>
  <c r="I95"/>
  <c r="J95"/>
  <c r="G96"/>
  <c r="H96"/>
  <c r="I96"/>
  <c r="J96"/>
  <c r="G97"/>
  <c r="H97"/>
  <c r="I97"/>
  <c r="J97"/>
  <c r="G98"/>
  <c r="H98"/>
  <c r="I98"/>
  <c r="J98"/>
  <c r="G99"/>
  <c r="H99"/>
  <c r="I99"/>
  <c r="J99"/>
  <c r="G100"/>
  <c r="H100"/>
  <c r="I100"/>
  <c r="J100"/>
  <c r="J91"/>
  <c r="I91"/>
  <c r="H91"/>
  <c r="G91"/>
  <c r="G72"/>
  <c r="H72"/>
  <c r="I72"/>
  <c r="J72"/>
  <c r="G76"/>
  <c r="H76"/>
  <c r="I76"/>
  <c r="J76"/>
  <c r="G77"/>
  <c r="H77"/>
  <c r="I77"/>
  <c r="J77"/>
  <c r="G78"/>
  <c r="H78"/>
  <c r="I78"/>
  <c r="J78"/>
  <c r="J71"/>
  <c r="I71"/>
  <c r="H71"/>
  <c r="G71"/>
  <c r="B15" i="75"/>
  <c r="B16"/>
  <c r="B17"/>
  <c r="B18"/>
  <c r="B19"/>
  <c r="B20"/>
  <c r="B14"/>
  <c r="B91" i="70"/>
  <c r="A91" s="1"/>
  <c r="M12"/>
  <c r="M13"/>
  <c r="M14"/>
  <c r="M15"/>
  <c r="M16"/>
  <c r="M41"/>
  <c r="M40"/>
  <c r="M42"/>
  <c r="M43"/>
  <c r="M44"/>
  <c r="M45"/>
  <c r="M46"/>
  <c r="M47"/>
  <c r="M48"/>
  <c r="M49"/>
  <c r="M38"/>
  <c r="M17"/>
  <c r="M18"/>
  <c r="M39"/>
  <c r="M54"/>
  <c r="M55"/>
  <c r="A126"/>
  <c r="A88"/>
  <c r="A67"/>
  <c r="A68"/>
  <c r="A11" i="87"/>
  <c r="A10"/>
  <c r="G2"/>
  <c r="F15"/>
  <c r="H30"/>
  <c r="A12"/>
  <c r="C7"/>
  <c r="D5"/>
  <c r="C15" i="75"/>
  <c r="E15"/>
  <c r="C16"/>
  <c r="E16"/>
  <c r="C17"/>
  <c r="E17"/>
  <c r="C18"/>
  <c r="E18"/>
  <c r="C19"/>
  <c r="E19"/>
  <c r="C20"/>
  <c r="E20"/>
  <c r="E14"/>
  <c r="A27" i="87"/>
  <c r="A124" i="84"/>
  <c r="B56" i="89" l="1"/>
  <c r="H56"/>
  <c r="B57"/>
  <c r="H57"/>
  <c r="B58"/>
  <c r="H58"/>
  <c r="B59"/>
  <c r="H59"/>
  <c r="B60"/>
  <c r="H60"/>
  <c r="B61"/>
  <c r="H61"/>
  <c r="B62"/>
  <c r="H62"/>
  <c r="A56"/>
  <c r="D56"/>
  <c r="G56"/>
  <c r="I56"/>
  <c r="A57"/>
  <c r="D57"/>
  <c r="G57"/>
  <c r="I57"/>
  <c r="A58"/>
  <c r="D58"/>
  <c r="G58"/>
  <c r="I58"/>
  <c r="A59"/>
  <c r="D59"/>
  <c r="G59"/>
  <c r="I59"/>
  <c r="A60"/>
  <c r="D60"/>
  <c r="G60"/>
  <c r="I60"/>
  <c r="A61"/>
  <c r="D61"/>
  <c r="G61"/>
  <c r="I61"/>
  <c r="A62"/>
  <c r="D62"/>
  <c r="G62"/>
  <c r="I62"/>
  <c r="G126" i="70"/>
  <c r="G128" s="1"/>
  <c r="I126"/>
  <c r="I128" s="1"/>
  <c r="J88"/>
  <c r="J90" s="1"/>
  <c r="I88"/>
  <c r="I90" s="1"/>
  <c r="H15" i="75"/>
  <c r="J16"/>
  <c r="H19"/>
  <c r="H17"/>
  <c r="J20"/>
  <c r="J18"/>
  <c r="K12" i="70"/>
  <c r="G68"/>
  <c r="G70" s="1"/>
  <c r="I68"/>
  <c r="I70" s="1"/>
  <c r="F29" i="87"/>
  <c r="F30"/>
  <c r="F13" i="75"/>
  <c r="B72" i="70"/>
  <c r="A72" s="1"/>
  <c r="A71"/>
  <c r="B92"/>
  <c r="A92" s="1"/>
  <c r="B13"/>
  <c r="A12"/>
  <c r="L91"/>
  <c r="L99"/>
  <c r="F77" i="84"/>
  <c r="E5"/>
  <c r="F69"/>
  <c r="A128"/>
  <c r="F14"/>
  <c r="F93"/>
  <c r="B5" i="88"/>
  <c r="F73" i="84"/>
  <c r="F85"/>
  <c r="F101"/>
  <c r="F102"/>
  <c r="F88"/>
  <c r="K73" i="70"/>
  <c r="K74"/>
  <c r="L96"/>
  <c r="K105"/>
  <c r="H103"/>
  <c r="H126" s="1"/>
  <c r="H128" s="1"/>
  <c r="K93"/>
  <c r="L78"/>
  <c r="F117" i="84"/>
  <c r="G125"/>
  <c r="F118"/>
  <c r="F109"/>
  <c r="F110"/>
  <c r="L92" i="70"/>
  <c r="L77"/>
  <c r="F81" i="84"/>
  <c r="F89"/>
  <c r="F97"/>
  <c r="F105"/>
  <c r="F113"/>
  <c r="F121"/>
  <c r="F98"/>
  <c r="F106"/>
  <c r="F114"/>
  <c r="F122"/>
  <c r="F92"/>
  <c r="H125"/>
  <c r="F67"/>
  <c r="F71"/>
  <c r="F75"/>
  <c r="F79"/>
  <c r="F83"/>
  <c r="F87"/>
  <c r="F91"/>
  <c r="F95"/>
  <c r="F99"/>
  <c r="F103"/>
  <c r="F107"/>
  <c r="F111"/>
  <c r="F115"/>
  <c r="F119"/>
  <c r="F123"/>
  <c r="F96"/>
  <c r="F100"/>
  <c r="F104"/>
  <c r="F108"/>
  <c r="F112"/>
  <c r="F116"/>
  <c r="F120"/>
  <c r="F94"/>
  <c r="F90"/>
  <c r="J15" i="75"/>
  <c r="J103" i="70"/>
  <c r="J126" s="1"/>
  <c r="J128" s="1"/>
  <c r="K77"/>
  <c r="K97"/>
  <c r="K98"/>
  <c r="K94"/>
  <c r="K71"/>
  <c r="H21" i="75"/>
  <c r="L74" i="70"/>
  <c r="H16" i="75"/>
  <c r="L73" i="70"/>
  <c r="K99"/>
  <c r="H75"/>
  <c r="H88" s="1"/>
  <c r="H90" s="1"/>
  <c r="G75"/>
  <c r="K75" s="1"/>
  <c r="J19" i="75"/>
  <c r="L100" i="70"/>
  <c r="H22" i="75"/>
  <c r="J17"/>
  <c r="H20"/>
  <c r="H18"/>
  <c r="K14"/>
  <c r="K15" s="1"/>
  <c r="K16" s="1"/>
  <c r="K17" s="1"/>
  <c r="K18" s="1"/>
  <c r="K19" s="1"/>
  <c r="K20" s="1"/>
  <c r="K21" s="1"/>
  <c r="K22" s="1"/>
  <c r="K23" s="1"/>
  <c r="K24" s="1"/>
  <c r="K25" s="1"/>
  <c r="K26" s="1"/>
  <c r="K27" s="1"/>
  <c r="K28" s="1"/>
  <c r="K29" s="1"/>
  <c r="K30" s="1"/>
  <c r="K31" s="1"/>
  <c r="K32" s="1"/>
  <c r="K33" s="1"/>
  <c r="K34" s="1"/>
  <c r="K35" s="1"/>
  <c r="K36" s="1"/>
  <c r="K37" s="1"/>
  <c r="K38" s="1"/>
  <c r="K39" s="1"/>
  <c r="K40" s="1"/>
  <c r="K41" s="1"/>
  <c r="K42" s="1"/>
  <c r="K43" s="1"/>
  <c r="K44" s="1"/>
  <c r="K45" s="1"/>
  <c r="K46" s="1"/>
  <c r="K47" s="1"/>
  <c r="K48" s="1"/>
  <c r="K49" s="1"/>
  <c r="K50" s="1"/>
  <c r="K51" s="1"/>
  <c r="K52" s="1"/>
  <c r="K53" s="1"/>
  <c r="K54" s="1"/>
  <c r="K55" s="1"/>
  <c r="K56" s="1"/>
  <c r="K57" s="1"/>
  <c r="K58" s="1"/>
  <c r="K59" s="1"/>
  <c r="K60" s="1"/>
  <c r="K61" s="1"/>
  <c r="K62" s="1"/>
  <c r="K63" s="1"/>
  <c r="K64" s="1"/>
  <c r="K65" s="1"/>
  <c r="K66" s="1"/>
  <c r="K67" s="1"/>
  <c r="K68" s="1"/>
  <c r="K69" s="1"/>
  <c r="K70" s="1"/>
  <c r="K71" s="1"/>
  <c r="K72" s="1"/>
  <c r="K73" s="1"/>
  <c r="K74" s="1"/>
  <c r="K75" s="1"/>
  <c r="K76" s="1"/>
  <c r="K77" s="1"/>
  <c r="K78" s="1"/>
  <c r="K79" s="1"/>
  <c r="K80" s="1"/>
  <c r="K81" s="1"/>
  <c r="K82" s="1"/>
  <c r="K83" s="1"/>
  <c r="K84" s="1"/>
  <c r="K72" i="70"/>
  <c r="K95"/>
  <c r="L15"/>
  <c r="K102"/>
  <c r="K101"/>
  <c r="L28"/>
  <c r="L19"/>
  <c r="I103" i="75"/>
  <c r="L71" i="70"/>
  <c r="L25"/>
  <c r="L21"/>
  <c r="L17"/>
  <c r="L105"/>
  <c r="L29"/>
  <c r="L27"/>
  <c r="L24"/>
  <c r="L22"/>
  <c r="L20"/>
  <c r="L18"/>
  <c r="L16"/>
  <c r="L14"/>
  <c r="L12"/>
  <c r="A15" i="84"/>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L13" i="70"/>
  <c r="I14" i="84"/>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B18" i="89"/>
  <c r="C18" s="1"/>
  <c r="B26"/>
  <c r="C26" s="1"/>
  <c r="B32"/>
  <c r="C32" s="1"/>
  <c r="B36"/>
  <c r="C36" s="1"/>
  <c r="B40"/>
  <c r="C40" s="1"/>
  <c r="I43"/>
  <c r="I47"/>
  <c r="I51"/>
  <c r="G16"/>
  <c r="D19"/>
  <c r="A22"/>
  <c r="G24"/>
  <c r="D27"/>
  <c r="A30"/>
  <c r="G32"/>
  <c r="A35"/>
  <c r="A37"/>
  <c r="A39"/>
  <c r="A41"/>
  <c r="A43"/>
  <c r="A45"/>
  <c r="A47"/>
  <c r="A49"/>
  <c r="A51"/>
  <c r="A53"/>
  <c r="A55"/>
  <c r="G14"/>
  <c r="H50"/>
  <c r="H34"/>
  <c r="H30"/>
  <c r="H26"/>
  <c r="H22"/>
  <c r="H18"/>
  <c r="B22"/>
  <c r="C22" s="1"/>
  <c r="B30"/>
  <c r="C30" s="1"/>
  <c r="B34"/>
  <c r="C34" s="1"/>
  <c r="B38"/>
  <c r="C38" s="1"/>
  <c r="B42"/>
  <c r="C42" s="1"/>
  <c r="B46"/>
  <c r="C46" s="1"/>
  <c r="B50"/>
  <c r="C50" s="1"/>
  <c r="B54"/>
  <c r="C54" s="1"/>
  <c r="B14"/>
  <c r="C14" s="1"/>
  <c r="D15"/>
  <c r="A18"/>
  <c r="G20"/>
  <c r="D23"/>
  <c r="A26"/>
  <c r="G28"/>
  <c r="D31"/>
  <c r="A34"/>
  <c r="A36"/>
  <c r="A38"/>
  <c r="A40"/>
  <c r="A42"/>
  <c r="A44"/>
  <c r="A46"/>
  <c r="A48"/>
  <c r="A50"/>
  <c r="A52"/>
  <c r="A54"/>
  <c r="H55"/>
  <c r="H37"/>
  <c r="H39"/>
  <c r="H41"/>
  <c r="H43"/>
  <c r="H45"/>
  <c r="H47"/>
  <c r="H49"/>
  <c r="H51"/>
  <c r="H53"/>
  <c r="H14"/>
  <c r="H35"/>
  <c r="H33"/>
  <c r="H31"/>
  <c r="H29"/>
  <c r="H27"/>
  <c r="H25"/>
  <c r="H23"/>
  <c r="H21"/>
  <c r="H19"/>
  <c r="H17"/>
  <c r="H15"/>
  <c r="B15"/>
  <c r="C15" s="1"/>
  <c r="H38"/>
  <c r="H40"/>
  <c r="H42"/>
  <c r="H44"/>
  <c r="H46"/>
  <c r="H48"/>
  <c r="H52"/>
  <c r="H54"/>
  <c r="H36"/>
  <c r="H32"/>
  <c r="H28"/>
  <c r="H24"/>
  <c r="H20"/>
  <c r="H16"/>
  <c r="A15" i="75"/>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14" i="89"/>
  <c r="D14"/>
  <c r="D55"/>
  <c r="D54"/>
  <c r="D53"/>
  <c r="D52"/>
  <c r="D51"/>
  <c r="D50"/>
  <c r="D49"/>
  <c r="D48"/>
  <c r="D47"/>
  <c r="D46"/>
  <c r="D45"/>
  <c r="D44"/>
  <c r="D43"/>
  <c r="D41"/>
  <c r="D40"/>
  <c r="D39"/>
  <c r="D38"/>
  <c r="D37"/>
  <c r="D36"/>
  <c r="D34"/>
  <c r="A32"/>
  <c r="D29"/>
  <c r="A28"/>
  <c r="D25"/>
  <c r="G22"/>
  <c r="A20"/>
  <c r="D17"/>
  <c r="A16"/>
  <c r="B55"/>
  <c r="C55" s="1"/>
  <c r="I52"/>
  <c r="B51"/>
  <c r="C51" s="1"/>
  <c r="I48"/>
  <c r="B47"/>
  <c r="C47" s="1"/>
  <c r="B45"/>
  <c r="C45" s="1"/>
  <c r="I42"/>
  <c r="B41"/>
  <c r="C41" s="1"/>
  <c r="B37"/>
  <c r="C37" s="1"/>
  <c r="B35"/>
  <c r="C35" s="1"/>
  <c r="B31"/>
  <c r="C31" s="1"/>
  <c r="B24"/>
  <c r="C24" s="1"/>
  <c r="B16"/>
  <c r="C16" s="1"/>
  <c r="J22" i="75"/>
  <c r="J21"/>
  <c r="L98" i="70"/>
  <c r="L97"/>
  <c r="L95"/>
  <c r="K78"/>
  <c r="K76"/>
  <c r="L102"/>
  <c r="L101"/>
  <c r="L76"/>
  <c r="K100"/>
  <c r="K96"/>
  <c r="K92"/>
  <c r="D42" i="89"/>
  <c r="D35"/>
  <c r="D33"/>
  <c r="G30"/>
  <c r="G26"/>
  <c r="A24"/>
  <c r="D21"/>
  <c r="G18"/>
  <c r="I14"/>
  <c r="B39"/>
  <c r="C39" s="1"/>
  <c r="B33"/>
  <c r="C33" s="1"/>
  <c r="B28"/>
  <c r="C28" s="1"/>
  <c r="B20"/>
  <c r="C20" s="1"/>
  <c r="K103" i="70"/>
  <c r="I28" i="89"/>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91" i="70"/>
  <c r="K126" s="1"/>
  <c r="K128" s="1"/>
  <c r="L94"/>
  <c r="L93"/>
  <c r="G103" i="75"/>
  <c r="B17" i="87"/>
  <c r="L72" i="70"/>
  <c r="F84" i="84"/>
  <c r="F80"/>
  <c r="F76"/>
  <c r="F72"/>
  <c r="F68"/>
  <c r="G54" i="89"/>
  <c r="G51"/>
  <c r="G50"/>
  <c r="G47"/>
  <c r="G43"/>
  <c r="G40"/>
  <c r="G39"/>
  <c r="G36"/>
  <c r="F86" i="84"/>
  <c r="F82"/>
  <c r="F78"/>
  <c r="F74"/>
  <c r="F70"/>
  <c r="F66"/>
  <c r="B73" i="70" l="1"/>
  <c r="A73" s="1"/>
  <c r="B93"/>
  <c r="A93" s="1"/>
  <c r="C62" i="89"/>
  <c r="F62"/>
  <c r="J62"/>
  <c r="E62"/>
  <c r="C61"/>
  <c r="F61"/>
  <c r="J61"/>
  <c r="E61"/>
  <c r="C60"/>
  <c r="F60"/>
  <c r="J60"/>
  <c r="E60"/>
  <c r="C59"/>
  <c r="F59"/>
  <c r="J59"/>
  <c r="E59"/>
  <c r="C58"/>
  <c r="F58"/>
  <c r="J58"/>
  <c r="E58"/>
  <c r="C57"/>
  <c r="F57"/>
  <c r="J57"/>
  <c r="E57"/>
  <c r="C56"/>
  <c r="F56"/>
  <c r="J56"/>
  <c r="E56"/>
  <c r="G88" i="70"/>
  <c r="G90" s="1"/>
  <c r="K88"/>
  <c r="K90" s="1"/>
  <c r="K68"/>
  <c r="K70" s="1"/>
  <c r="L103"/>
  <c r="L126" s="1"/>
  <c r="L128" s="1"/>
  <c r="B14"/>
  <c r="A13"/>
  <c r="F19" i="89"/>
  <c r="F23"/>
  <c r="E27"/>
  <c r="J43"/>
  <c r="J49"/>
  <c r="F53"/>
  <c r="E31"/>
  <c r="E37"/>
  <c r="E47"/>
  <c r="F51"/>
  <c r="F55"/>
  <c r="E17"/>
  <c r="E21"/>
  <c r="E25"/>
  <c r="E29"/>
  <c r="F52"/>
  <c r="F35"/>
  <c r="F41"/>
  <c r="F45"/>
  <c r="B94" i="70"/>
  <c r="A94" s="1"/>
  <c r="B74"/>
  <c r="A74" s="1"/>
  <c r="I125" i="84"/>
  <c r="K103" i="75"/>
  <c r="J30" i="89"/>
  <c r="J36"/>
  <c r="J38"/>
  <c r="J46"/>
  <c r="J26"/>
  <c r="J15"/>
  <c r="J35"/>
  <c r="J41"/>
  <c r="J45"/>
  <c r="J18"/>
  <c r="J32"/>
  <c r="J34"/>
  <c r="J40"/>
  <c r="J22"/>
  <c r="B22" i="87"/>
  <c r="B18"/>
  <c r="D18" s="1"/>
  <c r="A9"/>
  <c r="G17"/>
  <c r="E51" i="89"/>
  <c r="G18" i="87"/>
  <c r="G23"/>
  <c r="B21"/>
  <c r="D21" s="1"/>
  <c r="L75" i="70"/>
  <c r="L88" s="1"/>
  <c r="L90" s="1"/>
  <c r="E55" i="89"/>
  <c r="J14"/>
  <c r="J31"/>
  <c r="J37"/>
  <c r="F43"/>
  <c r="E53"/>
  <c r="E49"/>
  <c r="J53"/>
  <c r="F49"/>
  <c r="J51"/>
  <c r="F27"/>
  <c r="J24"/>
  <c r="E43"/>
  <c r="J55"/>
  <c r="J16"/>
  <c r="F31"/>
  <c r="E23"/>
  <c r="F37"/>
  <c r="E19"/>
  <c r="F17"/>
  <c r="E45"/>
  <c r="F25"/>
  <c r="J44"/>
  <c r="F21"/>
  <c r="F29"/>
  <c r="E41"/>
  <c r="E35"/>
  <c r="E24"/>
  <c r="F24"/>
  <c r="E15"/>
  <c r="F15"/>
  <c r="E50"/>
  <c r="J50"/>
  <c r="F50"/>
  <c r="E42"/>
  <c r="F42"/>
  <c r="E34"/>
  <c r="F34"/>
  <c r="E22"/>
  <c r="F22"/>
  <c r="E40"/>
  <c r="F40"/>
  <c r="E32"/>
  <c r="F32"/>
  <c r="E18"/>
  <c r="F18"/>
  <c r="J19"/>
  <c r="J23"/>
  <c r="J27"/>
  <c r="E16"/>
  <c r="F16"/>
  <c r="F47"/>
  <c r="J47"/>
  <c r="F14"/>
  <c r="E14"/>
  <c r="J54"/>
  <c r="F54"/>
  <c r="E54"/>
  <c r="E46"/>
  <c r="F46"/>
  <c r="E38"/>
  <c r="F38"/>
  <c r="E30"/>
  <c r="F30"/>
  <c r="E36"/>
  <c r="F36"/>
  <c r="E26"/>
  <c r="F26"/>
  <c r="J17"/>
  <c r="J21"/>
  <c r="J25"/>
  <c r="J29"/>
  <c r="J28"/>
  <c r="J42"/>
  <c r="E20"/>
  <c r="F20"/>
  <c r="F33"/>
  <c r="E33"/>
  <c r="J33"/>
  <c r="J20"/>
  <c r="E44"/>
  <c r="F44"/>
  <c r="E48"/>
  <c r="F48"/>
  <c r="J52"/>
  <c r="E52"/>
  <c r="B19" i="87"/>
  <c r="F21"/>
  <c r="D6"/>
  <c r="F28" s="1"/>
  <c r="F19"/>
  <c r="G7"/>
  <c r="G20"/>
  <c r="G22"/>
  <c r="G19"/>
  <c r="F23"/>
  <c r="H23" s="1"/>
  <c r="F20"/>
  <c r="F22"/>
  <c r="H22" s="1"/>
  <c r="F17"/>
  <c r="G8"/>
  <c r="B20"/>
  <c r="G21"/>
  <c r="F18"/>
  <c r="E28" i="89"/>
  <c r="F28"/>
  <c r="F39"/>
  <c r="E39"/>
  <c r="J39"/>
  <c r="B23" i="87"/>
  <c r="J48" i="89"/>
  <c r="A17" i="87"/>
  <c r="D17"/>
  <c r="H18" l="1"/>
  <c r="H17"/>
  <c r="H20"/>
  <c r="B15" i="70"/>
  <c r="A14"/>
  <c r="J69" i="89"/>
  <c r="H21" i="87"/>
  <c r="H19"/>
  <c r="B75" i="70"/>
  <c r="A75" s="1"/>
  <c r="B95"/>
  <c r="A95" s="1"/>
  <c r="D22" i="87"/>
  <c r="A18"/>
  <c r="A19" s="1"/>
  <c r="A20" s="1"/>
  <c r="A21" s="1"/>
  <c r="A22" s="1"/>
  <c r="A23" s="1"/>
  <c r="E63" i="89"/>
  <c r="D23" i="87"/>
  <c r="D20"/>
  <c r="D19"/>
  <c r="B16" i="70" l="1"/>
  <c r="A15"/>
  <c r="H24" i="87"/>
  <c r="B76" i="70"/>
  <c r="A76" s="1"/>
  <c r="B96"/>
  <c r="A96" s="1"/>
  <c r="A26" i="87"/>
  <c r="B17" i="70" l="1"/>
  <c r="A16"/>
  <c r="B97"/>
  <c r="A97" s="1"/>
  <c r="B77"/>
  <c r="A77" s="1"/>
  <c r="B18" l="1"/>
  <c r="A17"/>
  <c r="B78"/>
  <c r="B98"/>
  <c r="A98" s="1"/>
  <c r="A78" l="1"/>
  <c r="B79"/>
  <c r="B19"/>
  <c r="A18"/>
  <c r="B99"/>
  <c r="A99" s="1"/>
  <c r="A79" l="1"/>
  <c r="B80"/>
  <c r="B20"/>
  <c r="A19"/>
  <c r="B100"/>
  <c r="A80" l="1"/>
  <c r="B81"/>
  <c r="B82" s="1"/>
  <c r="A100"/>
  <c r="B101"/>
  <c r="B102" s="1"/>
  <c r="B21"/>
  <c r="A20"/>
  <c r="A101" l="1"/>
  <c r="A82"/>
  <c r="B83"/>
  <c r="A81"/>
  <c r="B103"/>
  <c r="A102"/>
  <c r="B22"/>
  <c r="A21"/>
  <c r="A83" l="1"/>
  <c r="B84"/>
  <c r="B104"/>
  <c r="A103"/>
  <c r="B23"/>
  <c r="A22"/>
  <c r="A84" l="1"/>
  <c r="B85"/>
  <c r="B105"/>
  <c r="B106" s="1"/>
  <c r="A104"/>
  <c r="B24"/>
  <c r="A23"/>
  <c r="A85" l="1"/>
  <c r="B86"/>
  <c r="A86" s="1"/>
  <c r="A106"/>
  <c r="B107"/>
  <c r="A105"/>
  <c r="B25"/>
  <c r="B26" s="1"/>
  <c r="A24"/>
  <c r="A107" l="1"/>
  <c r="B108"/>
  <c r="A26"/>
  <c r="B27"/>
  <c r="B28" s="1"/>
  <c r="B29" s="1"/>
  <c r="B30" s="1"/>
  <c r="B31" s="1"/>
  <c r="B32" s="1"/>
  <c r="B33" s="1"/>
  <c r="B34" s="1"/>
  <c r="B35" s="1"/>
  <c r="B36" s="1"/>
  <c r="B37" s="1"/>
  <c r="B38" s="1"/>
  <c r="B39" s="1"/>
  <c r="B40" s="1"/>
  <c r="B41" s="1"/>
  <c r="B42" s="1"/>
  <c r="B43" s="1"/>
  <c r="B44" s="1"/>
  <c r="B45" s="1"/>
  <c r="A25"/>
  <c r="A108" l="1"/>
  <c r="B109"/>
  <c r="B46"/>
  <c r="A27"/>
  <c r="A109" l="1"/>
  <c r="B110"/>
  <c r="B47"/>
  <c r="B48" s="1"/>
  <c r="B49" s="1"/>
  <c r="B50" s="1"/>
  <c r="B51" s="1"/>
  <c r="B52" s="1"/>
  <c r="B53" s="1"/>
  <c r="B54" s="1"/>
  <c r="B55" s="1"/>
  <c r="A46"/>
  <c r="A28"/>
  <c r="A110" l="1"/>
  <c r="B111"/>
  <c r="A55"/>
  <c r="B56"/>
  <c r="A29"/>
  <c r="A111" l="1"/>
  <c r="B112"/>
  <c r="A56"/>
  <c r="B57"/>
  <c r="A30"/>
  <c r="A112" l="1"/>
  <c r="B113"/>
  <c r="A57"/>
  <c r="B58"/>
  <c r="A31"/>
  <c r="A113" l="1"/>
  <c r="B114"/>
  <c r="A58"/>
  <c r="B59"/>
  <c r="A32"/>
  <c r="A114" l="1"/>
  <c r="B115"/>
  <c r="A59"/>
  <c r="B60"/>
  <c r="A33"/>
  <c r="A115" l="1"/>
  <c r="B116"/>
  <c r="A60"/>
  <c r="B61"/>
  <c r="A34"/>
  <c r="A116" l="1"/>
  <c r="B117"/>
  <c r="A61"/>
  <c r="A35"/>
  <c r="A117" l="1"/>
  <c r="B118"/>
  <c r="A36"/>
  <c r="A118" l="1"/>
  <c r="B119"/>
  <c r="A37"/>
  <c r="B120" l="1"/>
  <c r="A119"/>
  <c r="A38"/>
  <c r="A120" l="1"/>
  <c r="B121"/>
  <c r="A39"/>
  <c r="A121" l="1"/>
  <c r="B122"/>
  <c r="A40"/>
  <c r="A122" l="1"/>
  <c r="B123"/>
  <c r="A41"/>
  <c r="A123" l="1"/>
  <c r="B124"/>
  <c r="A42"/>
  <c r="A124" l="1"/>
  <c r="A43"/>
  <c r="A44" l="1"/>
  <c r="A45" l="1"/>
  <c r="A47" l="1"/>
  <c r="A48" l="1"/>
  <c r="A49" l="1"/>
  <c r="A50" l="1"/>
  <c r="A51" l="1"/>
  <c r="A52" l="1"/>
  <c r="A54" l="1"/>
  <c r="A53"/>
  <c r="F14" i="75" l="1"/>
  <c r="J14" s="1"/>
  <c r="J103" s="1"/>
  <c r="N859" i="88"/>
  <c r="L863"/>
  <c r="J33" i="70" l="1"/>
  <c r="J68" s="1"/>
  <c r="J70" s="1"/>
  <c r="H33"/>
  <c r="H14" i="75"/>
  <c r="L33" i="70" l="1"/>
  <c r="L68" s="1"/>
  <c r="L70" s="1"/>
  <c r="H68"/>
  <c r="H70" s="1"/>
  <c r="H103" i="75"/>
  <c r="L103" s="1"/>
  <c r="L14"/>
  <c r="L15" s="1"/>
  <c r="L16" s="1"/>
  <c r="L17" s="1"/>
  <c r="L18" s="1"/>
  <c r="L19" s="1"/>
  <c r="L20" s="1"/>
  <c r="L21" s="1"/>
  <c r="L22" s="1"/>
  <c r="L23" s="1"/>
  <c r="L24" s="1"/>
  <c r="L25" s="1"/>
  <c r="L26" s="1"/>
  <c r="L27" s="1"/>
  <c r="L28" s="1"/>
  <c r="L29" s="1"/>
  <c r="L30" s="1"/>
  <c r="L31" s="1"/>
  <c r="L32" s="1"/>
  <c r="L33" s="1"/>
  <c r="L34" s="1"/>
  <c r="L35" s="1"/>
  <c r="L36" s="1"/>
  <c r="L37" s="1"/>
  <c r="L38" s="1"/>
  <c r="L39" s="1"/>
  <c r="L40" s="1"/>
  <c r="L41" s="1"/>
  <c r="L42" s="1"/>
  <c r="L43" s="1"/>
  <c r="L44" s="1"/>
  <c r="L45" s="1"/>
  <c r="L46" s="1"/>
  <c r="L47" s="1"/>
  <c r="L48" s="1"/>
  <c r="L49" s="1"/>
  <c r="L50" s="1"/>
  <c r="L51" s="1"/>
  <c r="L52" s="1"/>
  <c r="L53" s="1"/>
  <c r="L54" s="1"/>
  <c r="L55" s="1"/>
  <c r="L56" s="1"/>
  <c r="L57" s="1"/>
  <c r="L58" s="1"/>
  <c r="L59" s="1"/>
  <c r="L60" s="1"/>
  <c r="L61" s="1"/>
  <c r="L62" s="1"/>
  <c r="L63" s="1"/>
  <c r="L64" s="1"/>
  <c r="L65" s="1"/>
  <c r="L66" s="1"/>
  <c r="L67" s="1"/>
  <c r="L68" s="1"/>
  <c r="L69" s="1"/>
  <c r="L70" s="1"/>
  <c r="L71" s="1"/>
  <c r="L72" s="1"/>
  <c r="L73" s="1"/>
  <c r="L74" s="1"/>
  <c r="L75" s="1"/>
  <c r="L76" s="1"/>
  <c r="L77" s="1"/>
  <c r="L78" s="1"/>
  <c r="L79" s="1"/>
  <c r="L80" s="1"/>
  <c r="L81" s="1"/>
  <c r="L82" s="1"/>
  <c r="L83" s="1"/>
  <c r="L84" s="1"/>
  <c r="M135" i="92" l="1"/>
  <c r="O135" s="1"/>
  <c r="M136"/>
  <c r="O136" s="1"/>
  <c r="M138"/>
  <c r="O138" s="1"/>
  <c r="L133"/>
  <c r="M134"/>
  <c r="O134" s="1"/>
  <c r="M137"/>
  <c r="O137" s="1"/>
  <c r="G133"/>
  <c r="M133" s="1"/>
  <c r="M139"/>
  <c r="O139" s="1"/>
  <c r="M141" l="1"/>
  <c r="O133"/>
</calcChain>
</file>

<file path=xl/sharedStrings.xml><?xml version="1.0" encoding="utf-8"?>
<sst xmlns="http://schemas.openxmlformats.org/spreadsheetml/2006/main" count="6137" uniqueCount="480">
  <si>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</si>
  <si>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</si>
  <si>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</si>
  <si>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</si>
  <si>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</si>
  <si>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</si>
  <si>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</si>
  <si>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</si>
  <si>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</si>
  <si>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</si>
  <si>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</si>
  <si>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</si>
  <si>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</si>
  <si>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</si>
  <si>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</si>
  <si>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</si>
  <si>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</si>
  <si>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</si>
  <si>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</si>
  <si>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</si>
  <si>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</si>
  <si>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</si>
  <si>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</si>
  <si>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</si>
  <si>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</si>
  <si>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</si>
  <si>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</si>
  <si>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</si>
  <si>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</si>
  <si>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</si>
  <si>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</si>
  <si>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</si>
  <si>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</si>
  <si>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</si>
  <si>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</si>
  <si>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</si>
  <si>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</si>
  <si>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</si>
  <si>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Đường</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</si>
  <si>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</si>
  <si>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</si>
  <si>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</si>
  <si>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</si>
  <si>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</si>
  <si>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</si>
  <si>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</si>
  <si>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</si>
  <si>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</si>
  <si>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</si>
  <si>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</si>
  <si>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</si>
  <si>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</si>
  <si>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</si>
  <si>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</si>
  <si>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</si>
  <si>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</si>
  <si>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</si>
  <si>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</si>
  <si>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</si>
  <si>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</si>
  <si>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</si>
  <si>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</si>
  <si>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</si>
  <si>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Tổng cộng VL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</si>
  <si>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</si>
  <si>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</si>
  <si>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</si>
  <si>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</si>
  <si>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</si>
  <si>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</si>
  <si>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</si>
  <si>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</si>
  <si>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</si>
  <si>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</si>
  <si>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</si>
  <si>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</si>
  <si>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</si>
  <si>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</si>
  <si>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</si>
  <si>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</si>
  <si>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</si>
  <si>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</si>
  <si>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</si>
  <si>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cái</t>
  </si>
  <si>
    <t>túi</t>
  </si>
  <si>
    <t>Đơn vị tính</t>
  </si>
  <si>
    <t xml:space="preserve"> - Đơn vị tính:</t>
  </si>
  <si>
    <t xml:space="preserve">Tên, quy cách nhãn hiệu, vật liệu, công cụ, dụng cụ (sản phẩm, hàng hóa): </t>
  </si>
  <si>
    <t>Đơn vị tính: đồng</t>
  </si>
  <si>
    <t>Ngày nhập xuất</t>
  </si>
  <si>
    <t>154</t>
  </si>
  <si>
    <t>TT</t>
  </si>
  <si>
    <t>632</t>
  </si>
  <si>
    <t>331</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</si>
  <si>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</si>
  <si>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</si>
  <si>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</si>
  <si>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</si>
  <si>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</si>
  <si>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</si>
  <si>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</si>
  <si>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</si>
  <si>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</si>
  <si>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</si>
  <si>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</si>
  <si>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</si>
  <si>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</si>
  <si>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</si>
  <si>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</si>
  <si>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</si>
  <si>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SX-TM Nghị Hòa</t>
  </si>
  <si>
    <t>Cty TNHH TM DV Bao Bì Giấy Tân Minh Thư</t>
  </si>
  <si>
    <t>Cty TNHH Tấn Dũng</t>
  </si>
  <si>
    <t>Cty TNHH Nhựa Duy Tân</t>
  </si>
  <si>
    <t>Cty TNHH Tân Hải Việt</t>
  </si>
  <si>
    <t>Tháng</t>
  </si>
  <si>
    <t>Mẫu số S10-DN</t>
  </si>
  <si>
    <t>(Ban hành theo Thông tư số 200/2014/TT-BTC Ngày 22/12/2014 của Bộ Tài chính)</t>
  </si>
  <si>
    <t>Mẫu số: S12 – DN</t>
  </si>
  <si>
    <t>DS-NL</t>
  </si>
  <si>
    <t>Bộ phận SX</t>
  </si>
  <si>
    <t>Nguyễn Văn Tha</t>
  </si>
  <si>
    <t>Nguyễn Thị Tuyết Đang</t>
  </si>
  <si>
    <t>Lê Thị Thiện Em</t>
  </si>
  <si>
    <t>Trần Văn An</t>
  </si>
  <si>
    <t>Nguyễn Thanh Bình</t>
  </si>
  <si>
    <t>Nguyễn Văn Hạnh</t>
  </si>
  <si>
    <t>Trương Quốc Tuấn</t>
  </si>
  <si>
    <t>Nguyễn Thị Kim Vân</t>
  </si>
  <si>
    <t>Lê Thị Kim Thanh</t>
  </si>
  <si>
    <t>Lê Thị Kim Liên</t>
  </si>
  <si>
    <t>Nguyễn Thị Mộng Tuyền</t>
  </si>
  <si>
    <t>Đỗ Thị Hoàng Mai</t>
  </si>
  <si>
    <t>Phạm Thị Chính</t>
  </si>
  <si>
    <t>Trần Thị Lang</t>
  </si>
  <si>
    <t>Lê Văn Thành</t>
  </si>
  <si>
    <t>Nguyễn Văn Lắm</t>
  </si>
  <si>
    <t>Võ Thị Bảy</t>
  </si>
  <si>
    <t>Nguyễn Thanh Vân</t>
  </si>
  <si>
    <t>Hồ Thị Mỹ</t>
  </si>
  <si>
    <t>Đỗ Văn Tâm</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</si>
  <si>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</si>
  <si>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</si>
  <si>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</si>
  <si>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</si>
  <si>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</si>
  <si>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</si>
  <si>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</si>
  <si>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</si>
  <si>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</si>
  <si>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</si>
  <si>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</si>
  <si>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</si>
  <si>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</si>
  <si>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</si>
  <si>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</si>
  <si>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</si>
  <si>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</si>
  <si>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</si>
  <si>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</si>
  <si>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</si>
  <si>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</si>
  <si>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</si>
  <si>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</si>
  <si>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</si>
  <si>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</si>
  <si>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</si>
  <si>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</si>
  <si>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</si>
  <si>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</si>
  <si>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</si>
  <si>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</si>
  <si>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</si>
  <si>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</si>
  <si>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</si>
  <si>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</si>
  <si>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</si>
  <si>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</si>
  <si>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</si>
  <si>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</si>
  <si>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</si>
  <si>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</si>
  <si>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</si>
  <si>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</si>
  <si>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</si>
  <si>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</si>
  <si>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</si>
  <si>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</si>
  <si>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</si>
  <si>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</si>
  <si>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</si>
  <si>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</si>
  <si>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</si>
  <si>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</si>
  <si>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</si>
  <si>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</si>
  <si>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</si>
  <si>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</si>
  <si>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</si>
  <si>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</si>
  <si>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</si>
  <si>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</si>
  <si>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</si>
  <si>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</si>
  <si>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</si>
  <si>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</si>
  <si>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 xml:space="preserve">Tên kho: </t>
  </si>
  <si>
    <t>Tài khoản: ....1521......</t>
  </si>
  <si>
    <t>Ký xác nhận</t>
  </si>
  <si>
    <t>CMND</t>
  </si>
  <si>
    <t>Địa Chỉ</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</si>
  <si>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</si>
  <si>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</si>
  <si>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</si>
  <si>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</si>
  <si>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</si>
  <si>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</si>
  <si>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</si>
  <si>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</si>
  <si>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</si>
  <si>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</si>
  <si>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</si>
  <si>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</si>
  <si>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</si>
  <si>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</si>
  <si>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</si>
  <si>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</si>
  <si>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</si>
  <si>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</si>
  <si>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</si>
  <si>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</si>
  <si>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</si>
  <si>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</si>
  <si>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</si>
  <si>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</si>
  <si>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</si>
  <si>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</si>
  <si>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</si>
  <si>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</si>
  <si>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CÔNG TY TNHH HẢI SẢN AN LẠC</t>
  </si>
  <si>
    <t>MẶT HÀNG</t>
  </si>
  <si>
    <t>ĐM</t>
  </si>
  <si>
    <t>SL NL</t>
  </si>
  <si>
    <t>ĐG</t>
  </si>
  <si>
    <t>CP NVL C</t>
  </si>
  <si>
    <t>CP NVL P</t>
  </si>
  <si>
    <t>CP CÔNG NHÂN</t>
  </si>
  <si>
    <t>CP NHIÊN LIỆU</t>
  </si>
  <si>
    <t>CP SXC</t>
  </si>
  <si>
    <t>CP BAO BÌ</t>
  </si>
  <si>
    <t>CP GC</t>
  </si>
  <si>
    <t>TỔNG CPSXC</t>
  </si>
  <si>
    <t>SL TP</t>
  </si>
  <si>
    <t>ĐƠN GIÁ</t>
  </si>
  <si>
    <t>CỘNG</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</si>
  <si>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</si>
  <si>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</si>
  <si>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</si>
  <si>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</si>
  <si>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</si>
  <si>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</si>
  <si>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</si>
  <si>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</si>
  <si>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</si>
  <si>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</si>
  <si>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</si>
  <si>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</si>
  <si>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</si>
  <si>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</si>
  <si>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</si>
  <si>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</si>
  <si>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</si>
  <si>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</si>
  <si>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</si>
  <si>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XVL</t>
  </si>
  <si>
    <t>Cá mai NL</t>
  </si>
  <si>
    <t>TỈNH</t>
  </si>
  <si>
    <t>Thùng carton 50x34x15.5</t>
  </si>
  <si>
    <t>Hộp ghẹ</t>
  </si>
  <si>
    <t>Thùng cá mai</t>
  </si>
  <si>
    <t>Thùng carton 32.5x26x13</t>
  </si>
  <si>
    <t>Thùng carton 47x37x15</t>
  </si>
  <si>
    <t>Thùng carton 48x32x16</t>
  </si>
  <si>
    <t>Thùng carton 48x32.5x15</t>
  </si>
  <si>
    <t>Thùng carton 50x30x14</t>
  </si>
  <si>
    <t>Thùng carton 50x30x17</t>
  </si>
  <si>
    <t>Thùng carton 50x30x19</t>
  </si>
  <si>
    <t>Thùng carton 56x30x32</t>
  </si>
  <si>
    <t>Thùng carton 56x36x22</t>
  </si>
  <si>
    <t>Thùng carton 56x36x32</t>
  </si>
  <si>
    <t>Thùng carton 37x26x26</t>
  </si>
  <si>
    <t>Thùng carton 48x32x13.5</t>
  </si>
  <si>
    <t>Cty TNHH TM Thành Long</t>
  </si>
  <si>
    <t>Cty TNHH SX Bao Bì Nam Việt</t>
  </si>
  <si>
    <t>Cá bống NL</t>
  </si>
  <si>
    <t>Tôm NL</t>
  </si>
  <si>
    <t>Mực fillet NL</t>
  </si>
  <si>
    <t>Cá đổng NL</t>
  </si>
  <si>
    <t>Đỗ Ngọc Trương</t>
  </si>
  <si>
    <t>Lê Thị Diễm</t>
  </si>
  <si>
    <t>Nguyễn Văn Hiền</t>
  </si>
  <si>
    <t>Trương Thị Nhớ</t>
  </si>
  <si>
    <t>Vương Hải Thạnh</t>
  </si>
  <si>
    <t>Đặng Thanh Phong</t>
  </si>
  <si>
    <t>N42</t>
  </si>
  <si>
    <t>N43</t>
  </si>
  <si>
    <t>N44</t>
  </si>
  <si>
    <t>Phan Quốc Việt</t>
  </si>
  <si>
    <t>Phạm Thị Bảy</t>
  </si>
  <si>
    <t>Tiêu Vĩnh Phát</t>
  </si>
  <si>
    <t>N46</t>
  </si>
  <si>
    <t>N47</t>
  </si>
  <si>
    <t>N48</t>
  </si>
  <si>
    <t>N49</t>
  </si>
  <si>
    <t>N50</t>
  </si>
  <si>
    <t>N51</t>
  </si>
  <si>
    <t>N45</t>
  </si>
  <si>
    <t>Trần Ngọc Quyên</t>
  </si>
  <si>
    <t>Nguyễn Văn Đức</t>
  </si>
  <si>
    <t>Nguyễn Văn Tư</t>
  </si>
  <si>
    <t>Cá bò tẩm</t>
  </si>
  <si>
    <t>Cá đổng tẩm</t>
  </si>
  <si>
    <t>hộp</t>
  </si>
  <si>
    <t>Tôm khô sấy 50gr</t>
  </si>
  <si>
    <t>Cá mai tẩm</t>
  </si>
  <si>
    <t>Cty CP CB XNK Thủy Sản Bà Rịa VT</t>
  </si>
  <si>
    <t>Cty TNHH DV XNK Hoàng Hải</t>
  </si>
  <si>
    <t>BIZMAX CO., LTD</t>
  </si>
  <si>
    <t>NAMGYUNG FOOD CO., LTD</t>
  </si>
  <si>
    <t>SNACK DEPOT, INC</t>
  </si>
  <si>
    <t>YIH YII CO., LTD</t>
  </si>
  <si>
    <t>YANBIAN</t>
  </si>
  <si>
    <t>Cá chỉ vàng tẩm TP</t>
  </si>
  <si>
    <t>Ngày  31  tháng   12  năm   2014</t>
  </si>
  <si>
    <t>Cá ngân</t>
  </si>
  <si>
    <t>Cá cơm</t>
  </si>
  <si>
    <t>Phí gia công</t>
  </si>
  <si>
    <t xml:space="preserve">Băng keo </t>
  </si>
  <si>
    <t xml:space="preserve">Bột ngọt </t>
  </si>
  <si>
    <t xml:space="preserve">Gas </t>
  </si>
  <si>
    <t xml:space="preserve">Muối </t>
  </si>
  <si>
    <t>Hũ ly nhỏ không nắp</t>
  </si>
  <si>
    <t>Hũ ly trung nắp trắng trong</t>
  </si>
  <si>
    <t>Nắp bằng P18g trắng trong</t>
  </si>
  <si>
    <t>Thùng carton 30x30x12</t>
  </si>
  <si>
    <t>Thùng carton 37x26x11</t>
  </si>
  <si>
    <t>Thùng carton 40x30x14.5</t>
  </si>
  <si>
    <t>Thùng carton 48x35.5x23</t>
  </si>
  <si>
    <t>Thùng carton 49.5x25x17</t>
  </si>
  <si>
    <t>Thùng carton 50x35x22</t>
  </si>
  <si>
    <t>Thùng carton 54x34x14</t>
  </si>
  <si>
    <t>Túi cá chỉ vàng 40g</t>
  </si>
  <si>
    <t>Túi cá chỉ vàng 90g</t>
  </si>
  <si>
    <t>Túi cá cơm 25g (0.06x115x165)</t>
  </si>
  <si>
    <t>Cá chỉ vàng B NL</t>
  </si>
  <si>
    <t>Cá đục NL</t>
  </si>
  <si>
    <t>Cá cơm  NL</t>
  </si>
  <si>
    <t>Cá Chai  NL</t>
  </si>
  <si>
    <t>Ghẹ</t>
  </si>
  <si>
    <t>Cá ngừ NL</t>
  </si>
  <si>
    <t>Cá trích NL</t>
  </si>
  <si>
    <t>Cá mắt kiếng NL</t>
  </si>
  <si>
    <t>Cá bống cắt 100gr</t>
  </si>
  <si>
    <t>Cá bống cắt 250gr</t>
  </si>
  <si>
    <t>Cá bống giòn 100gr</t>
  </si>
  <si>
    <t>Cá bống giòn 200gr</t>
  </si>
  <si>
    <t xml:space="preserve">Cá chỉ vàng </t>
  </si>
  <si>
    <t>Cá chỉ vàng B</t>
  </si>
  <si>
    <t>Cá chỉ vàng muối</t>
  </si>
  <si>
    <t>Cá chỉ vàng 100gr</t>
  </si>
  <si>
    <t>Cá chỉ vàng 200gr</t>
  </si>
  <si>
    <t>Cá chai tẩm</t>
  </si>
  <si>
    <t>Cá cơm muối</t>
  </si>
  <si>
    <t>Cá cơm 100gr</t>
  </si>
  <si>
    <t>Cá cơm 200gr</t>
  </si>
  <si>
    <t>Cá đù</t>
  </si>
  <si>
    <t>Cá đục tẩm TP</t>
  </si>
  <si>
    <t>Cá mai</t>
  </si>
  <si>
    <t>Cá mai 50gr</t>
  </si>
  <si>
    <t>Cá mai 150gr</t>
  </si>
  <si>
    <t>Cá mắt kiếng muối</t>
  </si>
  <si>
    <t>Cá ngân muối</t>
  </si>
  <si>
    <t>Cá trích</t>
  </si>
  <si>
    <t>Chà bông cá ngừ 100gr</t>
  </si>
  <si>
    <t>Chà bông cá ngừ 200gr</t>
  </si>
  <si>
    <t>Khô cá ngừ 100gr</t>
  </si>
  <si>
    <t>Tôm khô sấy 150gr</t>
  </si>
  <si>
    <t>Cty CP SX Ninh Phát</t>
  </si>
  <si>
    <t>DNTN Tân Hồng Thanh</t>
  </si>
  <si>
    <t>Cty CP Bao Bì Quang Minh</t>
  </si>
  <si>
    <t>Cty TNHH Toàn Thịnh Phát</t>
  </si>
  <si>
    <t>Cty CP Bao Bì Tín Thành</t>
  </si>
  <si>
    <t>Cty TNHH Bao Bì Nhựa Thành Phú</t>
  </si>
  <si>
    <t>Cty TNHH Hải Sản An Lạc - TP</t>
  </si>
  <si>
    <t>AFONIK</t>
  </si>
  <si>
    <t>APLOMB TECHNOLOGY CO., LTD</t>
  </si>
  <si>
    <t>BELOKEAPRODYKT</t>
  </si>
  <si>
    <t>HONG KONG TRADING</t>
  </si>
  <si>
    <t>JINTATSU FOODSTUFF CO., LTD</t>
  </si>
  <si>
    <t>LLC TRADE HOUSE FAVORIT</t>
  </si>
  <si>
    <t>NAMHAE JINMI FOOD CO</t>
  </si>
  <si>
    <t>SEJIN FOODS CO., LTD</t>
  </si>
  <si>
    <t>SHUNG FON CO., LTD</t>
  </si>
  <si>
    <t>THREE C</t>
  </si>
  <si>
    <t>TOKAI DENPUN CO., LTD</t>
  </si>
  <si>
    <t>UKRAINA</t>
  </si>
  <si>
    <t>WILL TRADE</t>
  </si>
  <si>
    <t>ESK - LTD , LTD</t>
  </si>
  <si>
    <t>Lâm Thị Loan</t>
  </si>
  <si>
    <t>Lê Hoàng Long</t>
  </si>
  <si>
    <t>Lê Thị Diệu</t>
  </si>
  <si>
    <t>Ngô Văn Vàng</t>
  </si>
  <si>
    <t>Nguyễn Hành</t>
  </si>
  <si>
    <t>Nguyễn Đức Tiến</t>
  </si>
  <si>
    <t>Nguyễn Thanh Hải</t>
  </si>
  <si>
    <t>Nguyễn Thanh Hoàng</t>
  </si>
  <si>
    <t>Nguyễn Thanh Vinh</t>
  </si>
  <si>
    <t>Nguyễn Thành Phong</t>
  </si>
  <si>
    <t>Nguyễn Thị Hội</t>
  </si>
  <si>
    <t>Nguyễn Thị Hồng Hoa</t>
  </si>
  <si>
    <t>Nguyễn Thị Hồng Tơ</t>
  </si>
  <si>
    <t>Nguyễn Thị Kiều Oanh</t>
  </si>
  <si>
    <t>Nguyễn Thị Loan</t>
  </si>
  <si>
    <t>Nguyễn Văn Nhân</t>
  </si>
  <si>
    <t>Đỗ Tư</t>
  </si>
  <si>
    <t>Phạm Thị Ngọc</t>
  </si>
  <si>
    <t>Quang Minh</t>
  </si>
  <si>
    <t>Trần Thị Nê</t>
  </si>
  <si>
    <t>Trương Thị Mỉm</t>
  </si>
  <si>
    <t>Võ Văn Bá</t>
  </si>
  <si>
    <t>Võ Văn Thắng</t>
  </si>
  <si>
    <t>Cơ Sở Muối Tân Thành</t>
  </si>
  <si>
    <t>X18</t>
  </si>
  <si>
    <t>X13</t>
  </si>
  <si>
    <t>X15</t>
  </si>
  <si>
    <t>X16</t>
  </si>
  <si>
    <t>X17</t>
  </si>
  <si>
    <t>N57</t>
  </si>
  <si>
    <t>N58</t>
  </si>
  <si>
    <t>X14</t>
  </si>
  <si>
    <t>Lương Âm</t>
  </si>
  <si>
    <t>Trần Thị lang</t>
  </si>
  <si>
    <t>N52</t>
  </si>
  <si>
    <t>N53</t>
  </si>
  <si>
    <t>N54</t>
  </si>
  <si>
    <t>N55</t>
  </si>
  <si>
    <t>N56</t>
  </si>
  <si>
    <t>Xí Nghiệp Chế Biến Thủy Sản Xuất Khẩu V</t>
  </si>
  <si>
    <t>L WILLTRADE</t>
  </si>
  <si>
    <t>L NAMGYUNG FOOD CO., LTD</t>
  </si>
  <si>
    <t>L BIZMAX CO., LTD</t>
  </si>
  <si>
    <t>L JINTATSU FOODSTUFF CO., LTD</t>
  </si>
  <si>
    <t>L TOKAI DENPUN CO., LTD</t>
  </si>
  <si>
    <t>L LC TRADE HOUSE FAVORIT</t>
  </si>
  <si>
    <t>L SEJIN FOODS CO.,LTD</t>
  </si>
  <si>
    <t>L NAMHAE JINMI FOOD CO</t>
  </si>
  <si>
    <t>L APLOMB TECHNOLOGY CO., LTD</t>
  </si>
  <si>
    <t>Cty CP CB XNK Thuỷ sản Bà Rịa Vũng Tàu</t>
  </si>
  <si>
    <t>L YIH YII CO., LTD</t>
  </si>
  <si>
    <t>L SNACK DEPOT, INC</t>
  </si>
  <si>
    <t>Cty TNHH Hải sản An Lạc - N</t>
  </si>
  <si>
    <t>L UKRAINA</t>
  </si>
  <si>
    <t>155</t>
  </si>
  <si>
    <t>lố</t>
  </si>
  <si>
    <t>Văn</t>
  </si>
  <si>
    <t>BẢNG TÍNH GIÁ THÀNH SẢN PHẨM T01/2013</t>
  </si>
  <si>
    <t>BẢNG TÍNH GIÁ THÀNH SẢN PHẨM T02/2013</t>
  </si>
  <si>
    <t>BẢNG TÍNH GIÁ THÀNH SẢN PHẨM T03/2013</t>
  </si>
  <si>
    <t>BẢNG TÍNH GIÁ THÀNH SẢN PHẨM T04/2013</t>
  </si>
  <si>
    <t>BẢNG TÍNH GIÁ THÀNH SẢN PHẨM T05/2013</t>
  </si>
  <si>
    <t>BẢNG TÍNH GIÁ THÀNH SẢN PHẨM T06/2013</t>
  </si>
  <si>
    <t>BẢNG TÍNH GIÁ THÀNH SẢN PHẨM T07/2013</t>
  </si>
  <si>
    <t>BẢNG TÍNH GIÁ THÀNH SẢN PHẨM T08/2013</t>
  </si>
  <si>
    <t>BẢNG TÍNH GIÁ THÀNH SẢN PHẨM T09/2013</t>
  </si>
  <si>
    <t>BẢNG TÍNH GIÁ THÀNH SẢN PHẨM T10/2013</t>
  </si>
  <si>
    <t>BẢNG TÍNH GIÁ THÀNH SẢN PHẨM T11/2013</t>
  </si>
  <si>
    <t>BẢNG TÍNH GIÁ THÀNH SẢN PHẨM T12/2013</t>
  </si>
  <si>
    <t>Cá chỉ vàng tẩm</t>
  </si>
  <si>
    <t>Cá chỉ vàng</t>
  </si>
  <si>
    <t>Cá đục tẩm</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</si>
</sst>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69">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sz val="22"/>
      <color indexed="9"/>
      <name val="Times New Roman"/>
      <family val="1"/>
    </font>
    <font>
      <sz val="10"/>
      <color indexed="9"/>
      <name val="Times New Roman"/>
      <family val="1"/>
    </font>
    <font>
      <b/>
      <sz val="10"/>
      <color indexed="63"/>
      <name val="Times New Roman"/>
      <family val="1"/>
    </font>
    <font>
      <b/>
      <sz val="10"/>
      <color indexed="9"/>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sz val="11"/>
      <color indexed="8"/>
      <name val="Times New Roman"/>
      <family val="1"/>
    </font>
    <font>
      <sz val="11"/>
      <color rgb="FF0000FF"/>
      <name val="Times New Roman"/>
      <family val="1"/>
    </font>
    <font>
      <sz val="11"/>
      <color indexed="12"/>
      <name val="Times New Roman"/>
      <family val="1"/>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1" fillId="0" borderId="0"/>
    <xf numFmtId="0" fontId="1" fillId="0" borderId="0"/>
  </cellStyleXfs>
  <cellXfs count="579">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5" fillId="0" borderId="27" xfId="0" applyFont="1" applyBorder="1" applyAlignment="1">
      <alignment vertical="center"/>
    </xf>
    <xf numFmtId="0" fontId="35" fillId="0" borderId="26" xfId="0" applyFont="1" applyBorder="1" applyAlignment="1">
      <alignment vertical="center"/>
    </xf>
    <xf numFmtId="0" fontId="39" fillId="0" borderId="0" xfId="59" applyFont="1" applyAlignment="1">
      <alignment vertical="center"/>
    </xf>
    <xf numFmtId="0" fontId="46" fillId="0" borderId="0" xfId="0" applyFont="1" applyAlignment="1">
      <alignment vertical="center"/>
    </xf>
    <xf numFmtId="0" fontId="47" fillId="0" borderId="0" xfId="0" applyFont="1" applyAlignment="1">
      <alignment vertical="center"/>
    </xf>
    <xf numFmtId="0" fontId="47" fillId="0" borderId="0" xfId="0" applyFont="1" applyAlignment="1">
      <alignment horizontal="center" vertical="center"/>
    </xf>
    <xf numFmtId="164" fontId="47" fillId="0" borderId="0" xfId="29" applyNumberFormat="1" applyFont="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8" fillId="25" borderId="0" xfId="53" applyFont="1" applyFill="1" applyAlignment="1">
      <alignment vertical="center"/>
    </xf>
    <xf numFmtId="0" fontId="48" fillId="25" borderId="0" xfId="53" applyFont="1" applyFill="1" applyAlignment="1">
      <alignment horizontal="left" vertical="center"/>
    </xf>
    <xf numFmtId="164" fontId="49" fillId="0" borderId="0" xfId="57" applyNumberFormat="1" applyFont="1" applyAlignment="1">
      <alignment horizontal="center" vertical="center" wrapText="1"/>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32" fillId="0" borderId="19" xfId="55" quotePrefix="1" applyFont="1" applyBorder="1" applyAlignment="1">
      <alignment horizontal="center" vertical="center"/>
    </xf>
    <xf numFmtId="0" fontId="41" fillId="0" borderId="0" xfId="0" applyFont="1" applyAlignment="1">
      <alignment vertical="center"/>
    </xf>
    <xf numFmtId="164" fontId="32" fillId="0" borderId="0" xfId="56" applyNumberFormat="1" applyFont="1"/>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54" fillId="0" borderId="0" xfId="54" applyFont="1" applyAlignment="1">
      <alignment vertical="center"/>
    </xf>
    <xf numFmtId="0" fontId="54" fillId="0" borderId="0" xfId="54" applyFont="1" applyBorder="1" applyAlignment="1">
      <alignment vertical="center"/>
    </xf>
    <xf numFmtId="14" fontId="54" fillId="0" borderId="0" xfId="54" applyNumberFormat="1" applyFont="1" applyAlignment="1">
      <alignment vertical="center"/>
    </xf>
    <xf numFmtId="0" fontId="56" fillId="0" borderId="0" xfId="54" applyFont="1" applyAlignment="1">
      <alignment vertical="center"/>
    </xf>
    <xf numFmtId="164" fontId="54"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4" fillId="0" borderId="0" xfId="54" applyFont="1" applyBorder="1" applyAlignment="1">
      <alignment horizontal="center" vertical="center"/>
    </xf>
    <xf numFmtId="0" fontId="54" fillId="0" borderId="31" xfId="54" applyFont="1" applyBorder="1" applyAlignment="1">
      <alignment vertical="center"/>
    </xf>
    <xf numFmtId="164" fontId="32" fillId="0" borderId="19" xfId="29" applyNumberFormat="1" applyFont="1" applyBorder="1" applyAlignment="1">
      <alignment vertical="center"/>
    </xf>
    <xf numFmtId="164" fontId="57" fillId="0" borderId="0" xfId="29" applyNumberFormat="1" applyFont="1" applyAlignment="1">
      <alignment vertical="center"/>
    </xf>
    <xf numFmtId="164" fontId="54"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7" fillId="0" borderId="0" xfId="54" applyFont="1" applyAlignment="1">
      <alignment horizontal="center" vertical="center"/>
    </xf>
    <xf numFmtId="164" fontId="57" fillId="0" borderId="0" xfId="29" applyNumberFormat="1" applyFont="1" applyAlignment="1">
      <alignment horizontal="center" vertical="center"/>
    </xf>
    <xf numFmtId="0" fontId="58" fillId="0" borderId="0" xfId="54" applyFont="1" applyAlignment="1">
      <alignment horizontal="center" vertical="center"/>
    </xf>
    <xf numFmtId="43" fontId="54" fillId="0" borderId="0" xfId="29" applyFont="1" applyAlignment="1">
      <alignment vertical="center"/>
    </xf>
    <xf numFmtId="164" fontId="58" fillId="0" borderId="0" xfId="29" applyNumberFormat="1" applyFont="1" applyAlignment="1">
      <alignment horizontal="center" vertical="center"/>
    </xf>
    <xf numFmtId="172" fontId="54" fillId="0" borderId="0" xfId="54" applyNumberFormat="1" applyFont="1" applyAlignment="1">
      <alignment horizontal="center" vertical="center"/>
    </xf>
    <xf numFmtId="43" fontId="54" fillId="0" borderId="0" xfId="29" applyFont="1" applyAlignment="1">
      <alignment horizontal="center" vertical="center"/>
    </xf>
    <xf numFmtId="14" fontId="57"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9"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32" fillId="0" borderId="0" xfId="56" applyFont="1" applyAlignment="1" applyProtection="1">
      <alignment horizontal="center"/>
      <protection hidden="1"/>
    </xf>
    <xf numFmtId="0" fontId="35" fillId="0" borderId="0" xfId="77" applyFont="1"/>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2" fillId="0" borderId="19" xfId="29" applyNumberFormat="1" applyFont="1" applyBorder="1"/>
    <xf numFmtId="164" fontId="35" fillId="0" borderId="19" xfId="29" applyNumberFormat="1" applyFont="1" applyBorder="1"/>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2"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3" fillId="0" borderId="22" xfId="77" applyFont="1" applyFill="1" applyBorder="1"/>
    <xf numFmtId="173" fontId="63" fillId="0" borderId="22" xfId="29" applyNumberFormat="1" applyFont="1" applyBorder="1"/>
    <xf numFmtId="164" fontId="63" fillId="0" borderId="22" xfId="29" applyNumberFormat="1" applyFont="1" applyFill="1" applyBorder="1"/>
    <xf numFmtId="164" fontId="63" fillId="25" borderId="22" xfId="29" applyNumberFormat="1" applyFont="1" applyFill="1" applyBorder="1" applyAlignment="1">
      <alignment horizontal="right"/>
    </xf>
    <xf numFmtId="164" fontId="35" fillId="0" borderId="18" xfId="29" applyNumberFormat="1" applyFont="1" applyBorder="1"/>
    <xf numFmtId="164" fontId="63" fillId="0" borderId="22" xfId="29" applyNumberFormat="1" applyFont="1" applyBorder="1" applyAlignment="1"/>
    <xf numFmtId="164" fontId="63" fillId="0" borderId="20" xfId="29" applyNumberFormat="1" applyFont="1" applyBorder="1"/>
    <xf numFmtId="43" fontId="63" fillId="0" borderId="22" xfId="29" applyFont="1" applyFill="1" applyBorder="1"/>
    <xf numFmtId="0" fontId="63"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xf numFmtId="164" fontId="35" fillId="0" borderId="0" xfId="29" applyNumberFormat="1" applyFont="1" applyFill="1" applyBorder="1"/>
    <xf numFmtId="164" fontId="35" fillId="0" borderId="0" xfId="77" applyNumberFormat="1" applyFont="1"/>
    <xf numFmtId="14" fontId="35" fillId="0" borderId="0" xfId="77" applyNumberFormat="1" applyFont="1" applyBorder="1"/>
    <xf numFmtId="49" fontId="35" fillId="0" borderId="0" xfId="77" applyNumberFormat="1" applyFont="1" applyBorder="1"/>
    <xf numFmtId="3" fontId="35" fillId="0" borderId="0" xfId="77" applyNumberFormat="1" applyFont="1" applyBorder="1"/>
    <xf numFmtId="9" fontId="35" fillId="0" borderId="0" xfId="77" applyNumberFormat="1" applyFont="1" applyBorder="1"/>
    <xf numFmtId="0" fontId="35" fillId="0" borderId="0" xfId="78" applyFont="1" applyBorder="1" applyAlignment="1">
      <alignment vertical="center"/>
    </xf>
    <xf numFmtId="164" fontId="35" fillId="0" borderId="0" xfId="29" applyNumberFormat="1" applyFont="1" applyBorder="1"/>
    <xf numFmtId="0" fontId="63" fillId="0" borderId="20" xfId="77" applyFont="1" applyFill="1" applyBorder="1"/>
    <xf numFmtId="173" fontId="63" fillId="0" borderId="20" xfId="29" applyNumberFormat="1" applyFont="1" applyBorder="1"/>
    <xf numFmtId="164" fontId="63" fillId="0" borderId="20" xfId="29" applyNumberFormat="1" applyFont="1" applyFill="1" applyBorder="1"/>
    <xf numFmtId="164" fontId="63"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3" fillId="0" borderId="20" xfId="29" applyFont="1" applyFill="1" applyBorder="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3" fillId="0" borderId="22" xfId="29" applyNumberFormat="1"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64" fontId="35" fillId="0" borderId="19" xfId="29" applyNumberFormat="1" applyFont="1" applyBorder="1" applyAlignment="1"/>
    <xf numFmtId="0" fontId="35" fillId="0" borderId="19" xfId="77" applyFont="1" applyFill="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50" fillId="0" borderId="0" xfId="29" applyNumberFormat="1" applyFont="1"/>
    <xf numFmtId="41" fontId="50"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4" fillId="0" borderId="0" xfId="57" applyNumberFormat="1" applyFont="1" applyAlignment="1">
      <alignment horizontal="center" vertical="center"/>
    </xf>
    <xf numFmtId="0" fontId="35" fillId="0" borderId="12" xfId="56" applyFont="1" applyBorder="1"/>
    <xf numFmtId="0" fontId="35" fillId="0" borderId="18" xfId="56" applyFont="1" applyBorder="1"/>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5" fillId="0" borderId="18" xfId="0" applyFont="1" applyFill="1" applyBorder="1" applyAlignment="1">
      <alignment vertical="center"/>
    </xf>
    <xf numFmtId="0" fontId="65" fillId="0" borderId="18" xfId="0" applyFont="1" applyFill="1" applyBorder="1" applyAlignment="1">
      <alignment horizontal="center" vertical="center"/>
    </xf>
    <xf numFmtId="164" fontId="65" fillId="0" borderId="18" xfId="29" applyNumberFormat="1" applyFont="1" applyFill="1" applyBorder="1" applyAlignment="1">
      <alignment vertical="center"/>
    </xf>
    <xf numFmtId="164" fontId="65" fillId="0" borderId="19" xfId="29" applyNumberFormat="1" applyFont="1" applyFill="1" applyBorder="1" applyAlignment="1">
      <alignment vertical="center"/>
    </xf>
    <xf numFmtId="0" fontId="60" fillId="0" borderId="18" xfId="0" applyFont="1" applyBorder="1" applyAlignment="1">
      <alignment vertical="center"/>
    </xf>
    <xf numFmtId="164" fontId="60" fillId="0" borderId="18" xfId="29" applyNumberFormat="1" applyFont="1" applyBorder="1" applyAlignment="1">
      <alignment vertical="center"/>
    </xf>
    <xf numFmtId="164" fontId="60" fillId="0" borderId="19" xfId="29" applyNumberFormat="1" applyFont="1" applyBorder="1" applyAlignment="1">
      <alignment vertical="center"/>
    </xf>
    <xf numFmtId="3" fontId="60" fillId="0" borderId="18" xfId="0" applyNumberFormat="1" applyFont="1" applyBorder="1" applyAlignment="1">
      <alignment vertical="center"/>
    </xf>
    <xf numFmtId="3" fontId="35" fillId="0" borderId="18" xfId="0" applyNumberFormat="1" applyFont="1" applyFill="1" applyBorder="1" applyAlignment="1">
      <alignment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22" xfId="29" applyNumberFormat="1" applyFont="1" applyFill="1" applyBorder="1"/>
    <xf numFmtId="0" fontId="32" fillId="0" borderId="2" xfId="56" applyFont="1" applyBorder="1" applyAlignment="1">
      <alignment horizontal="center" vertical="center"/>
    </xf>
    <xf numFmtId="0" fontId="32" fillId="0" borderId="17" xfId="56" applyFont="1" applyBorder="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64" fontId="35" fillId="0" borderId="0" xfId="29" applyNumberFormat="1" applyFont="1" applyBorder="1" applyAlignment="1">
      <alignment horizontal="center"/>
    </xf>
    <xf numFmtId="0" fontId="35" fillId="0" borderId="22" xfId="0" applyFont="1" applyBorder="1" applyAlignment="1">
      <alignment vertical="center"/>
    </xf>
    <xf numFmtId="43" fontId="32" fillId="0" borderId="0" xfId="56" applyNumberFormat="1" applyFont="1"/>
    <xf numFmtId="0" fontId="35" fillId="21" borderId="28" xfId="0" applyFont="1" applyFill="1" applyBorder="1" applyAlignment="1">
      <alignment vertical="center"/>
    </xf>
    <xf numFmtId="0" fontId="35" fillId="21" borderId="28" xfId="0" applyFont="1" applyFill="1" applyBorder="1" applyAlignment="1">
      <alignment horizontal="center" vertical="center"/>
    </xf>
    <xf numFmtId="164" fontId="35" fillId="21" borderId="28" xfId="29" applyNumberFormat="1" applyFont="1" applyFill="1" applyBorder="1" applyAlignment="1">
      <alignment vertical="center"/>
    </xf>
    <xf numFmtId="0" fontId="32" fillId="0" borderId="18" xfId="0" applyFont="1" applyBorder="1"/>
    <xf numFmtId="0" fontId="66" fillId="0" borderId="18" xfId="0" applyFont="1" applyBorder="1" applyAlignment="1">
      <alignment vertical="center" wrapText="1"/>
    </xf>
    <xf numFmtId="164" fontId="40" fillId="0" borderId="0" xfId="29" applyNumberFormat="1" applyFont="1" applyBorder="1" applyAlignment="1">
      <alignment horizontal="center" vertical="center" wrapText="1"/>
    </xf>
    <xf numFmtId="165" fontId="35" fillId="0" borderId="19" xfId="29" applyNumberFormat="1" applyFont="1" applyFill="1" applyBorder="1"/>
    <xf numFmtId="43" fontId="35" fillId="0" borderId="0" xfId="29" applyFont="1" applyFill="1" applyBorder="1"/>
    <xf numFmtId="164" fontId="35" fillId="0" borderId="12" xfId="29" applyNumberFormat="1" applyFont="1" applyBorder="1" applyAlignment="1"/>
    <xf numFmtId="0" fontId="35" fillId="0" borderId="12" xfId="77" applyFont="1" applyBorder="1"/>
    <xf numFmtId="165" fontId="35" fillId="0" borderId="18" xfId="29" applyNumberFormat="1" applyFont="1" applyFill="1" applyBorder="1"/>
    <xf numFmtId="164" fontId="35" fillId="0" borderId="18" xfId="29" applyNumberFormat="1" applyFont="1" applyBorder="1" applyAlignment="1"/>
    <xf numFmtId="164" fontId="35" fillId="0" borderId="20" xfId="29" applyNumberFormat="1" applyFont="1" applyBorder="1" applyAlignment="1">
      <alignment horizontal="left"/>
    </xf>
    <xf numFmtId="164" fontId="35" fillId="0" borderId="20" xfId="29" applyNumberFormat="1" applyFont="1" applyBorder="1" applyAlignment="1"/>
    <xf numFmtId="0" fontId="63" fillId="0" borderId="22" xfId="77" applyFont="1" applyBorder="1"/>
    <xf numFmtId="164" fontId="63" fillId="0" borderId="0" xfId="29" applyNumberFormat="1" applyFont="1" applyFill="1" applyBorder="1"/>
    <xf numFmtId="3" fontId="35" fillId="0" borderId="18" xfId="77" applyNumberFormat="1" applyFont="1" applyBorder="1"/>
    <xf numFmtId="3" fontId="35" fillId="0" borderId="19" xfId="77" applyNumberFormat="1" applyFont="1" applyBorder="1"/>
    <xf numFmtId="164" fontId="35" fillId="0" borderId="21" xfId="29" applyNumberFormat="1" applyFont="1" applyBorder="1"/>
    <xf numFmtId="0" fontId="63" fillId="0" borderId="20" xfId="77" applyFont="1" applyBorder="1"/>
    <xf numFmtId="164" fontId="63" fillId="0" borderId="20" xfId="29" applyNumberFormat="1" applyFont="1" applyBorder="1" applyAlignment="1"/>
    <xf numFmtId="164" fontId="35" fillId="0" borderId="22" xfId="29" applyNumberFormat="1" applyFont="1" applyBorder="1"/>
    <xf numFmtId="0" fontId="35" fillId="0" borderId="12" xfId="77" applyFont="1" applyFill="1" applyBorder="1"/>
    <xf numFmtId="43" fontId="62" fillId="0" borderId="12" xfId="29" applyNumberFormat="1" applyFont="1" applyBorder="1"/>
    <xf numFmtId="164" fontId="35" fillId="0" borderId="12" xfId="29" applyNumberFormat="1" applyFont="1" applyFill="1" applyBorder="1"/>
    <xf numFmtId="164" fontId="35" fillId="0" borderId="12" xfId="29" applyNumberFormat="1" applyFont="1" applyBorder="1"/>
    <xf numFmtId="164" fontId="35" fillId="0" borderId="0" xfId="77" applyNumberFormat="1" applyFont="1" applyBorder="1"/>
    <xf numFmtId="43" fontId="35" fillId="0" borderId="0" xfId="77" applyNumberFormat="1" applyFont="1" applyBorder="1"/>
    <xf numFmtId="164" fontId="41" fillId="0" borderId="18" xfId="57" applyNumberFormat="1" applyFont="1" applyFill="1" applyBorder="1" applyAlignment="1">
      <alignment horizontal="left" vertical="center"/>
    </xf>
    <xf numFmtId="164" fontId="41" fillId="0" borderId="21" xfId="57" applyNumberFormat="1" applyFont="1" applyFill="1" applyBorder="1" applyAlignment="1">
      <alignment horizontal="left" vertical="center"/>
    </xf>
    <xf numFmtId="43" fontId="62" fillId="0" borderId="21" xfId="29" applyNumberFormat="1" applyFont="1" applyBorder="1"/>
    <xf numFmtId="164" fontId="41" fillId="0" borderId="0" xfId="29" applyNumberFormat="1" applyFont="1" applyFill="1" applyBorder="1" applyAlignment="1">
      <alignment vertical="center"/>
    </xf>
    <xf numFmtId="164" fontId="35" fillId="0" borderId="2" xfId="29" applyNumberFormat="1" applyFont="1" applyBorder="1" applyAlignment="1">
      <alignment horizontal="center"/>
    </xf>
    <xf numFmtId="164" fontId="40" fillId="0" borderId="0" xfId="29" applyNumberFormat="1" applyFont="1" applyBorder="1" applyAlignment="1">
      <alignment horizontal="center"/>
    </xf>
    <xf numFmtId="164" fontId="35" fillId="0" borderId="0" xfId="29" applyNumberFormat="1" applyFont="1" applyBorder="1" applyAlignment="1">
      <alignment horizontal="center"/>
    </xf>
    <xf numFmtId="0" fontId="32" fillId="0" borderId="21" xfId="0" applyFont="1" applyBorder="1" applyAlignment="1">
      <alignment vertical="center"/>
    </xf>
    <xf numFmtId="0" fontId="32" fillId="0" borderId="18" xfId="0" applyFont="1" applyBorder="1" applyAlignment="1">
      <alignment vertical="center"/>
    </xf>
    <xf numFmtId="0" fontId="65" fillId="0" borderId="21" xfId="0" applyFont="1" applyFill="1" applyBorder="1" applyAlignment="1">
      <alignment vertical="center"/>
    </xf>
    <xf numFmtId="0" fontId="65" fillId="0" borderId="21" xfId="0" applyFont="1" applyFill="1" applyBorder="1" applyAlignment="1">
      <alignment horizontal="center" vertical="center"/>
    </xf>
    <xf numFmtId="164" fontId="65" fillId="0" borderId="21" xfId="29" applyNumberFormat="1" applyFont="1" applyFill="1" applyBorder="1" applyAlignment="1">
      <alignment vertical="center"/>
    </xf>
    <xf numFmtId="0" fontId="35" fillId="0" borderId="47" xfId="0" applyFont="1" applyBorder="1" applyAlignment="1">
      <alignment vertical="center"/>
    </xf>
    <xf numFmtId="0" fontId="35" fillId="0" borderId="44" xfId="0" applyFont="1" applyBorder="1" applyAlignment="1">
      <alignment vertical="center"/>
    </xf>
    <xf numFmtId="3" fontId="67" fillId="0" borderId="0" xfId="46" applyFont="1" applyBorder="1" applyAlignment="1">
      <alignment vertical="center"/>
    </xf>
    <xf numFmtId="3" fontId="68" fillId="0" borderId="0" xfId="46" applyFont="1" applyBorder="1" applyAlignment="1">
      <alignment vertical="center"/>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5" fillId="21" borderId="2" xfId="0" applyFont="1" applyFill="1" applyBorder="1" applyAlignment="1">
      <alignment horizontal="center" vertical="center"/>
    </xf>
    <xf numFmtId="164" fontId="35" fillId="21" borderId="2" xfId="29" applyNumberFormat="1"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left"/>
    </xf>
    <xf numFmtId="0" fontId="32" fillId="0" borderId="35" xfId="56" applyFont="1" applyBorder="1" applyAlignment="1">
      <alignment horizontal="center"/>
    </xf>
    <xf numFmtId="0" fontId="32" fillId="0" borderId="17" xfId="56" applyFont="1" applyBorder="1" applyAlignment="1">
      <alignment horizont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50" fillId="0" borderId="0" xfId="56" applyFont="1" applyAlignment="1">
      <alignment horizontal="center" vertical="center"/>
    </xf>
    <xf numFmtId="0" fontId="35" fillId="0" borderId="0" xfId="56" applyFont="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4" fillId="0" borderId="0" xfId="54" applyFont="1" applyAlignment="1">
      <alignment horizontal="center" vertical="center"/>
    </xf>
    <xf numFmtId="0" fontId="54" fillId="0" borderId="0" xfId="54" applyFont="1" applyAlignment="1">
      <alignment horizontal="left" vertical="center" wrapText="1"/>
    </xf>
    <xf numFmtId="0" fontId="54"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5"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40" fillId="0" borderId="0" xfId="29" applyNumberFormat="1" applyFont="1" applyBorder="1" applyAlignment="1">
      <alignment horizontal="center"/>
    </xf>
    <xf numFmtId="164" fontId="35" fillId="0" borderId="35" xfId="29" applyNumberFormat="1" applyFont="1" applyBorder="1" applyAlignment="1">
      <alignment horizontal="center"/>
    </xf>
    <xf numFmtId="164" fontId="35" fillId="0" borderId="5" xfId="29" applyNumberFormat="1" applyFont="1" applyBorder="1" applyAlignment="1">
      <alignment horizontal="center"/>
    </xf>
    <xf numFmtId="164" fontId="35" fillId="0" borderId="17" xfId="29" applyNumberFormat="1" applyFont="1" applyBorder="1" applyAlignment="1">
      <alignment horizontal="center"/>
    </xf>
    <xf numFmtId="164" fontId="35" fillId="0" borderId="2" xfId="29" applyNumberFormat="1" applyFont="1" applyBorder="1" applyAlignment="1">
      <alignment horizontal="center"/>
    </xf>
    <xf numFmtId="164" fontId="35" fillId="0" borderId="0"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50"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xf numFmtId="3" fontId="35" fillId="0" borderId="18" xfId="0" applyNumberFormat="1" applyFont="1" applyBorder="1"/>
    <xf numFmtId="14" fontId="40" fillId="0" borderId="2" xfId="29" applyNumberFormat="1" applyFont="1" applyBorder="1" applyAlignment="1">
      <alignment horizontal="center" vertical="center" wrapText="1"/>
    </xf>
    <xf numFmtId="14" fontId="35" fillId="0" borderId="0" xfId="77" applyNumberFormat="1" applyFont="1" applyAlignment="1">
      <alignment horizontal="center"/>
    </xf>
    <xf numFmtId="14" fontId="35" fillId="0" borderId="0" xfId="29" applyNumberFormat="1" applyFont="1" applyAlignment="1">
      <alignment horizontal="center"/>
    </xf>
    <xf numFmtId="14" fontId="35" fillId="0" borderId="12" xfId="29" applyNumberFormat="1" applyFont="1" applyBorder="1" applyAlignment="1">
      <alignment horizontal="center"/>
    </xf>
    <xf numFmtId="14" fontId="35" fillId="0" borderId="18" xfId="29" applyNumberFormat="1" applyFont="1" applyBorder="1" applyAlignment="1">
      <alignment horizontal="center" vertical="center"/>
    </xf>
    <xf numFmtId="14" fontId="35" fillId="0" borderId="20" xfId="29" applyNumberFormat="1" applyFont="1" applyBorder="1" applyAlignment="1">
      <alignment horizontal="center"/>
    </xf>
    <xf numFmtId="14" fontId="35" fillId="0" borderId="21" xfId="29" applyNumberFormat="1" applyFont="1" applyBorder="1" applyAlignment="1">
      <alignment horizontal="center" vertical="center"/>
    </xf>
    <xf numFmtId="164" fontId="35" fillId="0" borderId="0" xfId="29" applyNumberFormat="1" applyFont="1" applyAlignment="1">
      <alignment horizontal="center"/>
    </xf>
    <xf numFmtId="164" fontId="35" fillId="0" borderId="20" xfId="29" applyNumberFormat="1" applyFont="1" applyBorder="1" applyAlignment="1">
      <alignment horizontal="center"/>
    </xf>
    <xf numFmtId="164" fontId="35" fillId="0" borderId="18" xfId="29" applyNumberFormat="1" applyFont="1" applyBorder="1" applyAlignment="1">
      <alignment horizontal="center" vertical="center"/>
    </xf>
    <xf numFmtId="164" fontId="35" fillId="0" borderId="19" xfId="29" applyNumberFormat="1" applyFont="1" applyBorder="1" applyAlignment="1">
      <alignment horizontal="center" vertical="center"/>
    </xf>
    <xf numFmtId="164" fontId="35" fillId="0" borderId="21" xfId="29" applyNumberFormat="1" applyFont="1" applyBorder="1" applyAlignment="1">
      <alignment horizontal="center" vertical="center"/>
    </xf>
    <xf numFmtId="164" fontId="35" fillId="0" borderId="12" xfId="29" applyNumberFormat="1" applyFont="1" applyBorder="1" applyAlignment="1">
      <alignment horizontal="left"/>
    </xf>
    <xf numFmtId="0" fontId="35" fillId="0" borderId="22" xfId="78" applyFont="1" applyBorder="1" applyAlignment="1">
      <alignment vertical="center"/>
    </xf>
    <xf numFmtId="14" fontId="35" fillId="0" borderId="22" xfId="29" applyNumberFormat="1"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4" fontId="35" fillId="0" borderId="12" xfId="29" applyNumberFormat="1" applyFont="1" applyBorder="1" applyAlignment="1">
      <alignment horizontal="center" vertical="center"/>
    </xf>
    <xf numFmtId="164" fontId="35" fillId="0" borderId="12" xfId="29" applyNumberFormat="1" applyFont="1" applyBorder="1" applyAlignment="1">
      <alignment horizontal="center" vertical="center"/>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E-TOAN/BC%20THUE/Bang%20ke%20NL,%20n&#244;ng%20l&#226;m%20s&#7843;n/Nam%202015/BANG%20KE/khachhangdung.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Vine"/>
    </sheetNames>
    <sheetDataSet>
      <sheetData sheetId="0">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row>
        <row r="17">
          <cell r="A17" t="str">
            <v>Nguyễn Thị Tuyết Đang</v>
          </cell>
          <cell r="B17">
            <v>320883374</v>
          </cell>
          <cell r="C17" t="str">
            <v>Ba Tri - Bến Tre</v>
          </cell>
          <cell r="D17" t="str">
            <v>Bến Tre</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row>
        <row r="20">
          <cell r="A20" t="str">
            <v>Nguyễn Thanh Hoàng</v>
          </cell>
          <cell r="B20">
            <v>321413712</v>
          </cell>
          <cell r="C20" t="str">
            <v>Ba Tri - Bến Tre</v>
          </cell>
          <cell r="D20" t="str">
            <v>Bến Tre</v>
          </cell>
        </row>
        <row r="21">
          <cell r="A21" t="str">
            <v>Huỳnh Ngọc Thu</v>
          </cell>
          <cell r="B21">
            <v>320522056</v>
          </cell>
          <cell r="C21" t="str">
            <v>Bến Tre</v>
          </cell>
          <cell r="D21" t="str">
            <v>Bến Tre</v>
          </cell>
          <cell r="E21" t="str">
            <v>Cá chỉ vàng</v>
          </cell>
        </row>
        <row r="22">
          <cell r="A22" t="str">
            <v>Lê Thành Lê</v>
          </cell>
          <cell r="B22">
            <v>320593933</v>
          </cell>
          <cell r="C22" t="str">
            <v>Giồng Trôm - Bến Tre</v>
          </cell>
          <cell r="D22" t="str">
            <v>Bến Tre</v>
          </cell>
        </row>
        <row r="23">
          <cell r="A23" t="str">
            <v>Trần Thị Nê</v>
          </cell>
          <cell r="B23">
            <v>320747922</v>
          </cell>
          <cell r="C23" t="str">
            <v>Giồng Trôm - Bến Tre</v>
          </cell>
          <cell r="D23" t="str">
            <v>Bến Tre</v>
          </cell>
          <cell r="E23" t="str">
            <v>Cá chỉ vàng</v>
          </cell>
        </row>
        <row r="24">
          <cell r="A24" t="str">
            <v>Đỗ Ngọc Trương</v>
          </cell>
          <cell r="B24">
            <v>320876542</v>
          </cell>
          <cell r="C24" t="str">
            <v>Giồng Trôm - Bến Tre</v>
          </cell>
          <cell r="D24" t="str">
            <v>Bến Tre</v>
          </cell>
        </row>
        <row r="25">
          <cell r="A25" t="str">
            <v>Đặng Thanh Phong</v>
          </cell>
          <cell r="B25">
            <v>320876558</v>
          </cell>
          <cell r="C25" t="str">
            <v>Giồng Trôm - Bến Tre</v>
          </cell>
          <cell r="D25" t="str">
            <v>Bến Tre</v>
          </cell>
        </row>
        <row r="26">
          <cell r="A26" t="str">
            <v>Nguyễn Văn Hiền</v>
          </cell>
          <cell r="B26">
            <v>320878054</v>
          </cell>
          <cell r="C26" t="str">
            <v>Giồng Trôm - Bến Tre</v>
          </cell>
          <cell r="D26" t="str">
            <v>Bến Tre</v>
          </cell>
        </row>
        <row r="27">
          <cell r="A27" t="str">
            <v>Lê Thị Diễm</v>
          </cell>
          <cell r="B27">
            <v>320878272</v>
          </cell>
          <cell r="C27" t="str">
            <v>Giồng Trôm - Bến Tre</v>
          </cell>
          <cell r="D27" t="str">
            <v>Bến Tre</v>
          </cell>
          <cell r="E27" t="str">
            <v>Cá chỉ vàng</v>
          </cell>
        </row>
        <row r="28">
          <cell r="A28" t="str">
            <v>Nguyễn Thanh Hải</v>
          </cell>
          <cell r="B28">
            <v>321179471</v>
          </cell>
          <cell r="C28" t="str">
            <v>Giồng Trôm - Bến Tre</v>
          </cell>
          <cell r="D28" t="str">
            <v>Bến Tre</v>
          </cell>
        </row>
        <row r="29">
          <cell r="A29" t="str">
            <v>Trương Thị Mỉm</v>
          </cell>
          <cell r="B29">
            <v>320897817</v>
          </cell>
          <cell r="C29" t="str">
            <v>Mỏ Cày - Bến Tre</v>
          </cell>
          <cell r="D29" t="str">
            <v>Bến Tre</v>
          </cell>
          <cell r="E29" t="str">
            <v>Cá chỉ vàng</v>
          </cell>
        </row>
        <row r="30">
          <cell r="A30" t="str">
            <v>Nguyễn Thị Loan</v>
          </cell>
          <cell r="B30">
            <v>321009246</v>
          </cell>
          <cell r="C30" t="str">
            <v>Mỏ Cày - Bến Tre</v>
          </cell>
          <cell r="D30" t="str">
            <v>Bến Tre</v>
          </cell>
          <cell r="E30" t="str">
            <v>Cá chỉ vàng</v>
          </cell>
        </row>
        <row r="31">
          <cell r="A31" t="str">
            <v>Phạm Tuấn Anh</v>
          </cell>
          <cell r="B31">
            <v>321478047</v>
          </cell>
          <cell r="C31" t="str">
            <v>Thạnh Phú - Bến Tre</v>
          </cell>
          <cell r="D31" t="str">
            <v>Bến Tre</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Võ Thị Huyền</v>
          </cell>
          <cell r="B42">
            <v>370615318</v>
          </cell>
          <cell r="C42" t="str">
            <v>Gò Quao - Kiên Giang</v>
          </cell>
          <cell r="D42" t="str">
            <v>Kiên Giang</v>
          </cell>
          <cell r="E42" t="str">
            <v>Cá mai, cá đổng, mực</v>
          </cell>
        </row>
        <row r="43">
          <cell r="A43" t="str">
            <v>Nguyễn Thị Bé Hai</v>
          </cell>
          <cell r="B43">
            <v>370825748</v>
          </cell>
          <cell r="C43" t="str">
            <v>Gò Quao - Kiên Giang</v>
          </cell>
          <cell r="D43" t="str">
            <v>Kiên Giang</v>
          </cell>
          <cell r="E43" t="str">
            <v>Cá mai, cá đổng, mực</v>
          </cell>
        </row>
        <row r="44">
          <cell r="A44" t="str">
            <v>Lâm Thị Loan</v>
          </cell>
          <cell r="B44">
            <v>370698949</v>
          </cell>
          <cell r="C44" t="str">
            <v>Hòn Đất, Kiên Giang</v>
          </cell>
          <cell r="D44" t="str">
            <v>Kiên Giang</v>
          </cell>
          <cell r="E44" t="str">
            <v>KG 90428TS, KG90139TS, KG91737TS</v>
          </cell>
        </row>
        <row r="45">
          <cell r="A45" t="str">
            <v>Vũ Thị Lan</v>
          </cell>
          <cell r="B45">
            <v>370803567</v>
          </cell>
          <cell r="C45" t="str">
            <v>Kiên lương - Kiên Giang</v>
          </cell>
          <cell r="D45" t="str">
            <v>Kiên Giang</v>
          </cell>
          <cell r="E45" t="str">
            <v>Cá mai, cá đổng, mực</v>
          </cell>
        </row>
        <row r="46">
          <cell r="A46" t="str">
            <v>Trương Quốc Tuấn</v>
          </cell>
          <cell r="B46">
            <v>370004125</v>
          </cell>
          <cell r="C46" t="str">
            <v>Rạch Giá - Kiên Giang</v>
          </cell>
          <cell r="D46" t="str">
            <v>Kiên Giang</v>
          </cell>
          <cell r="E46" t="str">
            <v>Cá mai, cá đổng, mực</v>
          </cell>
        </row>
        <row r="47">
          <cell r="A47" t="str">
            <v>Nguyễn Văn Hải</v>
          </cell>
          <cell r="B47">
            <v>370033286</v>
          </cell>
          <cell r="C47" t="str">
            <v>Rạch Giá - Kiên Giang</v>
          </cell>
          <cell r="D47" t="str">
            <v>Kiên Giang</v>
          </cell>
          <cell r="E47" t="str">
            <v>Mực</v>
          </cell>
        </row>
        <row r="48">
          <cell r="A48" t="str">
            <v>Huỳnh Thị Kiều</v>
          </cell>
          <cell r="B48">
            <v>370047763</v>
          </cell>
          <cell r="C48" t="str">
            <v>Rạch Giá - Kiên Giang</v>
          </cell>
          <cell r="D48" t="str">
            <v>Kiên Giang</v>
          </cell>
          <cell r="E48" t="str">
            <v>Mực</v>
          </cell>
        </row>
        <row r="49">
          <cell r="A49" t="str">
            <v>Nguyễn Thị Kim Vân</v>
          </cell>
          <cell r="B49">
            <v>370054438</v>
          </cell>
          <cell r="C49" t="str">
            <v>Rạch Giá - Kiên Giang</v>
          </cell>
          <cell r="D49" t="str">
            <v>Kiên Giang</v>
          </cell>
          <cell r="E49" t="str">
            <v>Cá chỉ vàng</v>
          </cell>
        </row>
        <row r="50">
          <cell r="A50" t="str">
            <v>Phan Quốc Việt</v>
          </cell>
          <cell r="B50">
            <v>370209938</v>
          </cell>
          <cell r="C50" t="str">
            <v>Rạch Giá - Kiên Giang</v>
          </cell>
          <cell r="D50" t="str">
            <v>Kiên Giang</v>
          </cell>
          <cell r="E50" t="str">
            <v>Mực</v>
          </cell>
        </row>
        <row r="51">
          <cell r="A51" t="str">
            <v>Phạm Thị Bảy</v>
          </cell>
          <cell r="B51">
            <v>370324838</v>
          </cell>
          <cell r="C51" t="str">
            <v>Rạch Giá - Kiên Giang</v>
          </cell>
          <cell r="D51" t="str">
            <v>Kiên Giang</v>
          </cell>
          <cell r="E51" t="str">
            <v>Cá mai, cá đổng, mực</v>
          </cell>
        </row>
        <row r="52">
          <cell r="A52" t="str">
            <v>Tiêu Vĩnh Phát</v>
          </cell>
          <cell r="B52">
            <v>370511387</v>
          </cell>
          <cell r="C52" t="str">
            <v>Rạch Giá - Kiên Giang</v>
          </cell>
          <cell r="D52" t="str">
            <v>Kiên Giang</v>
          </cell>
          <cell r="E52" t="str">
            <v>Cá chỉ vàng</v>
          </cell>
        </row>
        <row r="53">
          <cell r="A53" t="str">
            <v>Phan Quốc Vũ</v>
          </cell>
          <cell r="B53">
            <v>370782417</v>
          </cell>
          <cell r="C53" t="str">
            <v>Rạch Giá - Kiên Giang</v>
          </cell>
          <cell r="D53" t="str">
            <v>Kiên Giang</v>
          </cell>
          <cell r="E53" t="str">
            <v>Mực</v>
          </cell>
        </row>
        <row r="54">
          <cell r="A54" t="str">
            <v>Vương Hải Thạnh</v>
          </cell>
          <cell r="B54">
            <v>370948627</v>
          </cell>
          <cell r="C54" t="str">
            <v>Rạch Giá - Kiên Giang</v>
          </cell>
          <cell r="D54" t="str">
            <v>Kiên Giang</v>
          </cell>
          <cell r="E54" t="str">
            <v>Cá chỉ vàng</v>
          </cell>
        </row>
        <row r="55">
          <cell r="A55" t="str">
            <v>Trần Huỳnh Em</v>
          </cell>
          <cell r="B55">
            <v>371008704</v>
          </cell>
          <cell r="C55" t="str">
            <v>Rạch Giá - Kiên Giang</v>
          </cell>
          <cell r="D55" t="str">
            <v>Kiên Giang</v>
          </cell>
          <cell r="E55" t="str">
            <v>Mực</v>
          </cell>
        </row>
        <row r="56">
          <cell r="A56" t="str">
            <v>Lê Hoàng Long</v>
          </cell>
          <cell r="B56">
            <v>371139593</v>
          </cell>
          <cell r="C56" t="str">
            <v>Rạch Giá - Kiên Giang</v>
          </cell>
          <cell r="D56" t="str">
            <v>Kiên Giang</v>
          </cell>
          <cell r="E56" t="str">
            <v>Cá chỉ vàng</v>
          </cell>
        </row>
        <row r="57">
          <cell r="A57" t="str">
            <v>Trần Ngọc Quyên</v>
          </cell>
          <cell r="B57">
            <v>371166950</v>
          </cell>
          <cell r="C57" t="str">
            <v>Rạch Giá - Kiên Giang</v>
          </cell>
          <cell r="D57" t="str">
            <v>Kiên Giang</v>
          </cell>
          <cell r="E57" t="str">
            <v>Cá chỉ vàng</v>
          </cell>
        </row>
        <row r="58">
          <cell r="A58" t="str">
            <v>Trần Thị Tuyết</v>
          </cell>
          <cell r="B58">
            <v>370261883</v>
          </cell>
          <cell r="C58" t="str">
            <v>Vĩnh Thuận - Kiên Giang</v>
          </cell>
          <cell r="D58" t="str">
            <v>Kiên Giang</v>
          </cell>
          <cell r="E58" t="str">
            <v>Cá mai, cá đổng, mực</v>
          </cell>
        </row>
        <row r="59">
          <cell r="A59" t="str">
            <v>Lê Thị Kim Thanh</v>
          </cell>
          <cell r="B59">
            <v>311514350</v>
          </cell>
          <cell r="C59" t="str">
            <v>Châu Thành - Tiền Giang</v>
          </cell>
          <cell r="D59" t="str">
            <v>Tiền Giang</v>
          </cell>
          <cell r="E59" t="str">
            <v>Cá chỉ vàng</v>
          </cell>
        </row>
        <row r="60">
          <cell r="A60" t="str">
            <v>Lê Thị Kim Liên</v>
          </cell>
          <cell r="B60">
            <v>311704830</v>
          </cell>
          <cell r="C60" t="str">
            <v>Châu Thành - Tiền Giang</v>
          </cell>
          <cell r="D60" t="str">
            <v>Tiền Giang</v>
          </cell>
          <cell r="E60" t="str">
            <v>Cá chỉ vàng</v>
          </cell>
        </row>
        <row r="61">
          <cell r="A61" t="str">
            <v>Nguyễn Thị Mộng Tuyền</v>
          </cell>
          <cell r="B61">
            <v>311318331</v>
          </cell>
          <cell r="C61" t="str">
            <v>Gò Công Đông - Tiền Giang</v>
          </cell>
          <cell r="D61" t="str">
            <v>Tiền Giang</v>
          </cell>
          <cell r="E61" t="str">
            <v>Cá chỉ vàng</v>
          </cell>
        </row>
        <row r="62">
          <cell r="A62" t="str">
            <v>Đỗ Thị Hoàng Mai</v>
          </cell>
          <cell r="B62">
            <v>310882191</v>
          </cell>
          <cell r="C62" t="str">
            <v>Gò Công Tây - Tiền Giang</v>
          </cell>
          <cell r="D62" t="str">
            <v>Tiền Giang</v>
          </cell>
          <cell r="E62" t="str">
            <v>Cá chỉ vàng</v>
          </cell>
        </row>
        <row r="63">
          <cell r="A63" t="str">
            <v>Phạm Thị Chính</v>
          </cell>
          <cell r="B63">
            <v>310882158</v>
          </cell>
          <cell r="C63" t="str">
            <v xml:space="preserve">Gò Công Tây - Tiền Giang </v>
          </cell>
          <cell r="D63" t="str">
            <v>Tiền Giang</v>
          </cell>
          <cell r="E63" t="str">
            <v>Cá chỉ vàng</v>
          </cell>
        </row>
        <row r="64">
          <cell r="A64" t="str">
            <v>Trần Thị Lang</v>
          </cell>
          <cell r="B64">
            <v>310033074</v>
          </cell>
          <cell r="C64" t="str">
            <v>Mỹ Tho - Tiền Giang</v>
          </cell>
          <cell r="D64" t="str">
            <v>Tiền Giang</v>
          </cell>
          <cell r="E64" t="str">
            <v>Cá chỉ vàng</v>
          </cell>
        </row>
        <row r="65">
          <cell r="A65" t="str">
            <v>Lê Văn Thành</v>
          </cell>
          <cell r="B65">
            <v>310526150</v>
          </cell>
          <cell r="C65" t="str">
            <v>Mỹ Tho - Tiền Giang</v>
          </cell>
          <cell r="D65" t="str">
            <v>Tiền Giang</v>
          </cell>
          <cell r="E65" t="str">
            <v>Cá chỉ vàng</v>
          </cell>
        </row>
        <row r="66">
          <cell r="A66" t="str">
            <v>Nguyễn Văn Lắm</v>
          </cell>
          <cell r="B66">
            <v>310703274</v>
          </cell>
          <cell r="C66" t="str">
            <v>Mỹ Tho - Tiền Giang</v>
          </cell>
          <cell r="D66" t="str">
            <v>Tiền Giang</v>
          </cell>
          <cell r="E66" t="str">
            <v>Cá chỉ vàng</v>
          </cell>
        </row>
        <row r="67">
          <cell r="A67" t="str">
            <v>Phạm Thị Ngọc</v>
          </cell>
          <cell r="B67">
            <v>273042454</v>
          </cell>
          <cell r="C67" t="str">
            <v>Bà Rịa Vũng Tàu</v>
          </cell>
          <cell r="D67" t="str">
            <v>Vũng Tàu</v>
          </cell>
          <cell r="E67" t="str">
            <v>Br 7799TS</v>
          </cell>
        </row>
        <row r="68">
          <cell r="A68" t="str">
            <v>Trương Văn Mình</v>
          </cell>
          <cell r="B68">
            <v>273017840</v>
          </cell>
          <cell r="C68" t="str">
            <v>Long Điền - Vũng Tàu</v>
          </cell>
          <cell r="D68" t="str">
            <v>Vũng Tàu</v>
          </cell>
          <cell r="E68" t="str">
            <v>Cá chỉ vàng</v>
          </cell>
        </row>
        <row r="69">
          <cell r="A69" t="str">
            <v>Nguyễn Ngọc Anh</v>
          </cell>
          <cell r="B69">
            <v>273017843</v>
          </cell>
          <cell r="C69" t="str">
            <v>Long Điền - Vũng Tàu</v>
          </cell>
          <cell r="D69" t="str">
            <v>Vũng Tàu</v>
          </cell>
          <cell r="E69" t="str">
            <v>Cá chỉ vàng</v>
          </cell>
        </row>
        <row r="70">
          <cell r="A70" t="str">
            <v>Ngô Văn Vàng</v>
          </cell>
          <cell r="B70">
            <v>190253143</v>
          </cell>
          <cell r="C70" t="str">
            <v>Vũng Tàu</v>
          </cell>
          <cell r="D70" t="str">
            <v>Vũng Tàu</v>
          </cell>
          <cell r="E70" t="str">
            <v>Mực</v>
          </cell>
        </row>
        <row r="71">
          <cell r="A71" t="str">
            <v>Nguyễn Hành</v>
          </cell>
          <cell r="B71">
            <v>190524479</v>
          </cell>
          <cell r="C71" t="str">
            <v>Vũng Tàu</v>
          </cell>
          <cell r="D71" t="str">
            <v>Vũng Tàu</v>
          </cell>
          <cell r="E71" t="str">
            <v>Mực</v>
          </cell>
        </row>
        <row r="72">
          <cell r="A72" t="str">
            <v>Lương Âm</v>
          </cell>
          <cell r="B72">
            <v>211161439</v>
          </cell>
          <cell r="C72" t="str">
            <v>Vũng Tàu</v>
          </cell>
          <cell r="D72" t="str">
            <v>Vũng Tàu</v>
          </cell>
          <cell r="E72" t="str">
            <v>Mực</v>
          </cell>
        </row>
        <row r="73">
          <cell r="A73" t="str">
            <v>Nguyễn Văn Tư</v>
          </cell>
          <cell r="B73">
            <v>260456563</v>
          </cell>
          <cell r="C73" t="str">
            <v>Vũng Tàu</v>
          </cell>
          <cell r="D73" t="str">
            <v>Vũng Tàu</v>
          </cell>
          <cell r="E73" t="str">
            <v>Mực</v>
          </cell>
        </row>
        <row r="74">
          <cell r="A74" t="str">
            <v>Nguyễn Văn Đức</v>
          </cell>
          <cell r="B74">
            <v>261183075</v>
          </cell>
          <cell r="C74" t="str">
            <v>Vũng Tàu</v>
          </cell>
          <cell r="D74" t="str">
            <v>Vũng Tàu</v>
          </cell>
          <cell r="E74" t="str">
            <v>Mực</v>
          </cell>
        </row>
        <row r="75">
          <cell r="A75" t="str">
            <v>Võ Thị Bảy</v>
          </cell>
          <cell r="B75">
            <v>270106056</v>
          </cell>
          <cell r="C75" t="str">
            <v>Vũng Tàu</v>
          </cell>
          <cell r="D75" t="str">
            <v>Vũng Tàu</v>
          </cell>
          <cell r="E75" t="str">
            <v>Br 4147TS</v>
          </cell>
        </row>
        <row r="76">
          <cell r="A76" t="str">
            <v>Võ Văn Bá</v>
          </cell>
          <cell r="B76">
            <v>270176684</v>
          </cell>
          <cell r="C76" t="str">
            <v>Vũng Tàu</v>
          </cell>
          <cell r="D76" t="str">
            <v>Vũng Tàu</v>
          </cell>
          <cell r="E76" t="str">
            <v>Br 5400TS</v>
          </cell>
        </row>
        <row r="77">
          <cell r="A77" t="str">
            <v>Nguyễn Thanh Vân</v>
          </cell>
          <cell r="B77">
            <v>270176960</v>
          </cell>
          <cell r="C77" t="str">
            <v>Vũng Tàu</v>
          </cell>
          <cell r="D77" t="str">
            <v>Vũng Tàu</v>
          </cell>
          <cell r="E77" t="str">
            <v>Br 4437TS, Br 4516TS</v>
          </cell>
        </row>
        <row r="78">
          <cell r="A78" t="str">
            <v>Hồ Thị Mỹ</v>
          </cell>
          <cell r="B78">
            <v>270986506</v>
          </cell>
          <cell r="C78" t="str">
            <v>Vũng Tàu</v>
          </cell>
          <cell r="D78" t="str">
            <v>Vũng Tàu</v>
          </cell>
          <cell r="E78" t="str">
            <v>Cá bò</v>
          </cell>
        </row>
        <row r="79">
          <cell r="A79" t="str">
            <v>Nguyễn Thanh Vinh</v>
          </cell>
          <cell r="B79">
            <v>271181056</v>
          </cell>
          <cell r="C79" t="str">
            <v>Vũng Tàu</v>
          </cell>
          <cell r="D79" t="str">
            <v>Vũng Tàu</v>
          </cell>
          <cell r="E79" t="str">
            <v>Mực</v>
          </cell>
        </row>
        <row r="80">
          <cell r="A80" t="str">
            <v>Đỗ Văn Tâm</v>
          </cell>
          <cell r="B80">
            <v>271642418</v>
          </cell>
          <cell r="C80" t="str">
            <v>Vũng Tàu</v>
          </cell>
          <cell r="D80" t="str">
            <v>Vũng Tàu</v>
          </cell>
          <cell r="E80" t="str">
            <v>Cá bò</v>
          </cell>
        </row>
        <row r="81">
          <cell r="A81" t="str">
            <v>Nguyễn Đức Tiến</v>
          </cell>
          <cell r="B81">
            <v>273249576</v>
          </cell>
          <cell r="C81" t="str">
            <v>Vũng Tàu</v>
          </cell>
          <cell r="D81" t="str">
            <v>Vũng Tàu</v>
          </cell>
          <cell r="E81" t="str">
            <v>Cá bò</v>
          </cell>
        </row>
        <row r="82">
          <cell r="A82" t="str">
            <v>Trương Văn Minh</v>
          </cell>
          <cell r="B82">
            <v>273017840</v>
          </cell>
          <cell r="C82" t="str">
            <v>Tân Phước - Long Điền</v>
          </cell>
          <cell r="D82" t="str">
            <v>Vũng Tàu</v>
          </cell>
          <cell r="E82" t="str">
            <v>Cá chỉ vàng</v>
          </cell>
        </row>
        <row r="83">
          <cell r="A83" t="str">
            <v>Quang Minh</v>
          </cell>
          <cell r="B83">
            <v>370902819</v>
          </cell>
          <cell r="C83" t="str">
            <v>Rạch Giá - Kiên Giang</v>
          </cell>
          <cell r="D83" t="str">
            <v>Kiên Giang</v>
          </cell>
          <cell r="E83" t="str">
            <v>Cá chỉ vàng</v>
          </cell>
        </row>
        <row r="84">
          <cell r="A84" t="str">
            <v>Nguyễn Thị Thơm</v>
          </cell>
          <cell r="B84">
            <v>320892578</v>
          </cell>
          <cell r="C84" t="str">
            <v>Chợ Lách - Bến tre</v>
          </cell>
          <cell r="D84" t="str">
            <v>Bến Tre</v>
          </cell>
        </row>
        <row r="85">
          <cell r="A85" t="str">
            <v>Nguyễn Thị Tuyết</v>
          </cell>
          <cell r="B85">
            <v>310703480</v>
          </cell>
          <cell r="C85" t="str">
            <v>Cai Lậy - Tiền Giang</v>
          </cell>
          <cell r="D85" t="str">
            <v>Tiền Giang</v>
          </cell>
        </row>
        <row r="86">
          <cell r="A86" t="str">
            <v>Lương Âm</v>
          </cell>
          <cell r="B86">
            <v>211161439</v>
          </cell>
          <cell r="C86" t="str">
            <v>Vũng Tàu</v>
          </cell>
          <cell r="D86" t="str">
            <v>Vũng Tàu</v>
          </cell>
          <cell r="E86" t="str">
            <v>Mực</v>
          </cell>
        </row>
        <row r="87">
          <cell r="A87" t="str">
            <v>Nguyễn Minh Trí</v>
          </cell>
          <cell r="B87">
            <v>381156256</v>
          </cell>
          <cell r="C87" t="str">
            <v>Ngọc Hiển - Cà Mau</v>
          </cell>
          <cell r="D87" t="str">
            <v>Cà Mau</v>
          </cell>
        </row>
        <row r="88">
          <cell r="A88" t="str">
            <v>Nguyễn Văn Lâm</v>
          </cell>
          <cell r="B88">
            <v>320892452</v>
          </cell>
          <cell r="C88" t="str">
            <v>Bình Đại - Bến Tre</v>
          </cell>
          <cell r="D88" t="str">
            <v>Bến Tre</v>
          </cell>
        </row>
        <row r="89">
          <cell r="A89" t="str">
            <v>Trần Thị Mộng Điềm</v>
          </cell>
          <cell r="B89">
            <v>271645628</v>
          </cell>
          <cell r="C89" t="str">
            <v>Vũng Tàu</v>
          </cell>
          <cell r="D89" t="str">
            <v>Vũng Tàu</v>
          </cell>
          <cell r="E89" t="str">
            <v>Cá bò</v>
          </cell>
        </row>
        <row r="90">
          <cell r="A90" t="str">
            <v>Đỗ Tư</v>
          </cell>
          <cell r="B90">
            <v>270065116</v>
          </cell>
          <cell r="C90" t="str">
            <v>Vũng Tàu</v>
          </cell>
          <cell r="D90" t="str">
            <v>Vũng Tàu</v>
          </cell>
          <cell r="E90" t="str">
            <v>Cá bò</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4" enableFormatConditionsCalculation="0">
    <tabColor indexed="33"/>
  </sheetPr>
  <dimension ref="A2:P36"/>
  <sheetViews>
    <sheetView workbookViewId="0">
      <pane ySplit="31" topLeftCell="A32" activePane="bottomLeft" state="frozen"/>
      <selection pane="bottomLeft" activeCell="J5" sqref="J5"/>
    </sheetView>
  </sheetViews>
  <sheetFormatPr defaultRowHeight="12"/>
  <cols>
    <col min="1" max="1" width="4.7109375" style="156" customWidth="1"/>
    <col min="2" max="2" width="27.28515625" style="156" customWidth="1"/>
    <col min="3" max="3" width="9.140625" style="156"/>
    <col min="4" max="4" width="6.7109375" style="156" customWidth="1"/>
    <col min="5" max="5" width="9.85546875" style="156" customWidth="1"/>
    <col min="6" max="6" width="10.7109375" style="156" customWidth="1"/>
    <col min="7" max="7" width="11" style="156" customWidth="1"/>
    <col min="8" max="8" width="14" style="156" customWidth="1"/>
    <col min="9" max="9" width="4.28515625" style="156" customWidth="1"/>
    <col min="10" max="10" width="5.7109375" style="156" customWidth="1"/>
    <col min="11" max="11" width="3.140625" style="156" customWidth="1"/>
    <col min="12" max="12" width="5.7109375" style="156" customWidth="1"/>
    <col min="13" max="13" width="2.7109375" style="156" customWidth="1"/>
    <col min="14" max="14" width="4" style="156" customWidth="1"/>
    <col min="15" max="15" width="3.7109375" style="156" customWidth="1"/>
    <col min="16" max="16384" width="9.140625" style="156"/>
  </cols>
  <sheetData>
    <row r="2" spans="1:16" ht="11.25" customHeight="1">
      <c r="A2" s="155" t="s">
        <v>70</v>
      </c>
      <c r="G2" s="157" t="str">
        <f>+IF(LEFT($D$7,1)="N","Mẫu số 01 - VT","Mẫu số 02 - VT")</f>
        <v>Mẫu số 02 - VT</v>
      </c>
    </row>
    <row r="3" spans="1:16" ht="11.25" customHeight="1">
      <c r="A3" s="158" t="s">
        <v>97</v>
      </c>
      <c r="G3" s="159" t="s">
        <v>96</v>
      </c>
      <c r="N3" s="157" t="s">
        <v>141</v>
      </c>
      <c r="O3" s="160"/>
    </row>
    <row r="4" spans="1:16" ht="11.25" customHeight="1">
      <c r="G4" s="159" t="s">
        <v>104</v>
      </c>
      <c r="J4" s="201" t="s">
        <v>115</v>
      </c>
      <c r="M4" s="202"/>
      <c r="N4" s="157" t="s">
        <v>142</v>
      </c>
      <c r="O4" s="160"/>
    </row>
    <row r="5" spans="1:16" ht="18" customHeight="1">
      <c r="D5" s="161" t="str">
        <f>+IF(LEFT($L$5,1)="N","PHIẾU NHẬP KHO","PHIẾU XUẤT KHO")</f>
        <v>PHIẾU XUẤT KHO</v>
      </c>
      <c r="J5" s="205">
        <v>1</v>
      </c>
      <c r="K5" s="206"/>
      <c r="L5" s="207" t="s">
        <v>274</v>
      </c>
      <c r="M5" s="208"/>
      <c r="N5" s="209">
        <v>2</v>
      </c>
      <c r="O5" s="160"/>
      <c r="P5" s="160"/>
    </row>
    <row r="6" spans="1:16" s="163" customFormat="1" ht="12" customHeight="1">
      <c r="D6" s="164" t="str">
        <f>IF(ISNA(VLOOKUP("x",DS,4,0)),"","Ngày  " &amp;DAY(VLOOKUP("x",DS,4,0))&amp;"  tháng  " &amp; MONTH(VLOOKUP("x",DS,4,0))&amp;"  năm  "&amp;YEAR(VLOOKUP("x",DS,4,0)))</f>
        <v>Ngày  2  tháng  1  năm  2013</v>
      </c>
      <c r="E6" s="165"/>
      <c r="M6" s="166"/>
      <c r="O6" s="203"/>
    </row>
    <row r="7" spans="1:16" s="163" customFormat="1" ht="12" customHeight="1">
      <c r="C7" s="167" t="str">
        <f xml:space="preserve"> "Số:"</f>
        <v>Số:</v>
      </c>
      <c r="D7" s="168" t="str">
        <f xml:space="preserve"> LEFT($L$5,1)&amp;IF($N$5&gt;=10,$N$5,"0"&amp;$N$5)&amp;"/"&amp;RIGHT($L$5,2)</f>
        <v>X02/VL</v>
      </c>
      <c r="G7" s="163" t="str">
        <f>"Nợ:  "&amp;IF(ISNA(VLOOKUP("x",DS,7,0)),"",VLOOKUP("x",DS,7,0))</f>
        <v>Nợ:  154</v>
      </c>
      <c r="M7" s="166"/>
      <c r="O7" s="203"/>
    </row>
    <row r="8" spans="1:16" s="163" customFormat="1" ht="12" customHeight="1">
      <c r="D8" s="159"/>
      <c r="G8" s="163" t="str">
        <f>"Có:  "&amp;IF(ISNA(VLOOKUP("x",DS,8,0)),"",VLOOKUP("x",DS,8,0))</f>
        <v>Có:  1522</v>
      </c>
      <c r="M8" s="166"/>
      <c r="O8" s="204"/>
    </row>
    <row r="9" spans="1:16" s="163" customFormat="1" ht="12" customHeight="1">
      <c r="A9" s="163" t="str">
        <f>+IF(LEFT($D$7,1)="N","Họ và tên người giao :   ","Họ và tên người nhận hàng :   ")&amp;IF(ISNA(VLOOKUP("x",DS,6,0)),"",VLOOKUP("x",DS,6,0)) &amp;IF(LEFT($D$7,1)="N","","                                         Địa chỉ (bộ phận) :     Sản Xuất ")</f>
        <v xml:space="preserve">Họ và tên người nhận hàng :   Xuất SX                                         Địa chỉ (bộ phận) :     Sản Xuất </v>
      </c>
      <c r="M9" s="166"/>
    </row>
    <row r="10" spans="1:16" s="163" customFormat="1" ht="12" customHeight="1">
      <c r="A10" s="163" t="str">
        <f>+IF(LEFT($D$7,1)="N","Theo……………………………………....…………..số………….…………….……ngày……...tháng…......năm……....","Lý do xuất :  Xuất dùng ")</f>
        <v xml:space="preserve">Lý do xuất :  Xuất dùng </v>
      </c>
    </row>
    <row r="11" spans="1:16" s="163" customFormat="1" ht="12" customHeight="1">
      <c r="A11" s="163" t="str">
        <f>+IF(LEFT($D$7,1)="N","của………………………………………………………………………………………………………………………………....","Xuất tại kho (ngăn lô) :       Công ty TNHH Hải Sản An Lạc                      Địa điểm :  Đức Hòa, Long An.")</f>
        <v>Xuất tại kho (ngăn lô) :       Công ty TNHH Hải Sản An Lạc                      Địa điểm :  Đức Hòa, Long An.</v>
      </c>
    </row>
    <row r="12" spans="1:16" s="163" customFormat="1" ht="12" customHeight="1">
      <c r="A12" s="163" t="str">
        <f>+IF(LEFT("x",1)="N","Nhập tại kho:       Công ty TNHH Hải Sản An Lạc                      Địa điểm:  Đức Hòa, Long An."," ")</f>
        <v xml:space="preserve"> </v>
      </c>
    </row>
    <row r="13" spans="1:16" s="163" customFormat="1" ht="2.25" customHeight="1"/>
    <row r="14" spans="1:16" s="163" customFormat="1" ht="12.75">
      <c r="A14" s="469" t="s">
        <v>30</v>
      </c>
      <c r="B14" s="469" t="s">
        <v>98</v>
      </c>
      <c r="C14" s="469" t="s">
        <v>99</v>
      </c>
      <c r="D14" s="469" t="s">
        <v>85</v>
      </c>
      <c r="E14" s="470" t="s">
        <v>11</v>
      </c>
      <c r="F14" s="470"/>
      <c r="G14" s="469" t="s">
        <v>4</v>
      </c>
      <c r="H14" s="469" t="s">
        <v>12</v>
      </c>
    </row>
    <row r="15" spans="1:16" s="163" customFormat="1" ht="24.75" customHeight="1">
      <c r="A15" s="470"/>
      <c r="B15" s="470"/>
      <c r="C15" s="470"/>
      <c r="D15" s="470"/>
      <c r="E15" s="162" t="s">
        <v>100</v>
      </c>
      <c r="F15" s="162" t="str">
        <f>IF(LEFT($D$7,1)="N","Thực nhập","Thực xuất")</f>
        <v>Thực xuất</v>
      </c>
      <c r="G15" s="470"/>
      <c r="H15" s="470"/>
    </row>
    <row r="16" spans="1:16" s="170" customFormat="1" ht="8.25" customHeight="1">
      <c r="A16" s="169" t="s">
        <v>13</v>
      </c>
      <c r="B16" s="169" t="s">
        <v>14</v>
      </c>
      <c r="C16" s="169" t="s">
        <v>15</v>
      </c>
      <c r="D16" s="169" t="s">
        <v>16</v>
      </c>
      <c r="E16" s="169">
        <v>1</v>
      </c>
      <c r="F16" s="169">
        <v>2</v>
      </c>
      <c r="G16" s="169">
        <v>3</v>
      </c>
      <c r="H16" s="169">
        <v>4</v>
      </c>
    </row>
    <row r="17" spans="1:8" s="163" customFormat="1" ht="12" customHeight="1">
      <c r="A17" s="171">
        <f ca="1">IF(B17="","",ROW()-16)</f>
        <v>1</v>
      </c>
      <c r="B17" s="153" t="str">
        <f ca="1">IF(ROWS($1:1)&gt;COUNT(TH),"",OFFSET(TH!F$1,SMALL(TH,ROWS($1:1)),))</f>
        <v>Bột biến tính</v>
      </c>
      <c r="C17" s="172"/>
      <c r="D17" s="173" t="str">
        <f ca="1">IF(ISNA(VLOOKUP(B17,NXT!$C$12:$D$125,2,0)),"",VLOOKUP(B17,NXT!$C$12:$D$125,2,0))</f>
        <v>kg</v>
      </c>
      <c r="E17" s="174"/>
      <c r="F17" s="152">
        <f ca="1">IF(LEFT($D$7,1)="N",IF(ROWS($1:1)&gt;COUNT(TH),"",OFFSET(TH!K$1,SMALL(TH,ROWS($1:1)),)),IF(ROWS($1:1)&gt;COUNT(TH),"",OFFSET(TH!M$1,SMALL(TH,ROWS($1:1)),)))</f>
        <v>20</v>
      </c>
      <c r="G17" s="154">
        <f ca="1">IF(ROWS($1:1)&gt;COUNT(TH),"",OFFSET(TH!J$1,SMALL(TH,ROWS($1:1)),))</f>
        <v>46286</v>
      </c>
      <c r="H17" s="174">
        <f t="shared" ref="H17:H23" ca="1" si="0">IF(F17&lt;&gt;"",ROUND(F17*G17,0),"")</f>
        <v>925720</v>
      </c>
    </row>
    <row r="18" spans="1:8" s="163" customFormat="1" ht="12" customHeight="1">
      <c r="A18" s="175">
        <f t="shared" ref="A18:A23" ca="1" si="1">IF(B18="","",A17+1)</f>
        <v>2</v>
      </c>
      <c r="B18" s="153" t="str">
        <f ca="1">IF(ROWS($1:2)&gt;COUNT(TH),"",OFFSET(TH!F$1,SMALL(TH,ROWS($1:2)),))</f>
        <v xml:space="preserve">Bột ngọt </v>
      </c>
      <c r="C18" s="172"/>
      <c r="D18" s="173" t="str">
        <f ca="1">IF(ISNA(VLOOKUP(B18,NXT!$C$12:$D$125,2,0)),"",VLOOKUP(B18,NXT!$C$12:$D$125,2,0))</f>
        <v>kg</v>
      </c>
      <c r="E18" s="174"/>
      <c r="F18" s="152">
        <f ca="1">IF(LEFT($D$7,1)="N",IF(ROWS($1:2)&gt;COUNT(TH),"",OFFSET(TH!K$1,SMALL(TH,ROWS($1:2)),)),IF(ROWS($1:2)&gt;COUNT(TH),"",OFFSET(TH!M$1,SMALL(TH,ROWS($1:2)),)))</f>
        <v>40</v>
      </c>
      <c r="G18" s="154">
        <f ca="1">IF(ROWS($1:2)&gt;COUNT(TH),"",OFFSET(TH!J$1,SMALL(TH,ROWS($1:2)),))</f>
        <v>34200</v>
      </c>
      <c r="H18" s="174">
        <f t="shared" ca="1" si="0"/>
        <v>1368000</v>
      </c>
    </row>
    <row r="19" spans="1:8" s="163" customFormat="1" ht="12" customHeight="1">
      <c r="A19" s="175">
        <f t="shared" ca="1" si="1"/>
        <v>3</v>
      </c>
      <c r="B19" s="153" t="str">
        <f ca="1">IF(ROWS($1:3)&gt;COUNT(TH),"",OFFSET(TH!F$1,SMALL(TH,ROWS($1:3)),))</f>
        <v>Đường</v>
      </c>
      <c r="C19" s="172"/>
      <c r="D19" s="173" t="str">
        <f ca="1">IF(ISNA(VLOOKUP(B19,NXT!$C$12:$D$125,2,0)),"",VLOOKUP(B19,NXT!$C$12:$D$125,2,0))</f>
        <v>kg</v>
      </c>
      <c r="E19" s="174"/>
      <c r="F19" s="152">
        <f ca="1">IF(LEFT($D$7,1)="N",IF(ROWS($1:3)&gt;COUNT(TH),"",OFFSET(TH!K$1,SMALL(TH,ROWS($1:3)),)),IF(ROWS($1:3)&gt;COUNT(TH),"",OFFSET(TH!M$1,SMALL(TH,ROWS($1:3)),)))</f>
        <v>55</v>
      </c>
      <c r="G19" s="154">
        <f ca="1">IF(ROWS($1:3)&gt;COUNT(TH),"",OFFSET(TH!J$1,SMALL(TH,ROWS($1:3)),))</f>
        <v>15400</v>
      </c>
      <c r="H19" s="174">
        <f t="shared" ca="1" si="0"/>
        <v>847000</v>
      </c>
    </row>
    <row r="20" spans="1:8" s="163" customFormat="1" ht="12" customHeight="1">
      <c r="A20" s="175" t="str">
        <f t="shared" ca="1" si="1"/>
        <v/>
      </c>
      <c r="B20" s="153" t="str">
        <f ca="1">IF(ROWS($1:4)&gt;COUNT(TH),"",OFFSET(TH!F$1,SMALL(TH,ROWS($1:4)),))</f>
        <v/>
      </c>
      <c r="C20" s="172"/>
      <c r="D20" s="173" t="str">
        <f ca="1">IF(ISNA(VLOOKUP(B20,NXT!$C$12:$D$125,2,0)),"",VLOOKUP(B20,NXT!$C$12:$D$125,2,0))</f>
        <v/>
      </c>
      <c r="E20" s="174"/>
      <c r="F20" s="152" t="str">
        <f ca="1">IF(LEFT($D$7,1)="N",IF(ROWS($1:4)&gt;COUNT(TH),"",OFFSET(TH!K$1,SMALL(TH,ROWS($1:4)),)),IF(ROWS($1:4)&gt;COUNT(TH),"",OFFSET(TH!M$1,SMALL(TH,ROWS($1:4)),)))</f>
        <v/>
      </c>
      <c r="G20" s="154" t="str">
        <f ca="1">IF(ROWS($1:4)&gt;COUNT(TH),"",OFFSET(TH!J$1,SMALL(TH,ROWS($1:4)),))</f>
        <v/>
      </c>
      <c r="H20" s="174" t="str">
        <f t="shared" ca="1" si="0"/>
        <v/>
      </c>
    </row>
    <row r="21" spans="1:8" s="163" customFormat="1" ht="12" customHeight="1">
      <c r="A21" s="175" t="str">
        <f t="shared" ca="1" si="1"/>
        <v/>
      </c>
      <c r="B21" s="153" t="str">
        <f ca="1">IF(ROWS($1:5)&gt;COUNT(TH),"",OFFSET(TH!F$1,SMALL(TH,ROWS($1:5)),))</f>
        <v/>
      </c>
      <c r="C21" s="172"/>
      <c r="D21" s="173" t="str">
        <f ca="1">IF(ISNA(VLOOKUP(B21,NXT!$C$12:$D$125,2,0)),"",VLOOKUP(B21,NXT!$C$12:$D$125,2,0))</f>
        <v/>
      </c>
      <c r="E21" s="174"/>
      <c r="F21" s="152" t="str">
        <f ca="1">IF(LEFT($D$7,1)="N",IF(ROWS($1:5)&gt;COUNT(TH),"",OFFSET(TH!K$1,SMALL(TH,ROWS($1:5)),)),IF(ROWS($1:5)&gt;COUNT(TH),"",OFFSET(TH!M$1,SMALL(TH,ROWS($1:5)),)))</f>
        <v/>
      </c>
      <c r="G21" s="154" t="str">
        <f ca="1">IF(ROWS($1:5)&gt;COUNT(TH),"",OFFSET(TH!J$1,SMALL(TH,ROWS($1:5)),))</f>
        <v/>
      </c>
      <c r="H21" s="174" t="str">
        <f t="shared" ca="1" si="0"/>
        <v/>
      </c>
    </row>
    <row r="22" spans="1:8" s="163" customFormat="1" ht="12" customHeight="1">
      <c r="A22" s="175" t="str">
        <f t="shared" ca="1" si="1"/>
        <v/>
      </c>
      <c r="B22" s="153" t="str">
        <f ca="1">IF(ROWS($1:6)&gt;COUNT(TH),"",OFFSET(TH!F$1,SMALL(TH,ROWS($1:6)),))</f>
        <v/>
      </c>
      <c r="C22" s="172"/>
      <c r="D22" s="173" t="str">
        <f ca="1">IF(ISNA(VLOOKUP(B22,NXT!$C$12:$D$125,2,0)),"",VLOOKUP(B22,NXT!$C$12:$D$125,2,0))</f>
        <v/>
      </c>
      <c r="E22" s="174"/>
      <c r="F22" s="152" t="str">
        <f ca="1">IF(LEFT($D$7,1)="N",IF(ROWS($1:6)&gt;COUNT(TH),"",OFFSET(TH!K$1,SMALL(TH,ROWS($1:6)),)),IF(ROWS($1:6)&gt;COUNT(TH),"",OFFSET(TH!M$1,SMALL(TH,ROWS($1:6)),)))</f>
        <v/>
      </c>
      <c r="G22" s="154" t="str">
        <f ca="1">IF(ROWS($1:6)&gt;COUNT(TH),"",OFFSET(TH!J$1,SMALL(TH,ROWS($1:6)),))</f>
        <v/>
      </c>
      <c r="H22" s="174" t="str">
        <f t="shared" ca="1" si="0"/>
        <v/>
      </c>
    </row>
    <row r="23" spans="1:8" s="163" customFormat="1" ht="12" customHeight="1">
      <c r="A23" s="176" t="str">
        <f t="shared" ca="1" si="1"/>
        <v/>
      </c>
      <c r="B23" s="153" t="str">
        <f ca="1">IF(ROWS($1:7)&gt;COUNT(TH),"",OFFSET(TH!F$1,SMALL(TH,ROWS($1:7)),))</f>
        <v/>
      </c>
      <c r="C23" s="172"/>
      <c r="D23" s="173" t="str">
        <f ca="1">IF(ISNA(VLOOKUP(B23,NXT!$C$12:$D$125,2,0)),"",VLOOKUP(B23,NXT!$C$12:$D$125,2,0))</f>
        <v/>
      </c>
      <c r="E23" s="174"/>
      <c r="F23" s="152" t="str">
        <f ca="1">IF(LEFT($D$7,1)="N",IF(ROWS($1:7)&gt;COUNT(TH),"",OFFSET(TH!K$1,SMALL(TH,ROWS($1:7)),)),IF(ROWS($1:7)&gt;COUNT(TH),"",OFFSET(TH!M$1,SMALL(TH,ROWS($1:7)),)))</f>
        <v/>
      </c>
      <c r="G23" s="154" t="str">
        <f ca="1">IF(ROWS($1:7)&gt;COUNT(TH),"",OFFSET(TH!J$1,SMALL(TH,ROWS($1:7)),))</f>
        <v/>
      </c>
      <c r="H23" s="174" t="str">
        <f t="shared" ca="1" si="0"/>
        <v/>
      </c>
    </row>
    <row r="24" spans="1:8" s="163" customFormat="1" ht="12" customHeight="1">
      <c r="A24" s="470" t="s">
        <v>101</v>
      </c>
      <c r="B24" s="470"/>
      <c r="C24" s="177"/>
      <c r="D24" s="177"/>
      <c r="E24" s="178"/>
      <c r="F24" s="178"/>
      <c r="G24" s="178"/>
      <c r="H24" s="178">
        <f ca="1">SUM(H17:H23)</f>
        <v>3140720</v>
      </c>
    </row>
    <row r="25" spans="1:8" s="163" customFormat="1" ht="3" customHeight="1">
      <c r="A25" s="179"/>
      <c r="B25" s="179"/>
      <c r="C25" s="166"/>
      <c r="D25" s="166"/>
      <c r="E25" s="180"/>
      <c r="F25" s="180"/>
      <c r="G25" s="180"/>
      <c r="H25" s="180"/>
    </row>
    <row r="26" spans="1:8" s="163" customFormat="1" ht="13.5" customHeight="1">
      <c r="A26" s="163" t="str">
        <f ca="1">"Tổng số tiền (viết bằng chữ):  "&amp; [1]!VND(H24, TRUE)</f>
        <v>Tổng số tiền (viết bằng chữ):  Ba triệu, một trăm bốn mươi ngàn, bảy trăm hai mươi đồng</v>
      </c>
    </row>
    <row r="27" spans="1:8" s="163" customFormat="1" ht="13.5" customHeight="1">
      <c r="A27" s="163" t="str">
        <f>"Số chứng từ gốc kèm theo :  "</f>
        <v xml:space="preserve">Số chứng từ gốc kèm theo :  </v>
      </c>
    </row>
    <row r="28" spans="1:8" s="163" customFormat="1" ht="11.25" customHeight="1">
      <c r="F28" s="181" t="str">
        <f>+IF(LEFT($D$7,1)="N","                                                          "&amp;D6,"                                                                                           "&amp;D6)</f>
        <v xml:space="preserve">                                                                                           Ngày  2  tháng  1  năm  2013</v>
      </c>
    </row>
    <row r="29" spans="1:8" s="183" customFormat="1" ht="12.75" customHeight="1">
      <c r="A29" s="182" t="s">
        <v>102</v>
      </c>
      <c r="C29" s="184"/>
      <c r="E29" s="184"/>
      <c r="F29" s="184" t="str">
        <f>+IF(LEFT($D$7,1)="N","                                                       Kế toán trưởng","                                          Kế toán trưởng                           Giám đốc")</f>
        <v xml:space="preserve">                                          Kế toán trưởng                           Giám đốc</v>
      </c>
    </row>
    <row r="30" spans="1:8" s="163" customFormat="1" ht="12.75" customHeight="1">
      <c r="A30" s="168" t="s">
        <v>103</v>
      </c>
      <c r="C30" s="181"/>
      <c r="E30" s="181"/>
      <c r="F30" s="181" t="str">
        <f>+IF(LEFT($D$7,1)="N","                                                     (Ký, họ tên)","                (Ký, họ tên)                ")</f>
        <v xml:space="preserve">                (Ký, họ tên)                </v>
      </c>
      <c r="H30" s="168" t="str">
        <f>+IF(LEFT($D$7,1)="N","","  (Ký, họ tên)")</f>
        <v xml:space="preserve">  (Ký, họ tên)</v>
      </c>
    </row>
    <row r="31" spans="1:8" s="163" customFormat="1" ht="12.75" customHeight="1">
      <c r="G31" s="181"/>
    </row>
    <row r="32" spans="1:8" s="163" customFormat="1" ht="11.25" customHeight="1"/>
    <row r="33" s="163" customFormat="1" ht="11.25" customHeight="1"/>
    <row r="34" s="163" customFormat="1" ht="11.25" customHeight="1"/>
    <row r="35" s="163"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300" r:id="rId1"/>
  <headerFooter alignWithMargins="0"/>
</worksheet>
</file>

<file path=xl/worksheets/sheet2.xml><?xml version="1.0" encoding="utf-8"?>
<worksheet xmlns="http://schemas.openxmlformats.org/spreadsheetml/2006/main" xmlns:r="http://schemas.openxmlformats.org/officeDocument/2006/relationships">
  <sheetPr codeName="Sheet1" enableFormatConditionsCalculation="0">
    <tabColor indexed="28"/>
  </sheetPr>
  <dimension ref="A1:S146"/>
  <sheetViews>
    <sheetView topLeftCell="E8" workbookViewId="0">
      <pane ySplit="4" topLeftCell="A44" activePane="bottomLeft" state="frozen"/>
      <selection activeCell="A8" sqref="A8"/>
      <selection pane="bottomLeft" activeCell="N73" sqref="N73"/>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195" customWidth="1"/>
    <col min="14" max="14" width="24.140625" style="35" customWidth="1"/>
    <col min="15" max="15" width="10.5703125" style="35" customWidth="1"/>
    <col min="16" max="16" width="10.42578125" style="35" customWidth="1"/>
    <col min="17" max="17" width="22.28515625" style="35" customWidth="1"/>
    <col min="18" max="18" width="4.28515625" style="35" customWidth="1"/>
    <col min="19" max="19" width="3.85546875" style="35" customWidth="1"/>
    <col min="20" max="16384" width="9.140625" style="35"/>
  </cols>
  <sheetData>
    <row r="1" spans="1:18" s="6" customFormat="1" ht="14.25" customHeight="1">
      <c r="B1" s="210" t="s">
        <v>40</v>
      </c>
      <c r="C1" s="30"/>
      <c r="D1" s="30"/>
      <c r="E1" s="30"/>
      <c r="F1" s="31"/>
      <c r="G1" s="31"/>
      <c r="H1" s="477" t="s">
        <v>156</v>
      </c>
      <c r="I1" s="477"/>
      <c r="J1" s="477"/>
      <c r="K1" s="477"/>
      <c r="L1" s="477"/>
      <c r="M1" s="212"/>
      <c r="N1" s="213"/>
      <c r="O1" s="5"/>
    </row>
    <row r="2" spans="1:18" s="6" customFormat="1" ht="14.25" customHeight="1">
      <c r="B2" s="211" t="s">
        <v>42</v>
      </c>
      <c r="C2" s="32"/>
      <c r="D2" s="32"/>
      <c r="E2" s="32"/>
      <c r="F2" s="32"/>
      <c r="G2" s="32"/>
      <c r="H2" s="478" t="s">
        <v>96</v>
      </c>
      <c r="I2" s="478"/>
      <c r="J2" s="478"/>
      <c r="K2" s="478"/>
      <c r="L2" s="478"/>
      <c r="M2" s="215"/>
      <c r="N2" s="215"/>
      <c r="O2" s="7"/>
    </row>
    <row r="3" spans="1:18" s="6" customFormat="1" ht="14.25" customHeight="1">
      <c r="B3" s="32"/>
      <c r="C3" s="32"/>
      <c r="D3" s="32"/>
      <c r="E3" s="32"/>
      <c r="F3" s="32"/>
      <c r="G3" s="32"/>
      <c r="H3" s="479" t="s">
        <v>157</v>
      </c>
      <c r="I3" s="479"/>
      <c r="J3" s="479"/>
      <c r="K3" s="479"/>
      <c r="L3" s="479"/>
      <c r="M3" s="214"/>
      <c r="N3" s="214"/>
      <c r="O3" s="7"/>
    </row>
    <row r="4" spans="1:18" s="4" customFormat="1" ht="27.75" customHeight="1">
      <c r="B4" s="481" t="s">
        <v>29</v>
      </c>
      <c r="C4" s="481"/>
      <c r="D4" s="481"/>
      <c r="E4" s="481"/>
      <c r="F4" s="481"/>
      <c r="G4" s="481"/>
      <c r="H4" s="481"/>
      <c r="I4" s="481"/>
      <c r="J4" s="481"/>
      <c r="K4" s="481"/>
      <c r="L4" s="481"/>
      <c r="M4" s="193"/>
    </row>
    <row r="5" spans="1:18" s="4" customFormat="1" ht="15" customHeight="1">
      <c r="B5" s="482" t="s">
        <v>68</v>
      </c>
      <c r="C5" s="482"/>
      <c r="D5" s="482"/>
      <c r="E5" s="482"/>
      <c r="F5" s="482"/>
      <c r="G5" s="482"/>
      <c r="H5" s="482"/>
      <c r="I5" s="482"/>
      <c r="J5" s="482"/>
      <c r="K5" s="482"/>
      <c r="L5" s="482"/>
      <c r="M5" s="193"/>
    </row>
    <row r="6" spans="1:18" s="4" customFormat="1" ht="12.75" hidden="1" customHeight="1">
      <c r="B6" s="482" t="s">
        <v>69</v>
      </c>
      <c r="C6" s="482"/>
      <c r="D6" s="482"/>
      <c r="E6" s="482"/>
      <c r="F6" s="482"/>
      <c r="G6" s="482"/>
      <c r="H6" s="482"/>
      <c r="I6" s="482"/>
      <c r="J6" s="482"/>
      <c r="K6" s="482"/>
      <c r="L6" s="482"/>
      <c r="M6" s="193"/>
    </row>
    <row r="7" spans="1:18" s="33" customFormat="1" ht="24" hidden="1" customHeight="1">
      <c r="C7" s="480" t="s">
        <v>67</v>
      </c>
      <c r="D7" s="480"/>
      <c r="E7" s="480"/>
      <c r="F7" s="480"/>
      <c r="G7" s="480"/>
      <c r="H7" s="480"/>
      <c r="I7" s="480"/>
      <c r="J7" s="480"/>
      <c r="K7" s="480"/>
      <c r="L7" s="480"/>
      <c r="M7" s="194"/>
    </row>
    <row r="8" spans="1:18" ht="20.25" customHeight="1">
      <c r="B8" s="471" t="s">
        <v>30</v>
      </c>
      <c r="C8" s="473" t="s">
        <v>31</v>
      </c>
      <c r="D8" s="474" t="s">
        <v>85</v>
      </c>
      <c r="E8" s="476" t="s">
        <v>32</v>
      </c>
      <c r="F8" s="476"/>
      <c r="G8" s="476"/>
      <c r="H8" s="476"/>
      <c r="I8" s="476"/>
      <c r="J8" s="476"/>
      <c r="K8" s="476"/>
      <c r="L8" s="476"/>
      <c r="N8" s="483" t="s">
        <v>119</v>
      </c>
      <c r="O8" s="483" t="s">
        <v>276</v>
      </c>
      <c r="P8" s="483" t="s">
        <v>209</v>
      </c>
      <c r="Q8" s="483" t="s">
        <v>210</v>
      </c>
      <c r="R8" s="483"/>
    </row>
    <row r="9" spans="1:18" ht="20.25" customHeight="1">
      <c r="B9" s="471"/>
      <c r="C9" s="473"/>
      <c r="D9" s="475"/>
      <c r="E9" s="476" t="s">
        <v>35</v>
      </c>
      <c r="F9" s="476"/>
      <c r="G9" s="472" t="s">
        <v>36</v>
      </c>
      <c r="H9" s="472"/>
      <c r="I9" s="472" t="s">
        <v>33</v>
      </c>
      <c r="J9" s="472"/>
      <c r="K9" s="472" t="s">
        <v>34</v>
      </c>
      <c r="L9" s="472"/>
      <c r="N9" s="484"/>
      <c r="O9" s="484"/>
      <c r="P9" s="484"/>
      <c r="Q9" s="484"/>
      <c r="R9" s="484"/>
    </row>
    <row r="10" spans="1:18" ht="20.25" hidden="1" customHeight="1">
      <c r="B10" s="471"/>
      <c r="C10" s="473"/>
      <c r="D10" s="34"/>
      <c r="E10" s="43" t="s">
        <v>61</v>
      </c>
      <c r="F10" s="43" t="s">
        <v>62</v>
      </c>
      <c r="G10" s="43" t="s">
        <v>61</v>
      </c>
      <c r="H10" s="43" t="s">
        <v>62</v>
      </c>
      <c r="I10" s="43" t="s">
        <v>61</v>
      </c>
      <c r="J10" s="43" t="s">
        <v>62</v>
      </c>
      <c r="K10" s="43" t="s">
        <v>61</v>
      </c>
      <c r="L10" s="43" t="s">
        <v>62</v>
      </c>
      <c r="N10" s="485"/>
      <c r="O10" s="485"/>
      <c r="P10" s="485"/>
      <c r="Q10" s="485"/>
      <c r="R10" s="485"/>
    </row>
    <row r="11" spans="1:18" s="44" customFormat="1">
      <c r="B11" s="45" t="s">
        <v>13</v>
      </c>
      <c r="C11" s="34" t="s">
        <v>14</v>
      </c>
      <c r="D11" s="34"/>
      <c r="E11" s="43">
        <v>1</v>
      </c>
      <c r="F11" s="43">
        <v>1</v>
      </c>
      <c r="G11" s="43">
        <v>2</v>
      </c>
      <c r="H11" s="43">
        <v>2</v>
      </c>
      <c r="I11" s="43">
        <v>3</v>
      </c>
      <c r="J11" s="43">
        <v>3</v>
      </c>
      <c r="K11" s="43">
        <v>4</v>
      </c>
      <c r="L11" s="43">
        <v>4</v>
      </c>
      <c r="M11" s="196"/>
      <c r="N11" s="82"/>
      <c r="O11" s="82"/>
      <c r="P11" s="82"/>
      <c r="Q11" s="82"/>
      <c r="R11" s="82"/>
    </row>
    <row r="12" spans="1:18" ht="18" customHeight="1">
      <c r="A12" s="40" t="str">
        <f>IF(B12&lt;&gt;"","VL","")</f>
        <v>VL</v>
      </c>
      <c r="B12" s="85">
        <f>IF(C12&lt;&gt;"",ROW()-(ROW()-1),"")</f>
        <v>1</v>
      </c>
      <c r="C12" s="41" t="s">
        <v>337</v>
      </c>
      <c r="D12" s="50" t="s">
        <v>37</v>
      </c>
      <c r="E12" s="46">
        <v>2921</v>
      </c>
      <c r="F12" s="46">
        <v>27352560</v>
      </c>
      <c r="G12" s="46">
        <f t="shared" ref="G12:G32" si="0">SUMIF(DSNX1,$C12,DSNX2)</f>
        <v>2400</v>
      </c>
      <c r="H12" s="46">
        <f t="shared" ref="H12:H32" si="1">SUMIF(DSNX1,$C12,DSNX5)</f>
        <v>21240000</v>
      </c>
      <c r="I12" s="46">
        <f t="shared" ref="I12:I32" si="2">SUMIF(DSNX1,$C12,DSNX3)</f>
        <v>5051</v>
      </c>
      <c r="J12" s="46">
        <f t="shared" ref="J12:J32" si="3">SUMIF(DSNX1,$C12,DSNX4)</f>
        <v>46247560</v>
      </c>
      <c r="K12" s="46">
        <f t="shared" ref="K12:K29" si="4">E12+G12-I12</f>
        <v>270</v>
      </c>
      <c r="L12" s="46">
        <f t="shared" ref="L12:L29" si="5">F12+H12-J12</f>
        <v>2345000</v>
      </c>
      <c r="M12" s="197" t="str">
        <f t="shared" ref="M12:M55" si="6">IF(N12&lt;&gt;"","NL","")</f>
        <v>NL</v>
      </c>
      <c r="N12" s="76" t="s">
        <v>139</v>
      </c>
      <c r="O12" s="191" t="str">
        <f>VLOOKUP($N12,[2]Vine!$A$12:$E$90,4,0)</f>
        <v>Vũng Tàu</v>
      </c>
      <c r="P12" s="191">
        <f>VLOOKUP($N12,[2]Vine!$A$12:$E$90,2,0)</f>
        <v>270986506</v>
      </c>
      <c r="Q12" s="191" t="str">
        <f>VLOOKUP($N12,[2]Vine!$A$12:$E$90,3,0)</f>
        <v>Vũng Tàu</v>
      </c>
      <c r="R12" s="246" t="s">
        <v>229</v>
      </c>
    </row>
    <row r="13" spans="1:18" ht="18" customHeight="1">
      <c r="A13" s="40" t="str">
        <f t="shared" ref="A13:A55" si="7">IF(B13&lt;&gt;"","VL","")</f>
        <v>VL</v>
      </c>
      <c r="B13" s="85">
        <f>IF(C13&lt;&gt;"",B12+1,"")</f>
        <v>2</v>
      </c>
      <c r="C13" s="37" t="s">
        <v>46</v>
      </c>
      <c r="D13" s="50" t="s">
        <v>37</v>
      </c>
      <c r="E13" s="38">
        <v>77</v>
      </c>
      <c r="F13" s="38">
        <v>3560488</v>
      </c>
      <c r="G13" s="46">
        <f t="shared" si="0"/>
        <v>0</v>
      </c>
      <c r="H13" s="46">
        <f t="shared" si="1"/>
        <v>0</v>
      </c>
      <c r="I13" s="46">
        <f t="shared" si="2"/>
        <v>77</v>
      </c>
      <c r="J13" s="46">
        <f t="shared" si="3"/>
        <v>3560488</v>
      </c>
      <c r="K13" s="38">
        <f t="shared" si="4"/>
        <v>0</v>
      </c>
      <c r="L13" s="38">
        <f t="shared" si="5"/>
        <v>0</v>
      </c>
      <c r="M13" s="197" t="str">
        <f t="shared" si="6"/>
        <v>NL</v>
      </c>
      <c r="N13" s="76" t="s">
        <v>409</v>
      </c>
      <c r="O13" s="191" t="str">
        <f>VLOOKUP($N13,[2]Vine!$A$12:$E$90,4,0)</f>
        <v>Kiên Giang</v>
      </c>
      <c r="P13" s="191">
        <f>VLOOKUP($N13,[2]Vine!$A$12:$E$90,2,0)</f>
        <v>371139593</v>
      </c>
      <c r="Q13" s="191" t="str">
        <f>VLOOKUP($N13,[2]Vine!$A$12:$E$90,3,0)</f>
        <v>Rạch Giá - Kiên Giang</v>
      </c>
      <c r="R13" s="246" t="s">
        <v>229</v>
      </c>
    </row>
    <row r="14" spans="1:18" ht="18" customHeight="1">
      <c r="A14" s="40" t="str">
        <f t="shared" si="7"/>
        <v>VL</v>
      </c>
      <c r="B14" s="85">
        <f t="shared" ref="B14:B55" si="8">IF(C14&lt;&gt;"",B13+1,"")</f>
        <v>3</v>
      </c>
      <c r="C14" s="37" t="s">
        <v>338</v>
      </c>
      <c r="D14" s="50" t="s">
        <v>37</v>
      </c>
      <c r="E14" s="38">
        <v>470</v>
      </c>
      <c r="F14" s="38">
        <v>16074000</v>
      </c>
      <c r="G14" s="46">
        <f t="shared" si="0"/>
        <v>4000</v>
      </c>
      <c r="H14" s="46">
        <f t="shared" si="1"/>
        <v>130912000</v>
      </c>
      <c r="I14" s="46">
        <f t="shared" si="2"/>
        <v>3170</v>
      </c>
      <c r="J14" s="46">
        <f t="shared" si="3"/>
        <v>104439600</v>
      </c>
      <c r="K14" s="38">
        <f t="shared" si="4"/>
        <v>1300</v>
      </c>
      <c r="L14" s="38">
        <f t="shared" si="5"/>
        <v>42546400</v>
      </c>
      <c r="M14" s="197" t="str">
        <f t="shared" si="6"/>
        <v>NL</v>
      </c>
      <c r="N14" s="76" t="s">
        <v>440</v>
      </c>
      <c r="O14" s="191" t="str">
        <f>VLOOKUP($N14,[2]Vine!$A$12:$E$90,4,0)</f>
        <v>Vũng Tàu</v>
      </c>
      <c r="P14" s="191">
        <f>VLOOKUP($N14,[2]Vine!$A$12:$E$90,2,0)</f>
        <v>211161439</v>
      </c>
      <c r="Q14" s="191" t="str">
        <f>VLOOKUP($N14,[2]Vine!$A$12:$E$90,3,0)</f>
        <v>Vũng Tàu</v>
      </c>
      <c r="R14" s="246" t="s">
        <v>229</v>
      </c>
    </row>
    <row r="15" spans="1:18" ht="18" customHeight="1">
      <c r="A15" s="40" t="str">
        <f t="shared" si="7"/>
        <v>VL</v>
      </c>
      <c r="B15" s="85">
        <f t="shared" si="8"/>
        <v>4</v>
      </c>
      <c r="C15" s="37" t="s">
        <v>38</v>
      </c>
      <c r="D15" s="50" t="s">
        <v>37</v>
      </c>
      <c r="E15" s="38">
        <v>1070</v>
      </c>
      <c r="F15" s="38">
        <v>17578000</v>
      </c>
      <c r="G15" s="46">
        <f t="shared" si="0"/>
        <v>2000</v>
      </c>
      <c r="H15" s="46">
        <f t="shared" si="1"/>
        <v>28000000</v>
      </c>
      <c r="I15" s="46">
        <f t="shared" si="2"/>
        <v>2125</v>
      </c>
      <c r="J15" s="46">
        <f t="shared" si="3"/>
        <v>32348000</v>
      </c>
      <c r="K15" s="38">
        <f t="shared" si="4"/>
        <v>945</v>
      </c>
      <c r="L15" s="38">
        <f t="shared" si="5"/>
        <v>13230000</v>
      </c>
      <c r="M15" s="197" t="str">
        <f t="shared" si="6"/>
        <v>NL</v>
      </c>
      <c r="N15" s="76" t="s">
        <v>411</v>
      </c>
      <c r="O15" s="191" t="str">
        <f>VLOOKUP($N15,[2]Vine!$A$12:$E$90,4,0)</f>
        <v>Vũng Tàu</v>
      </c>
      <c r="P15" s="191">
        <f>VLOOKUP($N15,[2]Vine!$A$12:$E$90,2,0)</f>
        <v>190253143</v>
      </c>
      <c r="Q15" s="191" t="str">
        <f>VLOOKUP($N15,[2]Vine!$A$12:$E$90,3,0)</f>
        <v>Vũng Tàu</v>
      </c>
      <c r="R15" s="246" t="s">
        <v>229</v>
      </c>
    </row>
    <row r="16" spans="1:18" ht="18" customHeight="1">
      <c r="A16" s="40" t="str">
        <f t="shared" si="7"/>
        <v>VL</v>
      </c>
      <c r="B16" s="85">
        <f t="shared" si="8"/>
        <v>5</v>
      </c>
      <c r="C16" s="37" t="s">
        <v>339</v>
      </c>
      <c r="D16" s="50" t="s">
        <v>37</v>
      </c>
      <c r="E16" s="38">
        <v>100</v>
      </c>
      <c r="F16" s="38">
        <v>3127272</v>
      </c>
      <c r="G16" s="46">
        <f t="shared" si="0"/>
        <v>7500</v>
      </c>
      <c r="H16" s="46">
        <f t="shared" si="1"/>
        <v>209072715</v>
      </c>
      <c r="I16" s="46">
        <f t="shared" si="2"/>
        <v>6100</v>
      </c>
      <c r="J16" s="46">
        <f t="shared" si="3"/>
        <v>169736298</v>
      </c>
      <c r="K16" s="38">
        <f t="shared" si="4"/>
        <v>1500</v>
      </c>
      <c r="L16" s="38">
        <f t="shared" si="5"/>
        <v>42463689</v>
      </c>
      <c r="M16" s="197" t="str">
        <f t="shared" si="6"/>
        <v>NL</v>
      </c>
      <c r="N16" s="76" t="s">
        <v>125</v>
      </c>
      <c r="O16" s="191" t="str">
        <f>VLOOKUP($N16,[2]Vine!$A$12:$E$90,4,0)</f>
        <v>Bình Thuận</v>
      </c>
      <c r="P16" s="191">
        <f>VLOOKUP($N16,[2]Vine!$A$12:$E$90,2,0)</f>
        <v>260178873</v>
      </c>
      <c r="Q16" s="191" t="str">
        <f>VLOOKUP($N16,[2]Vine!$A$12:$E$90,3,0)</f>
        <v>Phan Thiết - Bình Thuận</v>
      </c>
      <c r="R16" s="246" t="s">
        <v>229</v>
      </c>
    </row>
    <row r="17" spans="1:19" ht="18" customHeight="1">
      <c r="A17" s="40" t="str">
        <f t="shared" si="7"/>
        <v>VL</v>
      </c>
      <c r="B17" s="85">
        <f t="shared" si="8"/>
        <v>6</v>
      </c>
      <c r="C17" s="37" t="s">
        <v>340</v>
      </c>
      <c r="D17" s="50" t="s">
        <v>37</v>
      </c>
      <c r="E17" s="38"/>
      <c r="F17" s="38"/>
      <c r="G17" s="46">
        <f t="shared" si="0"/>
        <v>7000</v>
      </c>
      <c r="H17" s="46">
        <f t="shared" si="1"/>
        <v>32200000</v>
      </c>
      <c r="I17" s="46">
        <f t="shared" si="2"/>
        <v>4291</v>
      </c>
      <c r="J17" s="46">
        <f t="shared" si="3"/>
        <v>20167316</v>
      </c>
      <c r="K17" s="38">
        <f t="shared" si="4"/>
        <v>2709</v>
      </c>
      <c r="L17" s="38">
        <f t="shared" si="5"/>
        <v>12032684</v>
      </c>
      <c r="M17" s="197" t="str">
        <f t="shared" si="6"/>
        <v>NL</v>
      </c>
      <c r="N17" s="76" t="s">
        <v>128</v>
      </c>
      <c r="O17" s="191" t="str">
        <f>VLOOKUP($N17,[2]Vine!$A$12:$E$90,4,0)</f>
        <v>Kiên Giang</v>
      </c>
      <c r="P17" s="191">
        <f>VLOOKUP($N17,[2]Vine!$A$12:$E$90,2,0)</f>
        <v>370054438</v>
      </c>
      <c r="Q17" s="191" t="str">
        <f>VLOOKUP($N17,[2]Vine!$A$12:$E$90,3,0)</f>
        <v>Rạch Giá - Kiên Giang</v>
      </c>
      <c r="R17" s="246" t="s">
        <v>229</v>
      </c>
    </row>
    <row r="18" spans="1:19" ht="18" customHeight="1">
      <c r="A18" s="40" t="str">
        <f t="shared" si="7"/>
        <v>VL</v>
      </c>
      <c r="B18" s="85">
        <f t="shared" si="8"/>
        <v>7</v>
      </c>
      <c r="C18" s="37" t="s">
        <v>341</v>
      </c>
      <c r="D18" s="51" t="s">
        <v>463</v>
      </c>
      <c r="E18" s="38"/>
      <c r="F18" s="38"/>
      <c r="G18" s="46">
        <f t="shared" si="0"/>
        <v>540</v>
      </c>
      <c r="H18" s="46">
        <f t="shared" si="1"/>
        <v>7809334</v>
      </c>
      <c r="I18" s="46">
        <f t="shared" si="2"/>
        <v>540</v>
      </c>
      <c r="J18" s="46">
        <f t="shared" si="3"/>
        <v>7809334</v>
      </c>
      <c r="K18" s="38">
        <f t="shared" si="4"/>
        <v>0</v>
      </c>
      <c r="L18" s="38">
        <f t="shared" si="5"/>
        <v>0</v>
      </c>
      <c r="M18" s="197" t="str">
        <f t="shared" si="6"/>
        <v>NL</v>
      </c>
      <c r="N18" s="76" t="s">
        <v>423</v>
      </c>
      <c r="O18" s="191" t="str">
        <f>VLOOKUP($N18,[2]Vine!$A$12:$E$90,4,0)</f>
        <v>Bình Thuận</v>
      </c>
      <c r="P18" s="191">
        <f>VLOOKUP($N18,[2]Vine!$A$12:$E$90,2,0)</f>
        <v>261005222</v>
      </c>
      <c r="Q18" s="191" t="str">
        <f>VLOOKUP($N18,[2]Vine!$A$12:$E$90,3,0)</f>
        <v>Thanh Hải - Bình Thuận</v>
      </c>
      <c r="R18" s="246" t="s">
        <v>229</v>
      </c>
    </row>
    <row r="19" spans="1:19" ht="18" customHeight="1">
      <c r="A19" s="40" t="str">
        <f t="shared" si="7"/>
        <v>VL</v>
      </c>
      <c r="B19" s="85">
        <f t="shared" si="8"/>
        <v>8</v>
      </c>
      <c r="C19" s="402" t="s">
        <v>56</v>
      </c>
      <c r="D19" s="51" t="s">
        <v>463</v>
      </c>
      <c r="E19" s="404"/>
      <c r="F19" s="404"/>
      <c r="G19" s="405">
        <f t="shared" si="0"/>
        <v>200</v>
      </c>
      <c r="H19" s="405">
        <f t="shared" si="1"/>
        <v>3830820</v>
      </c>
      <c r="I19" s="405">
        <f t="shared" si="2"/>
        <v>200</v>
      </c>
      <c r="J19" s="405">
        <f t="shared" si="3"/>
        <v>3830820</v>
      </c>
      <c r="K19" s="404">
        <f t="shared" si="4"/>
        <v>0</v>
      </c>
      <c r="L19" s="404">
        <f t="shared" si="5"/>
        <v>0</v>
      </c>
      <c r="M19" s="197" t="str">
        <f t="shared" si="6"/>
        <v>NL</v>
      </c>
      <c r="N19" s="76" t="s">
        <v>319</v>
      </c>
      <c r="O19" s="191" t="str">
        <f>VLOOKUP($N19,[2]Vine!$A$12:$E$90,4,0)</f>
        <v>Vũng Tàu</v>
      </c>
      <c r="P19" s="191">
        <f>VLOOKUP($N19,[2]Vine!$A$12:$E$90,2,0)</f>
        <v>260456563</v>
      </c>
      <c r="Q19" s="191" t="str">
        <f>VLOOKUP($N19,[2]Vine!$A$12:$E$90,3,0)</f>
        <v>Vũng Tàu</v>
      </c>
      <c r="R19" s="246" t="s">
        <v>229</v>
      </c>
    </row>
    <row r="20" spans="1:19" ht="18" customHeight="1">
      <c r="A20" s="40" t="str">
        <f t="shared" si="7"/>
        <v>VL</v>
      </c>
      <c r="B20" s="85">
        <f t="shared" si="8"/>
        <v>9</v>
      </c>
      <c r="C20" s="402" t="s">
        <v>342</v>
      </c>
      <c r="D20" s="51" t="s">
        <v>463</v>
      </c>
      <c r="E20" s="404"/>
      <c r="F20" s="404"/>
      <c r="G20" s="405">
        <f t="shared" si="0"/>
        <v>325</v>
      </c>
      <c r="H20" s="405">
        <f t="shared" si="1"/>
        <v>11606875</v>
      </c>
      <c r="I20" s="405">
        <f t="shared" si="2"/>
        <v>325</v>
      </c>
      <c r="J20" s="405">
        <f t="shared" si="3"/>
        <v>11606875</v>
      </c>
      <c r="K20" s="404">
        <f t="shared" si="4"/>
        <v>0</v>
      </c>
      <c r="L20" s="404">
        <f t="shared" si="5"/>
        <v>0</v>
      </c>
      <c r="M20" s="197" t="str">
        <f t="shared" si="6"/>
        <v>NL</v>
      </c>
      <c r="N20" s="76" t="s">
        <v>308</v>
      </c>
      <c r="O20" s="191" t="str">
        <f>VLOOKUP($N20,[2]Vine!$A$12:$E$90,4,0)</f>
        <v>Kiên Giang</v>
      </c>
      <c r="P20" s="191">
        <f>VLOOKUP($N20,[2]Vine!$A$12:$E$90,2,0)</f>
        <v>370324838</v>
      </c>
      <c r="Q20" s="191" t="str">
        <f>VLOOKUP($N20,[2]Vine!$A$12:$E$90,3,0)</f>
        <v>Rạch Giá - Kiên Giang</v>
      </c>
      <c r="R20" s="246" t="s">
        <v>229</v>
      </c>
    </row>
    <row r="21" spans="1:19" ht="18" customHeight="1">
      <c r="A21" s="40" t="str">
        <f t="shared" si="7"/>
        <v>VL</v>
      </c>
      <c r="B21" s="85">
        <f t="shared" si="8"/>
        <v>10</v>
      </c>
      <c r="C21" s="402" t="s">
        <v>343</v>
      </c>
      <c r="D21" s="51" t="s">
        <v>463</v>
      </c>
      <c r="E21" s="404"/>
      <c r="F21" s="404"/>
      <c r="G21" s="405">
        <f t="shared" si="0"/>
        <v>540</v>
      </c>
      <c r="H21" s="405">
        <f t="shared" si="1"/>
        <v>2428337</v>
      </c>
      <c r="I21" s="405">
        <f t="shared" si="2"/>
        <v>540</v>
      </c>
      <c r="J21" s="405">
        <f t="shared" si="3"/>
        <v>2428337</v>
      </c>
      <c r="K21" s="404">
        <f t="shared" si="4"/>
        <v>0</v>
      </c>
      <c r="L21" s="404">
        <f t="shared" si="5"/>
        <v>0</v>
      </c>
      <c r="M21" s="197" t="str">
        <f t="shared" si="6"/>
        <v>NL</v>
      </c>
      <c r="N21" s="76" t="s">
        <v>309</v>
      </c>
      <c r="O21" s="191" t="str">
        <f>VLOOKUP($N21,[2]Vine!$A$12:$E$90,4,0)</f>
        <v>Kiên Giang</v>
      </c>
      <c r="P21" s="191">
        <f>VLOOKUP($N21,[2]Vine!$A$12:$E$90,2,0)</f>
        <v>370511387</v>
      </c>
      <c r="Q21" s="191" t="str">
        <f>VLOOKUP($N21,[2]Vine!$A$12:$E$90,3,0)</f>
        <v>Rạch Giá - Kiên Giang</v>
      </c>
      <c r="R21" s="246" t="s">
        <v>229</v>
      </c>
    </row>
    <row r="22" spans="1:19" ht="18" customHeight="1">
      <c r="A22" s="40" t="str">
        <f t="shared" si="7"/>
        <v>VL</v>
      </c>
      <c r="B22" s="85">
        <f t="shared" si="8"/>
        <v>11</v>
      </c>
      <c r="C22" s="402" t="s">
        <v>55</v>
      </c>
      <c r="D22" s="403" t="s">
        <v>83</v>
      </c>
      <c r="E22" s="404"/>
      <c r="F22" s="404"/>
      <c r="G22" s="405">
        <f t="shared" si="0"/>
        <v>1400</v>
      </c>
      <c r="H22" s="405">
        <f t="shared" si="1"/>
        <v>48580000</v>
      </c>
      <c r="I22" s="405">
        <f t="shared" si="2"/>
        <v>1400</v>
      </c>
      <c r="J22" s="405">
        <f t="shared" si="3"/>
        <v>48580000</v>
      </c>
      <c r="K22" s="404">
        <f t="shared" si="4"/>
        <v>0</v>
      </c>
      <c r="L22" s="404">
        <f t="shared" si="5"/>
        <v>0</v>
      </c>
      <c r="M22" s="197" t="str">
        <f t="shared" si="6"/>
        <v>NL</v>
      </c>
      <c r="N22" s="76" t="s">
        <v>317</v>
      </c>
      <c r="O22" s="191" t="str">
        <f>VLOOKUP($N22,[2]Vine!$A$12:$E$90,4,0)</f>
        <v>Kiên Giang</v>
      </c>
      <c r="P22" s="191">
        <f>VLOOKUP($N22,[2]Vine!$A$12:$E$90,2,0)</f>
        <v>371166950</v>
      </c>
      <c r="Q22" s="191" t="str">
        <f>VLOOKUP($N22,[2]Vine!$A$12:$E$90,3,0)</f>
        <v>Rạch Giá - Kiên Giang</v>
      </c>
      <c r="R22" s="246" t="s">
        <v>229</v>
      </c>
    </row>
    <row r="23" spans="1:19" ht="18" customHeight="1">
      <c r="A23" s="40" t="str">
        <f t="shared" si="7"/>
        <v>VL</v>
      </c>
      <c r="B23" s="85">
        <f t="shared" si="8"/>
        <v>12</v>
      </c>
      <c r="C23" s="402" t="s">
        <v>344</v>
      </c>
      <c r="D23" s="403" t="s">
        <v>83</v>
      </c>
      <c r="E23" s="404"/>
      <c r="F23" s="404"/>
      <c r="G23" s="405">
        <f t="shared" si="0"/>
        <v>230</v>
      </c>
      <c r="H23" s="405">
        <f t="shared" si="1"/>
        <v>2081500</v>
      </c>
      <c r="I23" s="405">
        <f t="shared" si="2"/>
        <v>230</v>
      </c>
      <c r="J23" s="405">
        <f t="shared" si="3"/>
        <v>2081500</v>
      </c>
      <c r="K23" s="404">
        <f t="shared" si="4"/>
        <v>0</v>
      </c>
      <c r="L23" s="404">
        <f t="shared" si="5"/>
        <v>0</v>
      </c>
      <c r="M23" s="197" t="str">
        <f t="shared" si="6"/>
        <v>NL</v>
      </c>
      <c r="N23" s="76" t="s">
        <v>124</v>
      </c>
      <c r="O23" s="191" t="str">
        <f>VLOOKUP($N23,[2]Vine!$A$12:$E$90,4,0)</f>
        <v>Bình Thuận</v>
      </c>
      <c r="P23" s="191">
        <f>VLOOKUP($N23,[2]Vine!$A$12:$E$90,2,0)</f>
        <v>260690910</v>
      </c>
      <c r="Q23" s="191" t="str">
        <f>VLOOKUP($N23,[2]Vine!$A$12:$E$90,3,0)</f>
        <v>Hàm Tân - Bình Thuận</v>
      </c>
      <c r="R23" s="246" t="s">
        <v>229</v>
      </c>
    </row>
    <row r="24" spans="1:19" ht="18" customHeight="1">
      <c r="A24" s="40" t="str">
        <f t="shared" si="7"/>
        <v>VL</v>
      </c>
      <c r="B24" s="85">
        <f t="shared" si="8"/>
        <v>13</v>
      </c>
      <c r="C24" s="414" t="s">
        <v>43</v>
      </c>
      <c r="D24" s="403" t="s">
        <v>83</v>
      </c>
      <c r="E24" s="404">
        <v>11099</v>
      </c>
      <c r="F24" s="404">
        <v>63264300</v>
      </c>
      <c r="G24" s="405">
        <f t="shared" si="0"/>
        <v>0</v>
      </c>
      <c r="H24" s="405">
        <f t="shared" si="1"/>
        <v>0</v>
      </c>
      <c r="I24" s="405">
        <f t="shared" si="2"/>
        <v>0</v>
      </c>
      <c r="J24" s="405">
        <f t="shared" si="3"/>
        <v>0</v>
      </c>
      <c r="K24" s="404">
        <f t="shared" si="4"/>
        <v>11099</v>
      </c>
      <c r="L24" s="404">
        <f t="shared" si="5"/>
        <v>63264300</v>
      </c>
      <c r="M24" s="197" t="str">
        <f t="shared" si="6"/>
        <v>NL</v>
      </c>
      <c r="N24" s="76" t="s">
        <v>127</v>
      </c>
      <c r="O24" s="191" t="str">
        <f>VLOOKUP($N24,[2]Vine!$A$12:$E$90,4,0)</f>
        <v>Kiên Giang</v>
      </c>
      <c r="P24" s="191">
        <f>VLOOKUP($N24,[2]Vine!$A$12:$E$90,2,0)</f>
        <v>370004125</v>
      </c>
      <c r="Q24" s="191" t="str">
        <f>VLOOKUP($N24,[2]Vine!$A$12:$E$90,3,0)</f>
        <v>Rạch Giá - Kiên Giang</v>
      </c>
      <c r="R24" s="246" t="s">
        <v>229</v>
      </c>
    </row>
    <row r="25" spans="1:19" ht="18" customHeight="1">
      <c r="A25" s="40" t="str">
        <f t="shared" si="7"/>
        <v>VL</v>
      </c>
      <c r="B25" s="85">
        <f t="shared" si="8"/>
        <v>14</v>
      </c>
      <c r="C25" s="402" t="s">
        <v>280</v>
      </c>
      <c r="D25" s="403" t="s">
        <v>83</v>
      </c>
      <c r="E25" s="404"/>
      <c r="F25" s="404"/>
      <c r="G25" s="405">
        <f t="shared" si="0"/>
        <v>1430</v>
      </c>
      <c r="H25" s="405">
        <f t="shared" si="1"/>
        <v>8651500</v>
      </c>
      <c r="I25" s="405">
        <f t="shared" si="2"/>
        <v>440</v>
      </c>
      <c r="J25" s="405">
        <f t="shared" si="3"/>
        <v>2662000</v>
      </c>
      <c r="K25" s="404">
        <f t="shared" si="4"/>
        <v>990</v>
      </c>
      <c r="L25" s="404">
        <f t="shared" si="5"/>
        <v>5989500</v>
      </c>
      <c r="M25" s="197" t="str">
        <f t="shared" si="6"/>
        <v>NL</v>
      </c>
      <c r="N25" s="76" t="s">
        <v>302</v>
      </c>
      <c r="O25" s="191" t="str">
        <f>VLOOKUP($N25,[2]Vine!$A$12:$E$90,4,0)</f>
        <v>Kiên Giang</v>
      </c>
      <c r="P25" s="191">
        <f>VLOOKUP($N25,[2]Vine!$A$12:$E$90,2,0)</f>
        <v>370948627</v>
      </c>
      <c r="Q25" s="191" t="str">
        <f>VLOOKUP($N25,[2]Vine!$A$12:$E$90,3,0)</f>
        <v>Rạch Giá - Kiên Giang</v>
      </c>
      <c r="R25" s="246" t="s">
        <v>229</v>
      </c>
    </row>
    <row r="26" spans="1:19" ht="18" customHeight="1">
      <c r="A26" s="40" t="str">
        <f t="shared" ref="A26" si="9">IF(B26&lt;&gt;"","VL","")</f>
        <v>VL</v>
      </c>
      <c r="B26" s="85">
        <f t="shared" ref="B26:B52" si="10">IF(C26&lt;&gt;"",B25+1,"")</f>
        <v>15</v>
      </c>
      <c r="C26" s="402" t="s">
        <v>47</v>
      </c>
      <c r="D26" s="403" t="s">
        <v>83</v>
      </c>
      <c r="E26" s="404"/>
      <c r="F26" s="404"/>
      <c r="G26" s="405">
        <f t="shared" si="0"/>
        <v>7990</v>
      </c>
      <c r="H26" s="405">
        <f t="shared" si="1"/>
        <v>47540500</v>
      </c>
      <c r="I26" s="405">
        <f t="shared" si="2"/>
        <v>1350</v>
      </c>
      <c r="J26" s="405">
        <f t="shared" si="3"/>
        <v>8032500</v>
      </c>
      <c r="K26" s="404">
        <f t="shared" ref="K26" si="11">E26+G26-I26</f>
        <v>6640</v>
      </c>
      <c r="L26" s="404">
        <f t="shared" ref="L26" si="12">F26+H26-J26</f>
        <v>39508000</v>
      </c>
      <c r="M26" s="197" t="str">
        <f t="shared" si="6"/>
        <v>NL</v>
      </c>
      <c r="N26" s="76" t="s">
        <v>132</v>
      </c>
      <c r="O26" s="191" t="str">
        <f>VLOOKUP($N26,[2]Vine!$A$12:$E$90,4,0)</f>
        <v>Tiền Giang</v>
      </c>
      <c r="P26" s="191">
        <f>VLOOKUP($N26,[2]Vine!$A$12:$E$90,2,0)</f>
        <v>310882191</v>
      </c>
      <c r="Q26" s="191" t="str">
        <f>VLOOKUP($N26,[2]Vine!$A$12:$E$90,3,0)</f>
        <v>Gò Công Tây - Tiền Giang</v>
      </c>
      <c r="R26" s="246" t="s">
        <v>464</v>
      </c>
    </row>
    <row r="27" spans="1:19" ht="18" customHeight="1">
      <c r="A27" s="40" t="str">
        <f t="shared" si="7"/>
        <v>VL</v>
      </c>
      <c r="B27" s="85">
        <f t="shared" si="8"/>
        <v>16</v>
      </c>
      <c r="C27" s="410" t="s">
        <v>345</v>
      </c>
      <c r="D27" s="403" t="s">
        <v>83</v>
      </c>
      <c r="E27" s="411"/>
      <c r="F27" s="411"/>
      <c r="G27" s="412">
        <f t="shared" si="0"/>
        <v>202</v>
      </c>
      <c r="H27" s="412">
        <f t="shared" si="1"/>
        <v>5656000</v>
      </c>
      <c r="I27" s="412">
        <f t="shared" si="2"/>
        <v>202</v>
      </c>
      <c r="J27" s="412">
        <f t="shared" si="3"/>
        <v>5656000</v>
      </c>
      <c r="K27" s="411">
        <f t="shared" si="4"/>
        <v>0</v>
      </c>
      <c r="L27" s="411">
        <f t="shared" si="5"/>
        <v>0</v>
      </c>
      <c r="M27" s="197" t="str">
        <f t="shared" si="6"/>
        <v>NL</v>
      </c>
      <c r="N27" s="76" t="s">
        <v>424</v>
      </c>
      <c r="O27" s="191" t="str">
        <f>VLOOKUP($N27,[2]Vine!$A$12:$E$90,4,0)</f>
        <v>Vũng Tàu</v>
      </c>
      <c r="P27" s="191">
        <f>VLOOKUP($N27,[2]Vine!$A$12:$E$90,2,0)</f>
        <v>270065116</v>
      </c>
      <c r="Q27" s="191" t="str">
        <f>VLOOKUP($N27,[2]Vine!$A$12:$E$90,3,0)</f>
        <v>Vũng Tàu</v>
      </c>
      <c r="R27" s="246" t="s">
        <v>464</v>
      </c>
    </row>
    <row r="28" spans="1:19" ht="18" customHeight="1">
      <c r="A28" s="40" t="str">
        <f t="shared" si="7"/>
        <v>VL</v>
      </c>
      <c r="B28" s="85">
        <f t="shared" si="10"/>
        <v>17</v>
      </c>
      <c r="C28" s="413" t="s">
        <v>290</v>
      </c>
      <c r="D28" s="403" t="s">
        <v>83</v>
      </c>
      <c r="E28" s="411"/>
      <c r="F28" s="411"/>
      <c r="G28" s="412">
        <f t="shared" si="0"/>
        <v>215</v>
      </c>
      <c r="H28" s="412">
        <f t="shared" si="1"/>
        <v>6020000</v>
      </c>
      <c r="I28" s="412">
        <f t="shared" si="2"/>
        <v>215</v>
      </c>
      <c r="J28" s="412">
        <f t="shared" si="3"/>
        <v>6020000</v>
      </c>
      <c r="K28" s="411">
        <f t="shared" si="4"/>
        <v>0</v>
      </c>
      <c r="L28" s="411">
        <f t="shared" si="5"/>
        <v>0</v>
      </c>
      <c r="M28" s="197" t="str">
        <f t="shared" si="6"/>
        <v>NL</v>
      </c>
      <c r="N28" s="76" t="s">
        <v>140</v>
      </c>
      <c r="O28" s="191" t="str">
        <f>VLOOKUP($N28,[2]Vine!$A$12:$E$90,4,0)</f>
        <v>Vũng Tàu</v>
      </c>
      <c r="P28" s="191">
        <f>VLOOKUP($N28,[2]Vine!$A$12:$E$90,2,0)</f>
        <v>271642418</v>
      </c>
      <c r="Q28" s="191" t="str">
        <f>VLOOKUP($N28,[2]Vine!$A$12:$E$90,3,0)</f>
        <v>Vũng Tàu</v>
      </c>
      <c r="R28" s="246" t="s">
        <v>464</v>
      </c>
    </row>
    <row r="29" spans="1:19" s="217" customFormat="1" ht="18" customHeight="1">
      <c r="A29" s="40" t="str">
        <f t="shared" si="7"/>
        <v>VL</v>
      </c>
      <c r="B29" s="85">
        <f t="shared" si="8"/>
        <v>18</v>
      </c>
      <c r="C29" s="413" t="s">
        <v>346</v>
      </c>
      <c r="D29" s="403" t="s">
        <v>83</v>
      </c>
      <c r="E29" s="411"/>
      <c r="F29" s="411"/>
      <c r="G29" s="412">
        <f t="shared" si="0"/>
        <v>163</v>
      </c>
      <c r="H29" s="412">
        <f t="shared" si="1"/>
        <v>5542000</v>
      </c>
      <c r="I29" s="412">
        <f t="shared" si="2"/>
        <v>163</v>
      </c>
      <c r="J29" s="412">
        <f t="shared" si="3"/>
        <v>5542000</v>
      </c>
      <c r="K29" s="411">
        <f t="shared" si="4"/>
        <v>0</v>
      </c>
      <c r="L29" s="411">
        <f t="shared" si="5"/>
        <v>0</v>
      </c>
      <c r="M29" s="197" t="str">
        <f t="shared" si="6"/>
        <v>NL</v>
      </c>
      <c r="N29" s="76" t="s">
        <v>299</v>
      </c>
      <c r="O29" s="191" t="str">
        <f>VLOOKUP($N29,[2]Vine!$A$12:$E$90,4,0)</f>
        <v>Bến Tre</v>
      </c>
      <c r="P29" s="191">
        <f>VLOOKUP($N29,[2]Vine!$A$12:$E$90,2,0)</f>
        <v>320878272</v>
      </c>
      <c r="Q29" s="191" t="str">
        <f>VLOOKUP($N29,[2]Vine!$A$12:$E$90,3,0)</f>
        <v>Giồng Trôm - Bến Tre</v>
      </c>
      <c r="R29" s="246" t="s">
        <v>464</v>
      </c>
      <c r="S29" s="35"/>
    </row>
    <row r="30" spans="1:19" s="217" customFormat="1" ht="18" customHeight="1">
      <c r="A30" s="40" t="str">
        <f t="shared" si="7"/>
        <v>VL</v>
      </c>
      <c r="B30" s="85">
        <f t="shared" si="10"/>
        <v>19</v>
      </c>
      <c r="C30" s="413" t="s">
        <v>54</v>
      </c>
      <c r="D30" s="403" t="s">
        <v>83</v>
      </c>
      <c r="E30" s="411">
        <v>1150</v>
      </c>
      <c r="F30" s="411">
        <v>14375000</v>
      </c>
      <c r="G30" s="412">
        <f t="shared" si="0"/>
        <v>4760</v>
      </c>
      <c r="H30" s="412">
        <f t="shared" si="1"/>
        <v>61166000</v>
      </c>
      <c r="I30" s="412">
        <f t="shared" si="2"/>
        <v>5080</v>
      </c>
      <c r="J30" s="412">
        <f t="shared" si="3"/>
        <v>64875500</v>
      </c>
      <c r="K30" s="411">
        <f t="shared" ref="K30:K61" si="13">E30+G30-I30</f>
        <v>830</v>
      </c>
      <c r="L30" s="411">
        <f t="shared" ref="L30:L61" si="14">F30+H30-J30</f>
        <v>10665500</v>
      </c>
      <c r="M30" s="197" t="str">
        <f t="shared" si="6"/>
        <v>NL</v>
      </c>
      <c r="N30" s="76" t="s">
        <v>130</v>
      </c>
      <c r="O30" s="191" t="str">
        <f>VLOOKUP($N30,[2]Vine!$A$12:$E$90,4,0)</f>
        <v>Tiền Giang</v>
      </c>
      <c r="P30" s="191">
        <f>VLOOKUP($N30,[2]Vine!$A$12:$E$90,2,0)</f>
        <v>311704830</v>
      </c>
      <c r="Q30" s="191" t="str">
        <f>VLOOKUP($N30,[2]Vine!$A$12:$E$90,3,0)</f>
        <v>Châu Thành - Tiền Giang</v>
      </c>
      <c r="R30" s="246" t="s">
        <v>464</v>
      </c>
      <c r="S30" s="35"/>
    </row>
    <row r="31" spans="1:19" s="217" customFormat="1" ht="18" customHeight="1">
      <c r="A31" s="40" t="str">
        <f t="shared" si="7"/>
        <v>VL</v>
      </c>
      <c r="B31" s="85">
        <f t="shared" si="8"/>
        <v>20</v>
      </c>
      <c r="C31" s="413" t="s">
        <v>53</v>
      </c>
      <c r="D31" s="403" t="s">
        <v>83</v>
      </c>
      <c r="E31" s="411">
        <v>630</v>
      </c>
      <c r="F31" s="411">
        <v>10678500</v>
      </c>
      <c r="G31" s="412">
        <f t="shared" si="0"/>
        <v>1870</v>
      </c>
      <c r="H31" s="412">
        <f t="shared" si="1"/>
        <v>31229000</v>
      </c>
      <c r="I31" s="412">
        <f t="shared" si="2"/>
        <v>1900</v>
      </c>
      <c r="J31" s="412">
        <f t="shared" si="3"/>
        <v>31887500</v>
      </c>
      <c r="K31" s="411">
        <f t="shared" si="13"/>
        <v>600</v>
      </c>
      <c r="L31" s="411">
        <f t="shared" si="14"/>
        <v>10020000</v>
      </c>
      <c r="M31" s="197" t="str">
        <f t="shared" si="6"/>
        <v>NL</v>
      </c>
      <c r="N31" s="76" t="s">
        <v>129</v>
      </c>
      <c r="O31" s="191" t="str">
        <f>VLOOKUP($N31,[2]Vine!$A$12:$E$90,4,0)</f>
        <v>Tiền Giang</v>
      </c>
      <c r="P31" s="191">
        <f>VLOOKUP($N31,[2]Vine!$A$12:$E$90,2,0)</f>
        <v>311514350</v>
      </c>
      <c r="Q31" s="191" t="str">
        <f>VLOOKUP($N31,[2]Vine!$A$12:$E$90,3,0)</f>
        <v>Châu Thành - Tiền Giang</v>
      </c>
      <c r="R31" s="246" t="s">
        <v>464</v>
      </c>
      <c r="S31" s="35"/>
    </row>
    <row r="32" spans="1:19" ht="18.75" customHeight="1">
      <c r="A32" s="40" t="str">
        <f t="shared" si="7"/>
        <v>VL</v>
      </c>
      <c r="B32" s="85">
        <f t="shared" si="10"/>
        <v>21</v>
      </c>
      <c r="C32" s="37" t="s">
        <v>205</v>
      </c>
      <c r="D32" s="403" t="s">
        <v>83</v>
      </c>
      <c r="E32" s="38">
        <v>460</v>
      </c>
      <c r="F32" s="38">
        <v>6348000</v>
      </c>
      <c r="G32" s="46">
        <f t="shared" si="0"/>
        <v>2602</v>
      </c>
      <c r="H32" s="46">
        <f t="shared" si="1"/>
        <v>42434000</v>
      </c>
      <c r="I32" s="46">
        <f t="shared" si="2"/>
        <v>2196</v>
      </c>
      <c r="J32" s="46">
        <f t="shared" si="3"/>
        <v>38390000</v>
      </c>
      <c r="K32" s="38">
        <f t="shared" si="13"/>
        <v>866</v>
      </c>
      <c r="L32" s="38">
        <f t="shared" si="14"/>
        <v>10392000</v>
      </c>
      <c r="M32" s="197" t="str">
        <f t="shared" si="6"/>
        <v>NL</v>
      </c>
      <c r="N32" s="76" t="s">
        <v>135</v>
      </c>
      <c r="O32" s="191" t="str">
        <f>VLOOKUP($N32,[2]Vine!$A$12:$E$90,4,0)</f>
        <v>Tiền Giang</v>
      </c>
      <c r="P32" s="191">
        <f>VLOOKUP($N32,[2]Vine!$A$12:$E$90,2,0)</f>
        <v>310526150</v>
      </c>
      <c r="Q32" s="191" t="str">
        <f>VLOOKUP($N32,[2]Vine!$A$12:$E$90,3,0)</f>
        <v>Mỹ Tho - Tiền Giang</v>
      </c>
      <c r="R32" s="246" t="s">
        <v>464</v>
      </c>
    </row>
    <row r="33" spans="1:18" ht="18.75" customHeight="1">
      <c r="A33" s="40" t="str">
        <f t="shared" si="7"/>
        <v>VL</v>
      </c>
      <c r="B33" s="85">
        <f t="shared" si="8"/>
        <v>22</v>
      </c>
      <c r="C33" s="406" t="s">
        <v>281</v>
      </c>
      <c r="D33" s="403" t="s">
        <v>83</v>
      </c>
      <c r="E33" s="408">
        <v>290</v>
      </c>
      <c r="F33" s="408">
        <v>3755500</v>
      </c>
      <c r="G33" s="409">
        <f t="shared" ref="G33:G66" si="15">SUMIF(DSNX1,$C33,DSNX2)</f>
        <v>0</v>
      </c>
      <c r="H33" s="409">
        <f t="shared" ref="H33:H66" si="16">SUMIF(DSNX1,$C33,DSNX5)</f>
        <v>0</v>
      </c>
      <c r="I33" s="409">
        <f t="shared" ref="I33:I66" si="17">SUMIF(DSNX1,$C33,DSNX3)</f>
        <v>0</v>
      </c>
      <c r="J33" s="409">
        <f t="shared" ref="J33:J66" si="18">SUMIF(DSNX1,$C33,DSNX4)</f>
        <v>0</v>
      </c>
      <c r="K33" s="408">
        <f t="shared" si="13"/>
        <v>290</v>
      </c>
      <c r="L33" s="408">
        <f t="shared" si="14"/>
        <v>3755500</v>
      </c>
      <c r="M33" s="197" t="str">
        <f t="shared" si="6"/>
        <v>NL</v>
      </c>
      <c r="N33" s="76" t="s">
        <v>413</v>
      </c>
      <c r="O33" s="191" t="str">
        <f>VLOOKUP($N33,[2]Vine!$A$12:$E$90,4,0)</f>
        <v>Vũng Tàu</v>
      </c>
      <c r="P33" s="191">
        <f>VLOOKUP($N33,[2]Vine!$A$12:$E$90,2,0)</f>
        <v>273249576</v>
      </c>
      <c r="Q33" s="191" t="str">
        <f>VLOOKUP($N33,[2]Vine!$A$12:$E$90,3,0)</f>
        <v>Vũng Tàu</v>
      </c>
      <c r="R33" s="246" t="s">
        <v>464</v>
      </c>
    </row>
    <row r="34" spans="1:18" ht="18.75" customHeight="1">
      <c r="A34" s="40" t="str">
        <f t="shared" si="7"/>
        <v>VL</v>
      </c>
      <c r="B34" s="85">
        <f t="shared" si="10"/>
        <v>23</v>
      </c>
      <c r="C34" s="406" t="s">
        <v>291</v>
      </c>
      <c r="D34" s="403" t="s">
        <v>83</v>
      </c>
      <c r="E34" s="408"/>
      <c r="F34" s="408"/>
      <c r="G34" s="409">
        <f t="shared" si="15"/>
        <v>262</v>
      </c>
      <c r="H34" s="409">
        <f t="shared" si="16"/>
        <v>10218000</v>
      </c>
      <c r="I34" s="409">
        <f t="shared" si="17"/>
        <v>262</v>
      </c>
      <c r="J34" s="409">
        <f t="shared" si="18"/>
        <v>10218000</v>
      </c>
      <c r="K34" s="408">
        <f t="shared" si="13"/>
        <v>0</v>
      </c>
      <c r="L34" s="408">
        <f t="shared" si="14"/>
        <v>0</v>
      </c>
      <c r="M34" s="197" t="str">
        <f t="shared" si="6"/>
        <v>NL</v>
      </c>
      <c r="N34" s="76" t="s">
        <v>412</v>
      </c>
      <c r="O34" s="191" t="str">
        <f>VLOOKUP($N34,[2]Vine!$A$12:$E$90,4,0)</f>
        <v>Vũng Tàu</v>
      </c>
      <c r="P34" s="191">
        <f>VLOOKUP($N34,[2]Vine!$A$12:$E$90,2,0)</f>
        <v>190524479</v>
      </c>
      <c r="Q34" s="191" t="str">
        <f>VLOOKUP($N34,[2]Vine!$A$12:$E$90,3,0)</f>
        <v>Vũng Tàu</v>
      </c>
      <c r="R34" s="246" t="s">
        <v>464</v>
      </c>
    </row>
    <row r="35" spans="1:18" ht="18.75" customHeight="1">
      <c r="A35" s="40" t="str">
        <f t="shared" si="7"/>
        <v>VL</v>
      </c>
      <c r="B35" s="85">
        <f t="shared" si="8"/>
        <v>24</v>
      </c>
      <c r="C35" s="406" t="s">
        <v>282</v>
      </c>
      <c r="D35" s="403" t="s">
        <v>83</v>
      </c>
      <c r="E35" s="408">
        <v>205</v>
      </c>
      <c r="F35" s="408">
        <v>2347250</v>
      </c>
      <c r="G35" s="409">
        <f t="shared" si="15"/>
        <v>0</v>
      </c>
      <c r="H35" s="409">
        <f t="shared" si="16"/>
        <v>0</v>
      </c>
      <c r="I35" s="409">
        <f t="shared" si="17"/>
        <v>0</v>
      </c>
      <c r="J35" s="409">
        <f t="shared" si="18"/>
        <v>0</v>
      </c>
      <c r="K35" s="408">
        <f t="shared" si="13"/>
        <v>205</v>
      </c>
      <c r="L35" s="408">
        <f t="shared" si="14"/>
        <v>2347250</v>
      </c>
      <c r="M35" s="197" t="str">
        <f t="shared" si="6"/>
        <v>NL</v>
      </c>
      <c r="N35" s="76" t="s">
        <v>416</v>
      </c>
      <c r="O35" s="191" t="str">
        <f>VLOOKUP($N35,[2]Vine!$A$12:$E$90,4,0)</f>
        <v>Vũng Tàu</v>
      </c>
      <c r="P35" s="191">
        <f>VLOOKUP($N35,[2]Vine!$A$12:$E$90,2,0)</f>
        <v>271181056</v>
      </c>
      <c r="Q35" s="191" t="str">
        <f>VLOOKUP($N35,[2]Vine!$A$12:$E$90,3,0)</f>
        <v>Vũng Tàu</v>
      </c>
      <c r="R35" s="246" t="s">
        <v>464</v>
      </c>
    </row>
    <row r="36" spans="1:18" ht="18.75" customHeight="1">
      <c r="A36" s="40" t="str">
        <f t="shared" si="7"/>
        <v>VL</v>
      </c>
      <c r="B36" s="85">
        <f t="shared" si="10"/>
        <v>25</v>
      </c>
      <c r="C36" s="406" t="s">
        <v>283</v>
      </c>
      <c r="D36" s="403" t="s">
        <v>83</v>
      </c>
      <c r="E36" s="408">
        <v>5070</v>
      </c>
      <c r="F36" s="408">
        <v>58078500</v>
      </c>
      <c r="G36" s="409">
        <f t="shared" si="15"/>
        <v>4670</v>
      </c>
      <c r="H36" s="409">
        <f t="shared" si="16"/>
        <v>60943500</v>
      </c>
      <c r="I36" s="409">
        <f t="shared" si="17"/>
        <v>2750</v>
      </c>
      <c r="J36" s="409">
        <f t="shared" si="18"/>
        <v>31350000</v>
      </c>
      <c r="K36" s="408">
        <f t="shared" si="13"/>
        <v>6990</v>
      </c>
      <c r="L36" s="408">
        <f t="shared" si="14"/>
        <v>87672000</v>
      </c>
      <c r="M36" s="197" t="str">
        <f t="shared" si="6"/>
        <v>NL</v>
      </c>
      <c r="N36" s="76" t="s">
        <v>422</v>
      </c>
      <c r="O36" s="191" t="str">
        <f>VLOOKUP($N36,[2]Vine!$A$12:$E$90,4,0)</f>
        <v>Bến Tre</v>
      </c>
      <c r="P36" s="191">
        <f>VLOOKUP($N36,[2]Vine!$A$12:$E$90,2,0)</f>
        <v>321009246</v>
      </c>
      <c r="Q36" s="191" t="str">
        <f>VLOOKUP($N36,[2]Vine!$A$12:$E$90,3,0)</f>
        <v>Mỏ Cày - Bến Tre</v>
      </c>
      <c r="R36" s="246" t="s">
        <v>464</v>
      </c>
    </row>
    <row r="37" spans="1:18" ht="18.75" customHeight="1">
      <c r="A37" s="40" t="str">
        <f t="shared" si="7"/>
        <v>VL</v>
      </c>
      <c r="B37" s="85">
        <f t="shared" si="8"/>
        <v>26</v>
      </c>
      <c r="C37" s="406" t="s">
        <v>57</v>
      </c>
      <c r="D37" s="403" t="s">
        <v>83</v>
      </c>
      <c r="E37" s="408"/>
      <c r="F37" s="408"/>
      <c r="G37" s="409">
        <f t="shared" si="15"/>
        <v>3180</v>
      </c>
      <c r="H37" s="409">
        <f t="shared" si="16"/>
        <v>44043000</v>
      </c>
      <c r="I37" s="409">
        <f t="shared" si="17"/>
        <v>3180</v>
      </c>
      <c r="J37" s="409">
        <f t="shared" si="18"/>
        <v>44043000</v>
      </c>
      <c r="K37" s="408">
        <f t="shared" si="13"/>
        <v>0</v>
      </c>
      <c r="L37" s="408">
        <f t="shared" si="14"/>
        <v>0</v>
      </c>
      <c r="M37" s="197" t="str">
        <f t="shared" si="6"/>
        <v>NL</v>
      </c>
      <c r="N37" s="76" t="s">
        <v>131</v>
      </c>
      <c r="O37" s="191" t="str">
        <f>VLOOKUP($N37,[2]Vine!$A$12:$E$90,4,0)</f>
        <v>Tiền Giang</v>
      </c>
      <c r="P37" s="191">
        <f>VLOOKUP($N37,[2]Vine!$A$12:$E$90,2,0)</f>
        <v>311318331</v>
      </c>
      <c r="Q37" s="191" t="str">
        <f>VLOOKUP($N37,[2]Vine!$A$12:$E$90,3,0)</f>
        <v>Gò Công Đông - Tiền Giang</v>
      </c>
      <c r="R37" s="246" t="s">
        <v>464</v>
      </c>
    </row>
    <row r="38" spans="1:18" ht="18.75" customHeight="1">
      <c r="A38" s="40" t="str">
        <f t="shared" si="7"/>
        <v>VL</v>
      </c>
      <c r="B38" s="85">
        <f t="shared" si="10"/>
        <v>27</v>
      </c>
      <c r="C38" s="406" t="s">
        <v>44</v>
      </c>
      <c r="D38" s="403" t="s">
        <v>83</v>
      </c>
      <c r="E38" s="408">
        <v>1821</v>
      </c>
      <c r="F38" s="408">
        <v>28666250</v>
      </c>
      <c r="G38" s="409">
        <f t="shared" si="15"/>
        <v>9620</v>
      </c>
      <c r="H38" s="409">
        <f t="shared" si="16"/>
        <v>156325000</v>
      </c>
      <c r="I38" s="409">
        <f t="shared" si="17"/>
        <v>9230</v>
      </c>
      <c r="J38" s="409">
        <f t="shared" si="18"/>
        <v>149062500</v>
      </c>
      <c r="K38" s="408">
        <f t="shared" si="13"/>
        <v>2211</v>
      </c>
      <c r="L38" s="408">
        <f t="shared" si="14"/>
        <v>35928750</v>
      </c>
      <c r="M38" s="197" t="str">
        <f t="shared" ref="M38:M51" si="19">IF(N38&lt;&gt;"","NL","")</f>
        <v>NL</v>
      </c>
      <c r="N38" s="76" t="s">
        <v>318</v>
      </c>
      <c r="O38" s="191" t="str">
        <f>VLOOKUP($N38,[2]Vine!$A$12:$E$90,4,0)</f>
        <v>Vũng Tàu</v>
      </c>
      <c r="P38" s="191">
        <f>VLOOKUP($N38,[2]Vine!$A$12:$E$90,2,0)</f>
        <v>261183075</v>
      </c>
      <c r="Q38" s="191" t="str">
        <f>VLOOKUP($N38,[2]Vine!$A$12:$E$90,3,0)</f>
        <v>Vũng Tàu</v>
      </c>
      <c r="R38" s="246" t="s">
        <v>464</v>
      </c>
    </row>
    <row r="39" spans="1:18" ht="18.75" customHeight="1">
      <c r="A39" s="40" t="str">
        <f t="shared" si="7"/>
        <v>VL</v>
      </c>
      <c r="B39" s="85">
        <f t="shared" si="8"/>
        <v>28</v>
      </c>
      <c r="C39" s="406" t="s">
        <v>347</v>
      </c>
      <c r="D39" s="403" t="s">
        <v>83</v>
      </c>
      <c r="E39" s="408"/>
      <c r="F39" s="408"/>
      <c r="G39" s="409">
        <f t="shared" si="15"/>
        <v>410</v>
      </c>
      <c r="H39" s="409">
        <f t="shared" si="16"/>
        <v>6990500</v>
      </c>
      <c r="I39" s="409">
        <f t="shared" si="17"/>
        <v>410</v>
      </c>
      <c r="J39" s="409">
        <f t="shared" si="18"/>
        <v>6990500</v>
      </c>
      <c r="K39" s="408">
        <f t="shared" si="13"/>
        <v>0</v>
      </c>
      <c r="L39" s="408">
        <f t="shared" si="14"/>
        <v>0</v>
      </c>
      <c r="M39" s="197" t="str">
        <f t="shared" si="19"/>
        <v>NL</v>
      </c>
      <c r="N39" s="76" t="s">
        <v>136</v>
      </c>
      <c r="O39" s="191" t="str">
        <f>VLOOKUP($N39,[2]Vine!$A$12:$E$90,4,0)</f>
        <v>Tiền Giang</v>
      </c>
      <c r="P39" s="191">
        <f>VLOOKUP($N39,[2]Vine!$A$12:$E$90,2,0)</f>
        <v>310703274</v>
      </c>
      <c r="Q39" s="191" t="str">
        <f>VLOOKUP($N39,[2]Vine!$A$12:$E$90,3,0)</f>
        <v>Mỹ Tho - Tiền Giang</v>
      </c>
      <c r="R39" s="246" t="s">
        <v>464</v>
      </c>
    </row>
    <row r="40" spans="1:18" ht="18.75" customHeight="1">
      <c r="A40" s="40" t="str">
        <f t="shared" si="7"/>
        <v>VL</v>
      </c>
      <c r="B40" s="85">
        <f>IF(C40&lt;&gt;"",B39+1,"")</f>
        <v>29</v>
      </c>
      <c r="C40" s="406" t="s">
        <v>348</v>
      </c>
      <c r="D40" s="403" t="s">
        <v>83</v>
      </c>
      <c r="E40" s="408"/>
      <c r="F40" s="408"/>
      <c r="G40" s="409">
        <f t="shared" si="15"/>
        <v>144</v>
      </c>
      <c r="H40" s="409">
        <f t="shared" si="16"/>
        <v>1457280</v>
      </c>
      <c r="I40" s="409">
        <f t="shared" si="17"/>
        <v>144</v>
      </c>
      <c r="J40" s="409">
        <f t="shared" si="18"/>
        <v>1457280</v>
      </c>
      <c r="K40" s="408">
        <f t="shared" si="13"/>
        <v>0</v>
      </c>
      <c r="L40" s="408">
        <f t="shared" si="14"/>
        <v>0</v>
      </c>
      <c r="M40" s="197" t="str">
        <f t="shared" si="19"/>
        <v>NL</v>
      </c>
      <c r="N40" s="76" t="s">
        <v>426</v>
      </c>
      <c r="O40" s="191" t="str">
        <f>VLOOKUP($N40,[2]Vine!$A$12:$E$90,4,0)</f>
        <v>Kiên Giang</v>
      </c>
      <c r="P40" s="191">
        <f>VLOOKUP($N40,[2]Vine!$A$12:$E$90,2,0)</f>
        <v>370902819</v>
      </c>
      <c r="Q40" s="191" t="str">
        <f>VLOOKUP($N40,[2]Vine!$A$12:$E$90,3,0)</f>
        <v>Rạch Giá - Kiên Giang</v>
      </c>
      <c r="R40" s="246" t="s">
        <v>464</v>
      </c>
    </row>
    <row r="41" spans="1:18" ht="18.75" customHeight="1">
      <c r="A41" s="40" t="str">
        <f t="shared" si="7"/>
        <v>VL</v>
      </c>
      <c r="B41" s="85">
        <f t="shared" si="8"/>
        <v>30</v>
      </c>
      <c r="C41" s="406" t="s">
        <v>284</v>
      </c>
      <c r="D41" s="403" t="s">
        <v>83</v>
      </c>
      <c r="E41" s="408">
        <v>10</v>
      </c>
      <c r="F41" s="408">
        <v>120500</v>
      </c>
      <c r="G41" s="409">
        <f t="shared" si="15"/>
        <v>1855</v>
      </c>
      <c r="H41" s="409">
        <f t="shared" si="16"/>
        <v>22352750</v>
      </c>
      <c r="I41" s="409">
        <f t="shared" si="17"/>
        <v>655</v>
      </c>
      <c r="J41" s="409">
        <f t="shared" si="18"/>
        <v>7892750</v>
      </c>
      <c r="K41" s="408">
        <f t="shared" si="13"/>
        <v>1210</v>
      </c>
      <c r="L41" s="408">
        <f t="shared" si="14"/>
        <v>14580500</v>
      </c>
      <c r="M41" s="197" t="str">
        <f t="shared" si="19"/>
        <v>NL</v>
      </c>
      <c r="N41" s="76" t="s">
        <v>134</v>
      </c>
      <c r="O41" s="191" t="str">
        <f>VLOOKUP($N41,[2]Vine!$A$12:$E$90,4,0)</f>
        <v>Tiền Giang</v>
      </c>
      <c r="P41" s="191">
        <f>VLOOKUP($N41,[2]Vine!$A$12:$E$90,2,0)</f>
        <v>310033074</v>
      </c>
      <c r="Q41" s="191" t="str">
        <f>VLOOKUP($N41,[2]Vine!$A$12:$E$90,3,0)</f>
        <v>Mỹ Tho - Tiền Giang</v>
      </c>
      <c r="R41" s="246" t="s">
        <v>464</v>
      </c>
    </row>
    <row r="42" spans="1:18" ht="18.75" customHeight="1">
      <c r="A42" s="40" t="str">
        <f t="shared" si="7"/>
        <v>VL</v>
      </c>
      <c r="B42" s="85">
        <f t="shared" si="10"/>
        <v>31</v>
      </c>
      <c r="C42" s="406" t="s">
        <v>58</v>
      </c>
      <c r="D42" s="403" t="s">
        <v>83</v>
      </c>
      <c r="E42" s="408"/>
      <c r="F42" s="408"/>
      <c r="G42" s="409">
        <f t="shared" si="15"/>
        <v>2560</v>
      </c>
      <c r="H42" s="409">
        <f t="shared" si="16"/>
        <v>32256000</v>
      </c>
      <c r="I42" s="409">
        <f t="shared" si="17"/>
        <v>1730</v>
      </c>
      <c r="J42" s="409">
        <f t="shared" si="18"/>
        <v>21798000</v>
      </c>
      <c r="K42" s="408">
        <f t="shared" si="13"/>
        <v>830</v>
      </c>
      <c r="L42" s="408">
        <f t="shared" si="14"/>
        <v>10458000</v>
      </c>
      <c r="M42" s="197" t="str">
        <f t="shared" si="19"/>
        <v>NL</v>
      </c>
      <c r="N42" s="76" t="s">
        <v>427</v>
      </c>
      <c r="O42" s="191" t="str">
        <f>VLOOKUP($N42,[2]Vine!$A$12:$E$90,4,0)</f>
        <v>Bến Tre</v>
      </c>
      <c r="P42" s="191">
        <f>VLOOKUP($N42,[2]Vine!$A$12:$E$90,2,0)</f>
        <v>320747922</v>
      </c>
      <c r="Q42" s="191" t="str">
        <f>VLOOKUP($N42,[2]Vine!$A$12:$E$90,3,0)</f>
        <v>Giồng Trôm - Bến Tre</v>
      </c>
      <c r="R42" s="246" t="s">
        <v>464</v>
      </c>
    </row>
    <row r="43" spans="1:18" ht="18.75" customHeight="1">
      <c r="A43" s="40" t="str">
        <f t="shared" si="7"/>
        <v>VL</v>
      </c>
      <c r="B43" s="85">
        <f t="shared" si="8"/>
        <v>32</v>
      </c>
      <c r="C43" s="406" t="s">
        <v>285</v>
      </c>
      <c r="D43" s="403" t="s">
        <v>83</v>
      </c>
      <c r="E43" s="408">
        <v>640</v>
      </c>
      <c r="F43" s="408">
        <v>8320000</v>
      </c>
      <c r="G43" s="409">
        <f t="shared" si="15"/>
        <v>0</v>
      </c>
      <c r="H43" s="409">
        <f t="shared" si="16"/>
        <v>0</v>
      </c>
      <c r="I43" s="409">
        <f t="shared" si="17"/>
        <v>0</v>
      </c>
      <c r="J43" s="409">
        <f t="shared" si="18"/>
        <v>0</v>
      </c>
      <c r="K43" s="408">
        <f t="shared" si="13"/>
        <v>640</v>
      </c>
      <c r="L43" s="408">
        <f t="shared" si="14"/>
        <v>8320000</v>
      </c>
      <c r="M43" s="197" t="str">
        <f t="shared" si="19"/>
        <v>NL</v>
      </c>
      <c r="N43" s="76" t="s">
        <v>428</v>
      </c>
      <c r="O43" s="191" t="str">
        <f>VLOOKUP($N43,[2]Vine!$A$12:$E$90,4,0)</f>
        <v>Bến Tre</v>
      </c>
      <c r="P43" s="191">
        <f>VLOOKUP($N43,[2]Vine!$A$12:$E$90,2,0)</f>
        <v>320897817</v>
      </c>
      <c r="Q43" s="191" t="str">
        <f>VLOOKUP($N43,[2]Vine!$A$12:$E$90,3,0)</f>
        <v>Mỏ Cày - Bến Tre</v>
      </c>
      <c r="R43" s="246" t="s">
        <v>464</v>
      </c>
    </row>
    <row r="44" spans="1:18" ht="18.75" customHeight="1">
      <c r="A44" s="40" t="str">
        <f t="shared" si="7"/>
        <v>VL</v>
      </c>
      <c r="B44" s="85">
        <f t="shared" si="10"/>
        <v>33</v>
      </c>
      <c r="C44" s="406" t="s">
        <v>286</v>
      </c>
      <c r="D44" s="403" t="s">
        <v>83</v>
      </c>
      <c r="E44" s="408">
        <v>400</v>
      </c>
      <c r="F44" s="408">
        <v>5520000</v>
      </c>
      <c r="G44" s="409">
        <f t="shared" si="15"/>
        <v>0</v>
      </c>
      <c r="H44" s="409">
        <f t="shared" si="16"/>
        <v>0</v>
      </c>
      <c r="I44" s="409">
        <f t="shared" si="17"/>
        <v>0</v>
      </c>
      <c r="J44" s="409">
        <f t="shared" si="18"/>
        <v>0</v>
      </c>
      <c r="K44" s="408">
        <f t="shared" si="13"/>
        <v>400</v>
      </c>
      <c r="L44" s="408">
        <f t="shared" si="14"/>
        <v>5520000</v>
      </c>
      <c r="M44" s="197" t="str">
        <f t="shared" si="19"/>
        <v>NL</v>
      </c>
      <c r="N44" s="76" t="s">
        <v>425</v>
      </c>
      <c r="O44" s="191" t="str">
        <f>VLOOKUP($N44,[2]Vine!$A$12:$E$90,4,0)</f>
        <v>Vũng Tàu</v>
      </c>
      <c r="P44" s="191">
        <f>VLOOKUP($N44,[2]Vine!$A$12:$E$90,2,0)</f>
        <v>273042454</v>
      </c>
      <c r="Q44" s="191" t="str">
        <f>VLOOKUP($N44,[2]Vine!$A$12:$E$90,3,0)</f>
        <v>Bà Rịa Vũng Tàu</v>
      </c>
      <c r="R44" s="246" t="s">
        <v>229</v>
      </c>
    </row>
    <row r="45" spans="1:18" ht="18.75" customHeight="1">
      <c r="A45" s="40" t="str">
        <f t="shared" si="7"/>
        <v>VL</v>
      </c>
      <c r="B45" s="85">
        <f t="shared" si="8"/>
        <v>34</v>
      </c>
      <c r="C45" s="406" t="s">
        <v>277</v>
      </c>
      <c r="D45" s="403" t="s">
        <v>83</v>
      </c>
      <c r="E45" s="408">
        <v>1560</v>
      </c>
      <c r="F45" s="408">
        <v>19812000</v>
      </c>
      <c r="G45" s="409">
        <f t="shared" si="15"/>
        <v>0</v>
      </c>
      <c r="H45" s="409">
        <f t="shared" si="16"/>
        <v>0</v>
      </c>
      <c r="I45" s="409">
        <f t="shared" si="17"/>
        <v>700</v>
      </c>
      <c r="J45" s="409">
        <f t="shared" si="18"/>
        <v>8890000</v>
      </c>
      <c r="K45" s="408">
        <f t="shared" si="13"/>
        <v>860</v>
      </c>
      <c r="L45" s="408">
        <f t="shared" si="14"/>
        <v>10922000</v>
      </c>
      <c r="M45" s="197" t="str">
        <f t="shared" si="19"/>
        <v>NL</v>
      </c>
      <c r="N45" s="76" t="s">
        <v>408</v>
      </c>
      <c r="O45" s="191" t="str">
        <f>VLOOKUP($N45,[2]Vine!$A$12:$E$90,4,0)</f>
        <v>Kiên Giang</v>
      </c>
      <c r="P45" s="191">
        <f>VLOOKUP($N45,[2]Vine!$A$12:$E$90,2,0)</f>
        <v>370698949</v>
      </c>
      <c r="Q45" s="191" t="str">
        <f>VLOOKUP($N45,[2]Vine!$A$12:$E$90,3,0)</f>
        <v>Hòn Đất, Kiên Giang</v>
      </c>
      <c r="R45" s="246" t="s">
        <v>229</v>
      </c>
    </row>
    <row r="46" spans="1:18" ht="18.75" customHeight="1">
      <c r="A46" s="40" t="str">
        <f t="shared" ref="A46" si="20">IF(B46&lt;&gt;"","VL","")</f>
        <v>VL</v>
      </c>
      <c r="B46" s="85">
        <f t="shared" si="10"/>
        <v>35</v>
      </c>
      <c r="C46" s="406" t="s">
        <v>349</v>
      </c>
      <c r="D46" s="403" t="s">
        <v>83</v>
      </c>
      <c r="E46" s="408"/>
      <c r="F46" s="408"/>
      <c r="G46" s="409">
        <f t="shared" si="15"/>
        <v>740</v>
      </c>
      <c r="H46" s="409">
        <f t="shared" si="16"/>
        <v>9213000</v>
      </c>
      <c r="I46" s="409">
        <f t="shared" si="17"/>
        <v>740</v>
      </c>
      <c r="J46" s="409">
        <f t="shared" si="18"/>
        <v>9213000</v>
      </c>
      <c r="K46" s="408">
        <f t="shared" si="13"/>
        <v>0</v>
      </c>
      <c r="L46" s="408">
        <f t="shared" si="14"/>
        <v>0</v>
      </c>
      <c r="M46" s="197" t="str">
        <f t="shared" si="19"/>
        <v>NL</v>
      </c>
      <c r="N46" s="76" t="s">
        <v>410</v>
      </c>
      <c r="O46" s="191" t="str">
        <f>VLOOKUP($N46,[2]Vine!$A$12:$E$90,4,0)</f>
        <v>Bình Thuận</v>
      </c>
      <c r="P46" s="191">
        <f>VLOOKUP($N46,[2]Vine!$A$12:$E$90,2,0)</f>
        <v>250746332</v>
      </c>
      <c r="Q46" s="191" t="str">
        <f>VLOOKUP($N46,[2]Vine!$A$12:$E$90,3,0)</f>
        <v>Đức Linh - Bình Thuận</v>
      </c>
      <c r="R46" s="246" t="s">
        <v>464</v>
      </c>
    </row>
    <row r="47" spans="1:18" ht="18.75" customHeight="1">
      <c r="A47" s="40" t="str">
        <f t="shared" si="7"/>
        <v>VL</v>
      </c>
      <c r="B47" s="85">
        <f t="shared" si="8"/>
        <v>36</v>
      </c>
      <c r="C47" s="406" t="s">
        <v>59</v>
      </c>
      <c r="D47" s="403" t="s">
        <v>83</v>
      </c>
      <c r="E47" s="408"/>
      <c r="F47" s="408"/>
      <c r="G47" s="409">
        <f t="shared" si="15"/>
        <v>730</v>
      </c>
      <c r="H47" s="409">
        <f t="shared" si="16"/>
        <v>9704500</v>
      </c>
      <c r="I47" s="409">
        <f t="shared" si="17"/>
        <v>730</v>
      </c>
      <c r="J47" s="409">
        <f t="shared" si="18"/>
        <v>9704500</v>
      </c>
      <c r="K47" s="408">
        <f t="shared" si="13"/>
        <v>0</v>
      </c>
      <c r="L47" s="408">
        <f t="shared" si="14"/>
        <v>0</v>
      </c>
      <c r="M47" s="197" t="str">
        <f t="shared" si="19"/>
        <v>NL</v>
      </c>
      <c r="N47" s="76" t="s">
        <v>123</v>
      </c>
      <c r="O47" s="191" t="str">
        <f>VLOOKUP($N47,[2]Vine!$A$12:$E$90,4,0)</f>
        <v>Bình Thuận</v>
      </c>
      <c r="P47" s="191">
        <f>VLOOKUP($N47,[2]Vine!$A$12:$E$90,2,0)</f>
        <v>260682094</v>
      </c>
      <c r="Q47" s="191" t="str">
        <f>VLOOKUP($N47,[2]Vine!$A$12:$E$90,3,0)</f>
        <v>Đức Linh - Bình Thuận</v>
      </c>
      <c r="R47" s="246" t="s">
        <v>229</v>
      </c>
    </row>
    <row r="48" spans="1:18" ht="18.75" customHeight="1">
      <c r="A48" s="40" t="str">
        <f t="shared" si="7"/>
        <v>VL</v>
      </c>
      <c r="B48" s="85">
        <f t="shared" si="10"/>
        <v>37</v>
      </c>
      <c r="C48" s="406" t="s">
        <v>60</v>
      </c>
      <c r="D48" s="403" t="s">
        <v>83</v>
      </c>
      <c r="E48" s="408"/>
      <c r="F48" s="408"/>
      <c r="G48" s="409">
        <f t="shared" si="15"/>
        <v>2145</v>
      </c>
      <c r="H48" s="409">
        <f t="shared" si="16"/>
        <v>39468000</v>
      </c>
      <c r="I48" s="409">
        <f t="shared" si="17"/>
        <v>1055</v>
      </c>
      <c r="J48" s="409">
        <f t="shared" si="18"/>
        <v>19412000</v>
      </c>
      <c r="K48" s="408">
        <f t="shared" si="13"/>
        <v>1090</v>
      </c>
      <c r="L48" s="408">
        <f t="shared" si="14"/>
        <v>20056000</v>
      </c>
      <c r="M48" s="197" t="str">
        <f t="shared" si="19"/>
        <v>NL</v>
      </c>
      <c r="N48" s="76" t="s">
        <v>303</v>
      </c>
      <c r="O48" s="191" t="str">
        <f>VLOOKUP($N48,[2]Vine!$A$12:$E$90,4,0)</f>
        <v>Bến Tre</v>
      </c>
      <c r="P48" s="191">
        <f>VLOOKUP($N48,[2]Vine!$A$12:$E$90,2,0)</f>
        <v>320876558</v>
      </c>
      <c r="Q48" s="191" t="str">
        <f>VLOOKUP($N48,[2]Vine!$A$12:$E$90,3,0)</f>
        <v>Giồng Trôm - Bến Tre</v>
      </c>
      <c r="R48" s="246" t="s">
        <v>464</v>
      </c>
    </row>
    <row r="49" spans="1:18" ht="18.75" customHeight="1">
      <c r="A49" s="40" t="str">
        <f t="shared" si="7"/>
        <v>VL</v>
      </c>
      <c r="B49" s="85">
        <f t="shared" si="8"/>
        <v>38</v>
      </c>
      <c r="C49" s="406" t="s">
        <v>350</v>
      </c>
      <c r="D49" s="403" t="s">
        <v>83</v>
      </c>
      <c r="E49" s="408"/>
      <c r="F49" s="408"/>
      <c r="G49" s="409">
        <f t="shared" si="15"/>
        <v>312</v>
      </c>
      <c r="H49" s="409">
        <f t="shared" si="16"/>
        <v>11856000</v>
      </c>
      <c r="I49" s="409">
        <f t="shared" si="17"/>
        <v>312</v>
      </c>
      <c r="J49" s="409">
        <f t="shared" si="18"/>
        <v>11856000</v>
      </c>
      <c r="K49" s="408">
        <f t="shared" si="13"/>
        <v>0</v>
      </c>
      <c r="L49" s="408">
        <f t="shared" si="14"/>
        <v>0</v>
      </c>
      <c r="M49" s="197" t="str">
        <f t="shared" si="19"/>
        <v>NL</v>
      </c>
      <c r="N49" s="76" t="s">
        <v>138</v>
      </c>
      <c r="O49" s="191" t="str">
        <f>VLOOKUP($N49,[2]Vine!$A$12:$E$90,4,0)</f>
        <v>Vũng Tàu</v>
      </c>
      <c r="P49" s="191">
        <f>VLOOKUP($N49,[2]Vine!$A$12:$E$90,2,0)</f>
        <v>270176960</v>
      </c>
      <c r="Q49" s="191" t="str">
        <f>VLOOKUP($N49,[2]Vine!$A$12:$E$90,3,0)</f>
        <v>Vũng Tàu</v>
      </c>
      <c r="R49" s="246" t="s">
        <v>229</v>
      </c>
    </row>
    <row r="50" spans="1:18" ht="18.75" customHeight="1">
      <c r="A50" s="40" t="str">
        <f t="shared" si="7"/>
        <v>VL</v>
      </c>
      <c r="B50" s="85">
        <f t="shared" si="10"/>
        <v>39</v>
      </c>
      <c r="C50" s="406" t="s">
        <v>287</v>
      </c>
      <c r="D50" s="403" t="s">
        <v>83</v>
      </c>
      <c r="E50" s="408">
        <v>100</v>
      </c>
      <c r="F50" s="408">
        <v>1800000</v>
      </c>
      <c r="G50" s="409">
        <f t="shared" si="15"/>
        <v>0</v>
      </c>
      <c r="H50" s="409">
        <f t="shared" si="16"/>
        <v>0</v>
      </c>
      <c r="I50" s="409">
        <f t="shared" si="17"/>
        <v>0</v>
      </c>
      <c r="J50" s="409">
        <f t="shared" si="18"/>
        <v>0</v>
      </c>
      <c r="K50" s="408">
        <f t="shared" si="13"/>
        <v>100</v>
      </c>
      <c r="L50" s="408">
        <f t="shared" si="14"/>
        <v>1800000</v>
      </c>
      <c r="M50" s="197" t="str">
        <f t="shared" si="19"/>
        <v>NL</v>
      </c>
      <c r="N50" s="76" t="s">
        <v>414</v>
      </c>
      <c r="O50" s="191" t="str">
        <f>VLOOKUP($N50,[2]Vine!$A$12:$E$90,4,0)</f>
        <v>Bến Tre</v>
      </c>
      <c r="P50" s="191">
        <f>VLOOKUP($N50,[2]Vine!$A$12:$E$90,2,0)</f>
        <v>321179471</v>
      </c>
      <c r="Q50" s="191" t="str">
        <f>VLOOKUP($N50,[2]Vine!$A$12:$E$90,3,0)</f>
        <v>Giồng Trôm - Bến Tre</v>
      </c>
      <c r="R50" s="246" t="s">
        <v>464</v>
      </c>
    </row>
    <row r="51" spans="1:18" ht="18.75" customHeight="1">
      <c r="A51" s="40" t="str">
        <f t="shared" si="7"/>
        <v>VL</v>
      </c>
      <c r="B51" s="85">
        <f t="shared" si="8"/>
        <v>40</v>
      </c>
      <c r="C51" s="406" t="s">
        <v>288</v>
      </c>
      <c r="D51" s="403" t="s">
        <v>83</v>
      </c>
      <c r="E51" s="408">
        <v>100</v>
      </c>
      <c r="F51" s="408">
        <v>2100000</v>
      </c>
      <c r="G51" s="409">
        <f t="shared" si="15"/>
        <v>0</v>
      </c>
      <c r="H51" s="409">
        <f t="shared" si="16"/>
        <v>0</v>
      </c>
      <c r="I51" s="409">
        <f t="shared" si="17"/>
        <v>0</v>
      </c>
      <c r="J51" s="409">
        <f t="shared" si="18"/>
        <v>0</v>
      </c>
      <c r="K51" s="408">
        <f t="shared" si="13"/>
        <v>100</v>
      </c>
      <c r="L51" s="408">
        <f t="shared" si="14"/>
        <v>2100000</v>
      </c>
      <c r="M51" s="197" t="str">
        <f t="shared" si="19"/>
        <v>NL</v>
      </c>
      <c r="N51" s="76" t="s">
        <v>415</v>
      </c>
      <c r="O51" s="191" t="str">
        <f>VLOOKUP($N51,[2]Vine!$A$12:$E$90,4,0)</f>
        <v>Bến Tre</v>
      </c>
      <c r="P51" s="191">
        <f>VLOOKUP($N51,[2]Vine!$A$12:$E$90,2,0)</f>
        <v>321413712</v>
      </c>
      <c r="Q51" s="191" t="str">
        <f>VLOOKUP($N51,[2]Vine!$A$12:$E$90,3,0)</f>
        <v>Ba Tri - Bến Tre</v>
      </c>
      <c r="R51" s="246" t="s">
        <v>464</v>
      </c>
    </row>
    <row r="52" spans="1:18" ht="18.75" customHeight="1">
      <c r="A52" s="40" t="str">
        <f t="shared" si="7"/>
        <v>VL</v>
      </c>
      <c r="B52" s="85">
        <f t="shared" si="10"/>
        <v>41</v>
      </c>
      <c r="C52" s="406" t="s">
        <v>289</v>
      </c>
      <c r="D52" s="403" t="s">
        <v>83</v>
      </c>
      <c r="E52" s="408">
        <v>460</v>
      </c>
      <c r="F52" s="408">
        <v>9798000</v>
      </c>
      <c r="G52" s="409">
        <f t="shared" si="15"/>
        <v>0</v>
      </c>
      <c r="H52" s="409">
        <f t="shared" si="16"/>
        <v>0</v>
      </c>
      <c r="I52" s="409">
        <f t="shared" si="17"/>
        <v>0</v>
      </c>
      <c r="J52" s="409">
        <f t="shared" si="18"/>
        <v>0</v>
      </c>
      <c r="K52" s="408">
        <f t="shared" si="13"/>
        <v>460</v>
      </c>
      <c r="L52" s="408">
        <f t="shared" si="14"/>
        <v>9798000</v>
      </c>
      <c r="M52" s="197" t="str">
        <f t="shared" si="6"/>
        <v>NL</v>
      </c>
      <c r="N52" s="76" t="s">
        <v>417</v>
      </c>
      <c r="O52" s="191" t="str">
        <f>VLOOKUP($N52,[2]Vine!$A$12:$E$90,4,0)</f>
        <v>Bến Tre</v>
      </c>
      <c r="P52" s="191">
        <f>VLOOKUP($N52,[2]Vine!$A$12:$E$90,2,0)</f>
        <v>320775664</v>
      </c>
      <c r="Q52" s="191" t="str">
        <f>VLOOKUP($N52,[2]Vine!$A$12:$E$90,3,0)</f>
        <v>Ba Tri - Bến Tre</v>
      </c>
      <c r="R52" s="246" t="s">
        <v>464</v>
      </c>
    </row>
    <row r="53" spans="1:18" ht="18.75" customHeight="1">
      <c r="A53" s="40" t="str">
        <f t="shared" si="7"/>
        <v>VL</v>
      </c>
      <c r="B53" s="85">
        <f t="shared" si="8"/>
        <v>42</v>
      </c>
      <c r="C53" s="406" t="s">
        <v>279</v>
      </c>
      <c r="D53" s="403" t="s">
        <v>83</v>
      </c>
      <c r="E53" s="408"/>
      <c r="F53" s="408"/>
      <c r="G53" s="409">
        <f t="shared" si="15"/>
        <v>622</v>
      </c>
      <c r="H53" s="409">
        <f t="shared" si="16"/>
        <v>14000598</v>
      </c>
      <c r="I53" s="409">
        <f t="shared" si="17"/>
        <v>202</v>
      </c>
      <c r="J53" s="409">
        <f t="shared" si="18"/>
        <v>4546818</v>
      </c>
      <c r="K53" s="408">
        <f t="shared" si="13"/>
        <v>420</v>
      </c>
      <c r="L53" s="408">
        <f t="shared" si="14"/>
        <v>9453780</v>
      </c>
      <c r="M53" s="197" t="str">
        <f t="shared" si="6"/>
        <v>NL</v>
      </c>
      <c r="N53" s="76" t="s">
        <v>418</v>
      </c>
      <c r="O53" s="191" t="str">
        <f>VLOOKUP($N53,[2]Vine!$A$12:$E$90,4,0)</f>
        <v>Bình Thuận</v>
      </c>
      <c r="P53" s="191" t="str">
        <f>VLOOKUP($N53,[2]Vine!$A$12:$E$90,2,0)</f>
        <v>020714486</v>
      </c>
      <c r="Q53" s="191" t="str">
        <f>VLOOKUP($N53,[2]Vine!$A$12:$E$90,3,0)</f>
        <v>Long Hương - Bình Thuận</v>
      </c>
      <c r="R53" s="246" t="s">
        <v>229</v>
      </c>
    </row>
    <row r="54" spans="1:18" ht="18.75" customHeight="1">
      <c r="A54" s="40" t="str">
        <f t="shared" si="7"/>
        <v>VL</v>
      </c>
      <c r="B54" s="85">
        <f t="shared" si="8"/>
        <v>43</v>
      </c>
      <c r="C54" s="406" t="s">
        <v>278</v>
      </c>
      <c r="D54" s="407" t="s">
        <v>322</v>
      </c>
      <c r="E54" s="408"/>
      <c r="F54" s="408"/>
      <c r="G54" s="409">
        <f t="shared" si="15"/>
        <v>7560</v>
      </c>
      <c r="H54" s="409">
        <f t="shared" si="16"/>
        <v>105840000</v>
      </c>
      <c r="I54" s="409">
        <f t="shared" si="17"/>
        <v>7560</v>
      </c>
      <c r="J54" s="409">
        <f t="shared" si="18"/>
        <v>105840000</v>
      </c>
      <c r="K54" s="408">
        <f t="shared" si="13"/>
        <v>0</v>
      </c>
      <c r="L54" s="408">
        <f t="shared" si="14"/>
        <v>0</v>
      </c>
      <c r="M54" s="197" t="str">
        <f t="shared" si="6"/>
        <v>NL</v>
      </c>
      <c r="N54" s="76" t="s">
        <v>419</v>
      </c>
      <c r="O54" s="191" t="str">
        <f>VLOOKUP($N54,[2]Vine!$A$12:$E$90,4,0)</f>
        <v>Bến Tre</v>
      </c>
      <c r="P54" s="191">
        <f>VLOOKUP($N54,[2]Vine!$A$12:$E$90,2,0)</f>
        <v>320744085</v>
      </c>
      <c r="Q54" s="191" t="str">
        <f>VLOOKUP($N54,[2]Vine!$A$12:$E$90,3,0)</f>
        <v>Ba Tri - Bến Tre</v>
      </c>
      <c r="R54" s="246" t="s">
        <v>464</v>
      </c>
    </row>
    <row r="55" spans="1:18" ht="18.75" customHeight="1">
      <c r="A55" s="40" t="str">
        <f t="shared" si="7"/>
        <v>VL</v>
      </c>
      <c r="B55" s="85">
        <f t="shared" si="8"/>
        <v>44</v>
      </c>
      <c r="C55" s="406" t="s">
        <v>351</v>
      </c>
      <c r="D55" s="407" t="s">
        <v>84</v>
      </c>
      <c r="E55" s="408">
        <v>232350</v>
      </c>
      <c r="F55" s="408">
        <v>77462125</v>
      </c>
      <c r="G55" s="409">
        <f t="shared" si="15"/>
        <v>99400</v>
      </c>
      <c r="H55" s="409">
        <f t="shared" si="16"/>
        <v>33149900</v>
      </c>
      <c r="I55" s="409">
        <f t="shared" si="17"/>
        <v>123750</v>
      </c>
      <c r="J55" s="409">
        <f t="shared" si="18"/>
        <v>41244025</v>
      </c>
      <c r="K55" s="408">
        <f t="shared" si="13"/>
        <v>208000</v>
      </c>
      <c r="L55" s="408">
        <f t="shared" si="14"/>
        <v>69368000</v>
      </c>
      <c r="M55" s="197" t="str">
        <f t="shared" si="6"/>
        <v>NL</v>
      </c>
      <c r="N55" s="76" t="s">
        <v>420</v>
      </c>
      <c r="O55" s="191" t="str">
        <f>VLOOKUP($N55,[2]Vine!$A$12:$E$90,4,0)</f>
        <v>Cà Mau</v>
      </c>
      <c r="P55" s="191">
        <f>VLOOKUP($N55,[2]Vine!$A$12:$E$90,2,0)</f>
        <v>381222859</v>
      </c>
      <c r="Q55" s="191" t="str">
        <f>VLOOKUP($N55,[2]Vine!$A$12:$E$90,3,0)</f>
        <v>Cái Đước - Cà Mau</v>
      </c>
      <c r="R55" s="246" t="s">
        <v>229</v>
      </c>
    </row>
    <row r="56" spans="1:18" ht="18.75" customHeight="1">
      <c r="A56" s="40" t="str">
        <f t="shared" ref="A56:A61" si="21">IF(B56&lt;&gt;"","VL","")</f>
        <v>VL</v>
      </c>
      <c r="B56" s="85">
        <f t="shared" ref="B56:B61" si="22">IF(C56&lt;&gt;"",B55+1,"")</f>
        <v>45</v>
      </c>
      <c r="C56" s="406" t="s">
        <v>352</v>
      </c>
      <c r="D56" s="407" t="s">
        <v>84</v>
      </c>
      <c r="E56" s="408">
        <v>93894</v>
      </c>
      <c r="F56" s="408">
        <v>40280526</v>
      </c>
      <c r="G56" s="409">
        <f t="shared" si="15"/>
        <v>43980</v>
      </c>
      <c r="H56" s="409">
        <f t="shared" si="16"/>
        <v>18867420</v>
      </c>
      <c r="I56" s="409">
        <f t="shared" si="17"/>
        <v>33874</v>
      </c>
      <c r="J56" s="409">
        <f t="shared" si="18"/>
        <v>14531946</v>
      </c>
      <c r="K56" s="408">
        <f t="shared" si="13"/>
        <v>104000</v>
      </c>
      <c r="L56" s="408">
        <f t="shared" si="14"/>
        <v>44616000</v>
      </c>
      <c r="M56" s="197" t="str">
        <f t="shared" ref="M56:M61" si="23">IF(N56&lt;&gt;"","NL","")</f>
        <v>NL</v>
      </c>
      <c r="N56" s="76" t="s">
        <v>421</v>
      </c>
      <c r="O56" s="191" t="str">
        <f>VLOOKUP($N56,[2]Vine!$A$12:$E$90,4,0)</f>
        <v>Cà Mau</v>
      </c>
      <c r="P56" s="191">
        <f>VLOOKUP($N56,[2]Vine!$A$12:$E$90,2,0)</f>
        <v>381156240</v>
      </c>
      <c r="Q56" s="191" t="str">
        <f>VLOOKUP($N56,[2]Vine!$A$12:$E$90,3,0)</f>
        <v>Cà Mau</v>
      </c>
      <c r="R56" s="246" t="s">
        <v>464</v>
      </c>
    </row>
    <row r="57" spans="1:18" ht="18.75" customHeight="1">
      <c r="A57" s="40" t="str">
        <f t="shared" si="21"/>
        <v>VL</v>
      </c>
      <c r="B57" s="85">
        <f t="shared" si="22"/>
        <v>46</v>
      </c>
      <c r="C57" s="406" t="s">
        <v>353</v>
      </c>
      <c r="D57" s="407" t="s">
        <v>84</v>
      </c>
      <c r="E57" s="408">
        <v>110800</v>
      </c>
      <c r="F57" s="408">
        <v>24209800</v>
      </c>
      <c r="G57" s="409">
        <f t="shared" si="15"/>
        <v>0</v>
      </c>
      <c r="H57" s="409">
        <f t="shared" si="16"/>
        <v>0</v>
      </c>
      <c r="I57" s="409">
        <f t="shared" si="17"/>
        <v>0</v>
      </c>
      <c r="J57" s="409">
        <f t="shared" si="18"/>
        <v>0</v>
      </c>
      <c r="K57" s="408">
        <f t="shared" si="13"/>
        <v>110800</v>
      </c>
      <c r="L57" s="408">
        <f t="shared" si="14"/>
        <v>24209800</v>
      </c>
      <c r="M57" s="197" t="str">
        <f t="shared" si="23"/>
        <v>NL</v>
      </c>
      <c r="N57" s="76" t="s">
        <v>122</v>
      </c>
      <c r="O57" s="191" t="str">
        <f>VLOOKUP($N57,[2]Vine!$A$12:$E$90,4,0)</f>
        <v>Bến Tre</v>
      </c>
      <c r="P57" s="191">
        <f>VLOOKUP($N57,[2]Vine!$A$12:$E$90,2,0)</f>
        <v>320883374</v>
      </c>
      <c r="Q57" s="191" t="str">
        <f>VLOOKUP($N57,[2]Vine!$A$12:$E$90,3,0)</f>
        <v>Ba Tri - Bến Tre</v>
      </c>
      <c r="R57" s="246" t="s">
        <v>464</v>
      </c>
    </row>
    <row r="58" spans="1:18" ht="18.75" customHeight="1">
      <c r="A58" s="40" t="str">
        <f t="shared" si="21"/>
        <v>VL</v>
      </c>
      <c r="B58" s="85">
        <f t="shared" si="22"/>
        <v>47</v>
      </c>
      <c r="C58" s="406" t="s">
        <v>48</v>
      </c>
      <c r="D58" s="407" t="s">
        <v>84</v>
      </c>
      <c r="E58" s="408">
        <v>43800</v>
      </c>
      <c r="F58" s="408">
        <v>10293000</v>
      </c>
      <c r="G58" s="409">
        <f t="shared" si="15"/>
        <v>0</v>
      </c>
      <c r="H58" s="409">
        <f t="shared" si="16"/>
        <v>0</v>
      </c>
      <c r="I58" s="409">
        <f t="shared" si="17"/>
        <v>1336</v>
      </c>
      <c r="J58" s="409">
        <f t="shared" si="18"/>
        <v>480960</v>
      </c>
      <c r="K58" s="408">
        <f t="shared" si="13"/>
        <v>42464</v>
      </c>
      <c r="L58" s="408">
        <f t="shared" si="14"/>
        <v>9812040</v>
      </c>
      <c r="M58" s="197" t="str">
        <f t="shared" si="23"/>
        <v>NL</v>
      </c>
      <c r="N58" s="76" t="s">
        <v>126</v>
      </c>
      <c r="O58" s="191" t="str">
        <f>VLOOKUP($N58,[2]Vine!$A$12:$E$90,4,0)</f>
        <v>Bình Thuận</v>
      </c>
      <c r="P58" s="191">
        <f>VLOOKUP($N58,[2]Vine!$A$12:$E$90,2,0)</f>
        <v>260850613</v>
      </c>
      <c r="Q58" s="191" t="str">
        <f>VLOOKUP($N58,[2]Vine!$A$12:$E$90,3,0)</f>
        <v>Phan Thiết - Bình Thuận</v>
      </c>
      <c r="R58" s="246" t="s">
        <v>229</v>
      </c>
    </row>
    <row r="59" spans="1:18" ht="18.75" customHeight="1">
      <c r="A59" s="40" t="str">
        <f t="shared" si="21"/>
        <v>VL</v>
      </c>
      <c r="B59" s="85">
        <f t="shared" si="22"/>
        <v>48</v>
      </c>
      <c r="C59" s="406" t="s">
        <v>49</v>
      </c>
      <c r="D59" s="407" t="s">
        <v>84</v>
      </c>
      <c r="E59" s="408">
        <v>296550</v>
      </c>
      <c r="F59" s="408">
        <v>102916250</v>
      </c>
      <c r="G59" s="409">
        <f t="shared" si="15"/>
        <v>0</v>
      </c>
      <c r="H59" s="409">
        <f t="shared" si="16"/>
        <v>0</v>
      </c>
      <c r="I59" s="409">
        <f t="shared" si="17"/>
        <v>59100</v>
      </c>
      <c r="J59" s="409">
        <f t="shared" si="18"/>
        <v>32209500</v>
      </c>
      <c r="K59" s="408">
        <f t="shared" si="13"/>
        <v>237450</v>
      </c>
      <c r="L59" s="408">
        <f t="shared" si="14"/>
        <v>70706750</v>
      </c>
      <c r="M59" s="197" t="str">
        <f t="shared" si="23"/>
        <v>NL</v>
      </c>
      <c r="N59" s="76" t="s">
        <v>300</v>
      </c>
      <c r="O59" s="191" t="str">
        <f>VLOOKUP($N59,[2]Vine!$A$12:$E$90,4,0)</f>
        <v>Bến Tre</v>
      </c>
      <c r="P59" s="191">
        <f>VLOOKUP($N59,[2]Vine!$A$12:$E$90,2,0)</f>
        <v>320878054</v>
      </c>
      <c r="Q59" s="191" t="str">
        <f>VLOOKUP($N59,[2]Vine!$A$12:$E$90,3,0)</f>
        <v>Giồng Trôm - Bến Tre</v>
      </c>
      <c r="R59" s="246" t="s">
        <v>464</v>
      </c>
    </row>
    <row r="60" spans="1:18" ht="18.75" customHeight="1">
      <c r="A60" s="40" t="str">
        <f t="shared" si="21"/>
        <v>VL</v>
      </c>
      <c r="B60" s="85">
        <f t="shared" si="22"/>
        <v>49</v>
      </c>
      <c r="C60" s="406" t="s">
        <v>50</v>
      </c>
      <c r="D60" s="407" t="s">
        <v>84</v>
      </c>
      <c r="E60" s="408">
        <v>65700</v>
      </c>
      <c r="F60" s="408">
        <v>35806500</v>
      </c>
      <c r="G60" s="409">
        <f t="shared" si="15"/>
        <v>0</v>
      </c>
      <c r="H60" s="409">
        <f t="shared" si="16"/>
        <v>0</v>
      </c>
      <c r="I60" s="409">
        <f t="shared" si="17"/>
        <v>31500</v>
      </c>
      <c r="J60" s="409">
        <f t="shared" si="18"/>
        <v>7402500</v>
      </c>
      <c r="K60" s="408">
        <f t="shared" si="13"/>
        <v>34200</v>
      </c>
      <c r="L60" s="408">
        <f t="shared" si="14"/>
        <v>28404000</v>
      </c>
      <c r="M60" s="197" t="str">
        <f t="shared" si="23"/>
        <v>NL</v>
      </c>
      <c r="N60" s="76" t="s">
        <v>121</v>
      </c>
      <c r="O60" s="191" t="str">
        <f>VLOOKUP($N60,[2]Vine!$A$12:$E$90,4,0)</f>
        <v>Bến Tre</v>
      </c>
      <c r="P60" s="191">
        <f>VLOOKUP($N60,[2]Vine!$A$12:$E$90,2,0)</f>
        <v>320807672</v>
      </c>
      <c r="Q60" s="191" t="str">
        <f>VLOOKUP($N60,[2]Vine!$A$12:$E$90,3,0)</f>
        <v>Ba Tri - Bến Tre</v>
      </c>
      <c r="R60" s="246" t="s">
        <v>464</v>
      </c>
    </row>
    <row r="61" spans="1:18" ht="18.75" customHeight="1">
      <c r="A61" s="40" t="str">
        <f t="shared" si="21"/>
        <v>VL</v>
      </c>
      <c r="B61" s="85">
        <f t="shared" si="22"/>
        <v>50</v>
      </c>
      <c r="C61" s="406" t="s">
        <v>51</v>
      </c>
      <c r="D61" s="407" t="s">
        <v>84</v>
      </c>
      <c r="E61" s="408">
        <v>5909</v>
      </c>
      <c r="F61" s="408">
        <v>13984129</v>
      </c>
      <c r="G61" s="409">
        <f t="shared" si="15"/>
        <v>0</v>
      </c>
      <c r="H61" s="409">
        <f t="shared" si="16"/>
        <v>0</v>
      </c>
      <c r="I61" s="409">
        <f t="shared" si="17"/>
        <v>0</v>
      </c>
      <c r="J61" s="409">
        <f t="shared" si="18"/>
        <v>0</v>
      </c>
      <c r="K61" s="408">
        <f t="shared" si="13"/>
        <v>5909</v>
      </c>
      <c r="L61" s="408">
        <f t="shared" si="14"/>
        <v>13984129</v>
      </c>
      <c r="M61" s="197" t="str">
        <f t="shared" si="23"/>
        <v>NL</v>
      </c>
      <c r="N61" s="76" t="s">
        <v>298</v>
      </c>
      <c r="O61" s="191" t="str">
        <f>VLOOKUP($N61,[2]Vine!$A$12:$E$90,4,0)</f>
        <v>Bến Tre</v>
      </c>
      <c r="P61" s="191">
        <f>VLOOKUP($N61,[2]Vine!$A$12:$E$90,2,0)</f>
        <v>320876542</v>
      </c>
      <c r="Q61" s="191" t="str">
        <f>VLOOKUP($N61,[2]Vine!$A$12:$E$90,3,0)</f>
        <v>Giồng Trôm - Bến Tre</v>
      </c>
      <c r="R61" s="246" t="s">
        <v>464</v>
      </c>
    </row>
    <row r="62" spans="1:18" ht="18.75" hidden="1" customHeight="1">
      <c r="A62" s="40"/>
      <c r="B62" s="85"/>
      <c r="C62" s="462"/>
      <c r="D62" s="463"/>
      <c r="E62" s="464"/>
      <c r="F62" s="464"/>
      <c r="G62" s="409">
        <f t="shared" si="15"/>
        <v>0</v>
      </c>
      <c r="H62" s="409">
        <f t="shared" si="16"/>
        <v>0</v>
      </c>
      <c r="I62" s="409">
        <f t="shared" si="17"/>
        <v>0</v>
      </c>
      <c r="J62" s="409">
        <f t="shared" si="18"/>
        <v>0</v>
      </c>
      <c r="K62" s="408">
        <f t="shared" ref="K62:K66" si="24">E62+G62-I62</f>
        <v>0</v>
      </c>
      <c r="L62" s="408">
        <f t="shared" ref="L62:L66" si="25">F62+H62-J62</f>
        <v>0</v>
      </c>
      <c r="M62" s="197"/>
      <c r="N62" s="76" t="s">
        <v>133</v>
      </c>
      <c r="O62" s="191" t="str">
        <f>VLOOKUP($N62,[2]Vine!$A$12:$E$90,4,0)</f>
        <v>Tiền Giang</v>
      </c>
      <c r="P62" s="191">
        <f>VLOOKUP($N62,[2]Vine!$A$12:$E$90,2,0)</f>
        <v>310882158</v>
      </c>
      <c r="Q62" s="191" t="str">
        <f>VLOOKUP($N62,[2]Vine!$A$12:$E$90,3,0)</f>
        <v xml:space="preserve">Gò Công Tây - Tiền Giang </v>
      </c>
      <c r="R62" s="246" t="s">
        <v>464</v>
      </c>
    </row>
    <row r="63" spans="1:18" ht="18.75" hidden="1" customHeight="1">
      <c r="A63" s="40"/>
      <c r="B63" s="85"/>
      <c r="C63" s="462"/>
      <c r="D63" s="463"/>
      <c r="E63" s="464"/>
      <c r="F63" s="464"/>
      <c r="G63" s="409">
        <f t="shared" si="15"/>
        <v>0</v>
      </c>
      <c r="H63" s="409">
        <f t="shared" si="16"/>
        <v>0</v>
      </c>
      <c r="I63" s="409">
        <f t="shared" si="17"/>
        <v>0</v>
      </c>
      <c r="J63" s="409">
        <f t="shared" si="18"/>
        <v>0</v>
      </c>
      <c r="K63" s="408">
        <f t="shared" si="24"/>
        <v>0</v>
      </c>
      <c r="L63" s="408">
        <f t="shared" si="25"/>
        <v>0</v>
      </c>
      <c r="M63" s="197"/>
      <c r="N63" s="76" t="s">
        <v>307</v>
      </c>
      <c r="O63" s="191" t="str">
        <f>VLOOKUP($N63,[2]Vine!$A$12:$E$90,4,0)</f>
        <v>Kiên Giang</v>
      </c>
      <c r="P63" s="191">
        <f>VLOOKUP($N63,[2]Vine!$A$12:$E$90,2,0)</f>
        <v>370209938</v>
      </c>
      <c r="Q63" s="191" t="str">
        <f>VLOOKUP($N63,[2]Vine!$A$12:$E$90,3,0)</f>
        <v>Rạch Giá - Kiên Giang</v>
      </c>
      <c r="R63" s="246" t="s">
        <v>229</v>
      </c>
    </row>
    <row r="64" spans="1:18" ht="18.75" hidden="1" customHeight="1">
      <c r="A64" s="40"/>
      <c r="B64" s="85"/>
      <c r="C64" s="462"/>
      <c r="D64" s="463"/>
      <c r="E64" s="464"/>
      <c r="F64" s="464"/>
      <c r="G64" s="409">
        <f t="shared" si="15"/>
        <v>0</v>
      </c>
      <c r="H64" s="409">
        <f t="shared" si="16"/>
        <v>0</v>
      </c>
      <c r="I64" s="409">
        <f t="shared" si="17"/>
        <v>0</v>
      </c>
      <c r="J64" s="409">
        <f t="shared" si="18"/>
        <v>0</v>
      </c>
      <c r="K64" s="408">
        <f t="shared" si="24"/>
        <v>0</v>
      </c>
      <c r="L64" s="408">
        <f t="shared" si="25"/>
        <v>0</v>
      </c>
      <c r="M64" s="197"/>
      <c r="N64" s="76" t="s">
        <v>301</v>
      </c>
      <c r="O64" s="191" t="str">
        <f>VLOOKUP($N64,[2]Vine!$A$12:$E$90,4,0)</f>
        <v>Bến Tre</v>
      </c>
      <c r="P64" s="191">
        <f>VLOOKUP($N64,[2]Vine!$A$12:$E$90,2,0)</f>
        <v>320892578</v>
      </c>
      <c r="Q64" s="191" t="str">
        <f>VLOOKUP($N64,[2]Vine!$A$12:$E$90,3,0)</f>
        <v>Ba Tri - Bến Tre</v>
      </c>
      <c r="R64" s="246" t="s">
        <v>464</v>
      </c>
    </row>
    <row r="65" spans="1:19" ht="18.75" hidden="1" customHeight="1">
      <c r="A65" s="40"/>
      <c r="B65" s="85"/>
      <c r="C65" s="462"/>
      <c r="D65" s="463"/>
      <c r="E65" s="464"/>
      <c r="F65" s="464"/>
      <c r="G65" s="409">
        <f t="shared" si="15"/>
        <v>0</v>
      </c>
      <c r="H65" s="409">
        <f t="shared" si="16"/>
        <v>0</v>
      </c>
      <c r="I65" s="409">
        <f t="shared" si="17"/>
        <v>0</v>
      </c>
      <c r="J65" s="409">
        <f t="shared" si="18"/>
        <v>0</v>
      </c>
      <c r="K65" s="408">
        <f t="shared" si="24"/>
        <v>0</v>
      </c>
      <c r="L65" s="408">
        <f t="shared" si="25"/>
        <v>0</v>
      </c>
      <c r="M65" s="197"/>
      <c r="N65" s="76" t="s">
        <v>137</v>
      </c>
      <c r="O65" s="191" t="str">
        <f>VLOOKUP($N65,[2]Vine!$A$12:$E$90,4,0)</f>
        <v>Vũng Tàu</v>
      </c>
      <c r="P65" s="191">
        <f>VLOOKUP($N65,[2]Vine!$A$12:$E$90,2,0)</f>
        <v>270106056</v>
      </c>
      <c r="Q65" s="191" t="str">
        <f>VLOOKUP($N65,[2]Vine!$A$12:$E$90,3,0)</f>
        <v>Vũng Tàu</v>
      </c>
      <c r="R65" s="246" t="s">
        <v>464</v>
      </c>
    </row>
    <row r="66" spans="1:19" ht="18.75" hidden="1" customHeight="1">
      <c r="A66" s="40"/>
      <c r="B66" s="85"/>
      <c r="C66" s="462"/>
      <c r="D66" s="463"/>
      <c r="E66" s="464"/>
      <c r="F66" s="464"/>
      <c r="G66" s="409">
        <f t="shared" si="15"/>
        <v>0</v>
      </c>
      <c r="H66" s="409">
        <f t="shared" si="16"/>
        <v>0</v>
      </c>
      <c r="I66" s="409">
        <f t="shared" si="17"/>
        <v>0</v>
      </c>
      <c r="J66" s="409">
        <f t="shared" si="18"/>
        <v>0</v>
      </c>
      <c r="K66" s="408">
        <f t="shared" si="24"/>
        <v>0</v>
      </c>
      <c r="L66" s="408">
        <f t="shared" si="25"/>
        <v>0</v>
      </c>
      <c r="M66" s="197"/>
      <c r="N66" s="76" t="s">
        <v>429</v>
      </c>
      <c r="O66" s="191" t="str">
        <f>VLOOKUP($N66,[2]Vine!$A$12:$E$90,4,0)</f>
        <v>Vũng Tàu</v>
      </c>
      <c r="P66" s="191">
        <f>VLOOKUP($N66,[2]Vine!$A$12:$E$90,2,0)</f>
        <v>270176684</v>
      </c>
      <c r="Q66" s="191" t="str">
        <f>VLOOKUP($N66,[2]Vine!$A$12:$E$90,3,0)</f>
        <v>Vũng Tàu</v>
      </c>
      <c r="R66" s="246" t="s">
        <v>464</v>
      </c>
    </row>
    <row r="67" spans="1:19" ht="18" customHeight="1">
      <c r="A67" s="40" t="str">
        <f>IF(B68&lt;&gt;"","VL","")</f>
        <v/>
      </c>
      <c r="B67" s="85" t="str">
        <f>IF(C67&lt;&gt;"",B55+1,"")</f>
        <v/>
      </c>
      <c r="C67" s="76"/>
      <c r="D67" s="200"/>
      <c r="E67" s="77"/>
      <c r="F67" s="77"/>
      <c r="G67" s="46"/>
      <c r="H67" s="77"/>
      <c r="I67" s="77"/>
      <c r="J67" s="77"/>
      <c r="K67" s="77"/>
      <c r="L67" s="77"/>
      <c r="M67" s="197" t="str">
        <f t="shared" ref="M67:M68" si="26">IF(N67&lt;&gt;"","TP","")</f>
        <v>TP</v>
      </c>
      <c r="N67" s="37" t="s">
        <v>430</v>
      </c>
      <c r="O67" s="191" t="str">
        <f>VLOOKUP($N67,[2]Vine!$A$12:$E$90,4,0)</f>
        <v>Bến Tre</v>
      </c>
      <c r="P67" s="191">
        <f>VLOOKUP($N67,[2]Vine!$A$12:$E$90,2,0)</f>
        <v>320044169</v>
      </c>
      <c r="Q67" s="191" t="str">
        <f>VLOOKUP($N67,[2]Vine!$A$12:$E$90,3,0)</f>
        <v>Ba Tri - Bến Tre</v>
      </c>
      <c r="R67" s="246" t="s">
        <v>229</v>
      </c>
    </row>
    <row r="68" spans="1:19" ht="18" customHeight="1">
      <c r="A68" s="40" t="str">
        <f>IF(B70&lt;&gt;"","VL","")</f>
        <v/>
      </c>
      <c r="B68" s="39"/>
      <c r="C68" s="39" t="s">
        <v>63</v>
      </c>
      <c r="D68" s="36"/>
      <c r="E68" s="36">
        <f t="shared" ref="E68:L68" si="27">SUM(E12:E67)</f>
        <v>877636</v>
      </c>
      <c r="F68" s="36">
        <f t="shared" si="27"/>
        <v>607628450</v>
      </c>
      <c r="G68" s="36">
        <f t="shared" si="27"/>
        <v>223557</v>
      </c>
      <c r="H68" s="36">
        <f t="shared" si="27"/>
        <v>1282686029</v>
      </c>
      <c r="I68" s="36">
        <f t="shared" si="27"/>
        <v>314815</v>
      </c>
      <c r="J68" s="36">
        <f t="shared" si="27"/>
        <v>1154044907</v>
      </c>
      <c r="K68" s="36">
        <f t="shared" si="27"/>
        <v>786378</v>
      </c>
      <c r="L68" s="36">
        <f t="shared" si="27"/>
        <v>736269572</v>
      </c>
      <c r="M68" s="197" t="str">
        <f t="shared" si="26"/>
        <v/>
      </c>
      <c r="N68" s="37"/>
      <c r="O68" s="191"/>
      <c r="P68" s="191"/>
      <c r="Q68" s="191"/>
      <c r="R68" s="246"/>
    </row>
    <row r="69" spans="1:19" ht="18" hidden="1" customHeight="1">
      <c r="A69" s="40"/>
      <c r="B69" s="62"/>
      <c r="C69" s="62"/>
      <c r="D69" s="63"/>
      <c r="E69" s="63">
        <v>877636</v>
      </c>
      <c r="F69" s="63">
        <v>607628450</v>
      </c>
      <c r="G69" s="63">
        <v>223557</v>
      </c>
      <c r="H69" s="63">
        <v>1282686029</v>
      </c>
      <c r="I69" s="63">
        <v>314815</v>
      </c>
      <c r="J69" s="63">
        <v>1154044907</v>
      </c>
      <c r="K69" s="63">
        <v>786378</v>
      </c>
      <c r="L69" s="63">
        <v>736269572</v>
      </c>
      <c r="M69" s="197"/>
      <c r="N69" s="423"/>
      <c r="O69" s="191"/>
      <c r="P69" s="191"/>
      <c r="Q69" s="191"/>
      <c r="R69" s="246"/>
    </row>
    <row r="70" spans="1:19" ht="18" customHeight="1">
      <c r="A70" s="40"/>
      <c r="B70" s="62"/>
      <c r="C70" s="62"/>
      <c r="D70" s="63"/>
      <c r="E70" s="63">
        <f>E68-E69</f>
        <v>0</v>
      </c>
      <c r="F70" s="63">
        <f t="shared" ref="F70:L70" si="28">F68-F69</f>
        <v>0</v>
      </c>
      <c r="G70" s="63">
        <f t="shared" si="28"/>
        <v>0</v>
      </c>
      <c r="H70" s="63">
        <f t="shared" si="28"/>
        <v>0</v>
      </c>
      <c r="I70" s="63">
        <f t="shared" si="28"/>
        <v>0</v>
      </c>
      <c r="J70" s="63">
        <f t="shared" si="28"/>
        <v>0</v>
      </c>
      <c r="K70" s="63">
        <f t="shared" si="28"/>
        <v>0</v>
      </c>
      <c r="L70" s="63">
        <f t="shared" si="28"/>
        <v>0</v>
      </c>
      <c r="M70" s="197"/>
      <c r="N70" s="192"/>
      <c r="O70" s="191"/>
      <c r="P70" s="191"/>
      <c r="Q70" s="465"/>
      <c r="R70" s="466"/>
    </row>
    <row r="71" spans="1:19" ht="19.5" customHeight="1">
      <c r="A71" s="40" t="str">
        <f>IF(B71&lt;&gt;"","NL","")</f>
        <v>NL</v>
      </c>
      <c r="B71" s="83">
        <f>IF(C71&lt;&gt;"",ROW()-(ROW()-1),"")</f>
        <v>1</v>
      </c>
      <c r="C71" s="37" t="s">
        <v>52</v>
      </c>
      <c r="D71" s="50" t="s">
        <v>37</v>
      </c>
      <c r="E71" s="46"/>
      <c r="F71" s="46"/>
      <c r="G71" s="46">
        <f t="shared" ref="G71:G86" si="29">SUMIF(DSNX1,$C71,DSNX2)</f>
        <v>138850</v>
      </c>
      <c r="H71" s="46">
        <f t="shared" ref="H71:H86" si="30">SUMIF(DSNX1,$C71,DSNX5)</f>
        <v>2428260000</v>
      </c>
      <c r="I71" s="46">
        <f t="shared" ref="I71:I86" si="31">SUMIF(DSNX1,$C71,DSNX3)</f>
        <v>138850</v>
      </c>
      <c r="J71" s="46">
        <f t="shared" ref="J71:J86" si="32">SUMIF(DSNX1,$C71,DSNX4)</f>
        <v>2428260000</v>
      </c>
      <c r="K71" s="46">
        <f t="shared" ref="K71:L78" si="33">E71+G71-I71</f>
        <v>0</v>
      </c>
      <c r="L71" s="46">
        <f t="shared" si="33"/>
        <v>0</v>
      </c>
      <c r="M71" s="197" t="str">
        <f t="shared" ref="M71:M90" si="34">IF(N71&lt;&gt;"","TP","")</f>
        <v>TP</v>
      </c>
      <c r="N71" s="37" t="s">
        <v>204</v>
      </c>
      <c r="Q71" s="467"/>
      <c r="R71" s="70"/>
      <c r="S71" s="70"/>
    </row>
    <row r="72" spans="1:19" ht="19.5" customHeight="1">
      <c r="A72" s="40" t="str">
        <f t="shared" ref="A72:A79" si="35">IF(B72&lt;&gt;"","NL","")</f>
        <v>NL</v>
      </c>
      <c r="B72" s="85">
        <f t="shared" ref="B72:B78" si="36">IF(C72&lt;&gt;"",B71+1,"")</f>
        <v>2</v>
      </c>
      <c r="C72" s="37" t="s">
        <v>294</v>
      </c>
      <c r="D72" s="50" t="s">
        <v>37</v>
      </c>
      <c r="E72" s="38"/>
      <c r="F72" s="38"/>
      <c r="G72" s="46">
        <f t="shared" si="29"/>
        <v>2106</v>
      </c>
      <c r="H72" s="46">
        <f t="shared" si="30"/>
        <v>71604000</v>
      </c>
      <c r="I72" s="46">
        <f t="shared" si="31"/>
        <v>2106</v>
      </c>
      <c r="J72" s="46">
        <f t="shared" si="32"/>
        <v>71604000</v>
      </c>
      <c r="K72" s="38">
        <f t="shared" si="33"/>
        <v>0</v>
      </c>
      <c r="L72" s="38">
        <f t="shared" si="33"/>
        <v>0</v>
      </c>
      <c r="M72" s="197" t="str">
        <f t="shared" si="34"/>
        <v>TP</v>
      </c>
      <c r="N72" s="37" t="s">
        <v>389</v>
      </c>
      <c r="Q72" s="467"/>
      <c r="R72" s="70"/>
      <c r="S72" s="70"/>
    </row>
    <row r="73" spans="1:19" ht="19.5" customHeight="1">
      <c r="A73" s="40" t="str">
        <f t="shared" si="35"/>
        <v>NL</v>
      </c>
      <c r="B73" s="85">
        <f t="shared" si="36"/>
        <v>3</v>
      </c>
      <c r="C73" s="37" t="s">
        <v>39</v>
      </c>
      <c r="D73" s="50" t="s">
        <v>37</v>
      </c>
      <c r="E73" s="38"/>
      <c r="F73" s="38"/>
      <c r="G73" s="46">
        <f t="shared" si="29"/>
        <v>272660</v>
      </c>
      <c r="H73" s="46">
        <f t="shared" si="30"/>
        <v>7735970000</v>
      </c>
      <c r="I73" s="46">
        <f t="shared" si="31"/>
        <v>272660</v>
      </c>
      <c r="J73" s="46">
        <f t="shared" si="32"/>
        <v>7735970000</v>
      </c>
      <c r="K73" s="38">
        <f t="shared" si="33"/>
        <v>0</v>
      </c>
      <c r="L73" s="38">
        <f t="shared" si="33"/>
        <v>0</v>
      </c>
      <c r="M73" s="197" t="str">
        <f t="shared" si="34"/>
        <v>TP</v>
      </c>
      <c r="N73" s="37" t="s">
        <v>388</v>
      </c>
      <c r="Q73" s="467"/>
      <c r="R73" s="70"/>
      <c r="S73" s="70"/>
    </row>
    <row r="74" spans="1:19" ht="19.5" customHeight="1">
      <c r="A74" s="40" t="str">
        <f t="shared" si="35"/>
        <v>NL</v>
      </c>
      <c r="B74" s="85">
        <f t="shared" si="36"/>
        <v>4</v>
      </c>
      <c r="C74" s="37" t="s">
        <v>354</v>
      </c>
      <c r="D74" s="50" t="s">
        <v>37</v>
      </c>
      <c r="E74" s="38"/>
      <c r="F74" s="38"/>
      <c r="G74" s="46">
        <f t="shared" si="29"/>
        <v>237550</v>
      </c>
      <c r="H74" s="46">
        <f t="shared" si="30"/>
        <v>4104600000</v>
      </c>
      <c r="I74" s="46">
        <f t="shared" si="31"/>
        <v>237550</v>
      </c>
      <c r="J74" s="46">
        <f t="shared" si="32"/>
        <v>4104600000</v>
      </c>
      <c r="K74" s="38">
        <f t="shared" si="33"/>
        <v>0</v>
      </c>
      <c r="L74" s="38">
        <f t="shared" si="33"/>
        <v>0</v>
      </c>
      <c r="M74" s="197" t="str">
        <f t="shared" si="34"/>
        <v>TP</v>
      </c>
      <c r="N74" s="37" t="s">
        <v>390</v>
      </c>
      <c r="Q74" s="467"/>
      <c r="R74" s="70"/>
      <c r="S74" s="70"/>
    </row>
    <row r="75" spans="1:19" ht="19.5" customHeight="1">
      <c r="A75" s="40" t="str">
        <f t="shared" si="35"/>
        <v>NL</v>
      </c>
      <c r="B75" s="85">
        <f t="shared" si="36"/>
        <v>5</v>
      </c>
      <c r="C75" s="37" t="s">
        <v>355</v>
      </c>
      <c r="D75" s="50" t="s">
        <v>37</v>
      </c>
      <c r="E75" s="38"/>
      <c r="F75" s="38"/>
      <c r="G75" s="46">
        <f t="shared" si="29"/>
        <v>7500</v>
      </c>
      <c r="H75" s="46">
        <f t="shared" si="30"/>
        <v>165000000</v>
      </c>
      <c r="I75" s="46">
        <f t="shared" si="31"/>
        <v>7500</v>
      </c>
      <c r="J75" s="46">
        <f t="shared" si="32"/>
        <v>165000000</v>
      </c>
      <c r="K75" s="38">
        <f t="shared" si="33"/>
        <v>0</v>
      </c>
      <c r="L75" s="38">
        <f t="shared" si="33"/>
        <v>0</v>
      </c>
      <c r="M75" s="197" t="str">
        <f t="shared" si="34"/>
        <v>TP</v>
      </c>
      <c r="N75" s="37" t="s">
        <v>113</v>
      </c>
      <c r="Q75" s="467"/>
      <c r="R75" s="70"/>
      <c r="S75" s="70"/>
    </row>
    <row r="76" spans="1:19" ht="19.5" customHeight="1">
      <c r="A76" s="40" t="str">
        <f t="shared" si="35"/>
        <v>NL</v>
      </c>
      <c r="B76" s="85">
        <f t="shared" si="36"/>
        <v>6</v>
      </c>
      <c r="C76" s="41" t="s">
        <v>356</v>
      </c>
      <c r="D76" s="50" t="s">
        <v>37</v>
      </c>
      <c r="E76" s="38"/>
      <c r="F76" s="38"/>
      <c r="G76" s="46">
        <f t="shared" si="29"/>
        <v>90770</v>
      </c>
      <c r="H76" s="46">
        <f t="shared" si="30"/>
        <v>3015287500</v>
      </c>
      <c r="I76" s="46">
        <f t="shared" si="31"/>
        <v>90770</v>
      </c>
      <c r="J76" s="46">
        <f t="shared" si="32"/>
        <v>3015287500</v>
      </c>
      <c r="K76" s="38">
        <f t="shared" si="33"/>
        <v>0</v>
      </c>
      <c r="L76" s="38">
        <f t="shared" si="33"/>
        <v>0</v>
      </c>
      <c r="M76" s="197" t="str">
        <f t="shared" si="34"/>
        <v>TP</v>
      </c>
      <c r="N76" s="37" t="s">
        <v>387</v>
      </c>
      <c r="Q76" s="467"/>
      <c r="R76" s="70"/>
      <c r="S76" s="70"/>
    </row>
    <row r="77" spans="1:19" ht="19.5" customHeight="1">
      <c r="A77" s="40" t="str">
        <f t="shared" si="35"/>
        <v>NL</v>
      </c>
      <c r="B77" s="85">
        <f t="shared" si="36"/>
        <v>7</v>
      </c>
      <c r="C77" s="37" t="s">
        <v>275</v>
      </c>
      <c r="D77" s="50" t="s">
        <v>37</v>
      </c>
      <c r="E77" s="38">
        <v>17330</v>
      </c>
      <c r="F77" s="38">
        <v>69320000</v>
      </c>
      <c r="G77" s="46">
        <f t="shared" si="29"/>
        <v>202950</v>
      </c>
      <c r="H77" s="46">
        <f t="shared" si="30"/>
        <v>4517830000</v>
      </c>
      <c r="I77" s="46">
        <f t="shared" si="31"/>
        <v>220280</v>
      </c>
      <c r="J77" s="46">
        <f t="shared" si="32"/>
        <v>4587150000</v>
      </c>
      <c r="K77" s="38">
        <f t="shared" si="33"/>
        <v>0</v>
      </c>
      <c r="L77" s="38">
        <f t="shared" si="33"/>
        <v>0</v>
      </c>
      <c r="M77" s="197" t="str">
        <f t="shared" si="34"/>
        <v>TP</v>
      </c>
      <c r="N77" s="37" t="s">
        <v>114</v>
      </c>
      <c r="Q77" s="467"/>
      <c r="R77" s="70"/>
      <c r="S77" s="70"/>
    </row>
    <row r="78" spans="1:19" ht="19.5" customHeight="1">
      <c r="A78" s="40" t="str">
        <f t="shared" si="35"/>
        <v>NL</v>
      </c>
      <c r="B78" s="85">
        <f t="shared" si="36"/>
        <v>8</v>
      </c>
      <c r="C78" s="37" t="s">
        <v>357</v>
      </c>
      <c r="D78" s="50" t="s">
        <v>37</v>
      </c>
      <c r="E78" s="38"/>
      <c r="F78" s="38"/>
      <c r="G78" s="46">
        <f t="shared" si="29"/>
        <v>285000</v>
      </c>
      <c r="H78" s="46">
        <f t="shared" si="30"/>
        <v>5346000000</v>
      </c>
      <c r="I78" s="46">
        <f t="shared" si="31"/>
        <v>285000</v>
      </c>
      <c r="J78" s="46">
        <f t="shared" si="32"/>
        <v>5346000000</v>
      </c>
      <c r="K78" s="38">
        <f t="shared" si="33"/>
        <v>0</v>
      </c>
      <c r="L78" s="38">
        <f t="shared" si="33"/>
        <v>0</v>
      </c>
      <c r="M78" s="197" t="str">
        <f t="shared" si="34"/>
        <v>TP</v>
      </c>
      <c r="N78" s="76" t="s">
        <v>292</v>
      </c>
      <c r="Q78" s="468"/>
      <c r="R78" s="70"/>
      <c r="S78" s="70"/>
    </row>
    <row r="79" spans="1:19" ht="19.5" customHeight="1">
      <c r="A79" s="40" t="str">
        <f t="shared" si="35"/>
        <v>NL</v>
      </c>
      <c r="B79" s="85">
        <f t="shared" ref="B79" si="37">IF(C79&lt;&gt;"",B78+1,"")</f>
        <v>9</v>
      </c>
      <c r="C79" s="37" t="s">
        <v>162</v>
      </c>
      <c r="D79" s="50" t="s">
        <v>37</v>
      </c>
      <c r="E79" s="38"/>
      <c r="F79" s="38"/>
      <c r="G79" s="46">
        <f t="shared" si="29"/>
        <v>94000</v>
      </c>
      <c r="H79" s="46">
        <f t="shared" si="30"/>
        <v>2306025000</v>
      </c>
      <c r="I79" s="46">
        <f t="shared" si="31"/>
        <v>94000</v>
      </c>
      <c r="J79" s="46">
        <f t="shared" si="32"/>
        <v>2306025000</v>
      </c>
      <c r="K79" s="38">
        <f t="shared" ref="K79" si="38">E79+G79-I79</f>
        <v>0</v>
      </c>
      <c r="L79" s="38">
        <f t="shared" ref="L79" si="39">F79+H79-J79</f>
        <v>0</v>
      </c>
      <c r="M79" s="197" t="str">
        <f t="shared" si="34"/>
        <v>TP</v>
      </c>
      <c r="N79" s="76" t="s">
        <v>293</v>
      </c>
      <c r="Q79" s="468"/>
      <c r="R79" s="70"/>
      <c r="S79" s="70"/>
    </row>
    <row r="80" spans="1:19" ht="19.5" customHeight="1">
      <c r="A80" s="40" t="str">
        <f t="shared" ref="A80:A81" si="40">IF(B80&lt;&gt;"","NL","")</f>
        <v>NL</v>
      </c>
      <c r="B80" s="85">
        <f t="shared" ref="B80:B81" si="41">IF(C80&lt;&gt;"",B79+1,"")</f>
        <v>10</v>
      </c>
      <c r="C80" s="37" t="s">
        <v>297</v>
      </c>
      <c r="D80" s="50" t="s">
        <v>37</v>
      </c>
      <c r="E80" s="38"/>
      <c r="F80" s="38"/>
      <c r="G80" s="46">
        <f t="shared" si="29"/>
        <v>21987</v>
      </c>
      <c r="H80" s="46">
        <f t="shared" si="30"/>
        <v>541800000</v>
      </c>
      <c r="I80" s="46">
        <f t="shared" si="31"/>
        <v>21987</v>
      </c>
      <c r="J80" s="46">
        <f t="shared" si="32"/>
        <v>541800000</v>
      </c>
      <c r="K80" s="38">
        <f t="shared" ref="K80:K82" si="42">E80+G80-I80</f>
        <v>0</v>
      </c>
      <c r="L80" s="38">
        <f t="shared" ref="L80:L82" si="43">F80+H80-J80</f>
        <v>0</v>
      </c>
      <c r="M80" s="197" t="str">
        <f t="shared" si="34"/>
        <v>TP</v>
      </c>
      <c r="N80" s="76" t="s">
        <v>109</v>
      </c>
      <c r="Q80" s="468"/>
      <c r="R80" s="70"/>
      <c r="S80" s="70"/>
    </row>
    <row r="81" spans="1:19" ht="19.5" customHeight="1">
      <c r="A81" s="40" t="str">
        <f t="shared" si="40"/>
        <v>NL</v>
      </c>
      <c r="B81" s="85">
        <f t="shared" si="41"/>
        <v>11</v>
      </c>
      <c r="C81" s="37" t="s">
        <v>64</v>
      </c>
      <c r="D81" s="50" t="s">
        <v>37</v>
      </c>
      <c r="E81" s="38"/>
      <c r="F81" s="38"/>
      <c r="G81" s="46">
        <f t="shared" si="29"/>
        <v>203477</v>
      </c>
      <c r="H81" s="46">
        <f t="shared" si="30"/>
        <v>3524388294</v>
      </c>
      <c r="I81" s="46">
        <f t="shared" si="31"/>
        <v>203477</v>
      </c>
      <c r="J81" s="46">
        <f t="shared" si="32"/>
        <v>3524388294</v>
      </c>
      <c r="K81" s="38">
        <f t="shared" si="42"/>
        <v>0</v>
      </c>
      <c r="L81" s="38">
        <f t="shared" si="43"/>
        <v>0</v>
      </c>
      <c r="M81" s="197" t="str">
        <f t="shared" si="34"/>
        <v>TP</v>
      </c>
      <c r="N81" s="76" t="s">
        <v>111</v>
      </c>
      <c r="Q81" s="468"/>
      <c r="R81" s="70"/>
      <c r="S81" s="70"/>
    </row>
    <row r="82" spans="1:19" ht="19.5" customHeight="1">
      <c r="A82" s="40" t="str">
        <f t="shared" ref="A82:A87" si="44">IF(B82&lt;&gt;"","NL","")</f>
        <v>NL</v>
      </c>
      <c r="B82" s="85">
        <f t="shared" ref="B82:B87" si="45">IF(C82&lt;&gt;"",B81+1,"")</f>
        <v>12</v>
      </c>
      <c r="C82" s="37" t="s">
        <v>296</v>
      </c>
      <c r="D82" s="50" t="s">
        <v>37</v>
      </c>
      <c r="E82" s="38">
        <v>24000</v>
      </c>
      <c r="F82" s="38">
        <v>1622468042</v>
      </c>
      <c r="G82" s="46">
        <f t="shared" si="29"/>
        <v>0</v>
      </c>
      <c r="H82" s="46">
        <f t="shared" si="30"/>
        <v>0</v>
      </c>
      <c r="I82" s="46">
        <f t="shared" si="31"/>
        <v>0</v>
      </c>
      <c r="J82" s="46">
        <f t="shared" si="32"/>
        <v>0</v>
      </c>
      <c r="K82" s="38">
        <f t="shared" si="42"/>
        <v>24000</v>
      </c>
      <c r="L82" s="38">
        <f t="shared" si="43"/>
        <v>1622468042</v>
      </c>
      <c r="M82" s="197" t="str">
        <f t="shared" si="34"/>
        <v>TP</v>
      </c>
      <c r="N82" s="76" t="s">
        <v>391</v>
      </c>
      <c r="Q82" s="468"/>
      <c r="R82" s="70"/>
      <c r="S82" s="70"/>
    </row>
    <row r="83" spans="1:19" ht="19.5" customHeight="1">
      <c r="A83" s="40" t="str">
        <f t="shared" si="44"/>
        <v>NL</v>
      </c>
      <c r="B83" s="85">
        <f t="shared" si="45"/>
        <v>13</v>
      </c>
      <c r="C83" s="76" t="s">
        <v>359</v>
      </c>
      <c r="D83" s="50" t="s">
        <v>37</v>
      </c>
      <c r="E83" s="38"/>
      <c r="F83" s="38"/>
      <c r="G83" s="46">
        <f t="shared" si="29"/>
        <v>1564</v>
      </c>
      <c r="H83" s="46">
        <f t="shared" si="30"/>
        <v>43792000</v>
      </c>
      <c r="I83" s="46">
        <f t="shared" si="31"/>
        <v>1564</v>
      </c>
      <c r="J83" s="46">
        <f t="shared" si="32"/>
        <v>43792000</v>
      </c>
      <c r="K83" s="38">
        <f t="shared" ref="K83:K86" si="46">E83+G83-I83</f>
        <v>0</v>
      </c>
      <c r="L83" s="38">
        <f t="shared" ref="L83:L86" si="47">F83+H83-J83</f>
        <v>0</v>
      </c>
      <c r="M83" s="197"/>
      <c r="N83" s="76" t="s">
        <v>110</v>
      </c>
      <c r="Q83" s="468"/>
      <c r="R83" s="70"/>
      <c r="S83" s="70"/>
    </row>
    <row r="84" spans="1:19" ht="19.5" customHeight="1">
      <c r="A84" s="40" t="str">
        <f t="shared" si="44"/>
        <v>NL</v>
      </c>
      <c r="B84" s="85">
        <f t="shared" si="45"/>
        <v>14</v>
      </c>
      <c r="C84" s="76" t="s">
        <v>360</v>
      </c>
      <c r="D84" s="50" t="s">
        <v>37</v>
      </c>
      <c r="E84" s="38"/>
      <c r="F84" s="38"/>
      <c r="G84" s="46">
        <f t="shared" si="29"/>
        <v>19000</v>
      </c>
      <c r="H84" s="46">
        <f t="shared" si="30"/>
        <v>332500000</v>
      </c>
      <c r="I84" s="46">
        <f t="shared" si="31"/>
        <v>19000</v>
      </c>
      <c r="J84" s="46">
        <f t="shared" si="32"/>
        <v>332500000</v>
      </c>
      <c r="K84" s="38">
        <f t="shared" si="46"/>
        <v>0</v>
      </c>
      <c r="L84" s="38">
        <f t="shared" si="47"/>
        <v>0</v>
      </c>
      <c r="M84" s="197"/>
      <c r="N84" s="76" t="s">
        <v>112</v>
      </c>
      <c r="Q84" s="468"/>
      <c r="R84" s="70"/>
      <c r="S84" s="70"/>
    </row>
    <row r="85" spans="1:19" ht="19.5" customHeight="1">
      <c r="A85" s="40" t="str">
        <f t="shared" si="44"/>
        <v>NL</v>
      </c>
      <c r="B85" s="85">
        <f t="shared" si="45"/>
        <v>15</v>
      </c>
      <c r="C85" s="76" t="s">
        <v>361</v>
      </c>
      <c r="D85" s="50" t="s">
        <v>37</v>
      </c>
      <c r="E85" s="38"/>
      <c r="F85" s="38"/>
      <c r="G85" s="46">
        <f t="shared" si="29"/>
        <v>24050</v>
      </c>
      <c r="H85" s="46">
        <f t="shared" si="30"/>
        <v>456950000</v>
      </c>
      <c r="I85" s="46">
        <f t="shared" si="31"/>
        <v>24050</v>
      </c>
      <c r="J85" s="46">
        <f t="shared" si="32"/>
        <v>456950000</v>
      </c>
      <c r="K85" s="38">
        <f t="shared" si="46"/>
        <v>0</v>
      </c>
      <c r="L85" s="38">
        <f t="shared" si="47"/>
        <v>0</v>
      </c>
      <c r="M85" s="197"/>
      <c r="N85" s="76" t="s">
        <v>392</v>
      </c>
      <c r="Q85" s="468"/>
      <c r="R85" s="70"/>
      <c r="S85" s="70"/>
    </row>
    <row r="86" spans="1:19" ht="19.5" customHeight="1">
      <c r="A86" s="40" t="str">
        <f t="shared" si="44"/>
        <v>NL</v>
      </c>
      <c r="B86" s="85">
        <f t="shared" si="45"/>
        <v>16</v>
      </c>
      <c r="C86" s="76" t="s">
        <v>295</v>
      </c>
      <c r="D86" s="50" t="s">
        <v>37</v>
      </c>
      <c r="E86" s="38"/>
      <c r="F86" s="38"/>
      <c r="G86" s="46">
        <f t="shared" si="29"/>
        <v>764</v>
      </c>
      <c r="H86" s="46">
        <f t="shared" si="30"/>
        <v>25976000</v>
      </c>
      <c r="I86" s="46">
        <f t="shared" si="31"/>
        <v>764</v>
      </c>
      <c r="J86" s="46">
        <f t="shared" si="32"/>
        <v>25976000</v>
      </c>
      <c r="K86" s="38">
        <f t="shared" si="46"/>
        <v>0</v>
      </c>
      <c r="L86" s="38">
        <f t="shared" si="47"/>
        <v>0</v>
      </c>
      <c r="M86" s="197"/>
      <c r="N86" s="76" t="s">
        <v>158</v>
      </c>
      <c r="Q86" s="468"/>
      <c r="R86" s="70"/>
      <c r="S86" s="70"/>
    </row>
    <row r="87" spans="1:19" ht="19.5" customHeight="1">
      <c r="A87" s="40" t="str">
        <f t="shared" si="44"/>
        <v/>
      </c>
      <c r="B87" s="85" t="str">
        <f t="shared" si="45"/>
        <v/>
      </c>
      <c r="C87" s="47"/>
      <c r="D87" s="52"/>
      <c r="E87" s="49"/>
      <c r="F87" s="49"/>
      <c r="G87" s="49"/>
      <c r="H87" s="49"/>
      <c r="I87" s="49"/>
      <c r="J87" s="49"/>
      <c r="K87" s="38"/>
      <c r="L87" s="38"/>
      <c r="M87" s="197" t="str">
        <f t="shared" si="34"/>
        <v/>
      </c>
      <c r="N87" s="76"/>
      <c r="Q87" s="468"/>
      <c r="R87" s="70"/>
      <c r="S87" s="70"/>
    </row>
    <row r="88" spans="1:19" ht="18" customHeight="1">
      <c r="A88" s="40" t="str">
        <f>IF(B90&lt;&gt;"","NL","")</f>
        <v/>
      </c>
      <c r="B88" s="39"/>
      <c r="C88" s="39" t="s">
        <v>65</v>
      </c>
      <c r="D88" s="45"/>
      <c r="E88" s="36">
        <f t="shared" ref="E88:F88" si="48">SUM(E71:E87)</f>
        <v>41330</v>
      </c>
      <c r="F88" s="36">
        <f t="shared" si="48"/>
        <v>1691788042</v>
      </c>
      <c r="G88" s="36">
        <f>SUM(G71:G87)</f>
        <v>1602228</v>
      </c>
      <c r="H88" s="36">
        <f t="shared" ref="H88:L88" si="49">SUM(H71:H87)</f>
        <v>34615982794</v>
      </c>
      <c r="I88" s="36">
        <f t="shared" si="49"/>
        <v>1619558</v>
      </c>
      <c r="J88" s="36">
        <f t="shared" si="49"/>
        <v>34685302794</v>
      </c>
      <c r="K88" s="36">
        <f t="shared" si="49"/>
        <v>24000</v>
      </c>
      <c r="L88" s="36">
        <f t="shared" si="49"/>
        <v>1622468042</v>
      </c>
      <c r="M88" s="197" t="str">
        <f t="shared" si="34"/>
        <v/>
      </c>
      <c r="N88" s="76"/>
      <c r="Q88" s="468"/>
      <c r="R88" s="70"/>
      <c r="S88" s="70"/>
    </row>
    <row r="89" spans="1:19" ht="18" hidden="1" customHeight="1">
      <c r="A89" s="40"/>
      <c r="B89" s="425"/>
      <c r="C89" s="425"/>
      <c r="D89" s="426"/>
      <c r="E89" s="427">
        <v>41330</v>
      </c>
      <c r="F89" s="427">
        <v>1691788042</v>
      </c>
      <c r="G89" s="427">
        <v>1602228</v>
      </c>
      <c r="H89" s="427">
        <v>34615982794</v>
      </c>
      <c r="I89" s="427">
        <v>1619558</v>
      </c>
      <c r="J89" s="427">
        <v>34685302794</v>
      </c>
      <c r="K89" s="427">
        <v>24000</v>
      </c>
      <c r="L89" s="427">
        <v>1622468042</v>
      </c>
      <c r="M89" s="197" t="str">
        <f t="shared" si="34"/>
        <v/>
      </c>
      <c r="N89" s="192"/>
      <c r="Q89" s="468"/>
      <c r="R89" s="70"/>
      <c r="S89" s="70"/>
    </row>
    <row r="90" spans="1:19" ht="18" customHeight="1">
      <c r="A90" s="40"/>
      <c r="B90" s="73"/>
      <c r="C90" s="73"/>
      <c r="D90" s="74"/>
      <c r="E90" s="75">
        <f>E88-E89</f>
        <v>0</v>
      </c>
      <c r="F90" s="75">
        <f t="shared" ref="F90:L90" si="50">F88-F89</f>
        <v>0</v>
      </c>
      <c r="G90" s="75">
        <f t="shared" si="50"/>
        <v>0</v>
      </c>
      <c r="H90" s="75">
        <f t="shared" si="50"/>
        <v>0</v>
      </c>
      <c r="I90" s="75">
        <f t="shared" si="50"/>
        <v>0</v>
      </c>
      <c r="J90" s="75">
        <f t="shared" si="50"/>
        <v>0</v>
      </c>
      <c r="K90" s="75">
        <f t="shared" si="50"/>
        <v>0</v>
      </c>
      <c r="L90" s="75">
        <f t="shared" si="50"/>
        <v>0</v>
      </c>
      <c r="M90" s="197" t="str">
        <f t="shared" si="34"/>
        <v/>
      </c>
      <c r="N90" s="192"/>
      <c r="Q90" s="468"/>
      <c r="R90" s="70"/>
      <c r="S90" s="70"/>
    </row>
    <row r="91" spans="1:19" ht="18" customHeight="1">
      <c r="A91" s="40" t="str">
        <f>IF(B91&lt;&gt;"","TP","")</f>
        <v>TP</v>
      </c>
      <c r="B91" s="72">
        <f>IF(C91&lt;&gt;"",ROW()-(ROW()-1),"")</f>
        <v>1</v>
      </c>
      <c r="C91" s="41" t="s">
        <v>362</v>
      </c>
      <c r="D91" s="50" t="s">
        <v>37</v>
      </c>
      <c r="E91" s="46"/>
      <c r="F91" s="46"/>
      <c r="G91" s="46">
        <f t="shared" ref="G91:G124" si="51">SUMIF(DSNX1,$C91,DSNX2)</f>
        <v>140</v>
      </c>
      <c r="H91" s="46">
        <f t="shared" ref="H91:H124" si="52">SUMIF(DSNX1,$C91,DSNX5)</f>
        <v>27152918</v>
      </c>
      <c r="I91" s="46">
        <f t="shared" ref="I91:I124" si="53">SUMIF(DSNX1,$C91,DSNX3)</f>
        <v>140</v>
      </c>
      <c r="J91" s="46">
        <f t="shared" ref="J91:J124" si="54">SUMIF(DSNX1,$C91,DSNX4)</f>
        <v>27152918</v>
      </c>
      <c r="K91" s="46">
        <f t="shared" ref="K91:K102" si="55">E91+G91-I91</f>
        <v>0</v>
      </c>
      <c r="L91" s="46">
        <f t="shared" ref="L91:L102" si="56">F91+H91-J91</f>
        <v>0</v>
      </c>
      <c r="M91" s="197" t="str">
        <f>IF(N91&lt;&gt;"","VL","")</f>
        <v>VL</v>
      </c>
      <c r="N91" s="84" t="s">
        <v>325</v>
      </c>
      <c r="Q91" s="468"/>
      <c r="R91" s="70"/>
      <c r="S91" s="70"/>
    </row>
    <row r="92" spans="1:19" ht="18" customHeight="1">
      <c r="A92" s="40" t="str">
        <f t="shared" ref="A92:A105" si="57">IF(B92&lt;&gt;"","TP","")</f>
        <v>TP</v>
      </c>
      <c r="B92" s="71">
        <f>IF(C92&lt;&gt;"",B91+1,"")</f>
        <v>2</v>
      </c>
      <c r="C92" s="37" t="s">
        <v>363</v>
      </c>
      <c r="D92" s="50" t="s">
        <v>37</v>
      </c>
      <c r="E92" s="38"/>
      <c r="F92" s="38"/>
      <c r="G92" s="46">
        <f t="shared" si="51"/>
        <v>120</v>
      </c>
      <c r="H92" s="46">
        <f t="shared" si="52"/>
        <v>22621147</v>
      </c>
      <c r="I92" s="46">
        <f t="shared" si="53"/>
        <v>120</v>
      </c>
      <c r="J92" s="46">
        <f t="shared" si="54"/>
        <v>22621147</v>
      </c>
      <c r="K92" s="38">
        <f t="shared" si="55"/>
        <v>0</v>
      </c>
      <c r="L92" s="38">
        <f t="shared" si="56"/>
        <v>0</v>
      </c>
      <c r="M92" s="197" t="str">
        <f>IF(N92&lt;&gt;"","VL","")</f>
        <v>VL</v>
      </c>
      <c r="N92" s="37" t="s">
        <v>326</v>
      </c>
      <c r="Q92" s="468"/>
      <c r="R92" s="70"/>
      <c r="S92" s="70"/>
    </row>
    <row r="93" spans="1:19" ht="18" customHeight="1">
      <c r="A93" s="40" t="str">
        <f t="shared" si="57"/>
        <v>TP</v>
      </c>
      <c r="B93" s="71">
        <f t="shared" ref="B93:B105" si="58">IF(C93&lt;&gt;"",B92+1,"")</f>
        <v>3</v>
      </c>
      <c r="C93" s="37" t="s">
        <v>364</v>
      </c>
      <c r="D93" s="50" t="s">
        <v>37</v>
      </c>
      <c r="E93" s="38"/>
      <c r="F93" s="38"/>
      <c r="G93" s="46">
        <f t="shared" si="51"/>
        <v>120</v>
      </c>
      <c r="H93" s="46">
        <f t="shared" si="52"/>
        <v>22838739</v>
      </c>
      <c r="I93" s="46">
        <f t="shared" si="53"/>
        <v>120</v>
      </c>
      <c r="J93" s="46">
        <f t="shared" si="54"/>
        <v>22838739</v>
      </c>
      <c r="K93" s="38">
        <f t="shared" si="55"/>
        <v>0</v>
      </c>
      <c r="L93" s="38">
        <f t="shared" si="56"/>
        <v>0</v>
      </c>
      <c r="M93" s="197" t="str">
        <f t="shared" ref="M93:M100" si="59">IF(N93&lt;&gt;"","VL","")</f>
        <v>VL</v>
      </c>
      <c r="N93" s="37" t="s">
        <v>393</v>
      </c>
      <c r="Q93" s="468"/>
      <c r="R93" s="70"/>
      <c r="S93" s="70"/>
    </row>
    <row r="94" spans="1:19" ht="18" customHeight="1">
      <c r="A94" s="40" t="str">
        <f t="shared" si="57"/>
        <v>TP</v>
      </c>
      <c r="B94" s="71">
        <f t="shared" si="58"/>
        <v>4</v>
      </c>
      <c r="C94" s="37" t="s">
        <v>365</v>
      </c>
      <c r="D94" s="50" t="s">
        <v>37</v>
      </c>
      <c r="E94" s="38"/>
      <c r="F94" s="38"/>
      <c r="G94" s="46">
        <f t="shared" si="51"/>
        <v>24</v>
      </c>
      <c r="H94" s="46">
        <f t="shared" si="52"/>
        <v>4466204</v>
      </c>
      <c r="I94" s="46">
        <f t="shared" si="53"/>
        <v>24</v>
      </c>
      <c r="J94" s="46">
        <f t="shared" si="54"/>
        <v>4466204</v>
      </c>
      <c r="K94" s="38">
        <f t="shared" si="55"/>
        <v>0</v>
      </c>
      <c r="L94" s="38">
        <f t="shared" si="56"/>
        <v>0</v>
      </c>
      <c r="M94" s="197" t="str">
        <f t="shared" si="59"/>
        <v>VL</v>
      </c>
      <c r="N94" s="37" t="s">
        <v>394</v>
      </c>
      <c r="Q94" s="468"/>
      <c r="R94" s="70"/>
      <c r="S94" s="70"/>
    </row>
    <row r="95" spans="1:19" ht="18" customHeight="1">
      <c r="A95" s="40" t="str">
        <f t="shared" si="57"/>
        <v>TP</v>
      </c>
      <c r="B95" s="71">
        <f t="shared" si="58"/>
        <v>5</v>
      </c>
      <c r="C95" s="37" t="s">
        <v>320</v>
      </c>
      <c r="D95" s="50" t="s">
        <v>37</v>
      </c>
      <c r="E95" s="38"/>
      <c r="F95" s="38"/>
      <c r="G95" s="46">
        <f t="shared" si="51"/>
        <v>15350</v>
      </c>
      <c r="H95" s="46">
        <f t="shared" si="52"/>
        <v>2768681837</v>
      </c>
      <c r="I95" s="46">
        <f t="shared" si="53"/>
        <v>15350</v>
      </c>
      <c r="J95" s="46">
        <f t="shared" si="54"/>
        <v>2768681837</v>
      </c>
      <c r="K95" s="38">
        <f t="shared" si="55"/>
        <v>0</v>
      </c>
      <c r="L95" s="38">
        <f t="shared" si="56"/>
        <v>0</v>
      </c>
      <c r="M95" s="197" t="str">
        <f t="shared" si="59"/>
        <v>VL</v>
      </c>
      <c r="N95" s="37" t="s">
        <v>395</v>
      </c>
      <c r="Q95" s="468"/>
      <c r="R95" s="70"/>
      <c r="S95" s="70"/>
    </row>
    <row r="96" spans="1:19" ht="18" customHeight="1">
      <c r="A96" s="40" t="str">
        <f t="shared" si="57"/>
        <v>TP</v>
      </c>
      <c r="B96" s="71">
        <f t="shared" si="58"/>
        <v>6</v>
      </c>
      <c r="C96" s="37" t="s">
        <v>366</v>
      </c>
      <c r="D96" s="50" t="s">
        <v>37</v>
      </c>
      <c r="E96" s="38"/>
      <c r="F96" s="38"/>
      <c r="G96" s="46">
        <f t="shared" si="51"/>
        <v>33312</v>
      </c>
      <c r="H96" s="46">
        <f t="shared" si="52"/>
        <v>5249345638</v>
      </c>
      <c r="I96" s="46">
        <f t="shared" si="53"/>
        <v>33200</v>
      </c>
      <c r="J96" s="46">
        <f t="shared" si="54"/>
        <v>5231485446</v>
      </c>
      <c r="K96" s="38">
        <f t="shared" si="55"/>
        <v>112</v>
      </c>
      <c r="L96" s="38">
        <f t="shared" si="56"/>
        <v>17860192</v>
      </c>
      <c r="M96" s="197" t="str">
        <f t="shared" si="59"/>
        <v>VL</v>
      </c>
      <c r="N96" s="37" t="s">
        <v>327</v>
      </c>
      <c r="Q96" s="468"/>
      <c r="R96" s="70"/>
      <c r="S96" s="70"/>
    </row>
    <row r="97" spans="1:19" ht="18" customHeight="1">
      <c r="A97" s="40" t="str">
        <f t="shared" si="57"/>
        <v>TP</v>
      </c>
      <c r="B97" s="71">
        <f t="shared" si="58"/>
        <v>7</v>
      </c>
      <c r="C97" s="37" t="s">
        <v>367</v>
      </c>
      <c r="D97" s="50" t="s">
        <v>37</v>
      </c>
      <c r="E97" s="38"/>
      <c r="F97" s="38"/>
      <c r="G97" s="46">
        <f t="shared" si="51"/>
        <v>47510</v>
      </c>
      <c r="H97" s="46">
        <f t="shared" si="52"/>
        <v>4567121990</v>
      </c>
      <c r="I97" s="46">
        <f t="shared" si="53"/>
        <v>47510</v>
      </c>
      <c r="J97" s="46">
        <f t="shared" si="54"/>
        <v>4567121990</v>
      </c>
      <c r="K97" s="38">
        <f t="shared" si="55"/>
        <v>0</v>
      </c>
      <c r="L97" s="38">
        <f t="shared" si="56"/>
        <v>0</v>
      </c>
      <c r="M97" s="197" t="str">
        <f t="shared" si="59"/>
        <v>VL</v>
      </c>
      <c r="N97" s="37" t="s">
        <v>396</v>
      </c>
      <c r="Q97" s="468"/>
      <c r="R97" s="70"/>
      <c r="S97" s="70"/>
    </row>
    <row r="98" spans="1:19" ht="18" customHeight="1">
      <c r="A98" s="40" t="str">
        <f t="shared" si="57"/>
        <v>TP</v>
      </c>
      <c r="B98" s="71">
        <f t="shared" si="58"/>
        <v>8</v>
      </c>
      <c r="C98" s="37" t="s">
        <v>332</v>
      </c>
      <c r="D98" s="50" t="s">
        <v>37</v>
      </c>
      <c r="E98" s="38"/>
      <c r="F98" s="38"/>
      <c r="G98" s="46">
        <f t="shared" si="51"/>
        <v>4500</v>
      </c>
      <c r="H98" s="46">
        <f t="shared" si="52"/>
        <v>705230061</v>
      </c>
      <c r="I98" s="46">
        <f t="shared" si="53"/>
        <v>4500</v>
      </c>
      <c r="J98" s="46">
        <f t="shared" si="54"/>
        <v>705230061</v>
      </c>
      <c r="K98" s="38">
        <f t="shared" si="55"/>
        <v>0</v>
      </c>
      <c r="L98" s="38">
        <f t="shared" si="56"/>
        <v>0</v>
      </c>
      <c r="M98" s="197" t="str">
        <f t="shared" si="59"/>
        <v>VL</v>
      </c>
      <c r="N98" s="76" t="s">
        <v>397</v>
      </c>
      <c r="Q98" s="468"/>
      <c r="R98" s="70"/>
      <c r="S98" s="70"/>
    </row>
    <row r="99" spans="1:19" ht="18" customHeight="1">
      <c r="A99" s="40" t="str">
        <f t="shared" si="57"/>
        <v>TP</v>
      </c>
      <c r="B99" s="71">
        <f t="shared" si="58"/>
        <v>9</v>
      </c>
      <c r="C99" s="37" t="s">
        <v>368</v>
      </c>
      <c r="D99" s="50" t="s">
        <v>37</v>
      </c>
      <c r="E99" s="38"/>
      <c r="F99" s="38"/>
      <c r="G99" s="46">
        <f t="shared" si="51"/>
        <v>20000</v>
      </c>
      <c r="H99" s="46">
        <f t="shared" si="52"/>
        <v>3053214166</v>
      </c>
      <c r="I99" s="46">
        <f t="shared" si="53"/>
        <v>20000</v>
      </c>
      <c r="J99" s="46">
        <f t="shared" si="54"/>
        <v>3053214166</v>
      </c>
      <c r="K99" s="38">
        <f t="shared" si="55"/>
        <v>0</v>
      </c>
      <c r="L99" s="38">
        <f t="shared" si="56"/>
        <v>0</v>
      </c>
      <c r="M99" s="197" t="str">
        <f t="shared" si="59"/>
        <v>VL</v>
      </c>
      <c r="N99" s="37" t="s">
        <v>398</v>
      </c>
      <c r="Q99" s="468"/>
      <c r="R99" s="70"/>
      <c r="S99" s="70"/>
    </row>
    <row r="100" spans="1:19" ht="18" customHeight="1">
      <c r="A100" s="40" t="str">
        <f t="shared" si="57"/>
        <v>TP</v>
      </c>
      <c r="B100" s="71">
        <f t="shared" si="58"/>
        <v>10</v>
      </c>
      <c r="C100" s="37" t="s">
        <v>369</v>
      </c>
      <c r="D100" s="50" t="s">
        <v>37</v>
      </c>
      <c r="E100" s="38"/>
      <c r="F100" s="38"/>
      <c r="G100" s="46">
        <f t="shared" si="51"/>
        <v>160</v>
      </c>
      <c r="H100" s="46">
        <f t="shared" si="52"/>
        <v>26776359</v>
      </c>
      <c r="I100" s="46">
        <f t="shared" si="53"/>
        <v>160</v>
      </c>
      <c r="J100" s="46">
        <f t="shared" si="54"/>
        <v>26776359</v>
      </c>
      <c r="K100" s="38">
        <f t="shared" si="55"/>
        <v>0</v>
      </c>
      <c r="L100" s="38">
        <f t="shared" si="56"/>
        <v>0</v>
      </c>
      <c r="M100" s="197" t="str">
        <f t="shared" si="59"/>
        <v>VL</v>
      </c>
      <c r="N100" s="37" t="s">
        <v>399</v>
      </c>
      <c r="Q100" s="468"/>
      <c r="R100" s="70"/>
      <c r="S100" s="70"/>
    </row>
    <row r="101" spans="1:19" ht="18" customHeight="1">
      <c r="A101" s="40" t="str">
        <f t="shared" si="57"/>
        <v>TP</v>
      </c>
      <c r="B101" s="71">
        <f t="shared" si="58"/>
        <v>11</v>
      </c>
      <c r="C101" s="37" t="s">
        <v>370</v>
      </c>
      <c r="D101" s="50" t="s">
        <v>37</v>
      </c>
      <c r="E101" s="38"/>
      <c r="F101" s="38"/>
      <c r="G101" s="46">
        <f t="shared" si="51"/>
        <v>160</v>
      </c>
      <c r="H101" s="46">
        <f t="shared" si="52"/>
        <v>26145459</v>
      </c>
      <c r="I101" s="46">
        <f t="shared" si="53"/>
        <v>160</v>
      </c>
      <c r="J101" s="46">
        <f t="shared" si="54"/>
        <v>26145459</v>
      </c>
      <c r="K101" s="38">
        <f t="shared" si="55"/>
        <v>0</v>
      </c>
      <c r="L101" s="38">
        <f t="shared" si="56"/>
        <v>0</v>
      </c>
      <c r="M101" s="197" t="str">
        <f t="shared" ref="M101:M128" si="60">IF(N102&lt;&gt;"","VL","")</f>
        <v>VL</v>
      </c>
      <c r="N101" s="76" t="s">
        <v>328</v>
      </c>
      <c r="Q101" s="468"/>
      <c r="R101" s="70"/>
      <c r="S101" s="70"/>
    </row>
    <row r="102" spans="1:19" ht="18" customHeight="1">
      <c r="A102" s="40" t="str">
        <f t="shared" si="57"/>
        <v>TP</v>
      </c>
      <c r="B102" s="71">
        <f t="shared" si="58"/>
        <v>12</v>
      </c>
      <c r="C102" s="37" t="s">
        <v>371</v>
      </c>
      <c r="D102" s="50" t="s">
        <v>37</v>
      </c>
      <c r="E102" s="38"/>
      <c r="F102" s="38"/>
      <c r="G102" s="46">
        <f t="shared" si="51"/>
        <v>47500</v>
      </c>
      <c r="H102" s="46">
        <f t="shared" si="52"/>
        <v>6070813590</v>
      </c>
      <c r="I102" s="46">
        <f t="shared" si="53"/>
        <v>47500</v>
      </c>
      <c r="J102" s="46">
        <f t="shared" si="54"/>
        <v>6070813590</v>
      </c>
      <c r="K102" s="38">
        <f t="shared" si="55"/>
        <v>0</v>
      </c>
      <c r="L102" s="38">
        <f t="shared" si="56"/>
        <v>0</v>
      </c>
      <c r="M102" s="197" t="str">
        <f t="shared" si="60"/>
        <v>VL</v>
      </c>
      <c r="N102" s="76" t="s">
        <v>400</v>
      </c>
      <c r="Q102" s="468"/>
      <c r="R102" s="70"/>
      <c r="S102" s="70"/>
    </row>
    <row r="103" spans="1:19" ht="18" customHeight="1">
      <c r="A103" s="40" t="str">
        <f t="shared" si="57"/>
        <v>TP</v>
      </c>
      <c r="B103" s="71">
        <f t="shared" si="58"/>
        <v>13</v>
      </c>
      <c r="C103" s="37" t="s">
        <v>335</v>
      </c>
      <c r="D103" s="50" t="s">
        <v>37</v>
      </c>
      <c r="E103" s="38"/>
      <c r="F103" s="38"/>
      <c r="G103" s="38">
        <f t="shared" si="51"/>
        <v>15000</v>
      </c>
      <c r="H103" s="38">
        <f t="shared" si="52"/>
        <v>1523769504</v>
      </c>
      <c r="I103" s="46">
        <f t="shared" si="53"/>
        <v>15000</v>
      </c>
      <c r="J103" s="46">
        <f t="shared" si="54"/>
        <v>1523769504</v>
      </c>
      <c r="K103" s="38">
        <f t="shared" ref="K103:L106" si="61">E103+G103-I103</f>
        <v>0</v>
      </c>
      <c r="L103" s="38">
        <f t="shared" si="61"/>
        <v>0</v>
      </c>
      <c r="M103" s="197" t="str">
        <f t="shared" si="60"/>
        <v>VL</v>
      </c>
      <c r="N103" s="76" t="s">
        <v>401</v>
      </c>
      <c r="Q103" s="468"/>
      <c r="R103" s="70"/>
      <c r="S103" s="70"/>
    </row>
    <row r="104" spans="1:19" ht="18" customHeight="1">
      <c r="A104" s="40" t="str">
        <f t="shared" si="57"/>
        <v>TP</v>
      </c>
      <c r="B104" s="71">
        <f t="shared" si="58"/>
        <v>14</v>
      </c>
      <c r="C104" s="37" t="s">
        <v>372</v>
      </c>
      <c r="D104" s="50" t="s">
        <v>37</v>
      </c>
      <c r="E104" s="38"/>
      <c r="F104" s="38"/>
      <c r="G104" s="38">
        <f t="shared" si="51"/>
        <v>21200</v>
      </c>
      <c r="H104" s="38">
        <f t="shared" si="52"/>
        <v>1805035603</v>
      </c>
      <c r="I104" s="46">
        <f t="shared" si="53"/>
        <v>21200</v>
      </c>
      <c r="J104" s="46">
        <f t="shared" si="54"/>
        <v>1805035603</v>
      </c>
      <c r="K104" s="38">
        <f t="shared" si="61"/>
        <v>0</v>
      </c>
      <c r="L104" s="38">
        <f t="shared" si="61"/>
        <v>0</v>
      </c>
      <c r="M104" s="197" t="str">
        <f t="shared" si="60"/>
        <v>VL</v>
      </c>
      <c r="N104" s="37" t="s">
        <v>402</v>
      </c>
      <c r="Q104" s="468"/>
      <c r="R104" s="70"/>
      <c r="S104" s="70"/>
    </row>
    <row r="105" spans="1:19" ht="18" customHeight="1">
      <c r="A105" s="40" t="str">
        <f t="shared" si="57"/>
        <v>TP</v>
      </c>
      <c r="B105" s="71">
        <f t="shared" si="58"/>
        <v>15</v>
      </c>
      <c r="C105" s="37" t="s">
        <v>373</v>
      </c>
      <c r="D105" s="50" t="s">
        <v>37</v>
      </c>
      <c r="E105" s="38"/>
      <c r="F105" s="38"/>
      <c r="G105" s="38">
        <f t="shared" si="51"/>
        <v>74</v>
      </c>
      <c r="H105" s="38">
        <f t="shared" si="52"/>
        <v>8116324</v>
      </c>
      <c r="I105" s="46">
        <f t="shared" si="53"/>
        <v>74</v>
      </c>
      <c r="J105" s="46">
        <f t="shared" si="54"/>
        <v>8116324</v>
      </c>
      <c r="K105" s="38">
        <f t="shared" si="61"/>
        <v>0</v>
      </c>
      <c r="L105" s="38">
        <f t="shared" si="61"/>
        <v>0</v>
      </c>
      <c r="M105" s="197" t="str">
        <f t="shared" si="60"/>
        <v>VL</v>
      </c>
      <c r="N105" s="37" t="s">
        <v>329</v>
      </c>
      <c r="Q105" s="468"/>
      <c r="R105" s="70"/>
      <c r="S105" s="70"/>
    </row>
    <row r="106" spans="1:19" ht="18" customHeight="1">
      <c r="A106" s="40" t="str">
        <f t="shared" ref="A106:A125" si="62">IF(B106&lt;&gt;"","TP","")</f>
        <v>TP</v>
      </c>
      <c r="B106" s="71">
        <f t="shared" ref="B106:B120" si="63">IF(C106&lt;&gt;"",B105+1,"")</f>
        <v>16</v>
      </c>
      <c r="C106" s="37" t="s">
        <v>374</v>
      </c>
      <c r="D106" s="50" t="s">
        <v>37</v>
      </c>
      <c r="E106" s="38"/>
      <c r="F106" s="38"/>
      <c r="G106" s="38">
        <f t="shared" si="51"/>
        <v>16.8</v>
      </c>
      <c r="H106" s="38">
        <f t="shared" si="52"/>
        <v>1826433</v>
      </c>
      <c r="I106" s="38">
        <f t="shared" si="53"/>
        <v>16.8</v>
      </c>
      <c r="J106" s="38">
        <f t="shared" si="54"/>
        <v>1826433</v>
      </c>
      <c r="K106" s="38">
        <f t="shared" si="61"/>
        <v>0</v>
      </c>
      <c r="L106" s="38">
        <f t="shared" si="61"/>
        <v>0</v>
      </c>
      <c r="M106" s="197" t="str">
        <f>IF(N125&lt;&gt;"","VL","")</f>
        <v/>
      </c>
      <c r="N106" s="37" t="s">
        <v>403</v>
      </c>
      <c r="Q106" s="468"/>
      <c r="R106" s="70"/>
      <c r="S106" s="70"/>
    </row>
    <row r="107" spans="1:19" ht="18" customHeight="1">
      <c r="A107" s="40" t="str">
        <f t="shared" si="62"/>
        <v>TP</v>
      </c>
      <c r="B107" s="71">
        <f t="shared" si="63"/>
        <v>17</v>
      </c>
      <c r="C107" s="37" t="s">
        <v>321</v>
      </c>
      <c r="D107" s="50" t="s">
        <v>37</v>
      </c>
      <c r="E107" s="38"/>
      <c r="F107" s="38"/>
      <c r="G107" s="38">
        <f t="shared" si="51"/>
        <v>4690</v>
      </c>
      <c r="H107" s="38">
        <f t="shared" si="52"/>
        <v>639696950</v>
      </c>
      <c r="I107" s="38">
        <f t="shared" si="53"/>
        <v>4690</v>
      </c>
      <c r="J107" s="38">
        <f t="shared" si="54"/>
        <v>639696950</v>
      </c>
      <c r="K107" s="38">
        <f t="shared" ref="K107:K109" si="64">E107+G107-I107</f>
        <v>0</v>
      </c>
      <c r="L107" s="38">
        <f t="shared" ref="L107:L109" si="65">F107+H107-J107</f>
        <v>0</v>
      </c>
      <c r="M107" s="197"/>
      <c r="N107" s="76" t="s">
        <v>404</v>
      </c>
      <c r="Q107" s="468"/>
      <c r="R107" s="70"/>
      <c r="S107" s="70"/>
    </row>
    <row r="108" spans="1:19" ht="18" customHeight="1">
      <c r="A108" s="40" t="str">
        <f t="shared" si="62"/>
        <v>TP</v>
      </c>
      <c r="B108" s="71">
        <f t="shared" si="63"/>
        <v>18</v>
      </c>
      <c r="C108" s="37" t="s">
        <v>375</v>
      </c>
      <c r="D108" s="50" t="s">
        <v>37</v>
      </c>
      <c r="E108" s="38"/>
      <c r="F108" s="38"/>
      <c r="G108" s="38">
        <f t="shared" si="51"/>
        <v>122</v>
      </c>
      <c r="H108" s="38">
        <f t="shared" si="52"/>
        <v>17080000</v>
      </c>
      <c r="I108" s="38">
        <f t="shared" si="53"/>
        <v>0</v>
      </c>
      <c r="J108" s="38">
        <f t="shared" si="54"/>
        <v>0</v>
      </c>
      <c r="K108" s="38">
        <f t="shared" si="64"/>
        <v>122</v>
      </c>
      <c r="L108" s="38">
        <f t="shared" si="65"/>
        <v>17080000</v>
      </c>
      <c r="M108" s="197"/>
      <c r="N108" s="76" t="s">
        <v>405</v>
      </c>
      <c r="Q108" s="468"/>
      <c r="R108" s="70"/>
      <c r="S108" s="70"/>
    </row>
    <row r="109" spans="1:19" ht="18" customHeight="1">
      <c r="A109" s="40" t="str">
        <f t="shared" si="62"/>
        <v>TP</v>
      </c>
      <c r="B109" s="71">
        <f t="shared" si="63"/>
        <v>19</v>
      </c>
      <c r="C109" s="37" t="s">
        <v>376</v>
      </c>
      <c r="D109" s="50" t="s">
        <v>37</v>
      </c>
      <c r="E109" s="38"/>
      <c r="F109" s="38"/>
      <c r="G109" s="38">
        <f t="shared" si="51"/>
        <v>1500</v>
      </c>
      <c r="H109" s="38">
        <f t="shared" si="52"/>
        <v>180189748</v>
      </c>
      <c r="I109" s="38">
        <f t="shared" si="53"/>
        <v>1500</v>
      </c>
      <c r="J109" s="38">
        <f t="shared" si="54"/>
        <v>180189748</v>
      </c>
      <c r="K109" s="38">
        <f t="shared" si="64"/>
        <v>0</v>
      </c>
      <c r="L109" s="38">
        <f t="shared" si="65"/>
        <v>0</v>
      </c>
      <c r="M109" s="197"/>
      <c r="N109" s="76" t="s">
        <v>406</v>
      </c>
      <c r="Q109" s="468"/>
      <c r="R109" s="70"/>
      <c r="S109" s="70"/>
    </row>
    <row r="110" spans="1:19" ht="18" customHeight="1">
      <c r="A110" s="40" t="str">
        <f t="shared" si="62"/>
        <v>TP</v>
      </c>
      <c r="B110" s="71">
        <f t="shared" si="63"/>
        <v>20</v>
      </c>
      <c r="C110" s="37" t="s">
        <v>377</v>
      </c>
      <c r="D110" s="50" t="s">
        <v>37</v>
      </c>
      <c r="E110" s="38"/>
      <c r="F110" s="38"/>
      <c r="G110" s="38">
        <f t="shared" si="51"/>
        <v>2300</v>
      </c>
      <c r="H110" s="38">
        <f t="shared" si="52"/>
        <v>485150150</v>
      </c>
      <c r="I110" s="38">
        <f t="shared" si="53"/>
        <v>2300</v>
      </c>
      <c r="J110" s="38">
        <f t="shared" si="54"/>
        <v>485150150</v>
      </c>
      <c r="K110" s="38">
        <f t="shared" ref="K110:K120" si="66">E110+G110-I110</f>
        <v>0</v>
      </c>
      <c r="L110" s="38">
        <f t="shared" ref="L110:L120" si="67">F110+H110-J110</f>
        <v>0</v>
      </c>
      <c r="M110" s="197"/>
      <c r="N110" s="76" t="s">
        <v>407</v>
      </c>
      <c r="Q110" s="468"/>
      <c r="R110" s="70"/>
      <c r="S110" s="70"/>
    </row>
    <row r="111" spans="1:19" ht="18" customHeight="1">
      <c r="A111" s="40" t="str">
        <f t="shared" si="62"/>
        <v>TP</v>
      </c>
      <c r="B111" s="71">
        <f t="shared" si="63"/>
        <v>21</v>
      </c>
      <c r="C111" s="37" t="s">
        <v>324</v>
      </c>
      <c r="D111" s="50" t="s">
        <v>37</v>
      </c>
      <c r="E111" s="38"/>
      <c r="F111" s="38"/>
      <c r="G111" s="38">
        <f t="shared" si="51"/>
        <v>33440</v>
      </c>
      <c r="H111" s="38">
        <f t="shared" si="52"/>
        <v>4952727708</v>
      </c>
      <c r="I111" s="38">
        <f t="shared" si="53"/>
        <v>30555</v>
      </c>
      <c r="J111" s="38">
        <f t="shared" si="54"/>
        <v>4495853414</v>
      </c>
      <c r="K111" s="38">
        <f t="shared" si="66"/>
        <v>2885</v>
      </c>
      <c r="L111" s="38">
        <f t="shared" si="67"/>
        <v>456874294</v>
      </c>
      <c r="M111" s="197"/>
      <c r="N111" s="76" t="s">
        <v>330</v>
      </c>
      <c r="Q111" s="468"/>
      <c r="R111" s="70"/>
      <c r="S111" s="70"/>
    </row>
    <row r="112" spans="1:19" ht="18" customHeight="1">
      <c r="A112" s="40" t="str">
        <f t="shared" si="62"/>
        <v>TP</v>
      </c>
      <c r="B112" s="71">
        <f t="shared" si="63"/>
        <v>22</v>
      </c>
      <c r="C112" s="37" t="s">
        <v>378</v>
      </c>
      <c r="D112" s="50" t="s">
        <v>37</v>
      </c>
      <c r="E112" s="38"/>
      <c r="F112" s="38"/>
      <c r="G112" s="38">
        <f t="shared" si="51"/>
        <v>71</v>
      </c>
      <c r="H112" s="38">
        <f t="shared" si="52"/>
        <v>14542958</v>
      </c>
      <c r="I112" s="38">
        <f t="shared" si="53"/>
        <v>71</v>
      </c>
      <c r="J112" s="38">
        <f t="shared" si="54"/>
        <v>14542958</v>
      </c>
      <c r="K112" s="38">
        <f t="shared" si="66"/>
        <v>0</v>
      </c>
      <c r="L112" s="38">
        <f t="shared" si="67"/>
        <v>0</v>
      </c>
      <c r="M112" s="197"/>
      <c r="N112" s="76" t="s">
        <v>331</v>
      </c>
      <c r="Q112" s="468"/>
      <c r="R112" s="70"/>
      <c r="S112" s="70"/>
    </row>
    <row r="113" spans="1:19" ht="18" customHeight="1">
      <c r="A113" s="40" t="str">
        <f t="shared" si="62"/>
        <v>TP</v>
      </c>
      <c r="B113" s="71">
        <f t="shared" si="63"/>
        <v>23</v>
      </c>
      <c r="C113" s="37" t="s">
        <v>379</v>
      </c>
      <c r="D113" s="50" t="s">
        <v>37</v>
      </c>
      <c r="E113" s="38"/>
      <c r="F113" s="38"/>
      <c r="G113" s="38">
        <f t="shared" si="51"/>
        <v>72</v>
      </c>
      <c r="H113" s="38">
        <f t="shared" si="52"/>
        <v>14592053</v>
      </c>
      <c r="I113" s="38">
        <f t="shared" si="53"/>
        <v>72</v>
      </c>
      <c r="J113" s="38">
        <f t="shared" si="54"/>
        <v>14592053</v>
      </c>
      <c r="K113" s="38">
        <f t="shared" si="66"/>
        <v>0</v>
      </c>
      <c r="L113" s="38">
        <f t="shared" si="67"/>
        <v>0</v>
      </c>
      <c r="M113" s="197"/>
      <c r="N113" s="76" t="s">
        <v>120</v>
      </c>
      <c r="Q113" s="468"/>
      <c r="R113" s="70"/>
      <c r="S113" s="70"/>
    </row>
    <row r="114" spans="1:19" ht="18" customHeight="1">
      <c r="A114" s="40" t="str">
        <f t="shared" si="62"/>
        <v>TP</v>
      </c>
      <c r="B114" s="71">
        <f t="shared" si="63"/>
        <v>24</v>
      </c>
      <c r="C114" s="37" t="s">
        <v>380</v>
      </c>
      <c r="D114" s="50" t="s">
        <v>37</v>
      </c>
      <c r="E114" s="38"/>
      <c r="F114" s="38"/>
      <c r="G114" s="38">
        <f t="shared" si="51"/>
        <v>4810</v>
      </c>
      <c r="H114" s="38">
        <f t="shared" si="52"/>
        <v>532816171</v>
      </c>
      <c r="I114" s="38">
        <f t="shared" si="53"/>
        <v>4810</v>
      </c>
      <c r="J114" s="38">
        <f t="shared" si="54"/>
        <v>532816171</v>
      </c>
      <c r="K114" s="38">
        <f t="shared" si="66"/>
        <v>0</v>
      </c>
      <c r="L114" s="38">
        <f t="shared" si="67"/>
        <v>0</v>
      </c>
      <c r="M114" s="197"/>
      <c r="N114" s="76"/>
      <c r="Q114" s="468"/>
      <c r="R114" s="70"/>
      <c r="S114" s="70"/>
    </row>
    <row r="115" spans="1:19" ht="18" customHeight="1">
      <c r="A115" s="40" t="str">
        <f t="shared" si="62"/>
        <v>TP</v>
      </c>
      <c r="B115" s="71">
        <f t="shared" si="63"/>
        <v>25</v>
      </c>
      <c r="C115" s="37" t="s">
        <v>334</v>
      </c>
      <c r="D115" s="50" t="s">
        <v>37</v>
      </c>
      <c r="E115" s="38"/>
      <c r="F115" s="38"/>
      <c r="G115" s="38">
        <f t="shared" si="51"/>
        <v>13800</v>
      </c>
      <c r="H115" s="38">
        <f t="shared" si="52"/>
        <v>1952827364</v>
      </c>
      <c r="I115" s="38">
        <f t="shared" si="53"/>
        <v>13800</v>
      </c>
      <c r="J115" s="38">
        <f t="shared" si="54"/>
        <v>1952827364</v>
      </c>
      <c r="K115" s="38">
        <f t="shared" si="66"/>
        <v>0</v>
      </c>
      <c r="L115" s="38">
        <f t="shared" si="67"/>
        <v>0</v>
      </c>
      <c r="M115" s="197"/>
      <c r="N115" s="76"/>
      <c r="Q115" s="468"/>
      <c r="R115" s="70"/>
      <c r="S115" s="70"/>
    </row>
    <row r="116" spans="1:19" ht="18" customHeight="1">
      <c r="A116" s="40" t="str">
        <f t="shared" si="62"/>
        <v>TP</v>
      </c>
      <c r="B116" s="71">
        <f t="shared" si="63"/>
        <v>26</v>
      </c>
      <c r="C116" s="37" t="s">
        <v>381</v>
      </c>
      <c r="D116" s="50" t="s">
        <v>37</v>
      </c>
      <c r="E116" s="38"/>
      <c r="F116" s="38"/>
      <c r="G116" s="38">
        <f t="shared" si="51"/>
        <v>5000</v>
      </c>
      <c r="H116" s="38">
        <f t="shared" si="52"/>
        <v>649851738</v>
      </c>
      <c r="I116" s="38">
        <f t="shared" si="53"/>
        <v>5000</v>
      </c>
      <c r="J116" s="38">
        <f t="shared" si="54"/>
        <v>649851738</v>
      </c>
      <c r="K116" s="38">
        <f t="shared" si="66"/>
        <v>0</v>
      </c>
      <c r="L116" s="38">
        <f t="shared" si="67"/>
        <v>0</v>
      </c>
      <c r="M116" s="197"/>
      <c r="N116" s="76"/>
      <c r="Q116" s="468"/>
      <c r="R116" s="70"/>
      <c r="S116" s="70"/>
    </row>
    <row r="117" spans="1:19" ht="18" customHeight="1">
      <c r="A117" s="40" t="str">
        <f t="shared" si="62"/>
        <v>TP</v>
      </c>
      <c r="B117" s="71">
        <f t="shared" si="63"/>
        <v>27</v>
      </c>
      <c r="C117" s="37" t="s">
        <v>358</v>
      </c>
      <c r="D117" s="50" t="s">
        <v>37</v>
      </c>
      <c r="E117" s="38"/>
      <c r="F117" s="38"/>
      <c r="G117" s="38">
        <f t="shared" si="51"/>
        <v>28320</v>
      </c>
      <c r="H117" s="38">
        <f t="shared" si="52"/>
        <v>4607220505</v>
      </c>
      <c r="I117" s="38">
        <f t="shared" si="53"/>
        <v>28320</v>
      </c>
      <c r="J117" s="38">
        <f t="shared" si="54"/>
        <v>4607220505</v>
      </c>
      <c r="K117" s="38">
        <f t="shared" si="66"/>
        <v>0</v>
      </c>
      <c r="L117" s="38">
        <f t="shared" si="67"/>
        <v>0</v>
      </c>
      <c r="M117" s="197"/>
      <c r="N117" s="76"/>
      <c r="Q117" s="468"/>
      <c r="R117" s="70"/>
      <c r="S117" s="70"/>
    </row>
    <row r="118" spans="1:19" ht="18" customHeight="1">
      <c r="A118" s="40" t="str">
        <f t="shared" si="62"/>
        <v>TP</v>
      </c>
      <c r="B118" s="71">
        <f t="shared" si="63"/>
        <v>28</v>
      </c>
      <c r="C118" s="37" t="s">
        <v>382</v>
      </c>
      <c r="D118" s="50" t="s">
        <v>37</v>
      </c>
      <c r="E118" s="38"/>
      <c r="F118" s="38"/>
      <c r="G118" s="38">
        <f t="shared" si="51"/>
        <v>3800</v>
      </c>
      <c r="H118" s="38">
        <f t="shared" si="52"/>
        <v>403852578</v>
      </c>
      <c r="I118" s="38">
        <f t="shared" si="53"/>
        <v>3800</v>
      </c>
      <c r="J118" s="38">
        <f t="shared" si="54"/>
        <v>403852578</v>
      </c>
      <c r="K118" s="38">
        <f t="shared" si="66"/>
        <v>0</v>
      </c>
      <c r="L118" s="38">
        <f t="shared" si="67"/>
        <v>0</v>
      </c>
      <c r="M118" s="197"/>
      <c r="N118" s="76"/>
      <c r="Q118" s="468"/>
      <c r="R118" s="70"/>
      <c r="S118" s="70"/>
    </row>
    <row r="119" spans="1:19" ht="18" customHeight="1">
      <c r="A119" s="40" t="str">
        <f t="shared" si="62"/>
        <v>TP</v>
      </c>
      <c r="B119" s="71">
        <f t="shared" si="63"/>
        <v>29</v>
      </c>
      <c r="C119" s="37" t="s">
        <v>383</v>
      </c>
      <c r="D119" s="50" t="s">
        <v>37</v>
      </c>
      <c r="E119" s="38"/>
      <c r="F119" s="38"/>
      <c r="G119" s="38">
        <f t="shared" si="51"/>
        <v>20</v>
      </c>
      <c r="H119" s="38">
        <f t="shared" si="52"/>
        <v>5729387</v>
      </c>
      <c r="I119" s="38">
        <f t="shared" si="53"/>
        <v>20</v>
      </c>
      <c r="J119" s="38">
        <f t="shared" si="54"/>
        <v>5729387</v>
      </c>
      <c r="K119" s="38">
        <f t="shared" si="66"/>
        <v>0</v>
      </c>
      <c r="L119" s="38">
        <f t="shared" si="67"/>
        <v>0</v>
      </c>
      <c r="M119" s="197"/>
      <c r="N119" s="76"/>
      <c r="Q119" s="468"/>
      <c r="R119" s="70"/>
      <c r="S119" s="70"/>
    </row>
    <row r="120" spans="1:19" ht="18" customHeight="1">
      <c r="A120" s="40" t="str">
        <f t="shared" si="62"/>
        <v>TP</v>
      </c>
      <c r="B120" s="71">
        <f t="shared" si="63"/>
        <v>30</v>
      </c>
      <c r="C120" s="37" t="s">
        <v>384</v>
      </c>
      <c r="D120" s="50" t="s">
        <v>37</v>
      </c>
      <c r="E120" s="38"/>
      <c r="F120" s="38"/>
      <c r="G120" s="38">
        <f t="shared" si="51"/>
        <v>26.4</v>
      </c>
      <c r="H120" s="38">
        <f t="shared" si="52"/>
        <v>7358985</v>
      </c>
      <c r="I120" s="38">
        <f t="shared" si="53"/>
        <v>26.4</v>
      </c>
      <c r="J120" s="38">
        <f t="shared" si="54"/>
        <v>7358985</v>
      </c>
      <c r="K120" s="38">
        <f t="shared" si="66"/>
        <v>0</v>
      </c>
      <c r="L120" s="38">
        <f t="shared" si="67"/>
        <v>0</v>
      </c>
      <c r="M120" s="197"/>
      <c r="N120" s="76"/>
      <c r="Q120" s="468"/>
      <c r="R120" s="70"/>
      <c r="S120" s="70"/>
    </row>
    <row r="121" spans="1:19" ht="18" customHeight="1">
      <c r="A121" s="40" t="str">
        <f t="shared" ref="A121:A124" si="68">IF(B121&lt;&gt;"","TP","")</f>
        <v>TP</v>
      </c>
      <c r="B121" s="71">
        <f t="shared" ref="B121:B124" si="69">IF(C121&lt;&gt;"",B120+1,"")</f>
        <v>31</v>
      </c>
      <c r="C121" s="37" t="s">
        <v>385</v>
      </c>
      <c r="D121" s="50" t="s">
        <v>37</v>
      </c>
      <c r="E121" s="38"/>
      <c r="F121" s="38"/>
      <c r="G121" s="38">
        <f t="shared" si="51"/>
        <v>220</v>
      </c>
      <c r="H121" s="38">
        <f t="shared" si="52"/>
        <v>34250724</v>
      </c>
      <c r="I121" s="38">
        <f t="shared" si="53"/>
        <v>220</v>
      </c>
      <c r="J121" s="38">
        <f t="shared" si="54"/>
        <v>34250724</v>
      </c>
      <c r="K121" s="38">
        <f t="shared" ref="K121:K124" si="70">E121+G121-I121</f>
        <v>0</v>
      </c>
      <c r="L121" s="38">
        <f t="shared" ref="L121:L124" si="71">F121+H121-J121</f>
        <v>0</v>
      </c>
      <c r="M121" s="197"/>
      <c r="N121" s="76"/>
      <c r="Q121" s="468"/>
      <c r="R121" s="70"/>
      <c r="S121" s="70"/>
    </row>
    <row r="122" spans="1:19" ht="18" customHeight="1">
      <c r="A122" s="40" t="str">
        <f t="shared" si="68"/>
        <v>TP</v>
      </c>
      <c r="B122" s="71">
        <f t="shared" si="69"/>
        <v>32</v>
      </c>
      <c r="C122" s="37" t="s">
        <v>323</v>
      </c>
      <c r="D122" s="50" t="s">
        <v>37</v>
      </c>
      <c r="E122" s="38"/>
      <c r="F122" s="38"/>
      <c r="G122" s="38">
        <f t="shared" si="51"/>
        <v>40</v>
      </c>
      <c r="H122" s="38">
        <f t="shared" si="52"/>
        <v>12182392</v>
      </c>
      <c r="I122" s="38">
        <f t="shared" si="53"/>
        <v>40</v>
      </c>
      <c r="J122" s="38">
        <f t="shared" si="54"/>
        <v>12182392</v>
      </c>
      <c r="K122" s="38">
        <f t="shared" si="70"/>
        <v>0</v>
      </c>
      <c r="L122" s="38">
        <f t="shared" si="71"/>
        <v>0</v>
      </c>
      <c r="M122" s="197"/>
      <c r="N122" s="76"/>
      <c r="Q122" s="468"/>
      <c r="R122" s="70"/>
      <c r="S122" s="70"/>
    </row>
    <row r="123" spans="1:19" ht="18" customHeight="1">
      <c r="A123" s="40" t="str">
        <f t="shared" si="68"/>
        <v>TP</v>
      </c>
      <c r="B123" s="71">
        <f t="shared" si="69"/>
        <v>33</v>
      </c>
      <c r="C123" s="37" t="s">
        <v>386</v>
      </c>
      <c r="D123" s="50" t="s">
        <v>37</v>
      </c>
      <c r="E123" s="38"/>
      <c r="F123" s="38"/>
      <c r="G123" s="38">
        <f t="shared" si="51"/>
        <v>52.2</v>
      </c>
      <c r="H123" s="38">
        <f t="shared" si="52"/>
        <v>15685130</v>
      </c>
      <c r="I123" s="38">
        <f t="shared" si="53"/>
        <v>52.2</v>
      </c>
      <c r="J123" s="38">
        <f t="shared" si="54"/>
        <v>15685130</v>
      </c>
      <c r="K123" s="38">
        <f t="shared" si="70"/>
        <v>0</v>
      </c>
      <c r="L123" s="38">
        <f t="shared" si="71"/>
        <v>0</v>
      </c>
      <c r="M123" s="197"/>
      <c r="N123" s="76"/>
      <c r="Q123" s="468"/>
      <c r="R123" s="70"/>
      <c r="S123" s="70"/>
    </row>
    <row r="124" spans="1:19" ht="18" customHeight="1">
      <c r="A124" s="40" t="str">
        <f t="shared" si="68"/>
        <v>TP</v>
      </c>
      <c r="B124" s="71">
        <f t="shared" si="69"/>
        <v>34</v>
      </c>
      <c r="C124" s="37" t="s">
        <v>45</v>
      </c>
      <c r="D124" s="50" t="s">
        <v>37</v>
      </c>
      <c r="E124" s="38">
        <v>16075</v>
      </c>
      <c r="F124" s="38">
        <v>1107185105</v>
      </c>
      <c r="G124" s="38">
        <f t="shared" si="51"/>
        <v>0</v>
      </c>
      <c r="H124" s="38">
        <f t="shared" si="52"/>
        <v>0</v>
      </c>
      <c r="I124" s="38">
        <f t="shared" si="53"/>
        <v>0</v>
      </c>
      <c r="J124" s="38">
        <f t="shared" si="54"/>
        <v>0</v>
      </c>
      <c r="K124" s="38">
        <f t="shared" si="70"/>
        <v>16075</v>
      </c>
      <c r="L124" s="38">
        <f t="shared" si="71"/>
        <v>1107185105</v>
      </c>
      <c r="M124" s="197"/>
      <c r="N124" s="76"/>
      <c r="Q124" s="468"/>
      <c r="R124" s="70"/>
      <c r="S124" s="70"/>
    </row>
    <row r="125" spans="1:19" ht="18" customHeight="1">
      <c r="A125" s="40" t="str">
        <f t="shared" si="62"/>
        <v/>
      </c>
      <c r="B125" s="71" t="str">
        <f>IF(C125&lt;&gt;"",B120+1,"")</f>
        <v/>
      </c>
      <c r="C125" s="48"/>
      <c r="D125" s="52"/>
      <c r="E125" s="49"/>
      <c r="F125" s="49"/>
      <c r="G125" s="49"/>
      <c r="H125" s="49"/>
      <c r="I125" s="49"/>
      <c r="J125" s="49"/>
      <c r="K125" s="49"/>
      <c r="L125" s="49"/>
      <c r="M125" s="197" t="str">
        <f t="shared" si="60"/>
        <v/>
      </c>
      <c r="N125" s="76"/>
      <c r="Q125" s="468"/>
      <c r="R125" s="70"/>
      <c r="S125" s="70"/>
    </row>
    <row r="126" spans="1:19" ht="18" customHeight="1">
      <c r="A126" s="40" t="str">
        <f>IF(B128&lt;&gt;"","TP","")</f>
        <v/>
      </c>
      <c r="B126" s="39"/>
      <c r="C126" s="39" t="s">
        <v>66</v>
      </c>
      <c r="D126" s="45"/>
      <c r="E126" s="36">
        <f t="shared" ref="E126:L126" si="72">SUM(E91:E125)</f>
        <v>16075</v>
      </c>
      <c r="F126" s="36">
        <f t="shared" si="72"/>
        <v>1107185105</v>
      </c>
      <c r="G126" s="36">
        <f t="shared" si="72"/>
        <v>303470.40000000002</v>
      </c>
      <c r="H126" s="36">
        <f t="shared" si="72"/>
        <v>40408910513</v>
      </c>
      <c r="I126" s="36">
        <f t="shared" si="72"/>
        <v>300351.40000000002</v>
      </c>
      <c r="J126" s="36">
        <f t="shared" si="72"/>
        <v>39917096027</v>
      </c>
      <c r="K126" s="36">
        <f t="shared" si="72"/>
        <v>19194</v>
      </c>
      <c r="L126" s="36">
        <f t="shared" si="72"/>
        <v>1598999591</v>
      </c>
      <c r="M126" s="197" t="str">
        <f>IF(N128&lt;&gt;"","VL","")</f>
        <v/>
      </c>
      <c r="N126" s="76"/>
      <c r="Q126" s="468"/>
      <c r="R126" s="70"/>
      <c r="S126" s="70"/>
    </row>
    <row r="127" spans="1:19" ht="18" hidden="1" customHeight="1">
      <c r="A127" s="40"/>
      <c r="B127" s="64"/>
      <c r="C127" s="64"/>
      <c r="D127" s="65"/>
      <c r="E127" s="66">
        <v>16075</v>
      </c>
      <c r="F127" s="66">
        <v>1107185105</v>
      </c>
      <c r="G127" s="66">
        <v>303470.40000000002</v>
      </c>
      <c r="H127" s="66">
        <v>40408910513</v>
      </c>
      <c r="I127" s="66">
        <v>300351.40000000002</v>
      </c>
      <c r="J127" s="66">
        <v>39917096027</v>
      </c>
      <c r="K127" s="66">
        <v>19194</v>
      </c>
      <c r="L127" s="66">
        <v>1598999591</v>
      </c>
      <c r="M127" s="197"/>
      <c r="N127" s="76"/>
    </row>
    <row r="128" spans="1:19" ht="18" customHeight="1">
      <c r="B128" s="64"/>
      <c r="C128" s="64"/>
      <c r="D128" s="65"/>
      <c r="E128" s="66">
        <f>E126-E127</f>
        <v>0</v>
      </c>
      <c r="F128" s="66">
        <f t="shared" ref="F128:L128" si="73">F126-F127</f>
        <v>0</v>
      </c>
      <c r="G128" s="66">
        <f t="shared" si="73"/>
        <v>0</v>
      </c>
      <c r="H128" s="66">
        <f t="shared" si="73"/>
        <v>0</v>
      </c>
      <c r="I128" s="66">
        <f t="shared" si="73"/>
        <v>0</v>
      </c>
      <c r="J128" s="66">
        <f t="shared" si="73"/>
        <v>0</v>
      </c>
      <c r="K128" s="66">
        <f t="shared" si="73"/>
        <v>0</v>
      </c>
      <c r="L128" s="66">
        <f t="shared" si="73"/>
        <v>0</v>
      </c>
      <c r="M128" s="197" t="str">
        <f t="shared" si="60"/>
        <v/>
      </c>
      <c r="N128" s="76"/>
    </row>
    <row r="129" spans="3:14" ht="15">
      <c r="M129" s="145"/>
      <c r="N129" s="70"/>
    </row>
    <row r="130" spans="3:14" ht="15">
      <c r="M130" s="145"/>
      <c r="N130" s="70"/>
    </row>
    <row r="131" spans="3:14" ht="15">
      <c r="C131" s="486"/>
      <c r="D131" s="486"/>
      <c r="E131" s="486"/>
      <c r="F131" s="145"/>
      <c r="G131" s="145"/>
      <c r="H131" s="145"/>
      <c r="I131" s="145"/>
      <c r="J131" s="486" t="s">
        <v>333</v>
      </c>
      <c r="K131" s="486"/>
      <c r="L131" s="486"/>
    </row>
    <row r="132" spans="3:14" ht="15">
      <c r="C132" s="288" t="s">
        <v>23</v>
      </c>
      <c r="D132" s="288"/>
      <c r="E132" s="288"/>
      <c r="F132" s="486" t="s">
        <v>24</v>
      </c>
      <c r="G132" s="486"/>
      <c r="H132" s="486"/>
      <c r="I132" s="145"/>
      <c r="J132" s="486" t="s">
        <v>25</v>
      </c>
      <c r="K132" s="486"/>
      <c r="L132" s="486"/>
      <c r="N132" s="70"/>
    </row>
    <row r="133" spans="3:14" ht="15">
      <c r="C133" s="137" t="s">
        <v>26</v>
      </c>
      <c r="D133" s="137" t="s">
        <v>27</v>
      </c>
      <c r="E133" s="137"/>
      <c r="F133" s="486" t="s">
        <v>26</v>
      </c>
      <c r="G133" s="486"/>
      <c r="H133" s="486"/>
      <c r="I133" s="35"/>
      <c r="J133" s="486" t="s">
        <v>28</v>
      </c>
      <c r="K133" s="486"/>
      <c r="L133" s="486"/>
      <c r="N133" s="70"/>
    </row>
    <row r="134" spans="3:14">
      <c r="N134" s="70"/>
    </row>
    <row r="135" spans="3:14">
      <c r="N135" s="70"/>
    </row>
    <row r="136" spans="3:14">
      <c r="N136" s="70"/>
    </row>
    <row r="137" spans="3:14">
      <c r="N137" s="70"/>
    </row>
    <row r="138" spans="3:14">
      <c r="N138" s="70"/>
    </row>
    <row r="139" spans="3:14">
      <c r="N139" s="70"/>
    </row>
    <row r="140" spans="3:14">
      <c r="N140" s="70"/>
    </row>
    <row r="141" spans="3:14">
      <c r="N141" s="70"/>
    </row>
    <row r="142" spans="3:14">
      <c r="N142" s="70"/>
    </row>
    <row r="143" spans="3:14">
      <c r="N143" s="70"/>
    </row>
    <row r="144" spans="3:14">
      <c r="N144" s="70"/>
    </row>
    <row r="145" spans="14:14">
      <c r="N145" s="70"/>
    </row>
    <row r="146" spans="14:14">
      <c r="N146" s="70"/>
    </row>
  </sheetData>
  <autoFilter ref="B11:O11"/>
  <sortState ref="C33:L52">
    <sortCondition ref="C33:C52"/>
  </sortState>
  <mergeCells count="26">
    <mergeCell ref="R8:R10"/>
    <mergeCell ref="F133:H133"/>
    <mergeCell ref="J131:L131"/>
    <mergeCell ref="J132:L132"/>
    <mergeCell ref="J133:L133"/>
    <mergeCell ref="P8:P10"/>
    <mergeCell ref="Q8:Q10"/>
    <mergeCell ref="O8:O10"/>
    <mergeCell ref="N8:N10"/>
    <mergeCell ref="K9:L9"/>
    <mergeCell ref="E8:L8"/>
    <mergeCell ref="C131:E131"/>
    <mergeCell ref="F132:H132"/>
    <mergeCell ref="H1:L1"/>
    <mergeCell ref="H2:L2"/>
    <mergeCell ref="H3:L3"/>
    <mergeCell ref="C7:L7"/>
    <mergeCell ref="B4:L4"/>
    <mergeCell ref="B5:L5"/>
    <mergeCell ref="B6:L6"/>
    <mergeCell ref="B8:B10"/>
    <mergeCell ref="G9:H9"/>
    <mergeCell ref="I9:J9"/>
    <mergeCell ref="C8:C10"/>
    <mergeCell ref="D8:D9"/>
    <mergeCell ref="E9:F9"/>
  </mergeCells>
  <phoneticPr fontId="30" type="noConversion"/>
  <dataValidations count="1">
    <dataValidation type="list" allowBlank="1" showInputMessage="1" showErrorMessage="1" sqref="N103">
      <formula1>Loai3</formula1>
    </dataValidation>
  </dataValidations>
  <pageMargins left="0.71" right="0" top="0" bottom="0" header="0" footer="0"/>
  <pageSetup scale="90"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2" filterMode="1" enableFormatConditionsCalculation="0">
    <tabColor indexed="58"/>
  </sheetPr>
  <dimension ref="A1:O865"/>
  <sheetViews>
    <sheetView topLeftCell="A2" zoomScale="90" workbookViewId="0">
      <pane ySplit="3" topLeftCell="A5" activePane="bottomLeft" state="frozen"/>
      <selection activeCell="C2" sqref="C2"/>
      <selection pane="bottomLeft" activeCell="F130" activeCellId="2" sqref="F21 F51 F130:F216"/>
    </sheetView>
  </sheetViews>
  <sheetFormatPr defaultColWidth="23.85546875" defaultRowHeight="15"/>
  <cols>
    <col min="1" max="1" width="5.28515625" style="420" customWidth="1"/>
    <col min="2" max="2" width="4.5703125" style="186" customWidth="1"/>
    <col min="3" max="4" width="5.7109375" style="9" customWidth="1"/>
    <col min="5" max="5" width="9.7109375" style="9" customWidth="1"/>
    <col min="6" max="6" width="35.140625" style="9" customWidth="1"/>
    <col min="7" max="7" width="42.140625" style="9" customWidth="1"/>
    <col min="8" max="9" width="6.28515625" style="420" customWidth="1"/>
    <col min="10" max="10" width="9.140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420">
        <v>1</v>
      </c>
      <c r="B1" s="186">
        <v>2</v>
      </c>
      <c r="C1" s="420">
        <v>3</v>
      </c>
      <c r="D1" s="186">
        <v>4</v>
      </c>
      <c r="E1" s="420">
        <v>5</v>
      </c>
      <c r="F1" s="186">
        <v>6</v>
      </c>
      <c r="G1" s="420">
        <v>7</v>
      </c>
      <c r="H1" s="186">
        <v>8</v>
      </c>
      <c r="I1" s="420">
        <v>9</v>
      </c>
      <c r="J1" s="186">
        <v>10</v>
      </c>
      <c r="K1" s="420">
        <v>11</v>
      </c>
      <c r="L1" s="420"/>
      <c r="M1" s="186">
        <v>12</v>
      </c>
      <c r="N1" s="420">
        <v>13</v>
      </c>
      <c r="O1" s="186">
        <v>14</v>
      </c>
    </row>
    <row r="2" spans="1:15" ht="21" customHeight="1">
      <c r="A2" s="488" t="s">
        <v>115</v>
      </c>
      <c r="B2" s="491" t="s">
        <v>1</v>
      </c>
      <c r="C2" s="492"/>
      <c r="D2" s="492"/>
      <c r="E2" s="493"/>
      <c r="F2" s="489" t="s">
        <v>2</v>
      </c>
      <c r="G2" s="489" t="s">
        <v>105</v>
      </c>
      <c r="H2" s="487" t="s">
        <v>106</v>
      </c>
      <c r="I2" s="487" t="s">
        <v>107</v>
      </c>
      <c r="J2" s="487" t="s">
        <v>4</v>
      </c>
      <c r="K2" s="488" t="s">
        <v>5</v>
      </c>
      <c r="L2" s="488"/>
      <c r="M2" s="488" t="s">
        <v>6</v>
      </c>
      <c r="N2" s="488"/>
      <c r="O2" s="487" t="s">
        <v>8</v>
      </c>
    </row>
    <row r="3" spans="1:15" ht="21" customHeight="1">
      <c r="A3" s="488"/>
      <c r="B3" s="494" t="s">
        <v>9</v>
      </c>
      <c r="C3" s="495"/>
      <c r="D3" s="496"/>
      <c r="E3" s="198" t="s">
        <v>10</v>
      </c>
      <c r="F3" s="490"/>
      <c r="G3" s="490"/>
      <c r="H3" s="487"/>
      <c r="I3" s="487"/>
      <c r="J3" s="487"/>
      <c r="K3" s="418" t="s">
        <v>61</v>
      </c>
      <c r="L3" s="418" t="s">
        <v>91</v>
      </c>
      <c r="M3" s="418" t="s">
        <v>61</v>
      </c>
      <c r="N3" s="418" t="s">
        <v>91</v>
      </c>
      <c r="O3" s="487"/>
    </row>
    <row r="4" spans="1:15" s="420" customFormat="1">
      <c r="A4" s="421"/>
      <c r="B4" s="187"/>
      <c r="C4" s="421" t="s">
        <v>13</v>
      </c>
      <c r="D4" s="419"/>
      <c r="E4" s="419" t="s">
        <v>14</v>
      </c>
      <c r="F4" s="419"/>
      <c r="G4" s="419"/>
      <c r="H4" s="419"/>
      <c r="I4" s="421" t="s">
        <v>16</v>
      </c>
      <c r="J4" s="421">
        <v>1</v>
      </c>
      <c r="K4" s="421">
        <v>2</v>
      </c>
      <c r="L4" s="421"/>
      <c r="M4" s="421">
        <v>4</v>
      </c>
      <c r="N4" s="421"/>
      <c r="O4" s="421"/>
    </row>
    <row r="5" spans="1:15" hidden="1">
      <c r="A5" s="24">
        <f t="shared" ref="A5" si="0">IF(E5&lt;&gt;"",MONTH(E5),"")</f>
        <v>1</v>
      </c>
      <c r="B5" s="188" t="str">
        <f>IF(AND(MONTH(E5)='IN-NX'!$J$5,'IN-NX'!$D$7=(D5&amp;"/"&amp;C5)),"x","")</f>
        <v/>
      </c>
      <c r="C5" s="185" t="s">
        <v>153</v>
      </c>
      <c r="D5" s="185" t="s">
        <v>151</v>
      </c>
      <c r="E5" s="69">
        <v>41281</v>
      </c>
      <c r="F5" s="61" t="s">
        <v>337</v>
      </c>
      <c r="G5" s="460" t="s">
        <v>158</v>
      </c>
      <c r="H5" s="189" t="s">
        <v>90</v>
      </c>
      <c r="I5" s="56" t="s">
        <v>108</v>
      </c>
      <c r="J5" s="15">
        <v>9860.868965517242</v>
      </c>
      <c r="K5" s="15">
        <v>0</v>
      </c>
      <c r="L5" s="15">
        <f t="shared" ref="L5:L21" si="1">ROUND(J5*K5,0)</f>
        <v>0</v>
      </c>
      <c r="M5" s="15">
        <v>145</v>
      </c>
      <c r="N5" s="15">
        <f t="shared" ref="N5:N21" si="2">ROUND(J5*M5,0)</f>
        <v>1429826</v>
      </c>
      <c r="O5" s="15" t="str">
        <f>IF(AND(A5='BANG KE NL'!$M$11,TH!C5="NL",LEFT(D5,1)="N"),"x","")</f>
        <v/>
      </c>
    </row>
    <row r="6" spans="1:15" hidden="1">
      <c r="A6" s="24">
        <f t="shared" ref="A6:A69" si="3">IF(E6&lt;&gt;"",MONTH(E6),"")</f>
        <v>3</v>
      </c>
      <c r="B6" s="188" t="str">
        <f>IF(AND(MONTH(E6)='IN-NX'!$J$5,'IN-NX'!$D$7=(D6&amp;"/"&amp;C6)),"x","")</f>
        <v/>
      </c>
      <c r="C6" s="185" t="s">
        <v>153</v>
      </c>
      <c r="D6" s="185" t="s">
        <v>146</v>
      </c>
      <c r="E6" s="69">
        <v>41351</v>
      </c>
      <c r="F6" s="61" t="s">
        <v>337</v>
      </c>
      <c r="G6" s="461" t="s">
        <v>387</v>
      </c>
      <c r="H6" s="189" t="s">
        <v>108</v>
      </c>
      <c r="I6" s="56" t="s">
        <v>93</v>
      </c>
      <c r="J6" s="15">
        <v>9500</v>
      </c>
      <c r="K6" s="15">
        <v>480</v>
      </c>
      <c r="L6" s="15">
        <f t="shared" si="1"/>
        <v>4560000</v>
      </c>
      <c r="M6" s="15">
        <v>0</v>
      </c>
      <c r="N6" s="15">
        <f t="shared" si="2"/>
        <v>0</v>
      </c>
      <c r="O6" s="15" t="str">
        <f>IF(AND(A6='BANG KE NL'!$M$11,TH!C6="NL",LEFT(D6,1)="N"),"x","")</f>
        <v/>
      </c>
    </row>
    <row r="7" spans="1:15" hidden="1">
      <c r="A7" s="24">
        <f t="shared" si="3"/>
        <v>3</v>
      </c>
      <c r="B7" s="188" t="str">
        <f>IF(AND(MONTH(E7)='IN-NX'!$J$5,'IN-NX'!$D$7=(D7&amp;"/"&amp;C7)),"x","")</f>
        <v/>
      </c>
      <c r="C7" s="185" t="s">
        <v>153</v>
      </c>
      <c r="D7" s="185" t="s">
        <v>152</v>
      </c>
      <c r="E7" s="69">
        <v>41352</v>
      </c>
      <c r="F7" s="61" t="s">
        <v>337</v>
      </c>
      <c r="G7" s="460" t="s">
        <v>158</v>
      </c>
      <c r="H7" s="189" t="s">
        <v>90</v>
      </c>
      <c r="I7" s="56" t="s">
        <v>108</v>
      </c>
      <c r="J7" s="15">
        <v>9991.5480000000007</v>
      </c>
      <c r="K7" s="15">
        <v>0</v>
      </c>
      <c r="L7" s="15">
        <f t="shared" si="1"/>
        <v>0</v>
      </c>
      <c r="M7" s="15">
        <v>500</v>
      </c>
      <c r="N7" s="15">
        <f t="shared" si="2"/>
        <v>4995774</v>
      </c>
      <c r="O7" s="15" t="str">
        <f>IF(AND(A7='BANG KE NL'!$M$11,TH!C7="NL",LEFT(D7,1)="N"),"x","")</f>
        <v/>
      </c>
    </row>
    <row r="8" spans="1:15" hidden="1">
      <c r="A8" s="24">
        <f t="shared" si="3"/>
        <v>4</v>
      </c>
      <c r="B8" s="188" t="str">
        <f>IF(AND(MONTH(E8)='IN-NX'!$J$5,'IN-NX'!$D$7=(D8&amp;"/"&amp;C8)),"x","")</f>
        <v/>
      </c>
      <c r="C8" s="185" t="s">
        <v>153</v>
      </c>
      <c r="D8" s="185" t="s">
        <v>151</v>
      </c>
      <c r="E8" s="69">
        <v>41375</v>
      </c>
      <c r="F8" s="61" t="s">
        <v>337</v>
      </c>
      <c r="G8" s="460" t="s">
        <v>158</v>
      </c>
      <c r="H8" s="189" t="s">
        <v>90</v>
      </c>
      <c r="I8" s="56" t="s">
        <v>108</v>
      </c>
      <c r="J8" s="15">
        <v>9500</v>
      </c>
      <c r="K8" s="15">
        <v>0</v>
      </c>
      <c r="L8" s="15">
        <f t="shared" si="1"/>
        <v>0</v>
      </c>
      <c r="M8" s="15">
        <v>650</v>
      </c>
      <c r="N8" s="15">
        <f t="shared" si="2"/>
        <v>6175000</v>
      </c>
      <c r="O8" s="15" t="str">
        <f>IF(AND(A8='BANG KE NL'!$M$11,TH!C8="NL",LEFT(D8,1)="N"),"x","")</f>
        <v/>
      </c>
    </row>
    <row r="9" spans="1:15" hidden="1">
      <c r="A9" s="24">
        <f t="shared" si="3"/>
        <v>5</v>
      </c>
      <c r="B9" s="188" t="str">
        <f>IF(AND(MONTH(E9)='IN-NX'!$J$5,'IN-NX'!$D$7=(D9&amp;"/"&amp;C9)),"x","")</f>
        <v/>
      </c>
      <c r="C9" s="185" t="s">
        <v>153</v>
      </c>
      <c r="D9" s="185" t="s">
        <v>150</v>
      </c>
      <c r="E9" s="69">
        <v>41410</v>
      </c>
      <c r="F9" s="61" t="s">
        <v>337</v>
      </c>
      <c r="G9" s="460" t="s">
        <v>158</v>
      </c>
      <c r="H9" s="189" t="s">
        <v>90</v>
      </c>
      <c r="I9" s="56" t="s">
        <v>108</v>
      </c>
      <c r="J9" s="15">
        <v>9399.565217391304</v>
      </c>
      <c r="K9" s="15">
        <v>0</v>
      </c>
      <c r="L9" s="15">
        <f t="shared" si="1"/>
        <v>0</v>
      </c>
      <c r="M9" s="15">
        <v>460</v>
      </c>
      <c r="N9" s="15">
        <f t="shared" si="2"/>
        <v>4323800</v>
      </c>
      <c r="O9" s="15" t="str">
        <f>IF(AND(A9='BANG KE NL'!$M$11,TH!C9="NL",LEFT(D9,1)="N"),"x","")</f>
        <v/>
      </c>
    </row>
    <row r="10" spans="1:15" hidden="1">
      <c r="A10" s="24">
        <f t="shared" si="3"/>
        <v>5</v>
      </c>
      <c r="B10" s="188" t="str">
        <f>IF(AND(MONTH(E10)='IN-NX'!$J$5,'IN-NX'!$D$7=(D10&amp;"/"&amp;C10)),"x","")</f>
        <v/>
      </c>
      <c r="C10" s="185" t="s">
        <v>153</v>
      </c>
      <c r="D10" s="185" t="s">
        <v>145</v>
      </c>
      <c r="E10" s="69">
        <v>41414</v>
      </c>
      <c r="F10" s="61" t="s">
        <v>337</v>
      </c>
      <c r="G10" s="461" t="s">
        <v>387</v>
      </c>
      <c r="H10" s="189" t="s">
        <v>108</v>
      </c>
      <c r="I10" s="56" t="s">
        <v>93</v>
      </c>
      <c r="J10" s="15">
        <v>9100</v>
      </c>
      <c r="K10" s="15">
        <v>600</v>
      </c>
      <c r="L10" s="15">
        <f t="shared" si="1"/>
        <v>5460000</v>
      </c>
      <c r="M10" s="15">
        <v>0</v>
      </c>
      <c r="N10" s="15">
        <f t="shared" si="2"/>
        <v>0</v>
      </c>
      <c r="O10" s="15" t="str">
        <f>IF(AND(A10='BANG KE NL'!$M$11,TH!C10="NL",LEFT(D10,1)="N"),"x","")</f>
        <v/>
      </c>
    </row>
    <row r="11" spans="1:15" hidden="1">
      <c r="A11" s="24">
        <f t="shared" si="3"/>
        <v>6</v>
      </c>
      <c r="B11" s="188" t="str">
        <f>IF(AND(MONTH(E11)='IN-NX'!$J$5,'IN-NX'!$D$7=(D11&amp;"/"&amp;C11)),"x","")</f>
        <v/>
      </c>
      <c r="C11" s="185" t="s">
        <v>153</v>
      </c>
      <c r="D11" s="185" t="s">
        <v>151</v>
      </c>
      <c r="E11" s="69">
        <v>41437</v>
      </c>
      <c r="F11" s="61" t="s">
        <v>337</v>
      </c>
      <c r="G11" s="460" t="s">
        <v>158</v>
      </c>
      <c r="H11" s="189" t="s">
        <v>90</v>
      </c>
      <c r="I11" s="56" t="s">
        <v>108</v>
      </c>
      <c r="J11" s="15">
        <v>9200</v>
      </c>
      <c r="K11" s="15">
        <v>0</v>
      </c>
      <c r="L11" s="15">
        <f t="shared" si="1"/>
        <v>0</v>
      </c>
      <c r="M11" s="15">
        <v>186</v>
      </c>
      <c r="N11" s="15">
        <f t="shared" si="2"/>
        <v>1711200</v>
      </c>
      <c r="O11" s="15" t="str">
        <f>IF(AND(A11='BANG KE NL'!$M$11,TH!C11="NL",LEFT(D11,1)="N"),"x","")</f>
        <v/>
      </c>
    </row>
    <row r="12" spans="1:15" hidden="1">
      <c r="A12" s="24">
        <f t="shared" si="3"/>
        <v>7</v>
      </c>
      <c r="B12" s="188" t="str">
        <f>IF(AND(MONTH(E12)='IN-NX'!$J$5,'IN-NX'!$D$7=(D12&amp;"/"&amp;C12)),"x","")</f>
        <v/>
      </c>
      <c r="C12" s="185" t="s">
        <v>153</v>
      </c>
      <c r="D12" s="185" t="s">
        <v>151</v>
      </c>
      <c r="E12" s="69">
        <v>41466</v>
      </c>
      <c r="F12" s="61" t="s">
        <v>337</v>
      </c>
      <c r="G12" s="460" t="s">
        <v>158</v>
      </c>
      <c r="H12" s="189" t="s">
        <v>90</v>
      </c>
      <c r="I12" s="56" t="s">
        <v>108</v>
      </c>
      <c r="J12" s="15">
        <v>8994.9090909090901</v>
      </c>
      <c r="K12" s="15">
        <v>0</v>
      </c>
      <c r="L12" s="15">
        <f t="shared" si="1"/>
        <v>0</v>
      </c>
      <c r="M12" s="15">
        <v>220</v>
      </c>
      <c r="N12" s="15">
        <f t="shared" si="2"/>
        <v>1978880</v>
      </c>
      <c r="O12" s="15" t="str">
        <f>IF(AND(A12='BANG KE NL'!$M$11,TH!C12="NL",LEFT(D12,1)="N"),"x","")</f>
        <v/>
      </c>
    </row>
    <row r="13" spans="1:15" hidden="1">
      <c r="A13" s="24">
        <f t="shared" si="3"/>
        <v>8</v>
      </c>
      <c r="B13" s="188" t="str">
        <f>IF(AND(MONTH(E13)='IN-NX'!$J$5,'IN-NX'!$D$7=(D13&amp;"/"&amp;C13)),"x","")</f>
        <v/>
      </c>
      <c r="C13" s="185" t="s">
        <v>153</v>
      </c>
      <c r="D13" s="185" t="s">
        <v>145</v>
      </c>
      <c r="E13" s="69">
        <v>41495</v>
      </c>
      <c r="F13" s="61" t="s">
        <v>337</v>
      </c>
      <c r="G13" s="461" t="s">
        <v>388</v>
      </c>
      <c r="H13" s="189" t="s">
        <v>108</v>
      </c>
      <c r="I13" s="56" t="s">
        <v>93</v>
      </c>
      <c r="J13" s="15">
        <v>10000</v>
      </c>
      <c r="K13" s="15">
        <v>120</v>
      </c>
      <c r="L13" s="15">
        <f t="shared" si="1"/>
        <v>1200000</v>
      </c>
      <c r="M13" s="15">
        <v>0</v>
      </c>
      <c r="N13" s="15">
        <f t="shared" si="2"/>
        <v>0</v>
      </c>
      <c r="O13" s="15" t="str">
        <f>IF(AND(A13='BANG KE NL'!$M$11,TH!C13="NL",LEFT(D13,1)="N"),"x","")</f>
        <v/>
      </c>
    </row>
    <row r="14" spans="1:15" hidden="1">
      <c r="A14" s="24">
        <f t="shared" si="3"/>
        <v>8</v>
      </c>
      <c r="B14" s="188" t="str">
        <f>IF(AND(MONTH(E14)='IN-NX'!$J$5,'IN-NX'!$D$7=(D14&amp;"/"&amp;C14)),"x","")</f>
        <v/>
      </c>
      <c r="C14" s="185" t="s">
        <v>153</v>
      </c>
      <c r="D14" s="185" t="s">
        <v>145</v>
      </c>
      <c r="E14" s="69">
        <v>41495</v>
      </c>
      <c r="F14" s="61" t="s">
        <v>337</v>
      </c>
      <c r="G14" s="461" t="s">
        <v>388</v>
      </c>
      <c r="H14" s="189" t="s">
        <v>108</v>
      </c>
      <c r="I14" s="56" t="s">
        <v>93</v>
      </c>
      <c r="J14" s="15">
        <v>8200</v>
      </c>
      <c r="K14" s="15">
        <v>120</v>
      </c>
      <c r="L14" s="15">
        <f t="shared" si="1"/>
        <v>984000</v>
      </c>
      <c r="M14" s="15">
        <v>0</v>
      </c>
      <c r="N14" s="15">
        <f t="shared" si="2"/>
        <v>0</v>
      </c>
      <c r="O14" s="15" t="str">
        <f>IF(AND(A14='BANG KE NL'!$M$11,TH!C14="NL",LEFT(D14,1)="N"),"x","")</f>
        <v/>
      </c>
    </row>
    <row r="15" spans="1:15" hidden="1">
      <c r="A15" s="24">
        <f t="shared" si="3"/>
        <v>8</v>
      </c>
      <c r="B15" s="188" t="str">
        <f>IF(AND(MONTH(E15)='IN-NX'!$J$5,'IN-NX'!$D$7=(D15&amp;"/"&amp;C15)),"x","")</f>
        <v/>
      </c>
      <c r="C15" s="185" t="s">
        <v>153</v>
      </c>
      <c r="D15" s="185" t="s">
        <v>151</v>
      </c>
      <c r="E15" s="69">
        <v>41499</v>
      </c>
      <c r="F15" s="61" t="s">
        <v>337</v>
      </c>
      <c r="G15" s="460" t="s">
        <v>158</v>
      </c>
      <c r="H15" s="189" t="s">
        <v>90</v>
      </c>
      <c r="I15" s="56" t="s">
        <v>108</v>
      </c>
      <c r="J15" s="15">
        <v>8854.4</v>
      </c>
      <c r="K15" s="15">
        <v>0</v>
      </c>
      <c r="L15" s="15">
        <f t="shared" si="1"/>
        <v>0</v>
      </c>
      <c r="M15" s="15">
        <v>700</v>
      </c>
      <c r="N15" s="15">
        <f t="shared" si="2"/>
        <v>6198080</v>
      </c>
      <c r="O15" s="15" t="str">
        <f>IF(AND(A15='BANG KE NL'!$M$11,TH!C15="NL",LEFT(D15,1)="N"),"x","")</f>
        <v/>
      </c>
    </row>
    <row r="16" spans="1:15" hidden="1">
      <c r="A16" s="24">
        <f t="shared" si="3"/>
        <v>9</v>
      </c>
      <c r="B16" s="188" t="str">
        <f>IF(AND(MONTH(E16)='IN-NX'!$J$5,'IN-NX'!$D$7=(D16&amp;"/"&amp;C16)),"x","")</f>
        <v/>
      </c>
      <c r="C16" s="185" t="s">
        <v>153</v>
      </c>
      <c r="D16" s="185" t="s">
        <v>146</v>
      </c>
      <c r="E16" s="69">
        <v>41523</v>
      </c>
      <c r="F16" s="61" t="s">
        <v>337</v>
      </c>
      <c r="G16" s="461" t="s">
        <v>388</v>
      </c>
      <c r="H16" s="189" t="s">
        <v>108</v>
      </c>
      <c r="I16" s="56" t="s">
        <v>93</v>
      </c>
      <c r="J16" s="15">
        <v>8200</v>
      </c>
      <c r="K16" s="15">
        <v>480</v>
      </c>
      <c r="L16" s="15">
        <f t="shared" si="1"/>
        <v>3936000</v>
      </c>
      <c r="M16" s="15">
        <v>0</v>
      </c>
      <c r="N16" s="15">
        <f t="shared" si="2"/>
        <v>0</v>
      </c>
      <c r="O16" s="15" t="str">
        <f>IF(AND(A16='BANG KE NL'!$M$11,TH!C16="NL",LEFT(D16,1)="N"),"x","")</f>
        <v/>
      </c>
    </row>
    <row r="17" spans="1:15" hidden="1">
      <c r="A17" s="24">
        <f t="shared" si="3"/>
        <v>9</v>
      </c>
      <c r="B17" s="188" t="str">
        <f>IF(AND(MONTH(E17)='IN-NX'!$J$5,'IN-NX'!$D$7=(D17&amp;"/"&amp;C17)),"x","")</f>
        <v/>
      </c>
      <c r="C17" s="185" t="s">
        <v>153</v>
      </c>
      <c r="D17" s="185" t="s">
        <v>152</v>
      </c>
      <c r="E17" s="69">
        <v>41539</v>
      </c>
      <c r="F17" s="61" t="s">
        <v>337</v>
      </c>
      <c r="G17" s="460" t="s">
        <v>158</v>
      </c>
      <c r="H17" s="189" t="s">
        <v>90</v>
      </c>
      <c r="I17" s="56" t="s">
        <v>108</v>
      </c>
      <c r="J17" s="15">
        <v>9431.818181818182</v>
      </c>
      <c r="K17" s="15">
        <v>0</v>
      </c>
      <c r="L17" s="15">
        <f t="shared" si="1"/>
        <v>0</v>
      </c>
      <c r="M17" s="15">
        <v>440</v>
      </c>
      <c r="N17" s="15">
        <f t="shared" si="2"/>
        <v>4150000</v>
      </c>
      <c r="O17" s="15" t="str">
        <f>IF(AND(A17='BANG KE NL'!$M$11,TH!C17="NL",LEFT(D17,1)="N"),"x","")</f>
        <v/>
      </c>
    </row>
    <row r="18" spans="1:15" hidden="1">
      <c r="A18" s="24">
        <f t="shared" si="3"/>
        <v>10</v>
      </c>
      <c r="B18" s="188" t="str">
        <f>IF(AND(MONTH(E18)='IN-NX'!$J$5,'IN-NX'!$D$7=(D18&amp;"/"&amp;C18)),"x","")</f>
        <v/>
      </c>
      <c r="C18" s="185" t="s">
        <v>153</v>
      </c>
      <c r="D18" s="185" t="s">
        <v>152</v>
      </c>
      <c r="E18" s="69">
        <v>41558</v>
      </c>
      <c r="F18" s="61" t="s">
        <v>337</v>
      </c>
      <c r="G18" s="460" t="s">
        <v>158</v>
      </c>
      <c r="H18" s="189" t="s">
        <v>90</v>
      </c>
      <c r="I18" s="56" t="s">
        <v>108</v>
      </c>
      <c r="J18" s="15">
        <v>9083.6065573770484</v>
      </c>
      <c r="K18" s="15">
        <v>0</v>
      </c>
      <c r="L18" s="15">
        <f t="shared" si="1"/>
        <v>0</v>
      </c>
      <c r="M18" s="15">
        <v>610</v>
      </c>
      <c r="N18" s="15">
        <f t="shared" si="2"/>
        <v>5541000</v>
      </c>
      <c r="O18" s="15" t="str">
        <f>IF(AND(A18='BANG KE NL'!$M$11,TH!C18="NL",LEFT(D18,1)="N"),"x","")</f>
        <v/>
      </c>
    </row>
    <row r="19" spans="1:15" hidden="1">
      <c r="A19" s="24">
        <f t="shared" si="3"/>
        <v>11</v>
      </c>
      <c r="B19" s="188" t="str">
        <f>IF(AND(MONTH(E19)='IN-NX'!$J$5,'IN-NX'!$D$7=(D19&amp;"/"&amp;C19)),"x","")</f>
        <v/>
      </c>
      <c r="C19" s="185" t="s">
        <v>153</v>
      </c>
      <c r="D19" s="185" t="s">
        <v>150</v>
      </c>
      <c r="E19" s="69">
        <v>41581</v>
      </c>
      <c r="F19" s="61" t="s">
        <v>337</v>
      </c>
      <c r="G19" s="460" t="s">
        <v>158</v>
      </c>
      <c r="H19" s="189" t="s">
        <v>90</v>
      </c>
      <c r="I19" s="56" t="s">
        <v>108</v>
      </c>
      <c r="J19" s="15">
        <v>8924.3902439024387</v>
      </c>
      <c r="K19" s="15">
        <v>0</v>
      </c>
      <c r="L19" s="15">
        <f t="shared" si="1"/>
        <v>0</v>
      </c>
      <c r="M19" s="15">
        <v>410</v>
      </c>
      <c r="N19" s="15">
        <f t="shared" si="2"/>
        <v>3659000</v>
      </c>
      <c r="O19" s="15" t="str">
        <f>IF(AND(A19='BANG KE NL'!$M$11,TH!C19="NL",LEFT(D19,1)="N"),"x","")</f>
        <v/>
      </c>
    </row>
    <row r="20" spans="1:15" hidden="1">
      <c r="A20" s="24">
        <f t="shared" si="3"/>
        <v>11</v>
      </c>
      <c r="B20" s="188" t="str">
        <f>IF(AND(MONTH(E20)='IN-NX'!$J$5,'IN-NX'!$D$7=(D20&amp;"/"&amp;C20)),"x","")</f>
        <v/>
      </c>
      <c r="C20" s="185" t="s">
        <v>153</v>
      </c>
      <c r="D20" s="185" t="s">
        <v>163</v>
      </c>
      <c r="E20" s="69">
        <v>41597</v>
      </c>
      <c r="F20" s="61" t="s">
        <v>337</v>
      </c>
      <c r="G20" s="461" t="s">
        <v>204</v>
      </c>
      <c r="H20" s="189" t="s">
        <v>108</v>
      </c>
      <c r="I20" s="56" t="s">
        <v>93</v>
      </c>
      <c r="J20" s="15">
        <v>8500</v>
      </c>
      <c r="K20" s="15">
        <v>600</v>
      </c>
      <c r="L20" s="15">
        <f t="shared" si="1"/>
        <v>5100000</v>
      </c>
      <c r="M20" s="15">
        <v>0</v>
      </c>
      <c r="N20" s="15">
        <f t="shared" si="2"/>
        <v>0</v>
      </c>
      <c r="O20" s="15" t="str">
        <f>IF(AND(A20='BANG KE NL'!$M$11,TH!C20="NL",LEFT(D20,1)="N"),"x","")</f>
        <v/>
      </c>
    </row>
    <row r="21" spans="1:15">
      <c r="A21" s="24">
        <f t="shared" si="3"/>
        <v>12</v>
      </c>
      <c r="B21" s="188" t="str">
        <f>IF(AND(MONTH(E21)='IN-NX'!$J$5,'IN-NX'!$D$7=(D21&amp;"/"&amp;C21)),"x","")</f>
        <v/>
      </c>
      <c r="C21" s="185" t="s">
        <v>153</v>
      </c>
      <c r="D21" s="185" t="s">
        <v>150</v>
      </c>
      <c r="E21" s="69">
        <v>41612</v>
      </c>
      <c r="F21" s="61" t="s">
        <v>337</v>
      </c>
      <c r="G21" s="460" t="s">
        <v>158</v>
      </c>
      <c r="H21" s="189" t="s">
        <v>90</v>
      </c>
      <c r="I21" s="56" t="s">
        <v>108</v>
      </c>
      <c r="J21" s="15">
        <v>8335.6164383561645</v>
      </c>
      <c r="K21" s="15">
        <v>0</v>
      </c>
      <c r="L21" s="15">
        <f t="shared" si="1"/>
        <v>0</v>
      </c>
      <c r="M21" s="15">
        <v>730</v>
      </c>
      <c r="N21" s="15">
        <f t="shared" si="2"/>
        <v>6085000</v>
      </c>
      <c r="O21" s="15" t="str">
        <f>IF(AND(A21='BANG KE NL'!$M$11,TH!C21="NL",LEFT(D21,1)="N"),"x","")</f>
        <v/>
      </c>
    </row>
    <row r="22" spans="1:15" hidden="1">
      <c r="A22" s="24">
        <f t="shared" si="3"/>
        <v>1</v>
      </c>
      <c r="B22" s="188" t="str">
        <f>IF(AND(MONTH(E22)='IN-NX'!$J$5,'IN-NX'!$D$7=(D22&amp;"/"&amp;C22)),"x","")</f>
        <v>x</v>
      </c>
      <c r="C22" s="185" t="s">
        <v>153</v>
      </c>
      <c r="D22" s="185" t="s">
        <v>150</v>
      </c>
      <c r="E22" s="69">
        <v>41276</v>
      </c>
      <c r="F22" s="61" t="s">
        <v>46</v>
      </c>
      <c r="G22" s="460" t="s">
        <v>158</v>
      </c>
      <c r="H22" s="189" t="s">
        <v>90</v>
      </c>
      <c r="I22" s="56" t="s">
        <v>108</v>
      </c>
      <c r="J22" s="15">
        <v>46286</v>
      </c>
      <c r="K22" s="15">
        <v>0</v>
      </c>
      <c r="L22" s="15">
        <v>0</v>
      </c>
      <c r="M22" s="15">
        <v>20</v>
      </c>
      <c r="N22" s="15">
        <v>925720</v>
      </c>
      <c r="O22" s="15" t="str">
        <f>IF(AND(A22='BANG KE NL'!$M$11,TH!C22="NL",LEFT(D22,1)="N"),"x","")</f>
        <v/>
      </c>
    </row>
    <row r="23" spans="1:15" hidden="1">
      <c r="A23" s="24">
        <f t="shared" si="3"/>
        <v>3</v>
      </c>
      <c r="B23" s="188" t="str">
        <f>IF(AND(MONTH(E23)='IN-NX'!$J$5,'IN-NX'!$D$7=(D23&amp;"/"&amp;C23)),"x","")</f>
        <v/>
      </c>
      <c r="C23" s="185" t="s">
        <v>153</v>
      </c>
      <c r="D23" s="185" t="s">
        <v>150</v>
      </c>
      <c r="E23" s="69">
        <v>41335</v>
      </c>
      <c r="F23" s="61" t="s">
        <v>46</v>
      </c>
      <c r="G23" s="460" t="s">
        <v>158</v>
      </c>
      <c r="H23" s="189" t="s">
        <v>90</v>
      </c>
      <c r="I23" s="56" t="s">
        <v>108</v>
      </c>
      <c r="J23" s="15">
        <v>46224</v>
      </c>
      <c r="K23" s="15">
        <v>0</v>
      </c>
      <c r="L23" s="15">
        <v>0</v>
      </c>
      <c r="M23" s="15">
        <v>27</v>
      </c>
      <c r="N23" s="15">
        <v>1248048</v>
      </c>
      <c r="O23" s="15" t="str">
        <f>IF(AND(A23='BANG KE NL'!$M$11,TH!C23="NL",LEFT(D23,1)="N"),"x","")</f>
        <v/>
      </c>
    </row>
    <row r="24" spans="1:15" hidden="1">
      <c r="A24" s="24">
        <f t="shared" si="3"/>
        <v>4</v>
      </c>
      <c r="B24" s="188" t="str">
        <f>IF(AND(MONTH(E24)='IN-NX'!$J$5,'IN-NX'!$D$7=(D24&amp;"/"&amp;C24)),"x","")</f>
        <v/>
      </c>
      <c r="C24" s="185" t="s">
        <v>153</v>
      </c>
      <c r="D24" s="185" t="s">
        <v>149</v>
      </c>
      <c r="E24" s="69">
        <v>41365</v>
      </c>
      <c r="F24" s="61" t="s">
        <v>46</v>
      </c>
      <c r="G24" s="460" t="s">
        <v>158</v>
      </c>
      <c r="H24" s="189" t="s">
        <v>90</v>
      </c>
      <c r="I24" s="56" t="s">
        <v>108</v>
      </c>
      <c r="J24" s="15">
        <v>46224</v>
      </c>
      <c r="K24" s="15">
        <v>0</v>
      </c>
      <c r="L24" s="15">
        <v>0</v>
      </c>
      <c r="M24" s="15">
        <v>30</v>
      </c>
      <c r="N24" s="15">
        <v>1386720</v>
      </c>
      <c r="O24" s="15" t="str">
        <f>IF(AND(A24='BANG KE NL'!$M$11,TH!C24="NL",LEFT(D24,1)="N"),"x","")</f>
        <v/>
      </c>
    </row>
    <row r="25" spans="1:15" hidden="1">
      <c r="A25" s="24">
        <f t="shared" si="3"/>
        <v>1</v>
      </c>
      <c r="B25" s="188" t="str">
        <f>IF(AND(MONTH(E25)='IN-NX'!$J$5,'IN-NX'!$D$7=(D25&amp;"/"&amp;C25)),"x","")</f>
        <v>x</v>
      </c>
      <c r="C25" s="185" t="s">
        <v>153</v>
      </c>
      <c r="D25" s="185" t="s">
        <v>150</v>
      </c>
      <c r="E25" s="69">
        <v>41276</v>
      </c>
      <c r="F25" s="61" t="s">
        <v>338</v>
      </c>
      <c r="G25" s="460" t="s">
        <v>158</v>
      </c>
      <c r="H25" s="189" t="s">
        <v>90</v>
      </c>
      <c r="I25" s="56" t="s">
        <v>108</v>
      </c>
      <c r="J25" s="15">
        <v>34200</v>
      </c>
      <c r="K25" s="15">
        <v>0</v>
      </c>
      <c r="L25" s="15">
        <v>0</v>
      </c>
      <c r="M25" s="15">
        <v>40</v>
      </c>
      <c r="N25" s="15">
        <v>1368000</v>
      </c>
      <c r="O25" s="15" t="str">
        <f>IF(AND(A25='BANG KE NL'!$M$11,TH!C25="NL",LEFT(D25,1)="N"),"x","")</f>
        <v/>
      </c>
    </row>
    <row r="26" spans="1:15" hidden="1">
      <c r="A26" s="24">
        <f t="shared" si="3"/>
        <v>3</v>
      </c>
      <c r="B26" s="188" t="str">
        <f>IF(AND(MONTH(E26)='IN-NX'!$J$5,'IN-NX'!$D$7=(D26&amp;"/"&amp;C26)),"x","")</f>
        <v/>
      </c>
      <c r="C26" s="185" t="s">
        <v>153</v>
      </c>
      <c r="D26" s="185" t="s">
        <v>150</v>
      </c>
      <c r="E26" s="69">
        <v>41335</v>
      </c>
      <c r="F26" s="61" t="s">
        <v>338</v>
      </c>
      <c r="G26" s="460" t="s">
        <v>158</v>
      </c>
      <c r="H26" s="189" t="s">
        <v>90</v>
      </c>
      <c r="I26" s="56" t="s">
        <v>108</v>
      </c>
      <c r="J26" s="15">
        <v>34200</v>
      </c>
      <c r="K26" s="15">
        <v>0</v>
      </c>
      <c r="L26" s="15">
        <v>0</v>
      </c>
      <c r="M26" s="15">
        <v>90</v>
      </c>
      <c r="N26" s="15">
        <v>3078000</v>
      </c>
      <c r="O26" s="15" t="str">
        <f>IF(AND(A26='BANG KE NL'!$M$11,TH!C26="NL",LEFT(D26,1)="N"),"x","")</f>
        <v/>
      </c>
    </row>
    <row r="27" spans="1:15" hidden="1">
      <c r="A27" s="24">
        <f t="shared" si="3"/>
        <v>4</v>
      </c>
      <c r="B27" s="188" t="str">
        <f>IF(AND(MONTH(E27)='IN-NX'!$J$5,'IN-NX'!$D$7=(D27&amp;"/"&amp;C27)),"x","")</f>
        <v/>
      </c>
      <c r="C27" s="185" t="s">
        <v>153</v>
      </c>
      <c r="D27" s="185" t="s">
        <v>149</v>
      </c>
      <c r="E27" s="69">
        <v>41365</v>
      </c>
      <c r="F27" s="61" t="s">
        <v>338</v>
      </c>
      <c r="G27" s="460" t="s">
        <v>158</v>
      </c>
      <c r="H27" s="189" t="s">
        <v>90</v>
      </c>
      <c r="I27" s="56" t="s">
        <v>108</v>
      </c>
      <c r="J27" s="15">
        <v>34200</v>
      </c>
      <c r="K27" s="15">
        <v>0</v>
      </c>
      <c r="L27" s="15">
        <v>0</v>
      </c>
      <c r="M27" s="15">
        <v>135</v>
      </c>
      <c r="N27" s="15">
        <v>4617000</v>
      </c>
      <c r="O27" s="15" t="str">
        <f>IF(AND(A27='BANG KE NL'!$M$11,TH!C27="NL",LEFT(D27,1)="N"),"x","")</f>
        <v/>
      </c>
    </row>
    <row r="28" spans="1:15" hidden="1">
      <c r="A28" s="24">
        <f t="shared" si="3"/>
        <v>5</v>
      </c>
      <c r="B28" s="188" t="str">
        <f>IF(AND(MONTH(E28)='IN-NX'!$J$5,'IN-NX'!$D$7=(D28&amp;"/"&amp;C28)),"x","")</f>
        <v/>
      </c>
      <c r="C28" s="185" t="s">
        <v>153</v>
      </c>
      <c r="D28" s="185" t="s">
        <v>149</v>
      </c>
      <c r="E28" s="69">
        <v>41397</v>
      </c>
      <c r="F28" s="61" t="s">
        <v>338</v>
      </c>
      <c r="G28" s="460" t="s">
        <v>158</v>
      </c>
      <c r="H28" s="189" t="s">
        <v>90</v>
      </c>
      <c r="I28" s="56" t="s">
        <v>108</v>
      </c>
      <c r="J28" s="15">
        <v>34200</v>
      </c>
      <c r="K28" s="15">
        <v>0</v>
      </c>
      <c r="L28" s="15">
        <v>0</v>
      </c>
      <c r="M28" s="15">
        <v>115</v>
      </c>
      <c r="N28" s="15">
        <v>3933000</v>
      </c>
      <c r="O28" s="15" t="str">
        <f>IF(AND(A28='BANG KE NL'!$M$11,TH!C28="NL",LEFT(D28,1)="N"),"x","")</f>
        <v/>
      </c>
    </row>
    <row r="29" spans="1:15" hidden="1">
      <c r="A29" s="24">
        <f t="shared" si="3"/>
        <v>6</v>
      </c>
      <c r="B29" s="188" t="str">
        <f>IF(AND(MONTH(E29)='IN-NX'!$J$5,'IN-NX'!$D$7=(D29&amp;"/"&amp;C29)),"x","")</f>
        <v/>
      </c>
      <c r="C29" s="185" t="s">
        <v>153</v>
      </c>
      <c r="D29" s="185" t="s">
        <v>149</v>
      </c>
      <c r="E29" s="69">
        <v>41427</v>
      </c>
      <c r="F29" s="61" t="s">
        <v>338</v>
      </c>
      <c r="G29" s="460" t="s">
        <v>158</v>
      </c>
      <c r="H29" s="189" t="s">
        <v>90</v>
      </c>
      <c r="I29" s="56" t="s">
        <v>108</v>
      </c>
      <c r="J29" s="15">
        <v>34200</v>
      </c>
      <c r="K29" s="15">
        <v>0</v>
      </c>
      <c r="L29" s="15">
        <v>0</v>
      </c>
      <c r="M29" s="15">
        <v>30</v>
      </c>
      <c r="N29" s="15">
        <v>1026000</v>
      </c>
      <c r="O29" s="15" t="str">
        <f>IF(AND(A29='BANG KE NL'!$M$11,TH!C29="NL",LEFT(D29,1)="N"),"x","")</f>
        <v/>
      </c>
    </row>
    <row r="30" spans="1:15" hidden="1">
      <c r="A30" s="24">
        <f t="shared" si="3"/>
        <v>7</v>
      </c>
      <c r="B30" s="188" t="str">
        <f>IF(AND(MONTH(E30)='IN-NX'!$J$5,'IN-NX'!$D$7=(D30&amp;"/"&amp;C30)),"x","")</f>
        <v/>
      </c>
      <c r="C30" s="185" t="s">
        <v>153</v>
      </c>
      <c r="D30" s="185" t="s">
        <v>150</v>
      </c>
      <c r="E30" s="69">
        <v>41458</v>
      </c>
      <c r="F30" s="61" t="s">
        <v>338</v>
      </c>
      <c r="G30" s="460" t="s">
        <v>158</v>
      </c>
      <c r="H30" s="189" t="s">
        <v>90</v>
      </c>
      <c r="I30" s="56" t="s">
        <v>108</v>
      </c>
      <c r="J30" s="15">
        <v>34200</v>
      </c>
      <c r="K30" s="15">
        <v>0</v>
      </c>
      <c r="L30" s="15">
        <v>0</v>
      </c>
      <c r="M30" s="15">
        <v>40</v>
      </c>
      <c r="N30" s="15">
        <v>1368000</v>
      </c>
      <c r="O30" s="15" t="str">
        <f>IF(AND(A30='BANG KE NL'!$M$11,TH!C30="NL",LEFT(D30,1)="N"),"x","")</f>
        <v/>
      </c>
    </row>
    <row r="31" spans="1:15" hidden="1">
      <c r="A31" s="24">
        <f t="shared" si="3"/>
        <v>8</v>
      </c>
      <c r="B31" s="188" t="str">
        <f>IF(AND(MONTH(E31)='IN-NX'!$J$5,'IN-NX'!$D$7=(D31&amp;"/"&amp;C31)),"x","")</f>
        <v/>
      </c>
      <c r="C31" s="185" t="s">
        <v>153</v>
      </c>
      <c r="D31" s="185" t="s">
        <v>161</v>
      </c>
      <c r="E31" s="69">
        <v>41509</v>
      </c>
      <c r="F31" s="61" t="s">
        <v>338</v>
      </c>
      <c r="G31" s="61" t="s">
        <v>292</v>
      </c>
      <c r="H31" s="189" t="s">
        <v>108</v>
      </c>
      <c r="I31" s="56" t="s">
        <v>93</v>
      </c>
      <c r="J31" s="15">
        <v>32728</v>
      </c>
      <c r="K31" s="15">
        <v>500</v>
      </c>
      <c r="L31" s="15">
        <v>16364000</v>
      </c>
      <c r="M31" s="15">
        <v>0</v>
      </c>
      <c r="N31" s="15">
        <v>0</v>
      </c>
      <c r="O31" s="15" t="str">
        <f>IF(AND(A31='BANG KE NL'!$M$11,TH!C31="NL",LEFT(D31,1)="N"),"x","")</f>
        <v/>
      </c>
    </row>
    <row r="32" spans="1:15" hidden="1">
      <c r="A32" s="24">
        <f t="shared" si="3"/>
        <v>8</v>
      </c>
      <c r="B32" s="188" t="str">
        <f>IF(AND(MONTH(E32)='IN-NX'!$J$5,'IN-NX'!$D$7=(D32&amp;"/"&amp;C32)),"x","")</f>
        <v/>
      </c>
      <c r="C32" s="185" t="s">
        <v>153</v>
      </c>
      <c r="D32" s="185" t="s">
        <v>197</v>
      </c>
      <c r="E32" s="69">
        <v>41509</v>
      </c>
      <c r="F32" s="61" t="s">
        <v>338</v>
      </c>
      <c r="G32" s="460" t="s">
        <v>158</v>
      </c>
      <c r="H32" s="189" t="s">
        <v>90</v>
      </c>
      <c r="I32" s="56" t="s">
        <v>108</v>
      </c>
      <c r="J32" s="15">
        <v>32784.615384615383</v>
      </c>
      <c r="K32" s="15">
        <v>0</v>
      </c>
      <c r="L32" s="15">
        <v>0</v>
      </c>
      <c r="M32" s="15">
        <v>520</v>
      </c>
      <c r="N32" s="15">
        <v>17048000</v>
      </c>
      <c r="O32" s="15" t="str">
        <f>IF(AND(A32='BANG KE NL'!$M$11,TH!C32="NL",LEFT(D32,1)="N"),"x","")</f>
        <v/>
      </c>
    </row>
    <row r="33" spans="1:15" hidden="1">
      <c r="A33" s="24">
        <f t="shared" si="3"/>
        <v>8</v>
      </c>
      <c r="B33" s="188" t="str">
        <f>IF(AND(MONTH(E33)='IN-NX'!$J$5,'IN-NX'!$D$7=(D33&amp;"/"&amp;C33)),"x","")</f>
        <v/>
      </c>
      <c r="C33" s="185" t="s">
        <v>153</v>
      </c>
      <c r="D33" s="185" t="s">
        <v>163</v>
      </c>
      <c r="E33" s="69">
        <v>41510</v>
      </c>
      <c r="F33" s="61" t="s">
        <v>338</v>
      </c>
      <c r="G33" s="61" t="s">
        <v>292</v>
      </c>
      <c r="H33" s="189" t="s">
        <v>108</v>
      </c>
      <c r="I33" s="56" t="s">
        <v>93</v>
      </c>
      <c r="J33" s="15">
        <v>32728</v>
      </c>
      <c r="K33" s="15">
        <v>500</v>
      </c>
      <c r="L33" s="15">
        <v>16364000</v>
      </c>
      <c r="M33" s="15">
        <v>0</v>
      </c>
      <c r="N33" s="15">
        <v>0</v>
      </c>
      <c r="O33" s="15" t="str">
        <f>IF(AND(A33='BANG KE NL'!$M$11,TH!C33="NL",LEFT(D33,1)="N"),"x","")</f>
        <v/>
      </c>
    </row>
    <row r="34" spans="1:15" hidden="1">
      <c r="A34" s="24">
        <f t="shared" si="3"/>
        <v>8</v>
      </c>
      <c r="B34" s="188" t="str">
        <f>IF(AND(MONTH(E34)='IN-NX'!$J$5,'IN-NX'!$D$7=(D34&amp;"/"&amp;C34)),"x","")</f>
        <v/>
      </c>
      <c r="C34" s="185" t="s">
        <v>153</v>
      </c>
      <c r="D34" s="185" t="s">
        <v>164</v>
      </c>
      <c r="E34" s="69">
        <v>41513</v>
      </c>
      <c r="F34" s="61" t="s">
        <v>338</v>
      </c>
      <c r="G34" s="61" t="s">
        <v>292</v>
      </c>
      <c r="H34" s="189" t="s">
        <v>108</v>
      </c>
      <c r="I34" s="56" t="s">
        <v>93</v>
      </c>
      <c r="J34" s="15">
        <v>32728</v>
      </c>
      <c r="K34" s="15">
        <v>500</v>
      </c>
      <c r="L34" s="15">
        <v>16364000</v>
      </c>
      <c r="M34" s="15">
        <v>0</v>
      </c>
      <c r="N34" s="15">
        <v>0</v>
      </c>
      <c r="O34" s="15" t="str">
        <f>IF(AND(A34='BANG KE NL'!$M$11,TH!C34="NL",LEFT(D34,1)="N"),"x","")</f>
        <v/>
      </c>
    </row>
    <row r="35" spans="1:15" hidden="1">
      <c r="A35" s="24">
        <f t="shared" si="3"/>
        <v>8</v>
      </c>
      <c r="B35" s="188" t="str">
        <f>IF(AND(MONTH(E35)='IN-NX'!$J$5,'IN-NX'!$D$7=(D35&amp;"/"&amp;C35)),"x","")</f>
        <v/>
      </c>
      <c r="C35" s="185" t="s">
        <v>153</v>
      </c>
      <c r="D35" s="185" t="s">
        <v>165</v>
      </c>
      <c r="E35" s="69">
        <v>41515</v>
      </c>
      <c r="F35" s="61" t="s">
        <v>338</v>
      </c>
      <c r="G35" s="61" t="s">
        <v>292</v>
      </c>
      <c r="H35" s="189" t="s">
        <v>108</v>
      </c>
      <c r="I35" s="56" t="s">
        <v>93</v>
      </c>
      <c r="J35" s="15">
        <v>32728</v>
      </c>
      <c r="K35" s="15">
        <v>500</v>
      </c>
      <c r="L35" s="15">
        <v>16364000</v>
      </c>
      <c r="M35" s="15">
        <v>0</v>
      </c>
      <c r="N35" s="15">
        <v>0</v>
      </c>
      <c r="O35" s="15" t="str">
        <f>IF(AND(A35='BANG KE NL'!$M$11,TH!C35="NL",LEFT(D35,1)="N"),"x","")</f>
        <v/>
      </c>
    </row>
    <row r="36" spans="1:15" hidden="1">
      <c r="A36" s="24">
        <f t="shared" si="3"/>
        <v>9</v>
      </c>
      <c r="B36" s="188" t="str">
        <f>IF(AND(MONTH(E36)='IN-NX'!$J$5,'IN-NX'!$D$7=(D36&amp;"/"&amp;C36)),"x","")</f>
        <v/>
      </c>
      <c r="C36" s="185" t="s">
        <v>153</v>
      </c>
      <c r="D36" s="185" t="s">
        <v>150</v>
      </c>
      <c r="E36" s="69">
        <v>41521</v>
      </c>
      <c r="F36" s="61" t="s">
        <v>338</v>
      </c>
      <c r="G36" s="460" t="s">
        <v>158</v>
      </c>
      <c r="H36" s="189" t="s">
        <v>90</v>
      </c>
      <c r="I36" s="56" t="s">
        <v>108</v>
      </c>
      <c r="J36" s="15">
        <v>32728</v>
      </c>
      <c r="K36" s="15">
        <v>0</v>
      </c>
      <c r="L36" s="15">
        <v>0</v>
      </c>
      <c r="M36" s="15">
        <v>500</v>
      </c>
      <c r="N36" s="15">
        <v>16364000</v>
      </c>
      <c r="O36" s="15" t="str">
        <f>IF(AND(A36='BANG KE NL'!$M$11,TH!C36="NL",LEFT(D36,1)="N"),"x","")</f>
        <v/>
      </c>
    </row>
    <row r="37" spans="1:15" hidden="1">
      <c r="A37" s="24">
        <f t="shared" si="3"/>
        <v>10</v>
      </c>
      <c r="B37" s="188" t="str">
        <f>IF(AND(MONTH(E37)='IN-NX'!$J$5,'IN-NX'!$D$7=(D37&amp;"/"&amp;C37)),"x","")</f>
        <v/>
      </c>
      <c r="C37" s="185" t="s">
        <v>153</v>
      </c>
      <c r="D37" s="185" t="s">
        <v>149</v>
      </c>
      <c r="E37" s="69">
        <v>41551</v>
      </c>
      <c r="F37" s="61" t="s">
        <v>338</v>
      </c>
      <c r="G37" s="460" t="s">
        <v>158</v>
      </c>
      <c r="H37" s="189" t="s">
        <v>90</v>
      </c>
      <c r="I37" s="56" t="s">
        <v>108</v>
      </c>
      <c r="J37" s="15">
        <v>32728</v>
      </c>
      <c r="K37" s="15">
        <v>0</v>
      </c>
      <c r="L37" s="15">
        <v>0</v>
      </c>
      <c r="M37" s="15">
        <v>500</v>
      </c>
      <c r="N37" s="15">
        <v>16364000</v>
      </c>
      <c r="O37" s="15" t="str">
        <f>IF(AND(A37='BANG KE NL'!$M$11,TH!C37="NL",LEFT(D37,1)="N"),"x","")</f>
        <v/>
      </c>
    </row>
    <row r="38" spans="1:15" hidden="1">
      <c r="A38" s="24">
        <f t="shared" si="3"/>
        <v>11</v>
      </c>
      <c r="B38" s="188" t="str">
        <f>IF(AND(MONTH(E38)='IN-NX'!$J$5,'IN-NX'!$D$7=(D38&amp;"/"&amp;C38)),"x","")</f>
        <v/>
      </c>
      <c r="C38" s="185" t="s">
        <v>153</v>
      </c>
      <c r="D38" s="185" t="s">
        <v>143</v>
      </c>
      <c r="E38" s="69">
        <v>41579</v>
      </c>
      <c r="F38" s="61" t="s">
        <v>338</v>
      </c>
      <c r="G38" s="61" t="s">
        <v>292</v>
      </c>
      <c r="H38" s="189" t="s">
        <v>108</v>
      </c>
      <c r="I38" s="56" t="s">
        <v>93</v>
      </c>
      <c r="J38" s="15">
        <v>32728</v>
      </c>
      <c r="K38" s="15">
        <v>500</v>
      </c>
      <c r="L38" s="15">
        <v>16364000</v>
      </c>
      <c r="M38" s="15">
        <v>0</v>
      </c>
      <c r="N38" s="15">
        <v>0</v>
      </c>
      <c r="O38" s="15" t="str">
        <f>IF(AND(A38='BANG KE NL'!$M$11,TH!C38="NL",LEFT(D38,1)="N"),"x","")</f>
        <v/>
      </c>
    </row>
    <row r="39" spans="1:15" hidden="1">
      <c r="A39" s="24">
        <f t="shared" si="3"/>
        <v>11</v>
      </c>
      <c r="B39" s="188" t="str">
        <f>IF(AND(MONTH(E39)='IN-NX'!$J$5,'IN-NX'!$D$7=(D39&amp;"/"&amp;C39)),"x","")</f>
        <v/>
      </c>
      <c r="C39" s="185" t="s">
        <v>153</v>
      </c>
      <c r="D39" s="185" t="s">
        <v>144</v>
      </c>
      <c r="E39" s="69">
        <v>41579</v>
      </c>
      <c r="F39" s="61" t="s">
        <v>338</v>
      </c>
      <c r="G39" s="61" t="s">
        <v>292</v>
      </c>
      <c r="H39" s="189" t="s">
        <v>108</v>
      </c>
      <c r="I39" s="56" t="s">
        <v>93</v>
      </c>
      <c r="J39" s="15">
        <v>32728</v>
      </c>
      <c r="K39" s="15">
        <v>500</v>
      </c>
      <c r="L39" s="15">
        <v>16364000</v>
      </c>
      <c r="M39" s="15">
        <v>0</v>
      </c>
      <c r="N39" s="15">
        <v>0</v>
      </c>
      <c r="O39" s="15" t="str">
        <f>IF(AND(A39='BANG KE NL'!$M$11,TH!C39="NL",LEFT(D39,1)="N"),"x","")</f>
        <v/>
      </c>
    </row>
    <row r="40" spans="1:15" hidden="1">
      <c r="A40" s="24">
        <f t="shared" si="3"/>
        <v>11</v>
      </c>
      <c r="B40" s="188" t="str">
        <f>IF(AND(MONTH(E40)='IN-NX'!$J$5,'IN-NX'!$D$7=(D40&amp;"/"&amp;C40)),"x","")</f>
        <v/>
      </c>
      <c r="C40" s="185" t="s">
        <v>153</v>
      </c>
      <c r="D40" s="185" t="s">
        <v>145</v>
      </c>
      <c r="E40" s="69">
        <v>41579</v>
      </c>
      <c r="F40" s="61" t="s">
        <v>338</v>
      </c>
      <c r="G40" s="61" t="s">
        <v>292</v>
      </c>
      <c r="H40" s="189" t="s">
        <v>108</v>
      </c>
      <c r="I40" s="56" t="s">
        <v>93</v>
      </c>
      <c r="J40" s="15">
        <v>32728</v>
      </c>
      <c r="K40" s="15">
        <v>500</v>
      </c>
      <c r="L40" s="15">
        <v>16364000</v>
      </c>
      <c r="M40" s="15">
        <v>0</v>
      </c>
      <c r="N40" s="15">
        <v>0</v>
      </c>
      <c r="O40" s="15" t="str">
        <f>IF(AND(A40='BANG KE NL'!$M$11,TH!C40="NL",LEFT(D40,1)="N"),"x","")</f>
        <v/>
      </c>
    </row>
    <row r="41" spans="1:15" hidden="1">
      <c r="A41" s="24">
        <f t="shared" si="3"/>
        <v>11</v>
      </c>
      <c r="B41" s="188" t="str">
        <f>IF(AND(MONTH(E41)='IN-NX'!$J$5,'IN-NX'!$D$7=(D41&amp;"/"&amp;C41)),"x","")</f>
        <v/>
      </c>
      <c r="C41" s="185" t="s">
        <v>153</v>
      </c>
      <c r="D41" s="185" t="s">
        <v>146</v>
      </c>
      <c r="E41" s="69">
        <v>41579</v>
      </c>
      <c r="F41" s="61" t="s">
        <v>338</v>
      </c>
      <c r="G41" s="61" t="s">
        <v>292</v>
      </c>
      <c r="H41" s="189" t="s">
        <v>108</v>
      </c>
      <c r="I41" s="56" t="s">
        <v>93</v>
      </c>
      <c r="J41" s="15">
        <v>32728</v>
      </c>
      <c r="K41" s="15">
        <v>500</v>
      </c>
      <c r="L41" s="15">
        <v>16364000</v>
      </c>
      <c r="M41" s="15">
        <v>0</v>
      </c>
      <c r="N41" s="15">
        <v>0</v>
      </c>
      <c r="O41" s="15" t="str">
        <f>IF(AND(A41='BANG KE NL'!$M$11,TH!C41="NL",LEFT(D41,1)="N"),"x","")</f>
        <v/>
      </c>
    </row>
    <row r="42" spans="1:15" hidden="1">
      <c r="A42" s="24">
        <f t="shared" si="3"/>
        <v>11</v>
      </c>
      <c r="B42" s="188" t="str">
        <f>IF(AND(MONTH(E42)='IN-NX'!$J$5,'IN-NX'!$D$7=(D42&amp;"/"&amp;C42)),"x","")</f>
        <v/>
      </c>
      <c r="C42" s="185" t="s">
        <v>153</v>
      </c>
      <c r="D42" s="185" t="s">
        <v>149</v>
      </c>
      <c r="E42" s="69">
        <v>41579</v>
      </c>
      <c r="F42" s="61" t="s">
        <v>338</v>
      </c>
      <c r="G42" s="460" t="s">
        <v>158</v>
      </c>
      <c r="H42" s="189" t="s">
        <v>90</v>
      </c>
      <c r="I42" s="56" t="s">
        <v>108</v>
      </c>
      <c r="J42" s="15">
        <v>32728</v>
      </c>
      <c r="K42" s="15">
        <v>0</v>
      </c>
      <c r="L42" s="15">
        <v>0</v>
      </c>
      <c r="M42" s="15">
        <v>500</v>
      </c>
      <c r="N42" s="15">
        <v>16364000</v>
      </c>
      <c r="O42" s="15" t="str">
        <f>IF(AND(A42='BANG KE NL'!$M$11,TH!C42="NL",LEFT(D42,1)="N"),"x","")</f>
        <v/>
      </c>
    </row>
    <row r="43" spans="1:15">
      <c r="A43" s="24">
        <f t="shared" si="3"/>
        <v>12</v>
      </c>
      <c r="B43" s="188" t="str">
        <f>IF(AND(MONTH(E43)='IN-NX'!$J$5,'IN-NX'!$D$7=(D43&amp;"/"&amp;C43)),"x","")</f>
        <v/>
      </c>
      <c r="C43" s="185" t="s">
        <v>153</v>
      </c>
      <c r="D43" s="185" t="s">
        <v>149</v>
      </c>
      <c r="E43" s="69">
        <v>41610</v>
      </c>
      <c r="F43" s="61" t="s">
        <v>338</v>
      </c>
      <c r="G43" s="460" t="s">
        <v>158</v>
      </c>
      <c r="H43" s="189" t="s">
        <v>90</v>
      </c>
      <c r="I43" s="56" t="s">
        <v>108</v>
      </c>
      <c r="J43" s="15">
        <v>32728</v>
      </c>
      <c r="K43" s="15">
        <v>0</v>
      </c>
      <c r="L43" s="15">
        <v>0</v>
      </c>
      <c r="M43" s="15">
        <v>700</v>
      </c>
      <c r="N43" s="15">
        <v>22909600</v>
      </c>
      <c r="O43" s="15" t="str">
        <f>IF(AND(A43='BANG KE NL'!$M$11,TH!C43="NL",LEFT(D43,1)="N"),"x","")</f>
        <v/>
      </c>
    </row>
    <row r="44" spans="1:15" hidden="1">
      <c r="A44" s="24">
        <f t="shared" si="3"/>
        <v>9</v>
      </c>
      <c r="B44" s="188" t="str">
        <f>IF(AND(MONTH(E44)='IN-NX'!$J$5,'IN-NX'!$D$7=(D44&amp;"/"&amp;C44)),"x","")</f>
        <v/>
      </c>
      <c r="C44" s="185" t="s">
        <v>153</v>
      </c>
      <c r="D44" s="185" t="s">
        <v>145</v>
      </c>
      <c r="E44" s="69">
        <v>41522</v>
      </c>
      <c r="F44" s="61" t="s">
        <v>341</v>
      </c>
      <c r="G44" s="61" t="s">
        <v>113</v>
      </c>
      <c r="H44" s="189" t="s">
        <v>108</v>
      </c>
      <c r="I44" s="56" t="s">
        <v>93</v>
      </c>
      <c r="J44" s="15">
        <v>14461.73</v>
      </c>
      <c r="K44" s="15">
        <v>300</v>
      </c>
      <c r="L44" s="15">
        <v>4338519</v>
      </c>
      <c r="M44" s="15">
        <v>0</v>
      </c>
      <c r="N44" s="15">
        <v>0</v>
      </c>
      <c r="O44" s="15" t="str">
        <f>IF(AND(A44='BANG KE NL'!$M$11,TH!C44="NL",LEFT(D44,1)="N"),"x","")</f>
        <v/>
      </c>
    </row>
    <row r="45" spans="1:15" hidden="1">
      <c r="A45" s="24">
        <f t="shared" si="3"/>
        <v>9</v>
      </c>
      <c r="B45" s="188" t="str">
        <f>IF(AND(MONTH(E45)='IN-NX'!$J$5,'IN-NX'!$D$7=(D45&amp;"/"&amp;C45)),"x","")</f>
        <v/>
      </c>
      <c r="C45" s="185" t="s">
        <v>153</v>
      </c>
      <c r="D45" s="185" t="s">
        <v>151</v>
      </c>
      <c r="E45" s="69">
        <v>41523</v>
      </c>
      <c r="F45" s="61" t="s">
        <v>341</v>
      </c>
      <c r="G45" s="460" t="s">
        <v>158</v>
      </c>
      <c r="H45" s="189" t="s">
        <v>90</v>
      </c>
      <c r="I45" s="56" t="s">
        <v>108</v>
      </c>
      <c r="J45" s="15">
        <v>14461.73</v>
      </c>
      <c r="K45" s="15">
        <v>0</v>
      </c>
      <c r="L45" s="15">
        <v>0</v>
      </c>
      <c r="M45" s="15">
        <v>300</v>
      </c>
      <c r="N45" s="15">
        <v>4338519</v>
      </c>
      <c r="O45" s="15" t="str">
        <f>IF(AND(A45='BANG KE NL'!$M$11,TH!C45="NL",LEFT(D45,1)="N"),"x","")</f>
        <v/>
      </c>
    </row>
    <row r="46" spans="1:15" hidden="1">
      <c r="A46" s="24">
        <f t="shared" si="3"/>
        <v>11</v>
      </c>
      <c r="B46" s="188" t="str">
        <f>IF(AND(MONTH(E46)='IN-NX'!$J$5,'IN-NX'!$D$7=(D46&amp;"/"&amp;C46)),"x","")</f>
        <v/>
      </c>
      <c r="C46" s="185" t="s">
        <v>153</v>
      </c>
      <c r="D46" s="185" t="s">
        <v>147</v>
      </c>
      <c r="E46" s="69">
        <v>41583</v>
      </c>
      <c r="F46" s="61" t="s">
        <v>341</v>
      </c>
      <c r="G46" s="61" t="s">
        <v>113</v>
      </c>
      <c r="H46" s="189" t="s">
        <v>108</v>
      </c>
      <c r="I46" s="56" t="s">
        <v>93</v>
      </c>
      <c r="J46" s="15">
        <v>14461.723076923077</v>
      </c>
      <c r="K46" s="15">
        <v>65</v>
      </c>
      <c r="L46" s="15">
        <v>940012</v>
      </c>
      <c r="M46" s="15">
        <v>0</v>
      </c>
      <c r="N46" s="15">
        <v>0</v>
      </c>
      <c r="O46" s="15" t="str">
        <f>IF(AND(A46='BANG KE NL'!$M$11,TH!C46="NL",LEFT(D46,1)="N"),"x","")</f>
        <v/>
      </c>
    </row>
    <row r="47" spans="1:15" hidden="1">
      <c r="A47" s="24">
        <f t="shared" si="3"/>
        <v>11</v>
      </c>
      <c r="B47" s="188" t="str">
        <f>IF(AND(MONTH(E47)='IN-NX'!$J$5,'IN-NX'!$D$7=(D47&amp;"/"&amp;C47)),"x","")</f>
        <v/>
      </c>
      <c r="C47" s="185" t="s">
        <v>153</v>
      </c>
      <c r="D47" s="185" t="s">
        <v>152</v>
      </c>
      <c r="E47" s="69">
        <v>41584</v>
      </c>
      <c r="F47" s="61" t="s">
        <v>341</v>
      </c>
      <c r="G47" s="460" t="s">
        <v>158</v>
      </c>
      <c r="H47" s="189" t="s">
        <v>90</v>
      </c>
      <c r="I47" s="56" t="s">
        <v>108</v>
      </c>
      <c r="J47" s="15">
        <v>14461.723076923077</v>
      </c>
      <c r="K47" s="15">
        <v>0</v>
      </c>
      <c r="L47" s="15">
        <v>0</v>
      </c>
      <c r="M47" s="15">
        <v>65</v>
      </c>
      <c r="N47" s="15">
        <v>940012</v>
      </c>
      <c r="O47" s="15" t="str">
        <f>IF(AND(A47='BANG KE NL'!$M$11,TH!C47="NL",LEFT(D47,1)="N"),"x","")</f>
        <v/>
      </c>
    </row>
    <row r="48" spans="1:15" hidden="1">
      <c r="A48" s="24">
        <f t="shared" si="3"/>
        <v>11</v>
      </c>
      <c r="B48" s="188" t="str">
        <f>IF(AND(MONTH(E48)='IN-NX'!$J$5,'IN-NX'!$D$7=(D48&amp;"/"&amp;C48)),"x","")</f>
        <v/>
      </c>
      <c r="C48" s="185" t="s">
        <v>153</v>
      </c>
      <c r="D48" s="185" t="s">
        <v>161</v>
      </c>
      <c r="E48" s="69">
        <v>41585</v>
      </c>
      <c r="F48" s="61" t="s">
        <v>341</v>
      </c>
      <c r="G48" s="61" t="s">
        <v>113</v>
      </c>
      <c r="H48" s="189" t="s">
        <v>108</v>
      </c>
      <c r="I48" s="56" t="s">
        <v>93</v>
      </c>
      <c r="J48" s="67">
        <v>14461.731428571429</v>
      </c>
      <c r="K48" s="67">
        <v>175</v>
      </c>
      <c r="L48" s="15">
        <v>2530803</v>
      </c>
      <c r="M48" s="15">
        <v>0</v>
      </c>
      <c r="N48" s="15">
        <v>0</v>
      </c>
      <c r="O48" s="15" t="str">
        <f>IF(AND(A48='BANG KE NL'!$M$11,TH!C48="NL",LEFT(D48,1)="N"),"x","")</f>
        <v/>
      </c>
    </row>
    <row r="49" spans="1:15" hidden="1">
      <c r="A49" s="24">
        <f t="shared" si="3"/>
        <v>11</v>
      </c>
      <c r="B49" s="188" t="str">
        <f>IF(AND(MONTH(E49)='IN-NX'!$J$5,'IN-NX'!$D$7=(D49&amp;"/"&amp;C49)),"x","")</f>
        <v/>
      </c>
      <c r="C49" s="185" t="s">
        <v>153</v>
      </c>
      <c r="D49" s="185" t="s">
        <v>197</v>
      </c>
      <c r="E49" s="69">
        <v>41586</v>
      </c>
      <c r="F49" s="61" t="s">
        <v>341</v>
      </c>
      <c r="G49" s="460" t="s">
        <v>158</v>
      </c>
      <c r="H49" s="189" t="s">
        <v>90</v>
      </c>
      <c r="I49" s="56" t="s">
        <v>108</v>
      </c>
      <c r="J49" s="15">
        <v>14461.731428571429</v>
      </c>
      <c r="K49" s="15">
        <v>0</v>
      </c>
      <c r="L49" s="15">
        <v>0</v>
      </c>
      <c r="M49" s="67">
        <v>175</v>
      </c>
      <c r="N49" s="15">
        <v>2530803</v>
      </c>
      <c r="O49" s="15" t="str">
        <f>IF(AND(A49='BANG KE NL'!$M$11,TH!C49="NL",LEFT(D49,1)="N"),"x","")</f>
        <v/>
      </c>
    </row>
    <row r="50" spans="1:15" hidden="1">
      <c r="A50" s="24">
        <f t="shared" si="3"/>
        <v>12</v>
      </c>
      <c r="B50" s="188" t="str">
        <f>IF(AND(MONTH(E50)='IN-NX'!$J$5,'IN-NX'!$D$7=(D50&amp;"/"&amp;C50)),"x","")</f>
        <v/>
      </c>
      <c r="C50" s="185" t="s">
        <v>153</v>
      </c>
      <c r="D50" s="185" t="s">
        <v>145</v>
      </c>
      <c r="E50" s="69">
        <v>41632</v>
      </c>
      <c r="F50" s="61" t="s">
        <v>56</v>
      </c>
      <c r="G50" s="61" t="s">
        <v>113</v>
      </c>
      <c r="H50" s="189" t="s">
        <v>108</v>
      </c>
      <c r="I50" s="56" t="s">
        <v>93</v>
      </c>
      <c r="J50" s="67">
        <v>19154.099999999999</v>
      </c>
      <c r="K50" s="67">
        <v>200</v>
      </c>
      <c r="L50" s="15">
        <v>3830820</v>
      </c>
      <c r="M50" s="15">
        <v>0</v>
      </c>
      <c r="N50" s="15">
        <v>0</v>
      </c>
      <c r="O50" s="15" t="str">
        <f>IF(AND(A50='BANG KE NL'!$M$11,TH!C50="NL",LEFT(D50,1)="N"),"x","")</f>
        <v/>
      </c>
    </row>
    <row r="51" spans="1:15">
      <c r="A51" s="24">
        <f t="shared" si="3"/>
        <v>12</v>
      </c>
      <c r="B51" s="188" t="str">
        <f>IF(AND(MONTH(E51)='IN-NX'!$J$5,'IN-NX'!$D$7=(D51&amp;"/"&amp;C51)),"x","")</f>
        <v/>
      </c>
      <c r="C51" s="185" t="s">
        <v>153</v>
      </c>
      <c r="D51" s="185" t="s">
        <v>197</v>
      </c>
      <c r="E51" s="69">
        <v>41633</v>
      </c>
      <c r="F51" s="61" t="s">
        <v>56</v>
      </c>
      <c r="G51" s="460" t="s">
        <v>158</v>
      </c>
      <c r="H51" s="189" t="s">
        <v>90</v>
      </c>
      <c r="I51" s="56" t="s">
        <v>108</v>
      </c>
      <c r="J51" s="15">
        <v>19154.099999999999</v>
      </c>
      <c r="K51" s="15">
        <v>0</v>
      </c>
      <c r="L51" s="15">
        <v>0</v>
      </c>
      <c r="M51" s="67">
        <v>200</v>
      </c>
      <c r="N51" s="15">
        <v>3830820</v>
      </c>
      <c r="O51" s="15" t="str">
        <f>IF(AND(A51='BANG KE NL'!$M$11,TH!C51="NL",LEFT(D51,1)="N"),"x","")</f>
        <v/>
      </c>
    </row>
    <row r="52" spans="1:15" hidden="1">
      <c r="A52" s="24">
        <f t="shared" si="3"/>
        <v>11</v>
      </c>
      <c r="B52" s="188" t="str">
        <f>IF(AND(MONTH(E52)='IN-NX'!$J$5,'IN-NX'!$D$7=(D52&amp;"/"&amp;C52)),"x","")</f>
        <v/>
      </c>
      <c r="C52" s="185" t="s">
        <v>153</v>
      </c>
      <c r="D52" s="185" t="s">
        <v>147</v>
      </c>
      <c r="E52" s="69">
        <v>41583</v>
      </c>
      <c r="F52" s="61" t="s">
        <v>342</v>
      </c>
      <c r="G52" s="61" t="s">
        <v>113</v>
      </c>
      <c r="H52" s="189" t="s">
        <v>108</v>
      </c>
      <c r="I52" s="56" t="s">
        <v>93</v>
      </c>
      <c r="J52" s="15">
        <v>35713.461538461539</v>
      </c>
      <c r="K52" s="15">
        <v>325</v>
      </c>
      <c r="L52" s="15">
        <v>11606875</v>
      </c>
      <c r="M52" s="15">
        <v>0</v>
      </c>
      <c r="N52" s="15">
        <v>0</v>
      </c>
      <c r="O52" s="15" t="str">
        <f>IF(AND(A52='BANG KE NL'!$M$11,TH!C52="NL",LEFT(D52,1)="N"),"x","")</f>
        <v/>
      </c>
    </row>
    <row r="53" spans="1:15" hidden="1">
      <c r="A53" s="24">
        <f t="shared" si="3"/>
        <v>11</v>
      </c>
      <c r="B53" s="188" t="str">
        <f>IF(AND(MONTH(E53)='IN-NX'!$J$5,'IN-NX'!$D$7=(D53&amp;"/"&amp;C53)),"x","")</f>
        <v/>
      </c>
      <c r="C53" s="185" t="s">
        <v>153</v>
      </c>
      <c r="D53" s="185" t="s">
        <v>152</v>
      </c>
      <c r="E53" s="69">
        <v>41584</v>
      </c>
      <c r="F53" s="61" t="s">
        <v>342</v>
      </c>
      <c r="G53" s="460" t="s">
        <v>158</v>
      </c>
      <c r="H53" s="189" t="s">
        <v>90</v>
      </c>
      <c r="I53" s="56" t="s">
        <v>108</v>
      </c>
      <c r="J53" s="15">
        <v>35713.461538461539</v>
      </c>
      <c r="K53" s="15">
        <v>0</v>
      </c>
      <c r="L53" s="15">
        <v>0</v>
      </c>
      <c r="M53" s="15">
        <v>325</v>
      </c>
      <c r="N53" s="15">
        <v>11606875</v>
      </c>
      <c r="O53" s="15" t="str">
        <f>IF(AND(A53='BANG KE NL'!$M$11,TH!C53="NL",LEFT(D53,1)="N"),"x","")</f>
        <v/>
      </c>
    </row>
    <row r="54" spans="1:15" hidden="1">
      <c r="A54" s="24">
        <f t="shared" si="3"/>
        <v>9</v>
      </c>
      <c r="B54" s="188" t="str">
        <f>IF(AND(MONTH(E54)='IN-NX'!$J$5,'IN-NX'!$D$7=(D54&amp;"/"&amp;C54)),"x","")</f>
        <v/>
      </c>
      <c r="C54" s="185" t="s">
        <v>153</v>
      </c>
      <c r="D54" s="185" t="s">
        <v>145</v>
      </c>
      <c r="E54" s="69">
        <v>41522</v>
      </c>
      <c r="F54" s="61" t="s">
        <v>343</v>
      </c>
      <c r="G54" s="61" t="s">
        <v>113</v>
      </c>
      <c r="H54" s="189" t="s">
        <v>108</v>
      </c>
      <c r="I54" s="56" t="s">
        <v>93</v>
      </c>
      <c r="J54" s="15">
        <v>4496.92</v>
      </c>
      <c r="K54" s="15">
        <v>300</v>
      </c>
      <c r="L54" s="15">
        <v>1349076</v>
      </c>
      <c r="M54" s="15">
        <v>0</v>
      </c>
      <c r="N54" s="15">
        <v>0</v>
      </c>
      <c r="O54" s="15" t="str">
        <f>IF(AND(A54='BANG KE NL'!$M$11,TH!C54="NL",LEFT(D54,1)="N"),"x","")</f>
        <v/>
      </c>
    </row>
    <row r="55" spans="1:15" hidden="1">
      <c r="A55" s="24">
        <f t="shared" si="3"/>
        <v>9</v>
      </c>
      <c r="B55" s="188" t="str">
        <f>IF(AND(MONTH(E55)='IN-NX'!$J$5,'IN-NX'!$D$7=(D55&amp;"/"&amp;C55)),"x","")</f>
        <v/>
      </c>
      <c r="C55" s="185" t="s">
        <v>153</v>
      </c>
      <c r="D55" s="185" t="s">
        <v>151</v>
      </c>
      <c r="E55" s="69">
        <v>41523</v>
      </c>
      <c r="F55" s="61" t="s">
        <v>343</v>
      </c>
      <c r="G55" s="460" t="s">
        <v>158</v>
      </c>
      <c r="H55" s="189" t="s">
        <v>90</v>
      </c>
      <c r="I55" s="56" t="s">
        <v>108</v>
      </c>
      <c r="J55" s="15">
        <v>4496.92</v>
      </c>
      <c r="K55" s="15">
        <v>0</v>
      </c>
      <c r="L55" s="15">
        <v>0</v>
      </c>
      <c r="M55" s="15">
        <v>300</v>
      </c>
      <c r="N55" s="15">
        <v>1349076</v>
      </c>
      <c r="O55" s="15" t="str">
        <f>IF(AND(A55='BANG KE NL'!$M$11,TH!C55="NL",LEFT(D55,1)="N"),"x","")</f>
        <v/>
      </c>
    </row>
    <row r="56" spans="1:15" hidden="1">
      <c r="A56" s="24">
        <f t="shared" si="3"/>
        <v>11</v>
      </c>
      <c r="B56" s="188" t="str">
        <f>IF(AND(MONTH(E56)='IN-NX'!$J$5,'IN-NX'!$D$7=(D56&amp;"/"&amp;C56)),"x","")</f>
        <v/>
      </c>
      <c r="C56" s="185" t="s">
        <v>153</v>
      </c>
      <c r="D56" s="185" t="s">
        <v>147</v>
      </c>
      <c r="E56" s="69">
        <v>41583</v>
      </c>
      <c r="F56" s="61" t="s">
        <v>343</v>
      </c>
      <c r="G56" s="61" t="s">
        <v>113</v>
      </c>
      <c r="H56" s="189" t="s">
        <v>108</v>
      </c>
      <c r="I56" s="56" t="s">
        <v>93</v>
      </c>
      <c r="J56" s="15">
        <v>4496.9230769230771</v>
      </c>
      <c r="K56" s="15">
        <v>65</v>
      </c>
      <c r="L56" s="15">
        <v>292300</v>
      </c>
      <c r="M56" s="15">
        <v>0</v>
      </c>
      <c r="N56" s="15">
        <v>0</v>
      </c>
      <c r="O56" s="15" t="str">
        <f>IF(AND(A56='BANG KE NL'!$M$11,TH!C56="NL",LEFT(D56,1)="N"),"x","")</f>
        <v/>
      </c>
    </row>
    <row r="57" spans="1:15" hidden="1">
      <c r="A57" s="24">
        <f t="shared" si="3"/>
        <v>11</v>
      </c>
      <c r="B57" s="188" t="str">
        <f>IF(AND(MONTH(E57)='IN-NX'!$J$5,'IN-NX'!$D$7=(D57&amp;"/"&amp;C57)),"x","")</f>
        <v/>
      </c>
      <c r="C57" s="185" t="s">
        <v>153</v>
      </c>
      <c r="D57" s="185" t="s">
        <v>152</v>
      </c>
      <c r="E57" s="69">
        <v>41584</v>
      </c>
      <c r="F57" s="61" t="s">
        <v>343</v>
      </c>
      <c r="G57" s="460" t="s">
        <v>158</v>
      </c>
      <c r="H57" s="189" t="s">
        <v>90</v>
      </c>
      <c r="I57" s="56" t="s">
        <v>108</v>
      </c>
      <c r="J57" s="15">
        <v>4496.9230769230771</v>
      </c>
      <c r="K57" s="15">
        <v>0</v>
      </c>
      <c r="L57" s="15">
        <v>0</v>
      </c>
      <c r="M57" s="15">
        <v>65</v>
      </c>
      <c r="N57" s="15">
        <v>292300</v>
      </c>
      <c r="O57" s="15" t="str">
        <f>IF(AND(A57='BANG KE NL'!$M$11,TH!C57="NL",LEFT(D57,1)="N"),"x","")</f>
        <v/>
      </c>
    </row>
    <row r="58" spans="1:15" hidden="1">
      <c r="A58" s="24">
        <f t="shared" si="3"/>
        <v>11</v>
      </c>
      <c r="B58" s="188" t="str">
        <f>IF(AND(MONTH(E58)='IN-NX'!$J$5,'IN-NX'!$D$7=(D58&amp;"/"&amp;C58)),"x","")</f>
        <v/>
      </c>
      <c r="C58" s="185" t="s">
        <v>153</v>
      </c>
      <c r="D58" s="185" t="s">
        <v>161</v>
      </c>
      <c r="E58" s="69">
        <v>41585</v>
      </c>
      <c r="F58" s="61" t="s">
        <v>343</v>
      </c>
      <c r="G58" s="61" t="s">
        <v>113</v>
      </c>
      <c r="H58" s="189" t="s">
        <v>108</v>
      </c>
      <c r="I58" s="56" t="s">
        <v>93</v>
      </c>
      <c r="J58" s="15">
        <v>4496.92</v>
      </c>
      <c r="K58" s="15">
        <v>175</v>
      </c>
      <c r="L58" s="15">
        <v>786961</v>
      </c>
      <c r="M58" s="15">
        <v>0</v>
      </c>
      <c r="N58" s="15">
        <v>0</v>
      </c>
      <c r="O58" s="15" t="str">
        <f>IF(AND(A58='BANG KE NL'!$M$11,TH!C58="NL",LEFT(D58,1)="N"),"x","")</f>
        <v/>
      </c>
    </row>
    <row r="59" spans="1:15" hidden="1">
      <c r="A59" s="24">
        <f t="shared" si="3"/>
        <v>11</v>
      </c>
      <c r="B59" s="188" t="str">
        <f>IF(AND(MONTH(E59)='IN-NX'!$J$5,'IN-NX'!$D$7=(D59&amp;"/"&amp;C59)),"x","")</f>
        <v/>
      </c>
      <c r="C59" s="185" t="s">
        <v>153</v>
      </c>
      <c r="D59" s="185" t="s">
        <v>197</v>
      </c>
      <c r="E59" s="69">
        <v>41586</v>
      </c>
      <c r="F59" s="61" t="s">
        <v>343</v>
      </c>
      <c r="G59" s="460" t="s">
        <v>158</v>
      </c>
      <c r="H59" s="189" t="s">
        <v>90</v>
      </c>
      <c r="I59" s="56" t="s">
        <v>108</v>
      </c>
      <c r="J59" s="15">
        <v>4496.92</v>
      </c>
      <c r="K59" s="15">
        <v>0</v>
      </c>
      <c r="L59" s="15">
        <v>0</v>
      </c>
      <c r="M59" s="15">
        <v>175</v>
      </c>
      <c r="N59" s="15">
        <v>786961</v>
      </c>
      <c r="O59" s="15" t="str">
        <f>IF(AND(A59='BANG KE NL'!$M$11,TH!C59="NL",LEFT(D59,1)="N"),"x","")</f>
        <v/>
      </c>
    </row>
    <row r="60" spans="1:15" hidden="1">
      <c r="A60" s="24">
        <f t="shared" si="3"/>
        <v>1</v>
      </c>
      <c r="B60" s="188" t="str">
        <f>IF(AND(MONTH(E60)='IN-NX'!$J$5,'IN-NX'!$D$7=(D60&amp;"/"&amp;C60)),"x","")</f>
        <v>x</v>
      </c>
      <c r="C60" s="185" t="s">
        <v>153</v>
      </c>
      <c r="D60" s="185" t="s">
        <v>150</v>
      </c>
      <c r="E60" s="69">
        <v>41276</v>
      </c>
      <c r="F60" s="61" t="s">
        <v>38</v>
      </c>
      <c r="G60" s="460" t="s">
        <v>158</v>
      </c>
      <c r="H60" s="189" t="s">
        <v>90</v>
      </c>
      <c r="I60" s="56" t="s">
        <v>108</v>
      </c>
      <c r="J60" s="15">
        <v>15400</v>
      </c>
      <c r="K60" s="15">
        <v>0</v>
      </c>
      <c r="L60" s="15">
        <v>0</v>
      </c>
      <c r="M60" s="15">
        <v>55</v>
      </c>
      <c r="N60" s="15">
        <v>847000</v>
      </c>
      <c r="O60" s="15" t="str">
        <f>IF(AND(A60='BANG KE NL'!$M$11,TH!C60="NL",LEFT(D60,1)="N"),"x","")</f>
        <v/>
      </c>
    </row>
    <row r="61" spans="1:15" hidden="1">
      <c r="A61" s="24">
        <f t="shared" si="3"/>
        <v>3</v>
      </c>
      <c r="B61" s="188" t="str">
        <f>IF(AND(MONTH(E61)='IN-NX'!$J$5,'IN-NX'!$D$7=(D61&amp;"/"&amp;C61)),"x","")</f>
        <v/>
      </c>
      <c r="C61" s="185" t="s">
        <v>153</v>
      </c>
      <c r="D61" s="185" t="s">
        <v>150</v>
      </c>
      <c r="E61" s="69">
        <v>41335</v>
      </c>
      <c r="F61" s="61" t="s">
        <v>38</v>
      </c>
      <c r="G61" s="460" t="s">
        <v>158</v>
      </c>
      <c r="H61" s="189" t="s">
        <v>90</v>
      </c>
      <c r="I61" s="56" t="s">
        <v>108</v>
      </c>
      <c r="J61" s="15">
        <v>16417.5</v>
      </c>
      <c r="K61" s="15">
        <v>0</v>
      </c>
      <c r="L61" s="15">
        <v>0</v>
      </c>
      <c r="M61" s="15">
        <v>200</v>
      </c>
      <c r="N61" s="15">
        <v>3283500</v>
      </c>
      <c r="O61" s="15" t="str">
        <f>IF(AND(A61='BANG KE NL'!$M$11,TH!C61="NL",LEFT(D61,1)="N"),"x","")</f>
        <v/>
      </c>
    </row>
    <row r="62" spans="1:15" hidden="1">
      <c r="A62" s="24">
        <f t="shared" si="3"/>
        <v>4</v>
      </c>
      <c r="B62" s="188" t="str">
        <f>IF(AND(MONTH(E62)='IN-NX'!$J$5,'IN-NX'!$D$7=(D62&amp;"/"&amp;C62)),"x","")</f>
        <v/>
      </c>
      <c r="C62" s="185" t="s">
        <v>153</v>
      </c>
      <c r="D62" s="185" t="s">
        <v>149</v>
      </c>
      <c r="E62" s="69">
        <v>41365</v>
      </c>
      <c r="F62" s="61" t="s">
        <v>38</v>
      </c>
      <c r="G62" s="460" t="s">
        <v>158</v>
      </c>
      <c r="H62" s="189" t="s">
        <v>90</v>
      </c>
      <c r="I62" s="56" t="s">
        <v>108</v>
      </c>
      <c r="J62" s="15">
        <v>16500</v>
      </c>
      <c r="K62" s="15">
        <v>0</v>
      </c>
      <c r="L62" s="15">
        <v>0</v>
      </c>
      <c r="M62" s="15">
        <v>330</v>
      </c>
      <c r="N62" s="15">
        <v>5445000</v>
      </c>
      <c r="O62" s="15" t="str">
        <f>IF(AND(A62='BANG KE NL'!$M$11,TH!C62="NL",LEFT(D62,1)="N"),"x","")</f>
        <v/>
      </c>
    </row>
    <row r="63" spans="1:15" hidden="1">
      <c r="A63" s="24">
        <f t="shared" si="3"/>
        <v>5</v>
      </c>
      <c r="B63" s="188" t="str">
        <f>IF(AND(MONTH(E63)='IN-NX'!$J$5,'IN-NX'!$D$7=(D63&amp;"/"&amp;C63)),"x","")</f>
        <v/>
      </c>
      <c r="C63" s="185" t="s">
        <v>153</v>
      </c>
      <c r="D63" s="185" t="s">
        <v>149</v>
      </c>
      <c r="E63" s="69">
        <v>41397</v>
      </c>
      <c r="F63" s="61" t="s">
        <v>38</v>
      </c>
      <c r="G63" s="460" t="s">
        <v>158</v>
      </c>
      <c r="H63" s="189" t="s">
        <v>90</v>
      </c>
      <c r="I63" s="56" t="s">
        <v>108</v>
      </c>
      <c r="J63" s="15">
        <v>16500</v>
      </c>
      <c r="K63" s="15">
        <v>0</v>
      </c>
      <c r="L63" s="15">
        <v>0</v>
      </c>
      <c r="M63" s="15">
        <v>220</v>
      </c>
      <c r="N63" s="15">
        <v>3630000</v>
      </c>
      <c r="O63" s="15" t="str">
        <f>IF(AND(A63='BANG KE NL'!$M$11,TH!C63="NL",LEFT(D63,1)="N"),"x","")</f>
        <v/>
      </c>
    </row>
    <row r="64" spans="1:15" hidden="1">
      <c r="A64" s="24">
        <f t="shared" si="3"/>
        <v>6</v>
      </c>
      <c r="B64" s="188" t="str">
        <f>IF(AND(MONTH(E64)='IN-NX'!$J$5,'IN-NX'!$D$7=(D64&amp;"/"&amp;C64)),"x","")</f>
        <v/>
      </c>
      <c r="C64" s="185" t="s">
        <v>153</v>
      </c>
      <c r="D64" s="185" t="s">
        <v>149</v>
      </c>
      <c r="E64" s="69">
        <v>41427</v>
      </c>
      <c r="F64" s="61" t="s">
        <v>38</v>
      </c>
      <c r="G64" s="460" t="s">
        <v>158</v>
      </c>
      <c r="H64" s="189" t="s">
        <v>90</v>
      </c>
      <c r="I64" s="56" t="s">
        <v>108</v>
      </c>
      <c r="J64" s="15">
        <v>16500</v>
      </c>
      <c r="K64" s="15">
        <v>0</v>
      </c>
      <c r="L64" s="15">
        <v>0</v>
      </c>
      <c r="M64" s="15">
        <v>50</v>
      </c>
      <c r="N64" s="15">
        <v>825000</v>
      </c>
      <c r="O64" s="15" t="str">
        <f>IF(AND(A64='BANG KE NL'!$M$11,TH!C64="NL",LEFT(D64,1)="N"),"x","")</f>
        <v/>
      </c>
    </row>
    <row r="65" spans="1:15" hidden="1">
      <c r="A65" s="24">
        <f t="shared" si="3"/>
        <v>7</v>
      </c>
      <c r="B65" s="188" t="str">
        <f>IF(AND(MONTH(E65)='IN-NX'!$J$5,'IN-NX'!$D$7=(D65&amp;"/"&amp;C65)),"x","")</f>
        <v/>
      </c>
      <c r="C65" s="185" t="s">
        <v>153</v>
      </c>
      <c r="D65" s="185" t="s">
        <v>150</v>
      </c>
      <c r="E65" s="69">
        <v>41458</v>
      </c>
      <c r="F65" s="61" t="s">
        <v>38</v>
      </c>
      <c r="G65" s="460" t="s">
        <v>158</v>
      </c>
      <c r="H65" s="189" t="s">
        <v>90</v>
      </c>
      <c r="I65" s="56" t="s">
        <v>108</v>
      </c>
      <c r="J65" s="15">
        <v>16500</v>
      </c>
      <c r="K65" s="15">
        <v>0</v>
      </c>
      <c r="L65" s="15">
        <v>0</v>
      </c>
      <c r="M65" s="15">
        <v>60</v>
      </c>
      <c r="N65" s="15">
        <v>990000</v>
      </c>
      <c r="O65" s="15" t="str">
        <f>IF(AND(A65='BANG KE NL'!$M$11,TH!C65="NL",LEFT(D65,1)="N"),"x","")</f>
        <v/>
      </c>
    </row>
    <row r="66" spans="1:15" hidden="1">
      <c r="A66" s="24">
        <f t="shared" si="3"/>
        <v>8</v>
      </c>
      <c r="B66" s="188" t="str">
        <f>IF(AND(MONTH(E66)='IN-NX'!$J$5,'IN-NX'!$D$7=(D66&amp;"/"&amp;C66)),"x","")</f>
        <v/>
      </c>
      <c r="C66" s="185" t="s">
        <v>153</v>
      </c>
      <c r="D66" s="185" t="s">
        <v>147</v>
      </c>
      <c r="E66" s="69">
        <v>41505</v>
      </c>
      <c r="F66" s="61" t="s">
        <v>38</v>
      </c>
      <c r="G66" s="61" t="s">
        <v>390</v>
      </c>
      <c r="H66" s="189" t="s">
        <v>108</v>
      </c>
      <c r="I66" s="56" t="s">
        <v>93</v>
      </c>
      <c r="J66" s="15">
        <v>14000</v>
      </c>
      <c r="K66" s="15">
        <v>1000</v>
      </c>
      <c r="L66" s="15">
        <v>14000000</v>
      </c>
      <c r="M66" s="15">
        <v>0</v>
      </c>
      <c r="N66" s="15">
        <v>0</v>
      </c>
      <c r="O66" s="15" t="str">
        <f>IF(AND(A66='BANG KE NL'!$M$11,TH!C66="NL",LEFT(D66,1)="N"),"x","")</f>
        <v/>
      </c>
    </row>
    <row r="67" spans="1:15" hidden="1">
      <c r="A67" s="24">
        <f t="shared" si="3"/>
        <v>8</v>
      </c>
      <c r="B67" s="188" t="str">
        <f>IF(AND(MONTH(E67)='IN-NX'!$J$5,'IN-NX'!$D$7=(D67&amp;"/"&amp;C67)),"x","")</f>
        <v/>
      </c>
      <c r="C67" s="185" t="s">
        <v>153</v>
      </c>
      <c r="D67" s="185" t="s">
        <v>159</v>
      </c>
      <c r="E67" s="69">
        <v>41505</v>
      </c>
      <c r="F67" s="61" t="s">
        <v>38</v>
      </c>
      <c r="G67" s="460" t="s">
        <v>158</v>
      </c>
      <c r="H67" s="189" t="s">
        <v>90</v>
      </c>
      <c r="I67" s="56" t="s">
        <v>108</v>
      </c>
      <c r="J67" s="15">
        <v>15107.142857142857</v>
      </c>
      <c r="K67" s="15">
        <v>0</v>
      </c>
      <c r="L67" s="15">
        <v>0</v>
      </c>
      <c r="M67" s="15">
        <v>350</v>
      </c>
      <c r="N67" s="15">
        <v>5287500</v>
      </c>
      <c r="O67" s="15" t="str">
        <f>IF(AND(A67='BANG KE NL'!$M$11,TH!C67="NL",LEFT(D67,1)="N"),"x","")</f>
        <v/>
      </c>
    </row>
    <row r="68" spans="1:15" hidden="1">
      <c r="A68" s="24">
        <f t="shared" si="3"/>
        <v>9</v>
      </c>
      <c r="B68" s="188" t="str">
        <f>IF(AND(MONTH(E68)='IN-NX'!$J$5,'IN-NX'!$D$7=(D68&amp;"/"&amp;C68)),"x","")</f>
        <v/>
      </c>
      <c r="C68" s="185" t="s">
        <v>153</v>
      </c>
      <c r="D68" s="185" t="s">
        <v>150</v>
      </c>
      <c r="E68" s="69">
        <v>41521</v>
      </c>
      <c r="F68" s="61" t="s">
        <v>38</v>
      </c>
      <c r="G68" s="460" t="s">
        <v>158</v>
      </c>
      <c r="H68" s="189" t="s">
        <v>90</v>
      </c>
      <c r="I68" s="56" t="s">
        <v>108</v>
      </c>
      <c r="J68" s="15">
        <v>14000</v>
      </c>
      <c r="K68" s="15">
        <v>0</v>
      </c>
      <c r="L68" s="15">
        <v>0</v>
      </c>
      <c r="M68" s="15">
        <v>170</v>
      </c>
      <c r="N68" s="15">
        <v>2380000</v>
      </c>
      <c r="O68" s="15" t="str">
        <f>IF(AND(A68='BANG KE NL'!$M$11,TH!C68="NL",LEFT(D68,1)="N"),"x","")</f>
        <v/>
      </c>
    </row>
    <row r="69" spans="1:15" hidden="1">
      <c r="A69" s="24">
        <f t="shared" si="3"/>
        <v>9</v>
      </c>
      <c r="B69" s="188" t="str">
        <f>IF(AND(MONTH(E69)='IN-NX'!$J$5,'IN-NX'!$D$7=(D69&amp;"/"&amp;C69)),"x","")</f>
        <v/>
      </c>
      <c r="C69" s="185" t="s">
        <v>153</v>
      </c>
      <c r="D69" s="185" t="s">
        <v>148</v>
      </c>
      <c r="E69" s="69">
        <v>41532</v>
      </c>
      <c r="F69" s="61" t="s">
        <v>38</v>
      </c>
      <c r="G69" s="61" t="s">
        <v>390</v>
      </c>
      <c r="H69" s="189" t="s">
        <v>108</v>
      </c>
      <c r="I69" s="56" t="s">
        <v>93</v>
      </c>
      <c r="J69" s="15">
        <v>14000</v>
      </c>
      <c r="K69" s="15">
        <v>1000</v>
      </c>
      <c r="L69" s="15">
        <v>14000000</v>
      </c>
      <c r="M69" s="15">
        <v>0</v>
      </c>
      <c r="N69" s="15">
        <v>0</v>
      </c>
      <c r="O69" s="15" t="str">
        <f>IF(AND(A69='BANG KE NL'!$M$11,TH!C69="NL",LEFT(D69,1)="N"),"x","")</f>
        <v/>
      </c>
    </row>
    <row r="70" spans="1:15" hidden="1">
      <c r="A70" s="24">
        <f t="shared" ref="A70:A133" si="4">IF(E70&lt;&gt;"",MONTH(E70),"")</f>
        <v>10</v>
      </c>
      <c r="B70" s="188" t="str">
        <f>IF(AND(MONTH(E70)='IN-NX'!$J$5,'IN-NX'!$D$7=(D70&amp;"/"&amp;C70)),"x","")</f>
        <v/>
      </c>
      <c r="C70" s="185" t="s">
        <v>153</v>
      </c>
      <c r="D70" s="185" t="s">
        <v>149</v>
      </c>
      <c r="E70" s="69">
        <v>41551</v>
      </c>
      <c r="F70" s="61" t="s">
        <v>38</v>
      </c>
      <c r="G70" s="460" t="s">
        <v>158</v>
      </c>
      <c r="H70" s="189" t="s">
        <v>90</v>
      </c>
      <c r="I70" s="56" t="s">
        <v>108</v>
      </c>
      <c r="J70" s="15">
        <v>14000</v>
      </c>
      <c r="K70" s="15">
        <v>0</v>
      </c>
      <c r="L70" s="15">
        <v>0</v>
      </c>
      <c r="M70" s="15">
        <v>180</v>
      </c>
      <c r="N70" s="15">
        <v>2520000</v>
      </c>
      <c r="O70" s="15" t="str">
        <f>IF(AND(A70='BANG KE NL'!$M$11,TH!C70="NL",LEFT(D70,1)="N"),"x","")</f>
        <v/>
      </c>
    </row>
    <row r="71" spans="1:15" hidden="1">
      <c r="A71" s="24">
        <f t="shared" si="4"/>
        <v>11</v>
      </c>
      <c r="B71" s="188" t="str">
        <f>IF(AND(MONTH(E71)='IN-NX'!$J$5,'IN-NX'!$D$7=(D71&amp;"/"&amp;C71)),"x","")</f>
        <v/>
      </c>
      <c r="C71" s="185" t="s">
        <v>153</v>
      </c>
      <c r="D71" s="185" t="s">
        <v>149</v>
      </c>
      <c r="E71" s="69">
        <v>41579</v>
      </c>
      <c r="F71" s="61" t="s">
        <v>38</v>
      </c>
      <c r="G71" s="460" t="s">
        <v>158</v>
      </c>
      <c r="H71" s="189" t="s">
        <v>90</v>
      </c>
      <c r="I71" s="56" t="s">
        <v>108</v>
      </c>
      <c r="J71" s="15">
        <v>14000</v>
      </c>
      <c r="K71" s="15">
        <v>0</v>
      </c>
      <c r="L71" s="15">
        <v>0</v>
      </c>
      <c r="M71" s="15">
        <v>120</v>
      </c>
      <c r="N71" s="15">
        <v>1680000</v>
      </c>
      <c r="O71" s="15" t="str">
        <f>IF(AND(A71='BANG KE NL'!$M$11,TH!C71="NL",LEFT(D71,1)="N"),"x","")</f>
        <v/>
      </c>
    </row>
    <row r="72" spans="1:15">
      <c r="A72" s="24">
        <f t="shared" si="4"/>
        <v>12</v>
      </c>
      <c r="B72" s="188" t="str">
        <f>IF(AND(MONTH(E72)='IN-NX'!$J$5,'IN-NX'!$D$7=(D72&amp;"/"&amp;C72)),"x","")</f>
        <v/>
      </c>
      <c r="C72" s="185" t="s">
        <v>153</v>
      </c>
      <c r="D72" s="185" t="s">
        <v>149</v>
      </c>
      <c r="E72" s="69">
        <v>41610</v>
      </c>
      <c r="F72" s="61" t="s">
        <v>38</v>
      </c>
      <c r="G72" s="460" t="s">
        <v>158</v>
      </c>
      <c r="H72" s="189" t="s">
        <v>90</v>
      </c>
      <c r="I72" s="56" t="s">
        <v>108</v>
      </c>
      <c r="J72" s="15">
        <v>14000</v>
      </c>
      <c r="K72" s="15">
        <v>0</v>
      </c>
      <c r="L72" s="15">
        <v>0</v>
      </c>
      <c r="M72" s="15">
        <v>390</v>
      </c>
      <c r="N72" s="15">
        <v>5460000</v>
      </c>
      <c r="O72" s="15" t="str">
        <f>IF(AND(A72='BANG KE NL'!$M$11,TH!C72="NL",LEFT(D72,1)="N"),"x","")</f>
        <v/>
      </c>
    </row>
    <row r="73" spans="1:15" hidden="1">
      <c r="A73" s="24">
        <f t="shared" si="4"/>
        <v>1</v>
      </c>
      <c r="B73" s="188" t="str">
        <f>IF(AND(MONTH(E73)='IN-NX'!$J$5,'IN-NX'!$D$7=(D73&amp;"/"&amp;C73)),"x","")</f>
        <v/>
      </c>
      <c r="C73" s="185" t="s">
        <v>153</v>
      </c>
      <c r="D73" s="185" t="s">
        <v>149</v>
      </c>
      <c r="E73" s="69">
        <v>41276</v>
      </c>
      <c r="F73" s="61" t="s">
        <v>339</v>
      </c>
      <c r="G73" s="460" t="s">
        <v>158</v>
      </c>
      <c r="H73" s="189" t="s">
        <v>90</v>
      </c>
      <c r="I73" s="56" t="s">
        <v>108</v>
      </c>
      <c r="J73" s="15">
        <v>31272.720000000001</v>
      </c>
      <c r="K73" s="15">
        <v>0</v>
      </c>
      <c r="L73" s="15">
        <v>0</v>
      </c>
      <c r="M73" s="15">
        <v>100</v>
      </c>
      <c r="N73" s="15">
        <v>3127272</v>
      </c>
      <c r="O73" s="15" t="str">
        <f>IF(AND(A73='BANG KE NL'!$M$11,TH!C73="NL",LEFT(D73,1)="N"),"x","")</f>
        <v/>
      </c>
    </row>
    <row r="74" spans="1:15" hidden="1">
      <c r="A74" s="24">
        <f t="shared" si="4"/>
        <v>1</v>
      </c>
      <c r="B74" s="188" t="str">
        <f>IF(AND(MONTH(E74)='IN-NX'!$J$5,'IN-NX'!$D$7=(D74&amp;"/"&amp;C74)),"x","")</f>
        <v/>
      </c>
      <c r="C74" s="185" t="s">
        <v>153</v>
      </c>
      <c r="D74" s="185" t="s">
        <v>144</v>
      </c>
      <c r="E74" s="69">
        <v>41302</v>
      </c>
      <c r="F74" s="61" t="s">
        <v>339</v>
      </c>
      <c r="G74" s="19" t="s">
        <v>114</v>
      </c>
      <c r="H74" s="189" t="s">
        <v>108</v>
      </c>
      <c r="I74" s="56" t="s">
        <v>93</v>
      </c>
      <c r="J74" s="15">
        <v>30745.45</v>
      </c>
      <c r="K74" s="15">
        <v>500</v>
      </c>
      <c r="L74" s="15">
        <v>15372725</v>
      </c>
      <c r="M74" s="15">
        <v>0</v>
      </c>
      <c r="N74" s="15">
        <v>0</v>
      </c>
      <c r="O74" s="15" t="str">
        <f>IF(AND(A74='BANG KE NL'!$M$11,TH!C74="NL",LEFT(D74,1)="N"),"x","")</f>
        <v/>
      </c>
    </row>
    <row r="75" spans="1:15" hidden="1">
      <c r="A75" s="24">
        <f t="shared" si="4"/>
        <v>2</v>
      </c>
      <c r="B75" s="188" t="str">
        <f>IF(AND(MONTH(E75)='IN-NX'!$J$5,'IN-NX'!$D$7=(D75&amp;"/"&amp;C75)),"x","")</f>
        <v/>
      </c>
      <c r="C75" s="185" t="s">
        <v>153</v>
      </c>
      <c r="D75" s="185" t="s">
        <v>143</v>
      </c>
      <c r="E75" s="69">
        <v>41331</v>
      </c>
      <c r="F75" s="61" t="s">
        <v>339</v>
      </c>
      <c r="G75" s="19" t="s">
        <v>114</v>
      </c>
      <c r="H75" s="189" t="s">
        <v>108</v>
      </c>
      <c r="I75" s="56" t="s">
        <v>93</v>
      </c>
      <c r="J75" s="15">
        <v>29763.63</v>
      </c>
      <c r="K75" s="15">
        <v>500</v>
      </c>
      <c r="L75" s="15">
        <v>14881815</v>
      </c>
      <c r="M75" s="15">
        <v>0</v>
      </c>
      <c r="N75" s="15">
        <v>0</v>
      </c>
      <c r="O75" s="15" t="str">
        <f>IF(AND(A75='BANG KE NL'!$M$11,TH!C75="NL",LEFT(D75,1)="N"),"x","")</f>
        <v/>
      </c>
    </row>
    <row r="76" spans="1:15" hidden="1">
      <c r="A76" s="24">
        <f t="shared" si="4"/>
        <v>3</v>
      </c>
      <c r="B76" s="188" t="str">
        <f>IF(AND(MONTH(E76)='IN-NX'!$J$5,'IN-NX'!$D$7=(D76&amp;"/"&amp;C76)),"x","")</f>
        <v/>
      </c>
      <c r="C76" s="185" t="s">
        <v>153</v>
      </c>
      <c r="D76" s="185" t="s">
        <v>149</v>
      </c>
      <c r="E76" s="69">
        <v>41334</v>
      </c>
      <c r="F76" s="61" t="s">
        <v>339</v>
      </c>
      <c r="G76" s="460" t="s">
        <v>158</v>
      </c>
      <c r="H76" s="189" t="s">
        <v>90</v>
      </c>
      <c r="I76" s="56" t="s">
        <v>108</v>
      </c>
      <c r="J76" s="15">
        <v>30745.45</v>
      </c>
      <c r="K76" s="15">
        <v>0</v>
      </c>
      <c r="L76" s="15">
        <v>0</v>
      </c>
      <c r="M76" s="15">
        <v>400</v>
      </c>
      <c r="N76" s="15">
        <v>12298180</v>
      </c>
      <c r="O76" s="15" t="str">
        <f>IF(AND(A76='BANG KE NL'!$M$11,TH!C76="NL",LEFT(D76,1)="N"),"x","")</f>
        <v/>
      </c>
    </row>
    <row r="77" spans="1:15" hidden="1">
      <c r="A77" s="24">
        <f t="shared" si="4"/>
        <v>4</v>
      </c>
      <c r="B77" s="188" t="str">
        <f>IF(AND(MONTH(E77)='IN-NX'!$J$5,'IN-NX'!$D$7=(D77&amp;"/"&amp;C77)),"x","")</f>
        <v/>
      </c>
      <c r="C77" s="185" t="s">
        <v>153</v>
      </c>
      <c r="D77" s="185" t="s">
        <v>150</v>
      </c>
      <c r="E77" s="69">
        <v>41369</v>
      </c>
      <c r="F77" s="61" t="s">
        <v>339</v>
      </c>
      <c r="G77" s="460" t="s">
        <v>158</v>
      </c>
      <c r="H77" s="189" t="s">
        <v>90</v>
      </c>
      <c r="I77" s="56" t="s">
        <v>108</v>
      </c>
      <c r="J77" s="15">
        <v>29927.266666666666</v>
      </c>
      <c r="K77" s="15">
        <v>0</v>
      </c>
      <c r="L77" s="15">
        <v>0</v>
      </c>
      <c r="M77" s="15">
        <v>600</v>
      </c>
      <c r="N77" s="15">
        <v>17956360</v>
      </c>
      <c r="O77" s="15" t="str">
        <f>IF(AND(A77='BANG KE NL'!$M$11,TH!C77="NL",LEFT(D77,1)="N"),"x","")</f>
        <v/>
      </c>
    </row>
    <row r="78" spans="1:15" hidden="1">
      <c r="A78" s="24">
        <f t="shared" si="4"/>
        <v>5</v>
      </c>
      <c r="B78" s="188" t="str">
        <f>IF(AND(MONTH(E78)='IN-NX'!$J$5,'IN-NX'!$D$7=(D78&amp;"/"&amp;C78)),"x","")</f>
        <v/>
      </c>
      <c r="C78" s="185" t="s">
        <v>153</v>
      </c>
      <c r="D78" s="185" t="s">
        <v>146</v>
      </c>
      <c r="E78" s="69">
        <v>41417</v>
      </c>
      <c r="F78" s="61" t="s">
        <v>339</v>
      </c>
      <c r="G78" s="19" t="s">
        <v>114</v>
      </c>
      <c r="H78" s="189" t="s">
        <v>108</v>
      </c>
      <c r="I78" s="56" t="s">
        <v>93</v>
      </c>
      <c r="J78" s="15">
        <v>26345.45</v>
      </c>
      <c r="K78" s="15">
        <v>500</v>
      </c>
      <c r="L78" s="15">
        <v>13172725</v>
      </c>
      <c r="M78" s="15">
        <v>0</v>
      </c>
      <c r="N78" s="15">
        <v>0</v>
      </c>
      <c r="O78" s="15" t="str">
        <f>IF(AND(A78='BANG KE NL'!$M$11,TH!C78="NL",LEFT(D78,1)="N"),"x","")</f>
        <v/>
      </c>
    </row>
    <row r="79" spans="1:15" hidden="1">
      <c r="A79" s="24">
        <f t="shared" si="4"/>
        <v>5</v>
      </c>
      <c r="B79" s="188" t="str">
        <f>IF(AND(MONTH(E79)='IN-NX'!$J$5,'IN-NX'!$D$7=(D79&amp;"/"&amp;C79)),"x","")</f>
        <v/>
      </c>
      <c r="C79" s="185" t="s">
        <v>153</v>
      </c>
      <c r="D79" s="185" t="s">
        <v>151</v>
      </c>
      <c r="E79" s="69">
        <v>41417</v>
      </c>
      <c r="F79" s="61" t="s">
        <v>339</v>
      </c>
      <c r="G79" s="460" t="s">
        <v>158</v>
      </c>
      <c r="H79" s="189" t="s">
        <v>90</v>
      </c>
      <c r="I79" s="56" t="s">
        <v>108</v>
      </c>
      <c r="J79" s="15">
        <v>26345.45</v>
      </c>
      <c r="K79" s="15">
        <v>0</v>
      </c>
      <c r="L79" s="15">
        <v>0</v>
      </c>
      <c r="M79" s="15">
        <v>500</v>
      </c>
      <c r="N79" s="15">
        <v>13172725</v>
      </c>
      <c r="O79" s="15" t="str">
        <f>IF(AND(A79='BANG KE NL'!$M$11,TH!C79="NL",LEFT(D79,1)="N"),"x","")</f>
        <v/>
      </c>
    </row>
    <row r="80" spans="1:15" hidden="1">
      <c r="A80" s="24">
        <f t="shared" si="4"/>
        <v>5</v>
      </c>
      <c r="B80" s="188" t="str">
        <f>IF(AND(MONTH(E80)='IN-NX'!$J$5,'IN-NX'!$D$7=(D80&amp;"/"&amp;C80)),"x","")</f>
        <v/>
      </c>
      <c r="C80" s="185" t="s">
        <v>153</v>
      </c>
      <c r="D80" s="185" t="s">
        <v>148</v>
      </c>
      <c r="E80" s="69">
        <v>41424</v>
      </c>
      <c r="F80" s="61" t="s">
        <v>339</v>
      </c>
      <c r="G80" s="19" t="s">
        <v>114</v>
      </c>
      <c r="H80" s="189" t="s">
        <v>108</v>
      </c>
      <c r="I80" s="56" t="s">
        <v>93</v>
      </c>
      <c r="J80" s="15">
        <v>26418.18</v>
      </c>
      <c r="K80" s="15">
        <v>500</v>
      </c>
      <c r="L80" s="15">
        <v>13209090</v>
      </c>
      <c r="M80" s="15">
        <v>0</v>
      </c>
      <c r="N80" s="15">
        <v>0</v>
      </c>
      <c r="O80" s="15" t="str">
        <f>IF(AND(A80='BANG KE NL'!$M$11,TH!C80="NL",LEFT(D80,1)="N"),"x","")</f>
        <v/>
      </c>
    </row>
    <row r="81" spans="1:15" hidden="1">
      <c r="A81" s="24">
        <f t="shared" si="4"/>
        <v>6</v>
      </c>
      <c r="B81" s="188" t="str">
        <f>IF(AND(MONTH(E81)='IN-NX'!$J$5,'IN-NX'!$D$7=(D81&amp;"/"&amp;C81)),"x","")</f>
        <v/>
      </c>
      <c r="C81" s="185" t="s">
        <v>153</v>
      </c>
      <c r="D81" s="185" t="s">
        <v>150</v>
      </c>
      <c r="E81" s="69">
        <v>41428</v>
      </c>
      <c r="F81" s="61" t="s">
        <v>339</v>
      </c>
      <c r="G81" s="460" t="s">
        <v>158</v>
      </c>
      <c r="H81" s="189" t="s">
        <v>90</v>
      </c>
      <c r="I81" s="56" t="s">
        <v>108</v>
      </c>
      <c r="J81" s="15">
        <v>26418.18</v>
      </c>
      <c r="K81" s="15">
        <v>0</v>
      </c>
      <c r="L81" s="15">
        <v>0</v>
      </c>
      <c r="M81" s="15">
        <v>500</v>
      </c>
      <c r="N81" s="15">
        <v>13209090</v>
      </c>
      <c r="O81" s="15" t="str">
        <f>IF(AND(A81='BANG KE NL'!$M$11,TH!C81="NL",LEFT(D81,1)="N"),"x","")</f>
        <v/>
      </c>
    </row>
    <row r="82" spans="1:15" hidden="1">
      <c r="A82" s="24">
        <f t="shared" si="4"/>
        <v>6</v>
      </c>
      <c r="B82" s="188" t="str">
        <f>IF(AND(MONTH(E82)='IN-NX'!$J$5,'IN-NX'!$D$7=(D82&amp;"/"&amp;C82)),"x","")</f>
        <v/>
      </c>
      <c r="C82" s="185" t="s">
        <v>153</v>
      </c>
      <c r="D82" s="185" t="s">
        <v>143</v>
      </c>
      <c r="E82" s="69">
        <v>41433</v>
      </c>
      <c r="F82" s="61" t="s">
        <v>339</v>
      </c>
      <c r="G82" s="19" t="s">
        <v>114</v>
      </c>
      <c r="H82" s="189" t="s">
        <v>108</v>
      </c>
      <c r="I82" s="56" t="s">
        <v>93</v>
      </c>
      <c r="J82" s="15">
        <v>26418.18</v>
      </c>
      <c r="K82" s="15">
        <v>500</v>
      </c>
      <c r="L82" s="15">
        <v>13209090</v>
      </c>
      <c r="M82" s="15">
        <v>0</v>
      </c>
      <c r="N82" s="15">
        <v>0</v>
      </c>
      <c r="O82" s="15" t="str">
        <f>IF(AND(A82='BANG KE NL'!$M$11,TH!C82="NL",LEFT(D82,1)="N"),"x","")</f>
        <v/>
      </c>
    </row>
    <row r="83" spans="1:15" hidden="1">
      <c r="A83" s="24">
        <f t="shared" si="4"/>
        <v>6</v>
      </c>
      <c r="B83" s="188" t="str">
        <f>IF(AND(MONTH(E83)='IN-NX'!$J$5,'IN-NX'!$D$7=(D83&amp;"/"&amp;C83)),"x","")</f>
        <v/>
      </c>
      <c r="C83" s="185" t="s">
        <v>153</v>
      </c>
      <c r="D83" s="185" t="s">
        <v>145</v>
      </c>
      <c r="E83" s="69">
        <v>41448</v>
      </c>
      <c r="F83" s="61" t="s">
        <v>339</v>
      </c>
      <c r="G83" s="19" t="s">
        <v>114</v>
      </c>
      <c r="H83" s="189" t="s">
        <v>108</v>
      </c>
      <c r="I83" s="56" t="s">
        <v>93</v>
      </c>
      <c r="J83" s="15">
        <v>26418.18</v>
      </c>
      <c r="K83" s="15">
        <v>500</v>
      </c>
      <c r="L83" s="15">
        <v>13209090</v>
      </c>
      <c r="M83" s="15">
        <v>0</v>
      </c>
      <c r="N83" s="15">
        <v>0</v>
      </c>
      <c r="O83" s="15" t="str">
        <f>IF(AND(A83='BANG KE NL'!$M$11,TH!C83="NL",LEFT(D83,1)="N"),"x","")</f>
        <v/>
      </c>
    </row>
    <row r="84" spans="1:15" hidden="1">
      <c r="A84" s="24">
        <f t="shared" si="4"/>
        <v>7</v>
      </c>
      <c r="B84" s="188" t="str">
        <f>IF(AND(MONTH(E84)='IN-NX'!$J$5,'IN-NX'!$D$7=(D84&amp;"/"&amp;C84)),"x","")</f>
        <v/>
      </c>
      <c r="C84" s="185" t="s">
        <v>153</v>
      </c>
      <c r="D84" s="185" t="s">
        <v>149</v>
      </c>
      <c r="E84" s="69">
        <v>41456</v>
      </c>
      <c r="F84" s="61" t="s">
        <v>339</v>
      </c>
      <c r="G84" s="460" t="s">
        <v>158</v>
      </c>
      <c r="H84" s="189" t="s">
        <v>90</v>
      </c>
      <c r="I84" s="56" t="s">
        <v>108</v>
      </c>
      <c r="J84" s="15">
        <v>26418.18</v>
      </c>
      <c r="K84" s="15">
        <v>0</v>
      </c>
      <c r="L84" s="15">
        <v>0</v>
      </c>
      <c r="M84" s="15">
        <v>200</v>
      </c>
      <c r="N84" s="15">
        <v>5283636</v>
      </c>
      <c r="O84" s="15" t="str">
        <f>IF(AND(A84='BANG KE NL'!$M$11,TH!C84="NL",LEFT(D84,1)="N"),"x","")</f>
        <v/>
      </c>
    </row>
    <row r="85" spans="1:15" hidden="1">
      <c r="A85" s="24">
        <f t="shared" si="4"/>
        <v>7</v>
      </c>
      <c r="B85" s="188" t="str">
        <f>IF(AND(MONTH(E85)='IN-NX'!$J$5,'IN-NX'!$D$7=(D85&amp;"/"&amp;C85)),"x","")</f>
        <v/>
      </c>
      <c r="C85" s="185" t="s">
        <v>153</v>
      </c>
      <c r="D85" s="185" t="s">
        <v>143</v>
      </c>
      <c r="E85" s="69">
        <v>41456</v>
      </c>
      <c r="F85" s="61" t="s">
        <v>339</v>
      </c>
      <c r="G85" s="19" t="s">
        <v>114</v>
      </c>
      <c r="H85" s="189" t="s">
        <v>108</v>
      </c>
      <c r="I85" s="56" t="s">
        <v>93</v>
      </c>
      <c r="J85" s="15">
        <v>27400</v>
      </c>
      <c r="K85" s="15">
        <v>500</v>
      </c>
      <c r="L85" s="15">
        <v>13700000</v>
      </c>
      <c r="M85" s="15">
        <v>0</v>
      </c>
      <c r="N85" s="15">
        <v>0</v>
      </c>
      <c r="O85" s="15" t="str">
        <f>IF(AND(A85='BANG KE NL'!$M$11,TH!C85="NL",LEFT(D85,1)="N"),"x","")</f>
        <v/>
      </c>
    </row>
    <row r="86" spans="1:15" hidden="1">
      <c r="A86" s="24">
        <f t="shared" si="4"/>
        <v>7</v>
      </c>
      <c r="B86" s="188" t="str">
        <f>IF(AND(MONTH(E86)='IN-NX'!$J$5,'IN-NX'!$D$7=(D86&amp;"/"&amp;C86)),"x","")</f>
        <v/>
      </c>
      <c r="C86" s="185" t="s">
        <v>153</v>
      </c>
      <c r="D86" s="185" t="s">
        <v>152</v>
      </c>
      <c r="E86" s="69">
        <v>41471</v>
      </c>
      <c r="F86" s="61" t="s">
        <v>339</v>
      </c>
      <c r="G86" s="460" t="s">
        <v>158</v>
      </c>
      <c r="H86" s="189" t="s">
        <v>90</v>
      </c>
      <c r="I86" s="56" t="s">
        <v>108</v>
      </c>
      <c r="J86" s="15">
        <v>26418.18</v>
      </c>
      <c r="K86" s="15">
        <v>0</v>
      </c>
      <c r="L86" s="15">
        <v>0</v>
      </c>
      <c r="M86" s="15">
        <v>500</v>
      </c>
      <c r="N86" s="15">
        <v>13209090</v>
      </c>
      <c r="O86" s="15" t="str">
        <f>IF(AND(A86='BANG KE NL'!$M$11,TH!C86="NL",LEFT(D86,1)="N"),"x","")</f>
        <v/>
      </c>
    </row>
    <row r="87" spans="1:15" hidden="1">
      <c r="A87" s="24">
        <f t="shared" si="4"/>
        <v>7</v>
      </c>
      <c r="B87" s="188" t="str">
        <f>IF(AND(MONTH(E87)='IN-NX'!$J$5,'IN-NX'!$D$7=(D87&amp;"/"&amp;C87)),"x","")</f>
        <v/>
      </c>
      <c r="C87" s="185" t="s">
        <v>153</v>
      </c>
      <c r="D87" s="185" t="s">
        <v>146</v>
      </c>
      <c r="E87" s="69">
        <v>41472</v>
      </c>
      <c r="F87" s="61" t="s">
        <v>339</v>
      </c>
      <c r="G87" s="19" t="s">
        <v>114</v>
      </c>
      <c r="H87" s="189" t="s">
        <v>108</v>
      </c>
      <c r="I87" s="56" t="s">
        <v>93</v>
      </c>
      <c r="J87" s="15">
        <v>27400</v>
      </c>
      <c r="K87" s="15">
        <v>500</v>
      </c>
      <c r="L87" s="15">
        <v>13700000</v>
      </c>
      <c r="M87" s="15">
        <v>0</v>
      </c>
      <c r="N87" s="15">
        <v>0</v>
      </c>
      <c r="O87" s="15" t="str">
        <f>IF(AND(A87='BANG KE NL'!$M$11,TH!C87="NL",LEFT(D87,1)="N"),"x","")</f>
        <v/>
      </c>
    </row>
    <row r="88" spans="1:15" hidden="1">
      <c r="A88" s="24">
        <f t="shared" si="4"/>
        <v>7</v>
      </c>
      <c r="B88" s="188" t="str">
        <f>IF(AND(MONTH(E88)='IN-NX'!$J$5,'IN-NX'!$D$7=(D88&amp;"/"&amp;C88)),"x","")</f>
        <v/>
      </c>
      <c r="C88" s="185" t="s">
        <v>153</v>
      </c>
      <c r="D88" s="185" t="s">
        <v>163</v>
      </c>
      <c r="E88" s="69">
        <v>41482</v>
      </c>
      <c r="F88" s="61" t="s">
        <v>339</v>
      </c>
      <c r="G88" s="19" t="s">
        <v>114</v>
      </c>
      <c r="H88" s="189" t="s">
        <v>108</v>
      </c>
      <c r="I88" s="56" t="s">
        <v>93</v>
      </c>
      <c r="J88" s="15">
        <v>27400</v>
      </c>
      <c r="K88" s="15">
        <v>500</v>
      </c>
      <c r="L88" s="15">
        <v>13700000</v>
      </c>
      <c r="M88" s="15">
        <v>0</v>
      </c>
      <c r="N88" s="15">
        <v>0</v>
      </c>
      <c r="O88" s="15" t="str">
        <f>IF(AND(A88='BANG KE NL'!$M$11,TH!C88="NL",LEFT(D88,1)="N"),"x","")</f>
        <v/>
      </c>
    </row>
    <row r="89" spans="1:15" hidden="1">
      <c r="A89" s="24">
        <f t="shared" si="4"/>
        <v>8</v>
      </c>
      <c r="B89" s="188" t="str">
        <f>IF(AND(MONTH(E89)='IN-NX'!$J$5,'IN-NX'!$D$7=(D89&amp;"/"&amp;C89)),"x","")</f>
        <v/>
      </c>
      <c r="C89" s="185" t="s">
        <v>153</v>
      </c>
      <c r="D89" s="185" t="s">
        <v>149</v>
      </c>
      <c r="E89" s="69">
        <v>41488</v>
      </c>
      <c r="F89" s="61" t="s">
        <v>339</v>
      </c>
      <c r="G89" s="460" t="s">
        <v>158</v>
      </c>
      <c r="H89" s="189" t="s">
        <v>90</v>
      </c>
      <c r="I89" s="56" t="s">
        <v>108</v>
      </c>
      <c r="J89" s="15">
        <v>26810.799999999999</v>
      </c>
      <c r="K89" s="15">
        <v>0</v>
      </c>
      <c r="L89" s="15">
        <v>0</v>
      </c>
      <c r="M89" s="15">
        <v>500</v>
      </c>
      <c r="N89" s="15">
        <v>13405400</v>
      </c>
      <c r="O89" s="15" t="str">
        <f>IF(AND(A89='BANG KE NL'!$M$11,TH!C89="NL",LEFT(D89,1)="N"),"x","")</f>
        <v/>
      </c>
    </row>
    <row r="90" spans="1:15" hidden="1">
      <c r="A90" s="24">
        <f t="shared" si="4"/>
        <v>8</v>
      </c>
      <c r="B90" s="188" t="str">
        <f>IF(AND(MONTH(E90)='IN-NX'!$J$5,'IN-NX'!$D$7=(D90&amp;"/"&amp;C90)),"x","")</f>
        <v/>
      </c>
      <c r="C90" s="185" t="s">
        <v>153</v>
      </c>
      <c r="D90" s="185" t="s">
        <v>144</v>
      </c>
      <c r="E90" s="69">
        <v>41492</v>
      </c>
      <c r="F90" s="61" t="s">
        <v>339</v>
      </c>
      <c r="G90" s="19" t="s">
        <v>114</v>
      </c>
      <c r="H90" s="189" t="s">
        <v>108</v>
      </c>
      <c r="I90" s="56" t="s">
        <v>93</v>
      </c>
      <c r="J90" s="15">
        <v>28000</v>
      </c>
      <c r="K90" s="15">
        <v>500</v>
      </c>
      <c r="L90" s="15">
        <v>14000000</v>
      </c>
      <c r="M90" s="15">
        <v>0</v>
      </c>
      <c r="N90" s="15">
        <v>0</v>
      </c>
      <c r="O90" s="15" t="str">
        <f>IF(AND(A90='BANG KE NL'!$M$11,TH!C90="NL",LEFT(D90,1)="N"),"x","")</f>
        <v/>
      </c>
    </row>
    <row r="91" spans="1:15" hidden="1">
      <c r="A91" s="24">
        <f t="shared" si="4"/>
        <v>8</v>
      </c>
      <c r="B91" s="188" t="str">
        <f>IF(AND(MONTH(E91)='IN-NX'!$J$5,'IN-NX'!$D$7=(D91&amp;"/"&amp;C91)),"x","")</f>
        <v/>
      </c>
      <c r="C91" s="185" t="s">
        <v>153</v>
      </c>
      <c r="D91" s="185" t="s">
        <v>152</v>
      </c>
      <c r="E91" s="69">
        <v>41504</v>
      </c>
      <c r="F91" s="61" t="s">
        <v>339</v>
      </c>
      <c r="G91" s="460" t="s">
        <v>158</v>
      </c>
      <c r="H91" s="189" t="s">
        <v>90</v>
      </c>
      <c r="I91" s="56" t="s">
        <v>108</v>
      </c>
      <c r="J91" s="15">
        <v>27400</v>
      </c>
      <c r="K91" s="15">
        <v>0</v>
      </c>
      <c r="L91" s="15">
        <v>0</v>
      </c>
      <c r="M91" s="15">
        <v>500</v>
      </c>
      <c r="N91" s="15">
        <v>13700000</v>
      </c>
      <c r="O91" s="15" t="str">
        <f>IF(AND(A91='BANG KE NL'!$M$11,TH!C91="NL",LEFT(D91,1)="N"),"x","")</f>
        <v/>
      </c>
    </row>
    <row r="92" spans="1:15" hidden="1">
      <c r="A92" s="24">
        <f t="shared" si="4"/>
        <v>8</v>
      </c>
      <c r="B92" s="188" t="str">
        <f>IF(AND(MONTH(E92)='IN-NX'!$J$5,'IN-NX'!$D$7=(D92&amp;"/"&amp;C92)),"x","")</f>
        <v/>
      </c>
      <c r="C92" s="185" t="s">
        <v>153</v>
      </c>
      <c r="D92" s="185" t="s">
        <v>148</v>
      </c>
      <c r="E92" s="69">
        <v>41506</v>
      </c>
      <c r="F92" s="61" t="s">
        <v>339</v>
      </c>
      <c r="G92" s="19" t="s">
        <v>114</v>
      </c>
      <c r="H92" s="189" t="s">
        <v>108</v>
      </c>
      <c r="I92" s="56" t="s">
        <v>93</v>
      </c>
      <c r="J92" s="15">
        <v>28000</v>
      </c>
      <c r="K92" s="15">
        <v>500</v>
      </c>
      <c r="L92" s="15">
        <v>14000000</v>
      </c>
      <c r="M92" s="15">
        <v>0</v>
      </c>
      <c r="N92" s="15">
        <v>0</v>
      </c>
      <c r="O92" s="15" t="str">
        <f>IF(AND(A92='BANG KE NL'!$M$11,TH!C92="NL",LEFT(D92,1)="N"),"x","")</f>
        <v/>
      </c>
    </row>
    <row r="93" spans="1:15" hidden="1">
      <c r="A93" s="24">
        <f t="shared" si="4"/>
        <v>9</v>
      </c>
      <c r="B93" s="188" t="str">
        <f>IF(AND(MONTH(E93)='IN-NX'!$J$5,'IN-NX'!$D$7=(D93&amp;"/"&amp;C93)),"x","")</f>
        <v/>
      </c>
      <c r="C93" s="185" t="s">
        <v>153</v>
      </c>
      <c r="D93" s="185" t="s">
        <v>149</v>
      </c>
      <c r="E93" s="69">
        <v>41518</v>
      </c>
      <c r="F93" s="61" t="s">
        <v>339</v>
      </c>
      <c r="G93" s="460" t="s">
        <v>158</v>
      </c>
      <c r="H93" s="189" t="s">
        <v>90</v>
      </c>
      <c r="I93" s="56" t="s">
        <v>108</v>
      </c>
      <c r="J93" s="15">
        <v>27400</v>
      </c>
      <c r="K93" s="15">
        <v>0</v>
      </c>
      <c r="L93" s="15">
        <v>0</v>
      </c>
      <c r="M93" s="15">
        <v>500</v>
      </c>
      <c r="N93" s="15">
        <v>13700000</v>
      </c>
      <c r="O93" s="15" t="str">
        <f>IF(AND(A93='BANG KE NL'!$M$11,TH!C93="NL",LEFT(D93,1)="N"),"x","")</f>
        <v/>
      </c>
    </row>
    <row r="94" spans="1:15" hidden="1">
      <c r="A94" s="24">
        <f t="shared" si="4"/>
        <v>9</v>
      </c>
      <c r="B94" s="188" t="str">
        <f>IF(AND(MONTH(E94)='IN-NX'!$J$5,'IN-NX'!$D$7=(D94&amp;"/"&amp;C94)),"x","")</f>
        <v/>
      </c>
      <c r="C94" s="185" t="s">
        <v>153</v>
      </c>
      <c r="D94" s="185" t="s">
        <v>144</v>
      </c>
      <c r="E94" s="69">
        <v>41521</v>
      </c>
      <c r="F94" s="61" t="s">
        <v>339</v>
      </c>
      <c r="G94" s="19" t="s">
        <v>114</v>
      </c>
      <c r="H94" s="189" t="s">
        <v>108</v>
      </c>
      <c r="I94" s="56" t="s">
        <v>93</v>
      </c>
      <c r="J94" s="15">
        <v>28909.09</v>
      </c>
      <c r="K94" s="15">
        <v>500</v>
      </c>
      <c r="L94" s="15">
        <v>14454545</v>
      </c>
      <c r="M94" s="15">
        <v>0</v>
      </c>
      <c r="N94" s="15">
        <v>0</v>
      </c>
      <c r="O94" s="15" t="str">
        <f>IF(AND(A94='BANG KE NL'!$M$11,TH!C94="NL",LEFT(D94,1)="N"),"x","")</f>
        <v/>
      </c>
    </row>
    <row r="95" spans="1:15" hidden="1">
      <c r="A95" s="24">
        <f t="shared" si="4"/>
        <v>9</v>
      </c>
      <c r="B95" s="188" t="str">
        <f>IF(AND(MONTH(E95)='IN-NX'!$J$5,'IN-NX'!$D$7=(D95&amp;"/"&amp;C95)),"x","")</f>
        <v/>
      </c>
      <c r="C95" s="185" t="s">
        <v>153</v>
      </c>
      <c r="D95" s="185" t="s">
        <v>152</v>
      </c>
      <c r="E95" s="69">
        <v>41532</v>
      </c>
      <c r="F95" s="61" t="s">
        <v>339</v>
      </c>
      <c r="G95" s="460" t="s">
        <v>158</v>
      </c>
      <c r="H95" s="189" t="s">
        <v>90</v>
      </c>
      <c r="I95" s="56" t="s">
        <v>108</v>
      </c>
      <c r="J95" s="15">
        <v>27400</v>
      </c>
      <c r="K95" s="15">
        <v>0</v>
      </c>
      <c r="L95" s="15">
        <v>0</v>
      </c>
      <c r="M95" s="15">
        <v>200</v>
      </c>
      <c r="N95" s="15">
        <v>5480000</v>
      </c>
      <c r="O95" s="15" t="str">
        <f>IF(AND(A95='BANG KE NL'!$M$11,TH!C95="NL",LEFT(D95,1)="N"),"x","")</f>
        <v/>
      </c>
    </row>
    <row r="96" spans="1:15" hidden="1">
      <c r="A96" s="24">
        <f t="shared" si="4"/>
        <v>10</v>
      </c>
      <c r="B96" s="188" t="str">
        <f>IF(AND(MONTH(E96)='IN-NX'!$J$5,'IN-NX'!$D$7=(D96&amp;"/"&amp;C96)),"x","")</f>
        <v/>
      </c>
      <c r="C96" s="185" t="s">
        <v>153</v>
      </c>
      <c r="D96" s="185" t="s">
        <v>143</v>
      </c>
      <c r="E96" s="69">
        <v>41552</v>
      </c>
      <c r="F96" s="61" t="s">
        <v>339</v>
      </c>
      <c r="G96" s="19" t="s">
        <v>114</v>
      </c>
      <c r="H96" s="189" t="s">
        <v>108</v>
      </c>
      <c r="I96" s="56" t="s">
        <v>93</v>
      </c>
      <c r="J96" s="15">
        <v>28309.09</v>
      </c>
      <c r="K96" s="15">
        <v>500</v>
      </c>
      <c r="L96" s="15">
        <v>14154545</v>
      </c>
      <c r="M96" s="15">
        <v>0</v>
      </c>
      <c r="N96" s="15">
        <v>0</v>
      </c>
      <c r="O96" s="15" t="str">
        <f>IF(AND(A96='BANG KE NL'!$M$11,TH!C96="NL",LEFT(D96,1)="N"),"x","")</f>
        <v/>
      </c>
    </row>
    <row r="97" spans="1:15" hidden="1">
      <c r="A97" s="24">
        <f t="shared" si="4"/>
        <v>10</v>
      </c>
      <c r="B97" s="188" t="str">
        <f>IF(AND(MONTH(E97)='IN-NX'!$J$5,'IN-NX'!$D$7=(D97&amp;"/"&amp;C97)),"x","")</f>
        <v/>
      </c>
      <c r="C97" s="185" t="s">
        <v>153</v>
      </c>
      <c r="D97" s="185" t="s">
        <v>150</v>
      </c>
      <c r="E97" s="69">
        <v>41552</v>
      </c>
      <c r="F97" s="61" t="s">
        <v>339</v>
      </c>
      <c r="G97" s="460" t="s">
        <v>158</v>
      </c>
      <c r="H97" s="189" t="s">
        <v>90</v>
      </c>
      <c r="I97" s="56" t="s">
        <v>108</v>
      </c>
      <c r="J97" s="15">
        <v>27880</v>
      </c>
      <c r="K97" s="15">
        <v>0</v>
      </c>
      <c r="L97" s="15">
        <v>0</v>
      </c>
      <c r="M97" s="15">
        <v>500</v>
      </c>
      <c r="N97" s="15">
        <v>13940000</v>
      </c>
      <c r="O97" s="15" t="str">
        <f>IF(AND(A97='BANG KE NL'!$M$11,TH!C97="NL",LEFT(D97,1)="N"),"x","")</f>
        <v/>
      </c>
    </row>
    <row r="98" spans="1:15" hidden="1">
      <c r="A98" s="24">
        <f t="shared" si="4"/>
        <v>10</v>
      </c>
      <c r="B98" s="188" t="str">
        <f>IF(AND(MONTH(E98)='IN-NX'!$J$5,'IN-NX'!$D$7=(D98&amp;"/"&amp;C98)),"x","")</f>
        <v/>
      </c>
      <c r="C98" s="185" t="s">
        <v>153</v>
      </c>
      <c r="D98" s="185" t="s">
        <v>161</v>
      </c>
      <c r="E98" s="69">
        <v>41566</v>
      </c>
      <c r="F98" s="61" t="s">
        <v>339</v>
      </c>
      <c r="G98" s="19" t="s">
        <v>114</v>
      </c>
      <c r="H98" s="189" t="s">
        <v>108</v>
      </c>
      <c r="I98" s="56" t="s">
        <v>93</v>
      </c>
      <c r="J98" s="15">
        <v>28309.09</v>
      </c>
      <c r="K98" s="15">
        <v>500</v>
      </c>
      <c r="L98" s="15">
        <v>14154545</v>
      </c>
      <c r="M98" s="15">
        <v>0</v>
      </c>
      <c r="N98" s="15">
        <v>0</v>
      </c>
      <c r="O98" s="15" t="str">
        <f>IF(AND(A98='BANG KE NL'!$M$11,TH!C98="NL",LEFT(D98,1)="N"),"x","")</f>
        <v/>
      </c>
    </row>
    <row r="99" spans="1:15" hidden="1">
      <c r="A99" s="24">
        <f t="shared" si="4"/>
        <v>10</v>
      </c>
      <c r="B99" s="188" t="str">
        <f>IF(AND(MONTH(E99)='IN-NX'!$J$5,'IN-NX'!$D$7=(D99&amp;"/"&amp;C99)),"x","")</f>
        <v/>
      </c>
      <c r="C99" s="185" t="s">
        <v>153</v>
      </c>
      <c r="D99" s="185" t="s">
        <v>165</v>
      </c>
      <c r="E99" s="69">
        <v>41575</v>
      </c>
      <c r="F99" s="61" t="s">
        <v>339</v>
      </c>
      <c r="G99" s="19" t="s">
        <v>114</v>
      </c>
      <c r="H99" s="189" t="s">
        <v>108</v>
      </c>
      <c r="I99" s="56" t="s">
        <v>93</v>
      </c>
      <c r="J99" s="15">
        <v>28309.09</v>
      </c>
      <c r="K99" s="15">
        <v>500</v>
      </c>
      <c r="L99" s="15">
        <v>14154545</v>
      </c>
      <c r="M99" s="15">
        <v>0</v>
      </c>
      <c r="N99" s="15">
        <v>0</v>
      </c>
      <c r="O99" s="15" t="str">
        <f>IF(AND(A99='BANG KE NL'!$M$11,TH!C99="NL",LEFT(D99,1)="N"),"x","")</f>
        <v/>
      </c>
    </row>
    <row r="100" spans="1:15" hidden="1">
      <c r="A100" s="24">
        <f t="shared" si="4"/>
        <v>11</v>
      </c>
      <c r="B100" s="188" t="str">
        <f>IF(AND(MONTH(E100)='IN-NX'!$J$5,'IN-NX'!$D$7=(D100&amp;"/"&amp;C100)),"x","")</f>
        <v/>
      </c>
      <c r="C100" s="185" t="s">
        <v>153</v>
      </c>
      <c r="D100" s="185" t="s">
        <v>159</v>
      </c>
      <c r="E100" s="69">
        <v>41585</v>
      </c>
      <c r="F100" s="61" t="s">
        <v>339</v>
      </c>
      <c r="G100" s="460" t="s">
        <v>158</v>
      </c>
      <c r="H100" s="189" t="s">
        <v>90</v>
      </c>
      <c r="I100" s="56" t="s">
        <v>108</v>
      </c>
      <c r="J100" s="15">
        <v>28000</v>
      </c>
      <c r="K100" s="15">
        <v>0</v>
      </c>
      <c r="L100" s="15">
        <v>0</v>
      </c>
      <c r="M100" s="15">
        <v>400</v>
      </c>
      <c r="N100" s="15">
        <v>11200000</v>
      </c>
      <c r="O100" s="15" t="str">
        <f>IF(AND(A100='BANG KE NL'!$M$11,TH!C100="NL",LEFT(D100,1)="N"),"x","")</f>
        <v/>
      </c>
    </row>
    <row r="101" spans="1:15">
      <c r="A101" s="24">
        <f t="shared" si="4"/>
        <v>12</v>
      </c>
      <c r="B101" s="188" t="str">
        <f>IF(AND(MONTH(E101)='IN-NX'!$J$5,'IN-NX'!$D$7=(D101&amp;"/"&amp;C101)),"x","")</f>
        <v/>
      </c>
      <c r="C101" s="185" t="s">
        <v>153</v>
      </c>
      <c r="D101" s="185" t="s">
        <v>150</v>
      </c>
      <c r="E101" s="69">
        <v>41612</v>
      </c>
      <c r="F101" s="61" t="s">
        <v>339</v>
      </c>
      <c r="G101" s="460" t="s">
        <v>158</v>
      </c>
      <c r="H101" s="189" t="s">
        <v>90</v>
      </c>
      <c r="I101" s="56" t="s">
        <v>108</v>
      </c>
      <c r="J101" s="15">
        <v>28649.35</v>
      </c>
      <c r="K101" s="15">
        <v>0</v>
      </c>
      <c r="L101" s="15">
        <v>0</v>
      </c>
      <c r="M101" s="15">
        <v>700</v>
      </c>
      <c r="N101" s="15">
        <v>20054545</v>
      </c>
      <c r="O101" s="15" t="str">
        <f>IF(AND(A101='BANG KE NL'!$M$11,TH!C101="NL",LEFT(D101,1)="N"),"x","")</f>
        <v/>
      </c>
    </row>
    <row r="102" spans="1:15" hidden="1">
      <c r="A102" s="24">
        <f t="shared" si="4"/>
        <v>3</v>
      </c>
      <c r="B102" s="188" t="str">
        <f>IF(AND(MONTH(E102)='IN-NX'!$J$5,'IN-NX'!$D$7=(D102&amp;"/"&amp;C102)),"x","")</f>
        <v/>
      </c>
      <c r="C102" s="185" t="s">
        <v>153</v>
      </c>
      <c r="D102" s="185" t="s">
        <v>147</v>
      </c>
      <c r="E102" s="69">
        <v>41358</v>
      </c>
      <c r="F102" s="61" t="s">
        <v>340</v>
      </c>
      <c r="G102" s="19" t="s">
        <v>431</v>
      </c>
      <c r="H102" s="189" t="s">
        <v>108</v>
      </c>
      <c r="I102" s="56" t="s">
        <v>93</v>
      </c>
      <c r="J102" s="15">
        <v>4700</v>
      </c>
      <c r="K102" s="15">
        <v>3000</v>
      </c>
      <c r="L102" s="15">
        <v>14100000</v>
      </c>
      <c r="M102" s="15">
        <v>0</v>
      </c>
      <c r="N102" s="15">
        <v>0</v>
      </c>
      <c r="O102" s="15" t="str">
        <f>IF(AND(A102='BANG KE NL'!$M$11,TH!C102="NL",LEFT(D102,1)="N"),"x","")</f>
        <v/>
      </c>
    </row>
    <row r="103" spans="1:15" hidden="1">
      <c r="A103" s="24">
        <f t="shared" si="4"/>
        <v>3</v>
      </c>
      <c r="B103" s="188" t="str">
        <f>IF(AND(MONTH(E103)='IN-NX'!$J$5,'IN-NX'!$D$7=(D103&amp;"/"&amp;C103)),"x","")</f>
        <v/>
      </c>
      <c r="C103" s="185" t="s">
        <v>153</v>
      </c>
      <c r="D103" s="185" t="s">
        <v>159</v>
      </c>
      <c r="E103" s="69">
        <v>41358</v>
      </c>
      <c r="F103" s="61" t="s">
        <v>340</v>
      </c>
      <c r="G103" s="460" t="s">
        <v>158</v>
      </c>
      <c r="H103" s="189" t="s">
        <v>90</v>
      </c>
      <c r="I103" s="56" t="s">
        <v>108</v>
      </c>
      <c r="J103" s="15">
        <v>4698.7242524916946</v>
      </c>
      <c r="K103" s="15">
        <v>0</v>
      </c>
      <c r="L103" s="15">
        <v>0</v>
      </c>
      <c r="M103" s="15">
        <v>301</v>
      </c>
      <c r="N103" s="15">
        <v>1414316</v>
      </c>
      <c r="O103" s="15" t="str">
        <f>IF(AND(A103='BANG KE NL'!$M$11,TH!C103="NL",LEFT(D103,1)="N"),"x","")</f>
        <v/>
      </c>
    </row>
    <row r="104" spans="1:15" hidden="1">
      <c r="A104" s="24">
        <f t="shared" si="4"/>
        <v>4</v>
      </c>
      <c r="B104" s="188" t="str">
        <f>IF(AND(MONTH(E104)='IN-NX'!$J$5,'IN-NX'!$D$7=(D104&amp;"/"&amp;C104)),"x","")</f>
        <v/>
      </c>
      <c r="C104" s="185" t="s">
        <v>153</v>
      </c>
      <c r="D104" s="185" t="s">
        <v>149</v>
      </c>
      <c r="E104" s="69">
        <v>41365</v>
      </c>
      <c r="F104" s="61" t="s">
        <v>340</v>
      </c>
      <c r="G104" s="460" t="s">
        <v>158</v>
      </c>
      <c r="H104" s="189" t="s">
        <v>90</v>
      </c>
      <c r="I104" s="56" t="s">
        <v>108</v>
      </c>
      <c r="J104" s="15">
        <v>4700</v>
      </c>
      <c r="K104" s="15">
        <v>0</v>
      </c>
      <c r="L104" s="15">
        <v>0</v>
      </c>
      <c r="M104" s="15">
        <v>700</v>
      </c>
      <c r="N104" s="15">
        <v>3290000</v>
      </c>
      <c r="O104" s="15" t="str">
        <f>IF(AND(A104='BANG KE NL'!$M$11,TH!C104="NL",LEFT(D104,1)="N"),"x","")</f>
        <v/>
      </c>
    </row>
    <row r="105" spans="1:15" hidden="1">
      <c r="A105" s="24">
        <f t="shared" si="4"/>
        <v>5</v>
      </c>
      <c r="B105" s="188" t="str">
        <f>IF(AND(MONTH(E105)='IN-NX'!$J$5,'IN-NX'!$D$7=(D105&amp;"/"&amp;C105)),"x","")</f>
        <v/>
      </c>
      <c r="C105" s="185" t="s">
        <v>153</v>
      </c>
      <c r="D105" s="185" t="s">
        <v>149</v>
      </c>
      <c r="E105" s="69">
        <v>41397</v>
      </c>
      <c r="F105" s="61" t="s">
        <v>340</v>
      </c>
      <c r="G105" s="460" t="s">
        <v>158</v>
      </c>
      <c r="H105" s="189" t="s">
        <v>90</v>
      </c>
      <c r="I105" s="56" t="s">
        <v>108</v>
      </c>
      <c r="J105" s="15">
        <v>4700</v>
      </c>
      <c r="K105" s="15">
        <v>0</v>
      </c>
      <c r="L105" s="15">
        <v>0</v>
      </c>
      <c r="M105" s="15">
        <v>450</v>
      </c>
      <c r="N105" s="15">
        <v>2115000</v>
      </c>
      <c r="O105" s="15" t="str">
        <f>IF(AND(A105='BANG KE NL'!$M$11,TH!C105="NL",LEFT(D105,1)="N"),"x","")</f>
        <v/>
      </c>
    </row>
    <row r="106" spans="1:15" hidden="1">
      <c r="A106" s="24">
        <f t="shared" si="4"/>
        <v>6</v>
      </c>
      <c r="B106" s="188" t="str">
        <f>IF(AND(MONTH(E106)='IN-NX'!$J$5,'IN-NX'!$D$7=(D106&amp;"/"&amp;C106)),"x","")</f>
        <v/>
      </c>
      <c r="C106" s="185" t="s">
        <v>153</v>
      </c>
      <c r="D106" s="185" t="s">
        <v>149</v>
      </c>
      <c r="E106" s="69">
        <v>41427</v>
      </c>
      <c r="F106" s="61" t="s">
        <v>340</v>
      </c>
      <c r="G106" s="460" t="s">
        <v>158</v>
      </c>
      <c r="H106" s="189" t="s">
        <v>90</v>
      </c>
      <c r="I106" s="56" t="s">
        <v>108</v>
      </c>
      <c r="J106" s="15">
        <v>4700</v>
      </c>
      <c r="K106" s="15">
        <v>0</v>
      </c>
      <c r="L106" s="15">
        <v>0</v>
      </c>
      <c r="M106" s="15">
        <v>90</v>
      </c>
      <c r="N106" s="15">
        <v>423000</v>
      </c>
      <c r="O106" s="15" t="str">
        <f>IF(AND(A106='BANG KE NL'!$M$11,TH!C106="NL",LEFT(D106,1)="N"),"x","")</f>
        <v/>
      </c>
    </row>
    <row r="107" spans="1:15" hidden="1">
      <c r="A107" s="24">
        <f t="shared" si="4"/>
        <v>7</v>
      </c>
      <c r="B107" s="188" t="str">
        <f>IF(AND(MONTH(E107)='IN-NX'!$J$5,'IN-NX'!$D$7=(D107&amp;"/"&amp;C107)),"x","")</f>
        <v/>
      </c>
      <c r="C107" s="185" t="s">
        <v>153</v>
      </c>
      <c r="D107" s="185" t="s">
        <v>150</v>
      </c>
      <c r="E107" s="69">
        <v>41458</v>
      </c>
      <c r="F107" s="61" t="s">
        <v>340</v>
      </c>
      <c r="G107" s="460" t="s">
        <v>158</v>
      </c>
      <c r="H107" s="189" t="s">
        <v>90</v>
      </c>
      <c r="I107" s="56" t="s">
        <v>108</v>
      </c>
      <c r="J107" s="15">
        <v>4700</v>
      </c>
      <c r="K107" s="15">
        <v>0</v>
      </c>
      <c r="L107" s="15">
        <v>0</v>
      </c>
      <c r="M107" s="15">
        <v>110</v>
      </c>
      <c r="N107" s="15">
        <v>517000</v>
      </c>
      <c r="O107" s="15" t="str">
        <f>IF(AND(A107='BANG KE NL'!$M$11,TH!C107="NL",LEFT(D107,1)="N"),"x","")</f>
        <v/>
      </c>
    </row>
    <row r="108" spans="1:15" hidden="1">
      <c r="A108" s="24">
        <f t="shared" si="4"/>
        <v>8</v>
      </c>
      <c r="B108" s="188" t="str">
        <f>IF(AND(MONTH(E108)='IN-NX'!$J$5,'IN-NX'!$D$7=(D108&amp;"/"&amp;C108)),"x","")</f>
        <v/>
      </c>
      <c r="C108" s="185" t="s">
        <v>153</v>
      </c>
      <c r="D108" s="185" t="s">
        <v>150</v>
      </c>
      <c r="E108" s="69">
        <v>41491</v>
      </c>
      <c r="F108" s="61" t="s">
        <v>340</v>
      </c>
      <c r="G108" s="460" t="s">
        <v>158</v>
      </c>
      <c r="H108" s="189" t="s">
        <v>90</v>
      </c>
      <c r="I108" s="56" t="s">
        <v>108</v>
      </c>
      <c r="J108" s="15">
        <v>4700</v>
      </c>
      <c r="K108" s="15">
        <v>0</v>
      </c>
      <c r="L108" s="15">
        <v>0</v>
      </c>
      <c r="M108" s="15">
        <v>720</v>
      </c>
      <c r="N108" s="15">
        <v>3384000</v>
      </c>
      <c r="O108" s="15" t="str">
        <f>IF(AND(A108='BANG KE NL'!$M$11,TH!C108="NL",LEFT(D108,1)="N"),"x","")</f>
        <v/>
      </c>
    </row>
    <row r="109" spans="1:15" hidden="1">
      <c r="A109" s="24">
        <f t="shared" si="4"/>
        <v>9</v>
      </c>
      <c r="B109" s="188" t="str">
        <f>IF(AND(MONTH(E109)='IN-NX'!$J$5,'IN-NX'!$D$7=(D109&amp;"/"&amp;C109)),"x","")</f>
        <v/>
      </c>
      <c r="C109" s="185" t="s">
        <v>153</v>
      </c>
      <c r="D109" s="185" t="s">
        <v>143</v>
      </c>
      <c r="E109" s="69">
        <v>41521</v>
      </c>
      <c r="F109" s="61" t="s">
        <v>340</v>
      </c>
      <c r="G109" s="19" t="s">
        <v>109</v>
      </c>
      <c r="H109" s="189" t="s">
        <v>108</v>
      </c>
      <c r="I109" s="56" t="s">
        <v>93</v>
      </c>
      <c r="J109" s="15">
        <v>4700</v>
      </c>
      <c r="K109" s="15">
        <v>3000</v>
      </c>
      <c r="L109" s="15">
        <v>14100000</v>
      </c>
      <c r="M109" s="15">
        <v>0</v>
      </c>
      <c r="N109" s="15">
        <v>0</v>
      </c>
      <c r="O109" s="15" t="str">
        <f>IF(AND(A109='BANG KE NL'!$M$11,TH!C109="NL",LEFT(D109,1)="N"),"x","")</f>
        <v/>
      </c>
    </row>
    <row r="110" spans="1:15" hidden="1">
      <c r="A110" s="24">
        <f t="shared" si="4"/>
        <v>9</v>
      </c>
      <c r="B110" s="188" t="str">
        <f>IF(AND(MONTH(E110)='IN-NX'!$J$5,'IN-NX'!$D$7=(D110&amp;"/"&amp;C110)),"x","")</f>
        <v/>
      </c>
      <c r="C110" s="185" t="s">
        <v>153</v>
      </c>
      <c r="D110" s="185" t="s">
        <v>150</v>
      </c>
      <c r="E110" s="69">
        <v>41521</v>
      </c>
      <c r="F110" s="61" t="s">
        <v>340</v>
      </c>
      <c r="G110" s="460" t="s">
        <v>158</v>
      </c>
      <c r="H110" s="189" t="s">
        <v>90</v>
      </c>
      <c r="I110" s="56" t="s">
        <v>108</v>
      </c>
      <c r="J110" s="15">
        <v>4700</v>
      </c>
      <c r="K110" s="15">
        <v>0</v>
      </c>
      <c r="L110" s="15">
        <v>0</v>
      </c>
      <c r="M110" s="15">
        <v>370</v>
      </c>
      <c r="N110" s="15">
        <v>1739000</v>
      </c>
      <c r="O110" s="15" t="str">
        <f>IF(AND(A110='BANG KE NL'!$M$11,TH!C110="NL",LEFT(D110,1)="N"),"x","")</f>
        <v/>
      </c>
    </row>
    <row r="111" spans="1:15" hidden="1">
      <c r="A111" s="24">
        <f t="shared" si="4"/>
        <v>10</v>
      </c>
      <c r="B111" s="188" t="str">
        <f>IF(AND(MONTH(E111)='IN-NX'!$J$5,'IN-NX'!$D$7=(D111&amp;"/"&amp;C111)),"x","")</f>
        <v/>
      </c>
      <c r="C111" s="185" t="s">
        <v>153</v>
      </c>
      <c r="D111" s="185" t="s">
        <v>149</v>
      </c>
      <c r="E111" s="69">
        <v>41551</v>
      </c>
      <c r="F111" s="61" t="s">
        <v>340</v>
      </c>
      <c r="G111" s="460" t="s">
        <v>158</v>
      </c>
      <c r="H111" s="189" t="s">
        <v>90</v>
      </c>
      <c r="I111" s="56" t="s">
        <v>108</v>
      </c>
      <c r="J111" s="15">
        <v>4700</v>
      </c>
      <c r="K111" s="15">
        <v>0</v>
      </c>
      <c r="L111" s="15">
        <v>0</v>
      </c>
      <c r="M111" s="15">
        <v>425</v>
      </c>
      <c r="N111" s="15">
        <v>1997500</v>
      </c>
      <c r="O111" s="15" t="str">
        <f>IF(AND(A111='BANG KE NL'!$M$11,TH!C111="NL",LEFT(D111,1)="N"),"x","")</f>
        <v/>
      </c>
    </row>
    <row r="112" spans="1:15" hidden="1">
      <c r="A112" s="24">
        <f t="shared" si="4"/>
        <v>11</v>
      </c>
      <c r="B112" s="188" t="str">
        <f>IF(AND(MONTH(E112)='IN-NX'!$J$5,'IN-NX'!$D$7=(D112&amp;"/"&amp;C112)),"x","")</f>
        <v/>
      </c>
      <c r="C112" s="185" t="s">
        <v>153</v>
      </c>
      <c r="D112" s="185" t="s">
        <v>149</v>
      </c>
      <c r="E112" s="69">
        <v>41579</v>
      </c>
      <c r="F112" s="61" t="s">
        <v>340</v>
      </c>
      <c r="G112" s="460" t="s">
        <v>158</v>
      </c>
      <c r="H112" s="189" t="s">
        <v>90</v>
      </c>
      <c r="I112" s="56" t="s">
        <v>108</v>
      </c>
      <c r="J112" s="15">
        <v>4700</v>
      </c>
      <c r="K112" s="15">
        <v>0</v>
      </c>
      <c r="L112" s="15">
        <v>0</v>
      </c>
      <c r="M112" s="15">
        <v>275</v>
      </c>
      <c r="N112" s="15">
        <v>1292500</v>
      </c>
      <c r="O112" s="15" t="str">
        <f>IF(AND(A112='BANG KE NL'!$M$11,TH!C112="NL",LEFT(D112,1)="N"),"x","")</f>
        <v/>
      </c>
    </row>
    <row r="113" spans="1:15" hidden="1">
      <c r="A113" s="24">
        <f t="shared" si="4"/>
        <v>11</v>
      </c>
      <c r="B113" s="188" t="str">
        <f>IF(AND(MONTH(E113)='IN-NX'!$J$5,'IN-NX'!$D$7=(D113&amp;"/"&amp;C113)),"x","")</f>
        <v/>
      </c>
      <c r="C113" s="185" t="s">
        <v>153</v>
      </c>
      <c r="D113" s="185" t="s">
        <v>164</v>
      </c>
      <c r="E113" s="69">
        <v>41607</v>
      </c>
      <c r="F113" s="61" t="s">
        <v>340</v>
      </c>
      <c r="G113" s="19" t="s">
        <v>109</v>
      </c>
      <c r="H113" s="189" t="s">
        <v>108</v>
      </c>
      <c r="I113" s="56" t="s">
        <v>93</v>
      </c>
      <c r="J113" s="15">
        <v>4000</v>
      </c>
      <c r="K113" s="15">
        <v>1000</v>
      </c>
      <c r="L113" s="15">
        <v>4000000</v>
      </c>
      <c r="M113" s="15">
        <v>0</v>
      </c>
      <c r="N113" s="15">
        <v>0</v>
      </c>
      <c r="O113" s="15" t="str">
        <f>IF(AND(A113='BANG KE NL'!$M$11,TH!C113="NL",LEFT(D113,1)="N"),"x","")</f>
        <v/>
      </c>
    </row>
    <row r="114" spans="1:15">
      <c r="A114" s="24">
        <f t="shared" si="4"/>
        <v>12</v>
      </c>
      <c r="B114" s="188" t="str">
        <f>IF(AND(MONTH(E114)='IN-NX'!$J$5,'IN-NX'!$D$7=(D114&amp;"/"&amp;C114)),"x","")</f>
        <v/>
      </c>
      <c r="C114" s="185" t="s">
        <v>153</v>
      </c>
      <c r="D114" s="185" t="s">
        <v>149</v>
      </c>
      <c r="E114" s="69">
        <v>41610</v>
      </c>
      <c r="F114" s="61" t="s">
        <v>340</v>
      </c>
      <c r="G114" s="460" t="s">
        <v>158</v>
      </c>
      <c r="H114" s="189" t="s">
        <v>90</v>
      </c>
      <c r="I114" s="56" t="s">
        <v>108</v>
      </c>
      <c r="J114" s="15">
        <v>4700</v>
      </c>
      <c r="K114" s="15">
        <v>0</v>
      </c>
      <c r="L114" s="15">
        <v>0</v>
      </c>
      <c r="M114" s="15">
        <v>850</v>
      </c>
      <c r="N114" s="15">
        <v>3995000</v>
      </c>
      <c r="O114" s="15" t="str">
        <f>IF(AND(A114='BANG KE NL'!$M$11,TH!C114="NL",LEFT(D114,1)="N"),"x","")</f>
        <v/>
      </c>
    </row>
    <row r="115" spans="1:15" hidden="1">
      <c r="A115" s="24">
        <f t="shared" si="4"/>
        <v>10</v>
      </c>
      <c r="B115" s="188" t="str">
        <f>IF(AND(MONTH(E115)='IN-NX'!$J$5,'IN-NX'!$D$7=(D115&amp;"/"&amp;C115)),"x","")</f>
        <v/>
      </c>
      <c r="C115" s="185" t="s">
        <v>153</v>
      </c>
      <c r="D115" s="185" t="s">
        <v>144</v>
      </c>
      <c r="E115" s="69">
        <v>41554</v>
      </c>
      <c r="F115" s="61" t="s">
        <v>55</v>
      </c>
      <c r="G115" s="19" t="s">
        <v>293</v>
      </c>
      <c r="H115" s="189" t="s">
        <v>108</v>
      </c>
      <c r="I115" s="56" t="s">
        <v>93</v>
      </c>
      <c r="J115" s="15">
        <v>34700</v>
      </c>
      <c r="K115" s="15">
        <v>3</v>
      </c>
      <c r="L115" s="15">
        <v>104100</v>
      </c>
      <c r="M115" s="15">
        <v>0</v>
      </c>
      <c r="N115" s="15">
        <v>0</v>
      </c>
      <c r="O115" s="15" t="str">
        <f>IF(AND(A115='BANG KE NL'!$M$11,TH!C115="NL",LEFT(D115,1)="N"),"x","")</f>
        <v/>
      </c>
    </row>
    <row r="116" spans="1:15" hidden="1">
      <c r="A116" s="24">
        <f t="shared" si="4"/>
        <v>10</v>
      </c>
      <c r="B116" s="188" t="str">
        <f>IF(AND(MONTH(E116)='IN-NX'!$J$5,'IN-NX'!$D$7=(D116&amp;"/"&amp;C116)),"x","")</f>
        <v/>
      </c>
      <c r="C116" s="185" t="s">
        <v>153</v>
      </c>
      <c r="D116" s="185" t="s">
        <v>145</v>
      </c>
      <c r="E116" s="69">
        <v>41554</v>
      </c>
      <c r="F116" s="61" t="s">
        <v>55</v>
      </c>
      <c r="G116" s="19" t="s">
        <v>293</v>
      </c>
      <c r="H116" s="189" t="s">
        <v>108</v>
      </c>
      <c r="I116" s="56" t="s">
        <v>93</v>
      </c>
      <c r="J116" s="15">
        <v>34700</v>
      </c>
      <c r="K116" s="15">
        <v>497</v>
      </c>
      <c r="L116" s="15">
        <v>17245900</v>
      </c>
      <c r="M116" s="15">
        <v>0</v>
      </c>
      <c r="N116" s="15">
        <v>0</v>
      </c>
      <c r="O116" s="15" t="str">
        <f>IF(AND(A116='BANG KE NL'!$M$11,TH!C116="NL",LEFT(D116,1)="N"),"x","")</f>
        <v/>
      </c>
    </row>
    <row r="117" spans="1:15" hidden="1">
      <c r="A117" s="24">
        <f t="shared" si="4"/>
        <v>10</v>
      </c>
      <c r="B117" s="188" t="str">
        <f>IF(AND(MONTH(E117)='IN-NX'!$J$5,'IN-NX'!$D$7=(D117&amp;"/"&amp;C117)),"x","")</f>
        <v/>
      </c>
      <c r="C117" s="185" t="s">
        <v>153</v>
      </c>
      <c r="D117" s="185" t="s">
        <v>151</v>
      </c>
      <c r="E117" s="69">
        <v>41555</v>
      </c>
      <c r="F117" s="61" t="s">
        <v>55</v>
      </c>
      <c r="G117" s="460" t="s">
        <v>158</v>
      </c>
      <c r="H117" s="189" t="s">
        <v>90</v>
      </c>
      <c r="I117" s="56" t="s">
        <v>108</v>
      </c>
      <c r="J117" s="15">
        <v>34700</v>
      </c>
      <c r="K117" s="15">
        <v>0</v>
      </c>
      <c r="L117" s="15">
        <v>0</v>
      </c>
      <c r="M117" s="15">
        <v>3</v>
      </c>
      <c r="N117" s="15">
        <v>104100</v>
      </c>
      <c r="O117" s="15" t="str">
        <f>IF(AND(A117='BANG KE NL'!$M$11,TH!C117="NL",LEFT(D117,1)="N"),"x","")</f>
        <v/>
      </c>
    </row>
    <row r="118" spans="1:15" hidden="1">
      <c r="A118" s="24">
        <f t="shared" si="4"/>
        <v>10</v>
      </c>
      <c r="B118" s="188" t="str">
        <f>IF(AND(MONTH(E118)='IN-NX'!$J$5,'IN-NX'!$D$7=(D118&amp;"/"&amp;C118)),"x","")</f>
        <v/>
      </c>
      <c r="C118" s="185" t="s">
        <v>153</v>
      </c>
      <c r="D118" s="185" t="s">
        <v>151</v>
      </c>
      <c r="E118" s="69">
        <v>41555</v>
      </c>
      <c r="F118" s="61" t="s">
        <v>55</v>
      </c>
      <c r="G118" s="460" t="s">
        <v>158</v>
      </c>
      <c r="H118" s="189" t="s">
        <v>90</v>
      </c>
      <c r="I118" s="56" t="s">
        <v>108</v>
      </c>
      <c r="J118" s="15">
        <v>34700</v>
      </c>
      <c r="K118" s="15">
        <v>0</v>
      </c>
      <c r="L118" s="15">
        <v>0</v>
      </c>
      <c r="M118" s="15">
        <v>497</v>
      </c>
      <c r="N118" s="15">
        <v>17245900</v>
      </c>
      <c r="O118" s="15" t="str">
        <f>IF(AND(A118='BANG KE NL'!$M$11,TH!C118="NL",LEFT(D118,1)="N"),"x","")</f>
        <v/>
      </c>
    </row>
    <row r="119" spans="1:15" hidden="1">
      <c r="A119" s="24">
        <f t="shared" si="4"/>
        <v>10</v>
      </c>
      <c r="B119" s="188" t="str">
        <f>IF(AND(MONTH(E119)='IN-NX'!$J$5,'IN-NX'!$D$7=(D119&amp;"/"&amp;C119)),"x","")</f>
        <v/>
      </c>
      <c r="C119" s="185" t="s">
        <v>153</v>
      </c>
      <c r="D119" s="185" t="s">
        <v>147</v>
      </c>
      <c r="E119" s="69">
        <v>41564</v>
      </c>
      <c r="F119" s="61" t="s">
        <v>55</v>
      </c>
      <c r="G119" s="19" t="s">
        <v>293</v>
      </c>
      <c r="H119" s="189" t="s">
        <v>108</v>
      </c>
      <c r="I119" s="56" t="s">
        <v>93</v>
      </c>
      <c r="J119" s="15">
        <v>34700</v>
      </c>
      <c r="K119" s="15">
        <v>300</v>
      </c>
      <c r="L119" s="15">
        <v>10410000</v>
      </c>
      <c r="M119" s="15">
        <v>0</v>
      </c>
      <c r="N119" s="15">
        <v>0</v>
      </c>
      <c r="O119" s="15" t="str">
        <f>IF(AND(A119='BANG KE NL'!$M$11,TH!C119="NL",LEFT(D119,1)="N"),"x","")</f>
        <v/>
      </c>
    </row>
    <row r="120" spans="1:15" hidden="1">
      <c r="A120" s="24">
        <f t="shared" si="4"/>
        <v>10</v>
      </c>
      <c r="B120" s="188" t="str">
        <f>IF(AND(MONTH(E120)='IN-NX'!$J$5,'IN-NX'!$D$7=(D120&amp;"/"&amp;C120)),"x","")</f>
        <v/>
      </c>
      <c r="C120" s="185" t="s">
        <v>153</v>
      </c>
      <c r="D120" s="185" t="s">
        <v>148</v>
      </c>
      <c r="E120" s="69">
        <v>41565</v>
      </c>
      <c r="F120" s="61" t="s">
        <v>55</v>
      </c>
      <c r="G120" s="19" t="s">
        <v>293</v>
      </c>
      <c r="H120" s="189" t="s">
        <v>108</v>
      </c>
      <c r="I120" s="56" t="s">
        <v>93</v>
      </c>
      <c r="J120" s="15">
        <v>34700</v>
      </c>
      <c r="K120" s="15">
        <v>400</v>
      </c>
      <c r="L120" s="15">
        <v>13880000</v>
      </c>
      <c r="M120" s="15">
        <v>0</v>
      </c>
      <c r="N120" s="15">
        <v>0</v>
      </c>
      <c r="O120" s="15" t="str">
        <f>IF(AND(A120='BANG KE NL'!$M$11,TH!C120="NL",LEFT(D120,1)="N"),"x","")</f>
        <v/>
      </c>
    </row>
    <row r="121" spans="1:15" hidden="1">
      <c r="A121" s="24">
        <f t="shared" si="4"/>
        <v>10</v>
      </c>
      <c r="B121" s="188" t="str">
        <f>IF(AND(MONTH(E121)='IN-NX'!$J$5,'IN-NX'!$D$7=(D121&amp;"/"&amp;C121)),"x","")</f>
        <v/>
      </c>
      <c r="C121" s="185" t="s">
        <v>153</v>
      </c>
      <c r="D121" s="185" t="s">
        <v>159</v>
      </c>
      <c r="E121" s="69">
        <v>41565</v>
      </c>
      <c r="F121" s="61" t="s">
        <v>55</v>
      </c>
      <c r="G121" s="460" t="s">
        <v>158</v>
      </c>
      <c r="H121" s="189" t="s">
        <v>90</v>
      </c>
      <c r="I121" s="56" t="s">
        <v>108</v>
      </c>
      <c r="J121" s="15">
        <v>34700</v>
      </c>
      <c r="K121" s="15">
        <v>0</v>
      </c>
      <c r="L121" s="15">
        <v>0</v>
      </c>
      <c r="M121" s="15">
        <v>300</v>
      </c>
      <c r="N121" s="15">
        <v>10410000</v>
      </c>
      <c r="O121" s="15" t="str">
        <f>IF(AND(A121='BANG KE NL'!$M$11,TH!C121="NL",LEFT(D121,1)="N"),"x","")</f>
        <v/>
      </c>
    </row>
    <row r="122" spans="1:15" hidden="1">
      <c r="A122" s="24">
        <f t="shared" si="4"/>
        <v>10</v>
      </c>
      <c r="B122" s="188" t="str">
        <f>IF(AND(MONTH(E122)='IN-NX'!$J$5,'IN-NX'!$D$7=(D122&amp;"/"&amp;C122)),"x","")</f>
        <v/>
      </c>
      <c r="C122" s="185" t="s">
        <v>153</v>
      </c>
      <c r="D122" s="185" t="s">
        <v>197</v>
      </c>
      <c r="E122" s="69">
        <v>41566</v>
      </c>
      <c r="F122" s="61" t="s">
        <v>55</v>
      </c>
      <c r="G122" s="460" t="s">
        <v>158</v>
      </c>
      <c r="H122" s="189" t="s">
        <v>90</v>
      </c>
      <c r="I122" s="56" t="s">
        <v>108</v>
      </c>
      <c r="J122" s="15">
        <v>34700</v>
      </c>
      <c r="K122" s="15">
        <v>0</v>
      </c>
      <c r="L122" s="15">
        <v>0</v>
      </c>
      <c r="M122" s="15">
        <v>400</v>
      </c>
      <c r="N122" s="15">
        <v>13880000</v>
      </c>
      <c r="O122" s="15" t="str">
        <f>IF(AND(A122='BANG KE NL'!$M$11,TH!C122="NL",LEFT(D122,1)="N"),"x","")</f>
        <v/>
      </c>
    </row>
    <row r="123" spans="1:15" hidden="1">
      <c r="A123" s="24">
        <f t="shared" si="4"/>
        <v>10</v>
      </c>
      <c r="B123" s="188" t="str">
        <f>IF(AND(MONTH(E123)='IN-NX'!$J$5,'IN-NX'!$D$7=(D123&amp;"/"&amp;C123)),"x","")</f>
        <v/>
      </c>
      <c r="C123" s="185" t="s">
        <v>153</v>
      </c>
      <c r="D123" s="185" t="s">
        <v>167</v>
      </c>
      <c r="E123" s="69">
        <v>41576</v>
      </c>
      <c r="F123" s="61" t="s">
        <v>55</v>
      </c>
      <c r="G123" s="19" t="s">
        <v>293</v>
      </c>
      <c r="H123" s="189" t="s">
        <v>108</v>
      </c>
      <c r="I123" s="56" t="s">
        <v>93</v>
      </c>
      <c r="J123" s="15">
        <v>34700</v>
      </c>
      <c r="K123" s="15">
        <v>200</v>
      </c>
      <c r="L123" s="15">
        <v>6940000</v>
      </c>
      <c r="M123" s="15">
        <v>0</v>
      </c>
      <c r="N123" s="15">
        <v>0</v>
      </c>
      <c r="O123" s="15" t="str">
        <f>IF(AND(A123='BANG KE NL'!$M$11,TH!C123="NL",LEFT(D123,1)="N"),"x","")</f>
        <v/>
      </c>
    </row>
    <row r="124" spans="1:15" hidden="1">
      <c r="A124" s="24">
        <f t="shared" si="4"/>
        <v>10</v>
      </c>
      <c r="B124" s="188" t="str">
        <f>IF(AND(MONTH(E124)='IN-NX'!$J$5,'IN-NX'!$D$7=(D124&amp;"/"&amp;C124)),"x","")</f>
        <v/>
      </c>
      <c r="C124" s="185" t="s">
        <v>153</v>
      </c>
      <c r="D124" s="185" t="s">
        <v>200</v>
      </c>
      <c r="E124" s="69">
        <v>41576</v>
      </c>
      <c r="F124" s="61" t="s">
        <v>55</v>
      </c>
      <c r="G124" s="460" t="s">
        <v>158</v>
      </c>
      <c r="H124" s="189" t="s">
        <v>90</v>
      </c>
      <c r="I124" s="56" t="s">
        <v>108</v>
      </c>
      <c r="J124" s="15">
        <v>34700</v>
      </c>
      <c r="K124" s="15">
        <v>0</v>
      </c>
      <c r="L124" s="15">
        <v>0</v>
      </c>
      <c r="M124" s="15">
        <v>200</v>
      </c>
      <c r="N124" s="15">
        <v>6940000</v>
      </c>
      <c r="O124" s="15" t="str">
        <f>IF(AND(A124='BANG KE NL'!$M$11,TH!C124="NL",LEFT(D124,1)="N"),"x","")</f>
        <v/>
      </c>
    </row>
    <row r="125" spans="1:15" hidden="1">
      <c r="A125" s="24">
        <f t="shared" si="4"/>
        <v>10</v>
      </c>
      <c r="B125" s="188" t="str">
        <f>IF(AND(MONTH(E125)='IN-NX'!$J$5,'IN-NX'!$D$7=(D125&amp;"/"&amp;C125)),"x","")</f>
        <v/>
      </c>
      <c r="C125" s="185" t="s">
        <v>153</v>
      </c>
      <c r="D125" s="185" t="s">
        <v>166</v>
      </c>
      <c r="E125" s="69">
        <v>41575</v>
      </c>
      <c r="F125" s="61" t="s">
        <v>344</v>
      </c>
      <c r="G125" s="19" t="s">
        <v>112</v>
      </c>
      <c r="H125" s="189" t="s">
        <v>108</v>
      </c>
      <c r="I125" s="56" t="s">
        <v>93</v>
      </c>
      <c r="J125" s="15">
        <v>9050</v>
      </c>
      <c r="K125" s="15">
        <v>230</v>
      </c>
      <c r="L125" s="15">
        <v>2081500</v>
      </c>
      <c r="M125" s="15">
        <v>0</v>
      </c>
      <c r="N125" s="15">
        <v>0</v>
      </c>
      <c r="O125" s="15" t="str">
        <f>IF(AND(A125='BANG KE NL'!$M$11,TH!C125="NL",LEFT(D125,1)="N"),"x","")</f>
        <v/>
      </c>
    </row>
    <row r="126" spans="1:15" hidden="1">
      <c r="A126" s="24">
        <f t="shared" si="4"/>
        <v>10</v>
      </c>
      <c r="B126" s="188" t="str">
        <f>IF(AND(MONTH(E126)='IN-NX'!$J$5,'IN-NX'!$D$7=(D126&amp;"/"&amp;C126)),"x","")</f>
        <v/>
      </c>
      <c r="C126" s="185" t="s">
        <v>153</v>
      </c>
      <c r="D126" s="185" t="s">
        <v>202</v>
      </c>
      <c r="E126" s="69">
        <v>41577</v>
      </c>
      <c r="F126" s="61" t="s">
        <v>344</v>
      </c>
      <c r="G126" s="460" t="s">
        <v>158</v>
      </c>
      <c r="H126" s="189" t="s">
        <v>90</v>
      </c>
      <c r="I126" s="56" t="s">
        <v>108</v>
      </c>
      <c r="J126" s="15">
        <v>9050</v>
      </c>
      <c r="K126" s="15">
        <v>0</v>
      </c>
      <c r="L126" s="15">
        <v>0</v>
      </c>
      <c r="M126" s="15">
        <v>230</v>
      </c>
      <c r="N126" s="15">
        <v>2081500</v>
      </c>
      <c r="O126" s="15" t="str">
        <f>IF(AND(A126='BANG KE NL'!$M$11,TH!C126="NL",LEFT(D126,1)="N"),"x","")</f>
        <v/>
      </c>
    </row>
    <row r="127" spans="1:15" hidden="1">
      <c r="A127" s="24">
        <f t="shared" si="4"/>
        <v>10</v>
      </c>
      <c r="B127" s="188" t="str">
        <f>IF(AND(MONTH(E127)='IN-NX'!$J$5,'IN-NX'!$D$7=(D127&amp;"/"&amp;C127)),"x","")</f>
        <v/>
      </c>
      <c r="C127" s="185" t="s">
        <v>153</v>
      </c>
      <c r="D127" s="185" t="s">
        <v>166</v>
      </c>
      <c r="E127" s="69">
        <v>41575</v>
      </c>
      <c r="F127" s="61" t="s">
        <v>280</v>
      </c>
      <c r="G127" s="19" t="s">
        <v>112</v>
      </c>
      <c r="H127" s="189" t="s">
        <v>108</v>
      </c>
      <c r="I127" s="56" t="s">
        <v>93</v>
      </c>
      <c r="J127" s="15">
        <v>6050</v>
      </c>
      <c r="K127" s="15">
        <v>420</v>
      </c>
      <c r="L127" s="15">
        <v>2541000</v>
      </c>
      <c r="M127" s="15">
        <v>0</v>
      </c>
      <c r="N127" s="15">
        <v>0</v>
      </c>
      <c r="O127" s="15" t="str">
        <f>IF(AND(A127='BANG KE NL'!$M$11,TH!C127="NL",LEFT(D127,1)="N"),"x","")</f>
        <v/>
      </c>
    </row>
    <row r="128" spans="1:15" hidden="1">
      <c r="A128" s="24">
        <f t="shared" si="4"/>
        <v>10</v>
      </c>
      <c r="B128" s="188" t="str">
        <f>IF(AND(MONTH(E128)='IN-NX'!$J$5,'IN-NX'!$D$7=(D128&amp;"/"&amp;C128)),"x","")</f>
        <v/>
      </c>
      <c r="C128" s="185" t="s">
        <v>153</v>
      </c>
      <c r="D128" s="185" t="s">
        <v>201</v>
      </c>
      <c r="E128" s="69">
        <v>41575</v>
      </c>
      <c r="F128" s="61" t="s">
        <v>280</v>
      </c>
      <c r="G128" s="460" t="s">
        <v>158</v>
      </c>
      <c r="H128" s="189" t="s">
        <v>90</v>
      </c>
      <c r="I128" s="56" t="s">
        <v>108</v>
      </c>
      <c r="J128" s="15">
        <v>6050</v>
      </c>
      <c r="K128" s="15">
        <v>0</v>
      </c>
      <c r="L128" s="15">
        <v>0</v>
      </c>
      <c r="M128" s="15">
        <v>420</v>
      </c>
      <c r="N128" s="15">
        <v>2541000</v>
      </c>
      <c r="O128" s="15" t="str">
        <f>IF(AND(A128='BANG KE NL'!$M$11,TH!C128="NL",LEFT(D128,1)="N"),"x","")</f>
        <v/>
      </c>
    </row>
    <row r="129" spans="1:15" hidden="1">
      <c r="A129" s="24">
        <f t="shared" si="4"/>
        <v>12</v>
      </c>
      <c r="B129" s="188" t="str">
        <f>IF(AND(MONTH(E129)='IN-NX'!$J$5,'IN-NX'!$D$7=(D129&amp;"/"&amp;C129)),"x","")</f>
        <v/>
      </c>
      <c r="C129" s="185" t="s">
        <v>153</v>
      </c>
      <c r="D129" s="185" t="s">
        <v>146</v>
      </c>
      <c r="E129" s="69">
        <v>41636</v>
      </c>
      <c r="F129" s="61" t="s">
        <v>280</v>
      </c>
      <c r="G129" s="19" t="s">
        <v>112</v>
      </c>
      <c r="H129" s="189" t="s">
        <v>108</v>
      </c>
      <c r="I129" s="56" t="s">
        <v>93</v>
      </c>
      <c r="J129" s="15">
        <v>6050</v>
      </c>
      <c r="K129" s="15">
        <v>1010</v>
      </c>
      <c r="L129" s="15">
        <v>6110500</v>
      </c>
      <c r="M129" s="15">
        <v>0</v>
      </c>
      <c r="N129" s="15">
        <v>0</v>
      </c>
      <c r="O129" s="15" t="str">
        <f>IF(AND(A129='BANG KE NL'!$M$11,TH!C129="NL",LEFT(D129,1)="N"),"x","")</f>
        <v/>
      </c>
    </row>
    <row r="130" spans="1:15">
      <c r="A130" s="24">
        <f t="shared" si="4"/>
        <v>12</v>
      </c>
      <c r="B130" s="188" t="str">
        <f>IF(AND(MONTH(E130)='IN-NX'!$J$5,'IN-NX'!$D$7=(D130&amp;"/"&amp;C130)),"x","")</f>
        <v/>
      </c>
      <c r="C130" s="185" t="s">
        <v>153</v>
      </c>
      <c r="D130" s="185" t="s">
        <v>198</v>
      </c>
      <c r="E130" s="69">
        <v>41638</v>
      </c>
      <c r="F130" s="61" t="s">
        <v>280</v>
      </c>
      <c r="G130" s="460" t="s">
        <v>158</v>
      </c>
      <c r="H130" s="189" t="s">
        <v>90</v>
      </c>
      <c r="I130" s="56" t="s">
        <v>108</v>
      </c>
      <c r="J130" s="15">
        <v>6050</v>
      </c>
      <c r="K130" s="15">
        <v>0</v>
      </c>
      <c r="L130" s="15">
        <v>0</v>
      </c>
      <c r="M130" s="15">
        <v>20</v>
      </c>
      <c r="N130" s="15">
        <v>121000</v>
      </c>
      <c r="O130" s="15" t="str">
        <f>IF(AND(A130='BANG KE NL'!$M$11,TH!C130="NL",LEFT(D130,1)="N"),"x","")</f>
        <v/>
      </c>
    </row>
    <row r="131" spans="1:15" hidden="1">
      <c r="A131" s="24">
        <f t="shared" si="4"/>
        <v>6</v>
      </c>
      <c r="B131" s="188" t="str">
        <f>IF(AND(MONTH(E131)='IN-NX'!$J$5,'IN-NX'!$D$7=(D131&amp;"/"&amp;C131)),"x","")</f>
        <v/>
      </c>
      <c r="C131" s="185" t="s">
        <v>153</v>
      </c>
      <c r="D131" s="185" t="s">
        <v>144</v>
      </c>
      <c r="E131" s="69">
        <v>41446</v>
      </c>
      <c r="F131" s="61" t="s">
        <v>47</v>
      </c>
      <c r="G131" s="19" t="s">
        <v>112</v>
      </c>
      <c r="H131" s="189" t="s">
        <v>108</v>
      </c>
      <c r="I131" s="56" t="s">
        <v>93</v>
      </c>
      <c r="J131" s="15">
        <v>5950</v>
      </c>
      <c r="K131" s="15">
        <v>450</v>
      </c>
      <c r="L131" s="15">
        <v>2677500</v>
      </c>
      <c r="M131" s="15">
        <v>0</v>
      </c>
      <c r="N131" s="15">
        <v>0</v>
      </c>
      <c r="O131" s="15" t="str">
        <f>IF(AND(A131='BANG KE NL'!$M$11,TH!C131="NL",LEFT(D131,1)="N"),"x","")</f>
        <v/>
      </c>
    </row>
    <row r="132" spans="1:15" hidden="1">
      <c r="A132" s="24">
        <f t="shared" si="4"/>
        <v>7</v>
      </c>
      <c r="B132" s="188" t="str">
        <f>IF(AND(MONTH(E132)='IN-NX'!$J$5,'IN-NX'!$D$7=(D132&amp;"/"&amp;C132)),"x","")</f>
        <v/>
      </c>
      <c r="C132" s="185" t="s">
        <v>153</v>
      </c>
      <c r="D132" s="185" t="s">
        <v>151</v>
      </c>
      <c r="E132" s="69">
        <v>41466</v>
      </c>
      <c r="F132" s="61" t="s">
        <v>47</v>
      </c>
      <c r="G132" s="460" t="s">
        <v>158</v>
      </c>
      <c r="H132" s="189" t="s">
        <v>90</v>
      </c>
      <c r="I132" s="56" t="s">
        <v>108</v>
      </c>
      <c r="J132" s="15">
        <v>5950</v>
      </c>
      <c r="K132" s="15">
        <v>0</v>
      </c>
      <c r="L132" s="15">
        <v>0</v>
      </c>
      <c r="M132" s="15">
        <v>450</v>
      </c>
      <c r="N132" s="15">
        <v>2677500</v>
      </c>
      <c r="O132" s="15" t="str">
        <f>IF(AND(A132='BANG KE NL'!$M$11,TH!C132="NL",LEFT(D132,1)="N"),"x","")</f>
        <v/>
      </c>
    </row>
    <row r="133" spans="1:15" hidden="1">
      <c r="A133" s="24">
        <f t="shared" si="4"/>
        <v>7</v>
      </c>
      <c r="B133" s="188" t="str">
        <f>IF(AND(MONTH(E133)='IN-NX'!$J$5,'IN-NX'!$D$7=(D133&amp;"/"&amp;C133)),"x","")</f>
        <v/>
      </c>
      <c r="C133" s="185" t="s">
        <v>153</v>
      </c>
      <c r="D133" s="185" t="s">
        <v>145</v>
      </c>
      <c r="E133" s="69">
        <v>41470</v>
      </c>
      <c r="F133" s="61" t="s">
        <v>47</v>
      </c>
      <c r="G133" s="19" t="s">
        <v>112</v>
      </c>
      <c r="H133" s="189" t="s">
        <v>108</v>
      </c>
      <c r="I133" s="56" t="s">
        <v>93</v>
      </c>
      <c r="J133" s="15">
        <v>5950</v>
      </c>
      <c r="K133" s="15">
        <v>2040</v>
      </c>
      <c r="L133" s="15">
        <v>12138000</v>
      </c>
      <c r="M133" s="15">
        <v>0</v>
      </c>
      <c r="N133" s="15">
        <v>0</v>
      </c>
      <c r="O133" s="15" t="str">
        <f>IF(AND(A133='BANG KE NL'!$M$11,TH!C133="NL",LEFT(D133,1)="N"),"x","")</f>
        <v/>
      </c>
    </row>
    <row r="134" spans="1:15" hidden="1">
      <c r="A134" s="24">
        <f t="shared" ref="A134:A197" si="5">IF(E134&lt;&gt;"",MONTH(E134),"")</f>
        <v>8</v>
      </c>
      <c r="B134" s="188" t="str">
        <f>IF(AND(MONTH(E134)='IN-NX'!$J$5,'IN-NX'!$D$7=(D134&amp;"/"&amp;C134)),"x","")</f>
        <v/>
      </c>
      <c r="C134" s="185" t="s">
        <v>153</v>
      </c>
      <c r="D134" s="185" t="s">
        <v>146</v>
      </c>
      <c r="E134" s="69">
        <v>41498</v>
      </c>
      <c r="F134" s="61" t="s">
        <v>47</v>
      </c>
      <c r="G134" s="19" t="s">
        <v>112</v>
      </c>
      <c r="H134" s="189" t="s">
        <v>108</v>
      </c>
      <c r="I134" s="56" t="s">
        <v>93</v>
      </c>
      <c r="J134" s="15">
        <v>5950</v>
      </c>
      <c r="K134" s="15">
        <v>2440</v>
      </c>
      <c r="L134" s="15">
        <v>14518000</v>
      </c>
      <c r="M134" s="15">
        <v>0</v>
      </c>
      <c r="N134" s="15">
        <v>0</v>
      </c>
      <c r="O134" s="15" t="str">
        <f>IF(AND(A134='BANG KE NL'!$M$11,TH!C134="NL",LEFT(D134,1)="N"),"x","")</f>
        <v/>
      </c>
    </row>
    <row r="135" spans="1:15" hidden="1">
      <c r="A135" s="24">
        <f t="shared" si="5"/>
        <v>9</v>
      </c>
      <c r="B135" s="188" t="str">
        <f>IF(AND(MONTH(E135)='IN-NX'!$J$5,'IN-NX'!$D$7=(D135&amp;"/"&amp;C135)),"x","")</f>
        <v/>
      </c>
      <c r="C135" s="185" t="s">
        <v>153</v>
      </c>
      <c r="D135" s="185" t="s">
        <v>147</v>
      </c>
      <c r="E135" s="69">
        <v>41529</v>
      </c>
      <c r="F135" s="61" t="s">
        <v>47</v>
      </c>
      <c r="G135" s="19" t="s">
        <v>112</v>
      </c>
      <c r="H135" s="189" t="s">
        <v>108</v>
      </c>
      <c r="I135" s="56" t="s">
        <v>93</v>
      </c>
      <c r="J135" s="15">
        <v>5950</v>
      </c>
      <c r="K135" s="15">
        <v>1660</v>
      </c>
      <c r="L135" s="15">
        <v>9877000</v>
      </c>
      <c r="M135" s="15">
        <v>0</v>
      </c>
      <c r="N135" s="15">
        <v>0</v>
      </c>
      <c r="O135" s="15" t="str">
        <f>IF(AND(A135='BANG KE NL'!$M$11,TH!C135="NL",LEFT(D135,1)="N"),"x","")</f>
        <v/>
      </c>
    </row>
    <row r="136" spans="1:15" hidden="1">
      <c r="A136" s="24">
        <f t="shared" si="5"/>
        <v>9</v>
      </c>
      <c r="B136" s="188" t="str">
        <f>IF(AND(MONTH(E136)='IN-NX'!$J$5,'IN-NX'!$D$7=(D136&amp;"/"&amp;C136)),"x","")</f>
        <v/>
      </c>
      <c r="C136" s="185" t="s">
        <v>153</v>
      </c>
      <c r="D136" s="185" t="s">
        <v>198</v>
      </c>
      <c r="E136" s="69">
        <v>41547</v>
      </c>
      <c r="F136" s="61" t="s">
        <v>47</v>
      </c>
      <c r="G136" s="460" t="s">
        <v>158</v>
      </c>
      <c r="H136" s="189" t="s">
        <v>90</v>
      </c>
      <c r="I136" s="56" t="s">
        <v>108</v>
      </c>
      <c r="J136" s="15">
        <v>5950</v>
      </c>
      <c r="K136" s="15">
        <v>0</v>
      </c>
      <c r="L136" s="15">
        <v>0</v>
      </c>
      <c r="M136" s="15">
        <v>900</v>
      </c>
      <c r="N136" s="15">
        <v>5355000</v>
      </c>
      <c r="O136" s="15" t="str">
        <f>IF(AND(A136='BANG KE NL'!$M$11,TH!C136="NL",LEFT(D136,1)="N"),"x","")</f>
        <v/>
      </c>
    </row>
    <row r="137" spans="1:15" hidden="1">
      <c r="A137" s="24">
        <f t="shared" si="5"/>
        <v>12</v>
      </c>
      <c r="B137" s="188" t="str">
        <f>IF(AND(MONTH(E137)='IN-NX'!$J$5,'IN-NX'!$D$7=(D137&amp;"/"&amp;C137)),"x","")</f>
        <v/>
      </c>
      <c r="C137" s="185" t="s">
        <v>153</v>
      </c>
      <c r="D137" s="185" t="s">
        <v>146</v>
      </c>
      <c r="E137" s="69">
        <v>41636</v>
      </c>
      <c r="F137" s="61" t="s">
        <v>47</v>
      </c>
      <c r="G137" s="19" t="s">
        <v>112</v>
      </c>
      <c r="H137" s="189" t="s">
        <v>108</v>
      </c>
      <c r="I137" s="56" t="s">
        <v>93</v>
      </c>
      <c r="J137" s="15">
        <v>5950</v>
      </c>
      <c r="K137" s="15">
        <v>1400</v>
      </c>
      <c r="L137" s="15">
        <v>8330000</v>
      </c>
      <c r="M137" s="15">
        <v>0</v>
      </c>
      <c r="N137" s="15">
        <v>0</v>
      </c>
      <c r="O137" s="15" t="str">
        <f>IF(AND(A137='BANG KE NL'!$M$11,TH!C137="NL",LEFT(D137,1)="N"),"x","")</f>
        <v/>
      </c>
    </row>
    <row r="138" spans="1:15" hidden="1">
      <c r="A138" s="24">
        <f t="shared" si="5"/>
        <v>2</v>
      </c>
      <c r="B138" s="188" t="str">
        <f>IF(AND(MONTH(E138)='IN-NX'!$J$5,'IN-NX'!$D$7=(D138&amp;"/"&amp;C138)),"x","")</f>
        <v/>
      </c>
      <c r="C138" s="185" t="s">
        <v>153</v>
      </c>
      <c r="D138" s="185" t="s">
        <v>145</v>
      </c>
      <c r="E138" s="69">
        <v>41332</v>
      </c>
      <c r="F138" s="61" t="s">
        <v>345</v>
      </c>
      <c r="G138" s="19" t="s">
        <v>110</v>
      </c>
      <c r="H138" s="189" t="s">
        <v>108</v>
      </c>
      <c r="I138" s="56" t="s">
        <v>93</v>
      </c>
      <c r="J138" s="15">
        <v>28000</v>
      </c>
      <c r="K138" s="15">
        <v>202</v>
      </c>
      <c r="L138" s="15">
        <v>5656000</v>
      </c>
      <c r="M138" s="15">
        <v>0</v>
      </c>
      <c r="N138" s="15">
        <v>0</v>
      </c>
      <c r="O138" s="15" t="str">
        <f>IF(AND(A138='BANG KE NL'!$M$11,TH!C138="NL",LEFT(D138,1)="N"),"x","")</f>
        <v/>
      </c>
    </row>
    <row r="139" spans="1:15" hidden="1">
      <c r="A139" s="24">
        <f t="shared" si="5"/>
        <v>3</v>
      </c>
      <c r="B139" s="188" t="str">
        <f>IF(AND(MONTH(E139)='IN-NX'!$J$5,'IN-NX'!$D$7=(D139&amp;"/"&amp;C139)),"x","")</f>
        <v/>
      </c>
      <c r="C139" s="185" t="s">
        <v>153</v>
      </c>
      <c r="D139" s="185" t="s">
        <v>151</v>
      </c>
      <c r="E139" s="69">
        <v>41352</v>
      </c>
      <c r="F139" s="61" t="s">
        <v>345</v>
      </c>
      <c r="G139" s="460" t="s">
        <v>158</v>
      </c>
      <c r="H139" s="189" t="s">
        <v>90</v>
      </c>
      <c r="I139" s="56" t="s">
        <v>108</v>
      </c>
      <c r="J139" s="15">
        <v>28000</v>
      </c>
      <c r="K139" s="15">
        <v>0</v>
      </c>
      <c r="L139" s="15">
        <v>0</v>
      </c>
      <c r="M139" s="15">
        <v>202</v>
      </c>
      <c r="N139" s="15">
        <v>5656000</v>
      </c>
      <c r="O139" s="15" t="str">
        <f>IF(AND(A139='BANG KE NL'!$M$11,TH!C139="NL",LEFT(D139,1)="N"),"x","")</f>
        <v/>
      </c>
    </row>
    <row r="140" spans="1:15" hidden="1">
      <c r="A140" s="24">
        <f t="shared" si="5"/>
        <v>7</v>
      </c>
      <c r="B140" s="188" t="str">
        <f>IF(AND(MONTH(E140)='IN-NX'!$J$5,'IN-NX'!$D$7=(D140&amp;"/"&amp;C140)),"x","")</f>
        <v/>
      </c>
      <c r="C140" s="185" t="s">
        <v>153</v>
      </c>
      <c r="D140" s="185" t="s">
        <v>164</v>
      </c>
      <c r="E140" s="69">
        <v>41482</v>
      </c>
      <c r="F140" s="61" t="s">
        <v>290</v>
      </c>
      <c r="G140" s="19" t="s">
        <v>110</v>
      </c>
      <c r="H140" s="189" t="s">
        <v>108</v>
      </c>
      <c r="I140" s="56" t="s">
        <v>93</v>
      </c>
      <c r="J140" s="15">
        <v>28000</v>
      </c>
      <c r="K140" s="15">
        <v>215</v>
      </c>
      <c r="L140" s="15">
        <v>6020000</v>
      </c>
      <c r="M140" s="15">
        <v>0</v>
      </c>
      <c r="N140" s="15">
        <v>0</v>
      </c>
      <c r="O140" s="15" t="str">
        <f>IF(AND(A140='BANG KE NL'!$M$11,TH!C140="NL",LEFT(D140,1)="N"),"x","")</f>
        <v/>
      </c>
    </row>
    <row r="141" spans="1:15" hidden="1">
      <c r="A141" s="24">
        <f t="shared" si="5"/>
        <v>11</v>
      </c>
      <c r="B141" s="188" t="str">
        <f>IF(AND(MONTH(E141)='IN-NX'!$J$5,'IN-NX'!$D$7=(D141&amp;"/"&amp;C141)),"x","")</f>
        <v/>
      </c>
      <c r="C141" s="185" t="s">
        <v>153</v>
      </c>
      <c r="D141" s="185" t="s">
        <v>151</v>
      </c>
      <c r="E141" s="69">
        <v>41584</v>
      </c>
      <c r="F141" s="61" t="s">
        <v>290</v>
      </c>
      <c r="G141" s="460" t="s">
        <v>158</v>
      </c>
      <c r="H141" s="189" t="s">
        <v>90</v>
      </c>
      <c r="I141" s="56" t="s">
        <v>108</v>
      </c>
      <c r="J141" s="15">
        <v>28000</v>
      </c>
      <c r="K141" s="15">
        <v>0</v>
      </c>
      <c r="L141" s="15">
        <v>0</v>
      </c>
      <c r="M141" s="15">
        <v>215</v>
      </c>
      <c r="N141" s="15">
        <v>6020000</v>
      </c>
      <c r="O141" s="15" t="str">
        <f>IF(AND(A141='BANG KE NL'!$M$11,TH!C141="NL",LEFT(D141,1)="N"),"x","")</f>
        <v/>
      </c>
    </row>
    <row r="142" spans="1:15" hidden="1">
      <c r="A142" s="24">
        <f t="shared" si="5"/>
        <v>4</v>
      </c>
      <c r="B142" s="188" t="str">
        <f>IF(AND(MONTH(E142)='IN-NX'!$J$5,'IN-NX'!$D$7=(D142&amp;"/"&amp;C142)),"x","")</f>
        <v/>
      </c>
      <c r="C142" s="185" t="s">
        <v>153</v>
      </c>
      <c r="D142" s="185" t="s">
        <v>144</v>
      </c>
      <c r="E142" s="69">
        <v>41391</v>
      </c>
      <c r="F142" s="61" t="s">
        <v>346</v>
      </c>
      <c r="G142" s="19" t="s">
        <v>110</v>
      </c>
      <c r="H142" s="189" t="s">
        <v>108</v>
      </c>
      <c r="I142" s="56" t="s">
        <v>93</v>
      </c>
      <c r="J142" s="15">
        <v>34000</v>
      </c>
      <c r="K142" s="15">
        <v>163</v>
      </c>
      <c r="L142" s="15">
        <v>5542000</v>
      </c>
      <c r="M142" s="15">
        <v>0</v>
      </c>
      <c r="N142" s="15">
        <v>0</v>
      </c>
      <c r="O142" s="15" t="str">
        <f>IF(AND(A142='BANG KE NL'!$M$11,TH!C142="NL",LEFT(D142,1)="N"),"x","")</f>
        <v/>
      </c>
    </row>
    <row r="143" spans="1:15" hidden="1">
      <c r="A143" s="24">
        <f t="shared" si="5"/>
        <v>4</v>
      </c>
      <c r="B143" s="188" t="str">
        <f>IF(AND(MONTH(E143)='IN-NX'!$J$5,'IN-NX'!$D$7=(D143&amp;"/"&amp;C143)),"x","")</f>
        <v/>
      </c>
      <c r="C143" s="185" t="s">
        <v>153</v>
      </c>
      <c r="D143" s="185" t="s">
        <v>159</v>
      </c>
      <c r="E143" s="69">
        <v>41391</v>
      </c>
      <c r="F143" s="61" t="s">
        <v>346</v>
      </c>
      <c r="G143" s="460" t="s">
        <v>158</v>
      </c>
      <c r="H143" s="189" t="s">
        <v>90</v>
      </c>
      <c r="I143" s="56" t="s">
        <v>108</v>
      </c>
      <c r="J143" s="15">
        <v>34000</v>
      </c>
      <c r="K143" s="15">
        <v>0</v>
      </c>
      <c r="L143" s="15">
        <v>0</v>
      </c>
      <c r="M143" s="15">
        <v>163</v>
      </c>
      <c r="N143" s="15">
        <v>5542000</v>
      </c>
      <c r="O143" s="15" t="str">
        <f>IF(AND(A143='BANG KE NL'!$M$11,TH!C143="NL",LEFT(D143,1)="N"),"x","")</f>
        <v/>
      </c>
    </row>
    <row r="144" spans="1:15" hidden="1">
      <c r="A144" s="24">
        <f t="shared" si="5"/>
        <v>4</v>
      </c>
      <c r="B144" s="188" t="str">
        <f>IF(AND(MONTH(E144)='IN-NX'!$J$5,'IN-NX'!$D$7=(D144&amp;"/"&amp;C144)),"x","")</f>
        <v/>
      </c>
      <c r="C144" s="185" t="s">
        <v>153</v>
      </c>
      <c r="D144" s="185" t="s">
        <v>151</v>
      </c>
      <c r="E144" s="69">
        <v>41375</v>
      </c>
      <c r="F144" s="61" t="s">
        <v>54</v>
      </c>
      <c r="G144" s="460" t="s">
        <v>158</v>
      </c>
      <c r="H144" s="189" t="s">
        <v>90</v>
      </c>
      <c r="I144" s="56" t="s">
        <v>108</v>
      </c>
      <c r="J144" s="15">
        <v>12500</v>
      </c>
      <c r="K144" s="15">
        <v>0</v>
      </c>
      <c r="L144" s="15">
        <v>0</v>
      </c>
      <c r="M144" s="15">
        <v>1150</v>
      </c>
      <c r="N144" s="15">
        <v>14375000</v>
      </c>
      <c r="O144" s="15" t="str">
        <f>IF(AND(A144='BANG KE NL'!$M$11,TH!C144="NL",LEFT(D144,1)="N"),"x","")</f>
        <v/>
      </c>
    </row>
    <row r="145" spans="1:15" hidden="1">
      <c r="A145" s="24">
        <f t="shared" si="5"/>
        <v>8</v>
      </c>
      <c r="B145" s="188" t="str">
        <f>IF(AND(MONTH(E145)='IN-NX'!$J$5,'IN-NX'!$D$7=(D145&amp;"/"&amp;C145)),"x","")</f>
        <v/>
      </c>
      <c r="C145" s="185" t="s">
        <v>153</v>
      </c>
      <c r="D145" s="185" t="s">
        <v>143</v>
      </c>
      <c r="E145" s="69">
        <v>41489</v>
      </c>
      <c r="F145" s="61" t="s">
        <v>54</v>
      </c>
      <c r="G145" s="19" t="s">
        <v>112</v>
      </c>
      <c r="H145" s="189" t="s">
        <v>108</v>
      </c>
      <c r="I145" s="56" t="s">
        <v>93</v>
      </c>
      <c r="J145" s="15">
        <v>12850</v>
      </c>
      <c r="K145" s="15">
        <v>1160</v>
      </c>
      <c r="L145" s="15">
        <v>14906000</v>
      </c>
      <c r="M145" s="15">
        <v>0</v>
      </c>
      <c r="N145" s="15">
        <v>0</v>
      </c>
      <c r="O145" s="15" t="str">
        <f>IF(AND(A145='BANG KE NL'!$M$11,TH!C145="NL",LEFT(D145,1)="N"),"x","")</f>
        <v/>
      </c>
    </row>
    <row r="146" spans="1:15" hidden="1">
      <c r="A146" s="24">
        <f t="shared" si="5"/>
        <v>8</v>
      </c>
      <c r="B146" s="188" t="str">
        <f>IF(AND(MONTH(E146)='IN-NX'!$J$5,'IN-NX'!$D$7=(D146&amp;"/"&amp;C146)),"x","")</f>
        <v/>
      </c>
      <c r="C146" s="185" t="s">
        <v>153</v>
      </c>
      <c r="D146" s="185" t="s">
        <v>197</v>
      </c>
      <c r="E146" s="69">
        <v>41509</v>
      </c>
      <c r="F146" s="61" t="s">
        <v>54</v>
      </c>
      <c r="G146" s="460" t="s">
        <v>158</v>
      </c>
      <c r="H146" s="189" t="s">
        <v>90</v>
      </c>
      <c r="I146" s="56" t="s">
        <v>108</v>
      </c>
      <c r="J146" s="15">
        <v>12850</v>
      </c>
      <c r="K146" s="15">
        <v>0</v>
      </c>
      <c r="L146" s="15">
        <v>0</v>
      </c>
      <c r="M146" s="15">
        <v>1160</v>
      </c>
      <c r="N146" s="15">
        <v>14906000</v>
      </c>
      <c r="O146" s="15" t="str">
        <f>IF(AND(A146='BANG KE NL'!$M$11,TH!C146="NL",LEFT(D146,1)="N"),"x","")</f>
        <v/>
      </c>
    </row>
    <row r="147" spans="1:15" hidden="1">
      <c r="A147" s="24">
        <f t="shared" si="5"/>
        <v>9</v>
      </c>
      <c r="B147" s="188" t="str">
        <f>IF(AND(MONTH(E147)='IN-NX'!$J$5,'IN-NX'!$D$7=(D147&amp;"/"&amp;C147)),"x","")</f>
        <v/>
      </c>
      <c r="C147" s="185" t="s">
        <v>153</v>
      </c>
      <c r="D147" s="185" t="s">
        <v>161</v>
      </c>
      <c r="E147" s="69">
        <v>41544</v>
      </c>
      <c r="F147" s="61" t="s">
        <v>54</v>
      </c>
      <c r="G147" s="19" t="s">
        <v>112</v>
      </c>
      <c r="H147" s="189" t="s">
        <v>108</v>
      </c>
      <c r="I147" s="56" t="s">
        <v>93</v>
      </c>
      <c r="J147" s="15">
        <v>12850</v>
      </c>
      <c r="K147" s="15">
        <v>1270</v>
      </c>
      <c r="L147" s="15">
        <v>16319500</v>
      </c>
      <c r="M147" s="15">
        <v>0</v>
      </c>
      <c r="N147" s="15">
        <v>0</v>
      </c>
      <c r="O147" s="15" t="str">
        <f>IF(AND(A147='BANG KE NL'!$M$11,TH!C147="NL",LEFT(D147,1)="N"),"x","")</f>
        <v/>
      </c>
    </row>
    <row r="148" spans="1:15" hidden="1">
      <c r="A148" s="24">
        <f t="shared" si="5"/>
        <v>10</v>
      </c>
      <c r="B148" s="188" t="str">
        <f>IF(AND(MONTH(E148)='IN-NX'!$J$5,'IN-NX'!$D$7=(D148&amp;"/"&amp;C148)),"x","")</f>
        <v/>
      </c>
      <c r="C148" s="185" t="s">
        <v>153</v>
      </c>
      <c r="D148" s="185" t="s">
        <v>163</v>
      </c>
      <c r="E148" s="69">
        <v>41566</v>
      </c>
      <c r="F148" s="61" t="s">
        <v>54</v>
      </c>
      <c r="G148" s="19" t="s">
        <v>112</v>
      </c>
      <c r="H148" s="189" t="s">
        <v>108</v>
      </c>
      <c r="I148" s="56" t="s">
        <v>93</v>
      </c>
      <c r="J148" s="15">
        <v>12850</v>
      </c>
      <c r="K148" s="15">
        <v>1210</v>
      </c>
      <c r="L148" s="15">
        <v>15548500</v>
      </c>
      <c r="M148" s="15">
        <v>0</v>
      </c>
      <c r="N148" s="15">
        <v>0</v>
      </c>
      <c r="O148" s="15" t="str">
        <f>IF(AND(A148='BANG KE NL'!$M$11,TH!C148="NL",LEFT(D148,1)="N"),"x","")</f>
        <v/>
      </c>
    </row>
    <row r="149" spans="1:15" hidden="1">
      <c r="A149" s="24">
        <f t="shared" si="5"/>
        <v>10</v>
      </c>
      <c r="B149" s="188" t="str">
        <f>IF(AND(MONTH(E149)='IN-NX'!$J$5,'IN-NX'!$D$7=(D149&amp;"/"&amp;C149)),"x","")</f>
        <v/>
      </c>
      <c r="C149" s="185" t="s">
        <v>153</v>
      </c>
      <c r="D149" s="185" t="s">
        <v>197</v>
      </c>
      <c r="E149" s="69">
        <v>41566</v>
      </c>
      <c r="F149" s="61" t="s">
        <v>54</v>
      </c>
      <c r="G149" s="460" t="s">
        <v>158</v>
      </c>
      <c r="H149" s="189" t="s">
        <v>90</v>
      </c>
      <c r="I149" s="56" t="s">
        <v>108</v>
      </c>
      <c r="J149" s="15">
        <v>12850</v>
      </c>
      <c r="K149" s="15">
        <v>0</v>
      </c>
      <c r="L149" s="15">
        <v>0</v>
      </c>
      <c r="M149" s="15">
        <v>1520</v>
      </c>
      <c r="N149" s="15">
        <v>19532000</v>
      </c>
      <c r="O149" s="15" t="str">
        <f>IF(AND(A149='BANG KE NL'!$M$11,TH!C149="NL",LEFT(D149,1)="N"),"x","")</f>
        <v/>
      </c>
    </row>
    <row r="150" spans="1:15" hidden="1">
      <c r="A150" s="24">
        <f t="shared" si="5"/>
        <v>12</v>
      </c>
      <c r="B150" s="188" t="str">
        <f>IF(AND(MONTH(E150)='IN-NX'!$J$5,'IN-NX'!$D$7=(D150&amp;"/"&amp;C150)),"x","")</f>
        <v/>
      </c>
      <c r="C150" s="185" t="s">
        <v>153</v>
      </c>
      <c r="D150" s="185" t="s">
        <v>143</v>
      </c>
      <c r="E150" s="69">
        <v>41610</v>
      </c>
      <c r="F150" s="61" t="s">
        <v>54</v>
      </c>
      <c r="G150" s="19" t="s">
        <v>112</v>
      </c>
      <c r="H150" s="189" t="s">
        <v>108</v>
      </c>
      <c r="I150" s="56" t="s">
        <v>93</v>
      </c>
      <c r="J150" s="15">
        <v>12850</v>
      </c>
      <c r="K150" s="15">
        <v>1120</v>
      </c>
      <c r="L150" s="15">
        <v>14392000</v>
      </c>
      <c r="M150" s="15">
        <v>0</v>
      </c>
      <c r="N150" s="15">
        <v>0</v>
      </c>
      <c r="O150" s="15" t="str">
        <f>IF(AND(A150='BANG KE NL'!$M$11,TH!C150="NL",LEFT(D150,1)="N"),"x","")</f>
        <v/>
      </c>
    </row>
    <row r="151" spans="1:15">
      <c r="A151" s="24">
        <f t="shared" si="5"/>
        <v>12</v>
      </c>
      <c r="B151" s="188" t="str">
        <f>IF(AND(MONTH(E151)='IN-NX'!$J$5,'IN-NX'!$D$7=(D151&amp;"/"&amp;C151)),"x","")</f>
        <v/>
      </c>
      <c r="C151" s="185" t="s">
        <v>153</v>
      </c>
      <c r="D151" s="185" t="s">
        <v>150</v>
      </c>
      <c r="E151" s="69">
        <v>41612</v>
      </c>
      <c r="F151" s="61" t="s">
        <v>54</v>
      </c>
      <c r="G151" s="460" t="s">
        <v>158</v>
      </c>
      <c r="H151" s="189" t="s">
        <v>90</v>
      </c>
      <c r="I151" s="56" t="s">
        <v>108</v>
      </c>
      <c r="J151" s="15">
        <v>12850</v>
      </c>
      <c r="K151" s="15">
        <v>0</v>
      </c>
      <c r="L151" s="15">
        <v>0</v>
      </c>
      <c r="M151" s="15">
        <v>1250</v>
      </c>
      <c r="N151" s="15">
        <v>16062500</v>
      </c>
      <c r="O151" s="15" t="str">
        <f>IF(AND(A151='BANG KE NL'!$M$11,TH!C151="NL",LEFT(D151,1)="N"),"x","")</f>
        <v/>
      </c>
    </row>
    <row r="152" spans="1:15" hidden="1">
      <c r="A152" s="24">
        <f t="shared" si="5"/>
        <v>3</v>
      </c>
      <c r="B152" s="188" t="str">
        <f>IF(AND(MONTH(E152)='IN-NX'!$J$5,'IN-NX'!$D$7=(D152&amp;"/"&amp;C152)),"x","")</f>
        <v/>
      </c>
      <c r="C152" s="185" t="s">
        <v>153</v>
      </c>
      <c r="D152" s="185" t="s">
        <v>144</v>
      </c>
      <c r="E152" s="69">
        <v>41337</v>
      </c>
      <c r="F152" s="61" t="s">
        <v>53</v>
      </c>
      <c r="G152" s="19" t="s">
        <v>112</v>
      </c>
      <c r="H152" s="189" t="s">
        <v>108</v>
      </c>
      <c r="I152" s="56" t="s">
        <v>93</v>
      </c>
      <c r="J152" s="15">
        <v>16700</v>
      </c>
      <c r="K152" s="15">
        <v>1250</v>
      </c>
      <c r="L152" s="15">
        <v>20875000</v>
      </c>
      <c r="M152" s="15">
        <v>0</v>
      </c>
      <c r="N152" s="15">
        <v>0</v>
      </c>
      <c r="O152" s="15" t="str">
        <f>IF(AND(A152='BANG KE NL'!$M$11,TH!C152="NL",LEFT(D152,1)="N"),"x","")</f>
        <v/>
      </c>
    </row>
    <row r="153" spans="1:15" hidden="1">
      <c r="A153" s="24">
        <f t="shared" si="5"/>
        <v>3</v>
      </c>
      <c r="B153" s="188" t="str">
        <f>IF(AND(MONTH(E153)='IN-NX'!$J$5,'IN-NX'!$D$7=(D153&amp;"/"&amp;C153)),"x","")</f>
        <v/>
      </c>
      <c r="C153" s="185" t="s">
        <v>153</v>
      </c>
      <c r="D153" s="185" t="s">
        <v>197</v>
      </c>
      <c r="E153" s="69">
        <v>41358</v>
      </c>
      <c r="F153" s="61" t="s">
        <v>53</v>
      </c>
      <c r="G153" s="460" t="s">
        <v>158</v>
      </c>
      <c r="H153" s="189" t="s">
        <v>90</v>
      </c>
      <c r="I153" s="56" t="s">
        <v>108</v>
      </c>
      <c r="J153" s="15">
        <v>16826</v>
      </c>
      <c r="K153" s="15">
        <v>0</v>
      </c>
      <c r="L153" s="15">
        <v>0</v>
      </c>
      <c r="M153" s="15">
        <v>1250</v>
      </c>
      <c r="N153" s="15">
        <v>21032500</v>
      </c>
      <c r="O153" s="15" t="str">
        <f>IF(AND(A153='BANG KE NL'!$M$11,TH!C153="NL",LEFT(D153,1)="N"),"x","")</f>
        <v/>
      </c>
    </row>
    <row r="154" spans="1:15" hidden="1">
      <c r="A154" s="24">
        <f t="shared" si="5"/>
        <v>7</v>
      </c>
      <c r="B154" s="188" t="str">
        <f>IF(AND(MONTH(E154)='IN-NX'!$J$5,'IN-NX'!$D$7=(D154&amp;"/"&amp;C154)),"x","")</f>
        <v/>
      </c>
      <c r="C154" s="185" t="s">
        <v>153</v>
      </c>
      <c r="D154" s="185" t="s">
        <v>144</v>
      </c>
      <c r="E154" s="69">
        <v>41459</v>
      </c>
      <c r="F154" s="61" t="s">
        <v>53</v>
      </c>
      <c r="G154" s="19" t="s">
        <v>112</v>
      </c>
      <c r="H154" s="189" t="s">
        <v>108</v>
      </c>
      <c r="I154" s="56" t="s">
        <v>93</v>
      </c>
      <c r="J154" s="15">
        <v>16700</v>
      </c>
      <c r="K154" s="15">
        <v>620</v>
      </c>
      <c r="L154" s="15">
        <v>10354000</v>
      </c>
      <c r="M154" s="15">
        <v>0</v>
      </c>
      <c r="N154" s="15">
        <v>0</v>
      </c>
      <c r="O154" s="15" t="str">
        <f>IF(AND(A154='BANG KE NL'!$M$11,TH!C154="NL",LEFT(D154,1)="N"),"x","")</f>
        <v/>
      </c>
    </row>
    <row r="155" spans="1:15" hidden="1">
      <c r="A155" s="24">
        <f t="shared" si="5"/>
        <v>7</v>
      </c>
      <c r="B155" s="188" t="str">
        <f>IF(AND(MONTH(E155)='IN-NX'!$J$5,'IN-NX'!$D$7=(D155&amp;"/"&amp;C155)),"x","")</f>
        <v/>
      </c>
      <c r="C155" s="185" t="s">
        <v>153</v>
      </c>
      <c r="D155" s="185" t="s">
        <v>151</v>
      </c>
      <c r="E155" s="69">
        <v>41466</v>
      </c>
      <c r="F155" s="61" t="s">
        <v>53</v>
      </c>
      <c r="G155" s="460" t="s">
        <v>158</v>
      </c>
      <c r="H155" s="189" t="s">
        <v>90</v>
      </c>
      <c r="I155" s="56" t="s">
        <v>108</v>
      </c>
      <c r="J155" s="15">
        <v>16700</v>
      </c>
      <c r="K155" s="15">
        <v>0</v>
      </c>
      <c r="L155" s="15">
        <v>0</v>
      </c>
      <c r="M155" s="15">
        <v>650</v>
      </c>
      <c r="N155" s="15">
        <v>10855000</v>
      </c>
      <c r="O155" s="15" t="str">
        <f>IF(AND(A155='BANG KE NL'!$M$11,TH!C155="NL",LEFT(D155,1)="N"),"x","")</f>
        <v/>
      </c>
    </row>
    <row r="156" spans="1:15" hidden="1">
      <c r="A156" s="24">
        <f t="shared" si="5"/>
        <v>2</v>
      </c>
      <c r="B156" s="188" t="str">
        <f>IF(AND(MONTH(E156)='IN-NX'!$J$5,'IN-NX'!$D$7=(D156&amp;"/"&amp;C156)),"x","")</f>
        <v/>
      </c>
      <c r="C156" s="185" t="s">
        <v>153</v>
      </c>
      <c r="D156" s="185" t="s">
        <v>144</v>
      </c>
      <c r="E156" s="69">
        <v>41331</v>
      </c>
      <c r="F156" s="61" t="s">
        <v>205</v>
      </c>
      <c r="G156" s="19" t="s">
        <v>110</v>
      </c>
      <c r="H156" s="189" t="s">
        <v>108</v>
      </c>
      <c r="I156" s="56" t="s">
        <v>93</v>
      </c>
      <c r="J156" s="15">
        <v>40000</v>
      </c>
      <c r="K156" s="15">
        <v>101</v>
      </c>
      <c r="L156" s="15">
        <v>4040000</v>
      </c>
      <c r="M156" s="15">
        <v>0</v>
      </c>
      <c r="N156" s="15">
        <v>0</v>
      </c>
      <c r="O156" s="15" t="str">
        <f>IF(AND(A156='BANG KE NL'!$M$11,TH!C156="NL",LEFT(D156,1)="N"),"x","")</f>
        <v/>
      </c>
    </row>
    <row r="157" spans="1:15" hidden="1">
      <c r="A157" s="24">
        <f t="shared" si="5"/>
        <v>3</v>
      </c>
      <c r="B157" s="188" t="str">
        <f>IF(AND(MONTH(E157)='IN-NX'!$J$5,'IN-NX'!$D$7=(D157&amp;"/"&amp;C157)),"x","")</f>
        <v/>
      </c>
      <c r="C157" s="185" t="s">
        <v>153</v>
      </c>
      <c r="D157" s="185" t="s">
        <v>151</v>
      </c>
      <c r="E157" s="69">
        <v>41352</v>
      </c>
      <c r="F157" s="61" t="s">
        <v>205</v>
      </c>
      <c r="G157" s="460" t="s">
        <v>158</v>
      </c>
      <c r="H157" s="189" t="s">
        <v>90</v>
      </c>
      <c r="I157" s="56" t="s">
        <v>108</v>
      </c>
      <c r="J157" s="15">
        <v>13800</v>
      </c>
      <c r="K157" s="15">
        <v>0</v>
      </c>
      <c r="L157" s="15">
        <v>0</v>
      </c>
      <c r="M157" s="15">
        <v>200</v>
      </c>
      <c r="N157" s="15">
        <v>2760000</v>
      </c>
      <c r="O157" s="15" t="str">
        <f>IF(AND(A157='BANG KE NL'!$M$11,TH!C157="NL",LEFT(D157,1)="N"),"x","")</f>
        <v/>
      </c>
    </row>
    <row r="158" spans="1:15" hidden="1">
      <c r="A158" s="24">
        <f t="shared" si="5"/>
        <v>4</v>
      </c>
      <c r="B158" s="188" t="str">
        <f>IF(AND(MONTH(E158)='IN-NX'!$J$5,'IN-NX'!$D$7=(D158&amp;"/"&amp;C158)),"x","")</f>
        <v/>
      </c>
      <c r="C158" s="185" t="s">
        <v>153</v>
      </c>
      <c r="D158" s="185" t="s">
        <v>151</v>
      </c>
      <c r="E158" s="69">
        <v>41375</v>
      </c>
      <c r="F158" s="61" t="s">
        <v>205</v>
      </c>
      <c r="G158" s="460" t="s">
        <v>158</v>
      </c>
      <c r="H158" s="189" t="s">
        <v>90</v>
      </c>
      <c r="I158" s="56" t="s">
        <v>108</v>
      </c>
      <c r="J158" s="15">
        <v>15671.428571428571</v>
      </c>
      <c r="K158" s="15">
        <v>0</v>
      </c>
      <c r="L158" s="15">
        <v>0</v>
      </c>
      <c r="M158" s="15">
        <v>280</v>
      </c>
      <c r="N158" s="15">
        <v>4388000</v>
      </c>
      <c r="O158" s="15" t="str">
        <f>IF(AND(A158='BANG KE NL'!$M$11,TH!C158="NL",LEFT(D158,1)="N"),"x","")</f>
        <v/>
      </c>
    </row>
    <row r="159" spans="1:15" hidden="1">
      <c r="A159" s="24">
        <f t="shared" si="5"/>
        <v>4</v>
      </c>
      <c r="B159" s="188" t="str">
        <f>IF(AND(MONTH(E159)='IN-NX'!$J$5,'IN-NX'!$D$7=(D159&amp;"/"&amp;C159)),"x","")</f>
        <v/>
      </c>
      <c r="C159" s="185" t="s">
        <v>153</v>
      </c>
      <c r="D159" s="185" t="s">
        <v>144</v>
      </c>
      <c r="E159" s="69">
        <v>41391</v>
      </c>
      <c r="F159" s="61" t="s">
        <v>205</v>
      </c>
      <c r="G159" s="19" t="s">
        <v>110</v>
      </c>
      <c r="H159" s="189" t="s">
        <v>108</v>
      </c>
      <c r="I159" s="56" t="s">
        <v>93</v>
      </c>
      <c r="J159" s="15">
        <v>34000</v>
      </c>
      <c r="K159" s="15">
        <v>269</v>
      </c>
      <c r="L159" s="15">
        <v>9146000</v>
      </c>
      <c r="M159" s="15">
        <v>0</v>
      </c>
      <c r="N159" s="15">
        <v>0</v>
      </c>
      <c r="O159" s="15" t="str">
        <f>IF(AND(A159='BANG KE NL'!$M$11,TH!C159="NL",LEFT(D159,1)="N"),"x","")</f>
        <v/>
      </c>
    </row>
    <row r="160" spans="1:15" hidden="1">
      <c r="A160" s="24">
        <f t="shared" si="5"/>
        <v>7</v>
      </c>
      <c r="B160" s="188" t="str">
        <f>IF(AND(MONTH(E160)='IN-NX'!$J$5,'IN-NX'!$D$7=(D160&amp;"/"&amp;C160)),"x","")</f>
        <v/>
      </c>
      <c r="C160" s="185" t="s">
        <v>153</v>
      </c>
      <c r="D160" s="185" t="s">
        <v>148</v>
      </c>
      <c r="E160" s="69">
        <v>41478</v>
      </c>
      <c r="F160" s="61" t="s">
        <v>205</v>
      </c>
      <c r="G160" s="19" t="s">
        <v>112</v>
      </c>
      <c r="H160" s="189" t="s">
        <v>108</v>
      </c>
      <c r="I160" s="56" t="s">
        <v>93</v>
      </c>
      <c r="J160" s="15">
        <v>12000</v>
      </c>
      <c r="K160" s="15">
        <v>320</v>
      </c>
      <c r="L160" s="15">
        <v>3840000</v>
      </c>
      <c r="M160" s="15">
        <v>0</v>
      </c>
      <c r="N160" s="15">
        <v>0</v>
      </c>
      <c r="O160" s="15" t="str">
        <f>IF(AND(A160='BANG KE NL'!$M$11,TH!C160="NL",LEFT(D160,1)="N"),"x","")</f>
        <v/>
      </c>
    </row>
    <row r="161" spans="1:15" hidden="1">
      <c r="A161" s="24">
        <f t="shared" si="5"/>
        <v>7</v>
      </c>
      <c r="B161" s="188" t="str">
        <f>IF(AND(MONTH(E161)='IN-NX'!$J$5,'IN-NX'!$D$7=(D161&amp;"/"&amp;C161)),"x","")</f>
        <v/>
      </c>
      <c r="C161" s="185" t="s">
        <v>153</v>
      </c>
      <c r="D161" s="185" t="s">
        <v>164</v>
      </c>
      <c r="E161" s="69">
        <v>41482</v>
      </c>
      <c r="F161" s="61" t="s">
        <v>205</v>
      </c>
      <c r="G161" s="19" t="s">
        <v>110</v>
      </c>
      <c r="H161" s="189" t="s">
        <v>108</v>
      </c>
      <c r="I161" s="56" t="s">
        <v>93</v>
      </c>
      <c r="J161" s="15">
        <v>34000</v>
      </c>
      <c r="K161" s="15">
        <v>112</v>
      </c>
      <c r="L161" s="15">
        <v>3808000</v>
      </c>
      <c r="M161" s="15">
        <v>0</v>
      </c>
      <c r="N161" s="15">
        <v>0</v>
      </c>
      <c r="O161" s="15" t="str">
        <f>IF(AND(A161='BANG KE NL'!$M$11,TH!C161="NL",LEFT(D161,1)="N"),"x","")</f>
        <v/>
      </c>
    </row>
    <row r="162" spans="1:15" hidden="1">
      <c r="A162" s="24">
        <f t="shared" si="5"/>
        <v>9</v>
      </c>
      <c r="B162" s="188" t="str">
        <f>IF(AND(MONTH(E162)='IN-NX'!$J$5,'IN-NX'!$D$7=(D162&amp;"/"&amp;C162)),"x","")</f>
        <v/>
      </c>
      <c r="C162" s="185" t="s">
        <v>153</v>
      </c>
      <c r="D162" s="185" t="s">
        <v>147</v>
      </c>
      <c r="E162" s="69">
        <v>41529</v>
      </c>
      <c r="F162" s="61" t="s">
        <v>205</v>
      </c>
      <c r="G162" s="19" t="s">
        <v>112</v>
      </c>
      <c r="H162" s="189" t="s">
        <v>108</v>
      </c>
      <c r="I162" s="56" t="s">
        <v>93</v>
      </c>
      <c r="J162" s="15">
        <v>12000</v>
      </c>
      <c r="K162" s="15">
        <v>370</v>
      </c>
      <c r="L162" s="15">
        <v>4440000</v>
      </c>
      <c r="M162" s="15">
        <v>0</v>
      </c>
      <c r="N162" s="15">
        <v>0</v>
      </c>
      <c r="O162" s="15" t="str">
        <f>IF(AND(A162='BANG KE NL'!$M$11,TH!C162="NL",LEFT(D162,1)="N"),"x","")</f>
        <v/>
      </c>
    </row>
    <row r="163" spans="1:15" hidden="1">
      <c r="A163" s="24">
        <f t="shared" si="5"/>
        <v>10</v>
      </c>
      <c r="B163" s="188" t="str">
        <f>IF(AND(MONTH(E163)='IN-NX'!$J$5,'IN-NX'!$D$7=(D163&amp;"/"&amp;C163)),"x","")</f>
        <v/>
      </c>
      <c r="C163" s="185" t="s">
        <v>153</v>
      </c>
      <c r="D163" s="185" t="s">
        <v>152</v>
      </c>
      <c r="E163" s="69">
        <v>41558</v>
      </c>
      <c r="F163" s="61" t="s">
        <v>205</v>
      </c>
      <c r="G163" s="460" t="s">
        <v>158</v>
      </c>
      <c r="H163" s="189" t="s">
        <v>90</v>
      </c>
      <c r="I163" s="56" t="s">
        <v>108</v>
      </c>
      <c r="J163" s="15">
        <v>34064.69002695418</v>
      </c>
      <c r="K163" s="15">
        <v>0</v>
      </c>
      <c r="L163" s="15">
        <v>0</v>
      </c>
      <c r="M163" s="15">
        <v>371</v>
      </c>
      <c r="N163" s="15">
        <v>12638000</v>
      </c>
      <c r="O163" s="15" t="str">
        <f>IF(AND(A163='BANG KE NL'!$M$11,TH!C163="NL",LEFT(D163,1)="N"),"x","")</f>
        <v/>
      </c>
    </row>
    <row r="164" spans="1:15" hidden="1">
      <c r="A164" s="24">
        <f t="shared" si="5"/>
        <v>10</v>
      </c>
      <c r="B164" s="188" t="str">
        <f>IF(AND(MONTH(E164)='IN-NX'!$J$5,'IN-NX'!$D$7=(D164&amp;"/"&amp;C164)),"x","")</f>
        <v/>
      </c>
      <c r="C164" s="185" t="s">
        <v>153</v>
      </c>
      <c r="D164" s="185" t="s">
        <v>164</v>
      </c>
      <c r="E164" s="69">
        <v>41571</v>
      </c>
      <c r="F164" s="61" t="s">
        <v>205</v>
      </c>
      <c r="G164" s="19" t="s">
        <v>112</v>
      </c>
      <c r="H164" s="189" t="s">
        <v>108</v>
      </c>
      <c r="I164" s="56" t="s">
        <v>93</v>
      </c>
      <c r="J164" s="15">
        <v>12000</v>
      </c>
      <c r="K164" s="15">
        <v>225</v>
      </c>
      <c r="L164" s="15">
        <v>2700000</v>
      </c>
      <c r="M164" s="15">
        <v>0</v>
      </c>
      <c r="N164" s="15">
        <v>0</v>
      </c>
      <c r="O164" s="15" t="str">
        <f>IF(AND(A164='BANG KE NL'!$M$11,TH!C164="NL",LEFT(D164,1)="N"),"x","")</f>
        <v/>
      </c>
    </row>
    <row r="165" spans="1:15" hidden="1">
      <c r="A165" s="24">
        <f t="shared" si="5"/>
        <v>10</v>
      </c>
      <c r="B165" s="188" t="str">
        <f>IF(AND(MONTH(E165)='IN-NX'!$J$5,'IN-NX'!$D$7=(D165&amp;"/"&amp;C165)),"x","")</f>
        <v/>
      </c>
      <c r="C165" s="185" t="s">
        <v>153</v>
      </c>
      <c r="D165" s="185" t="s">
        <v>202</v>
      </c>
      <c r="E165" s="69">
        <v>41577</v>
      </c>
      <c r="F165" s="61" t="s">
        <v>205</v>
      </c>
      <c r="G165" s="460" t="s">
        <v>158</v>
      </c>
      <c r="H165" s="189" t="s">
        <v>90</v>
      </c>
      <c r="I165" s="56" t="s">
        <v>108</v>
      </c>
      <c r="J165" s="15">
        <v>12000</v>
      </c>
      <c r="K165" s="15">
        <v>0</v>
      </c>
      <c r="L165" s="15">
        <v>0</v>
      </c>
      <c r="M165" s="15">
        <v>230</v>
      </c>
      <c r="N165" s="15">
        <v>2760000</v>
      </c>
      <c r="O165" s="15" t="str">
        <f>IF(AND(A165='BANG KE NL'!$M$11,TH!C165="NL",LEFT(D165,1)="N"),"x","")</f>
        <v/>
      </c>
    </row>
    <row r="166" spans="1:15" hidden="1">
      <c r="A166" s="24">
        <f t="shared" si="5"/>
        <v>11</v>
      </c>
      <c r="B166" s="188" t="str">
        <f>IF(AND(MONTH(E166)='IN-NX'!$J$5,'IN-NX'!$D$7=(D166&amp;"/"&amp;C166)),"x","")</f>
        <v/>
      </c>
      <c r="C166" s="185" t="s">
        <v>153</v>
      </c>
      <c r="D166" s="185" t="s">
        <v>148</v>
      </c>
      <c r="E166" s="69">
        <v>41584</v>
      </c>
      <c r="F166" s="61" t="s">
        <v>205</v>
      </c>
      <c r="G166" s="19" t="s">
        <v>112</v>
      </c>
      <c r="H166" s="189" t="s">
        <v>108</v>
      </c>
      <c r="I166" s="56" t="s">
        <v>93</v>
      </c>
      <c r="J166" s="15">
        <v>12000</v>
      </c>
      <c r="K166" s="15">
        <v>230</v>
      </c>
      <c r="L166" s="15">
        <v>2760000</v>
      </c>
      <c r="M166" s="15">
        <v>0</v>
      </c>
      <c r="N166" s="15">
        <v>0</v>
      </c>
      <c r="O166" s="15" t="str">
        <f>IF(AND(A166='BANG KE NL'!$M$11,TH!C166="NL",LEFT(D166,1)="N"),"x","")</f>
        <v/>
      </c>
    </row>
    <row r="167" spans="1:15" hidden="1">
      <c r="A167" s="24">
        <f t="shared" si="5"/>
        <v>11</v>
      </c>
      <c r="B167" s="188" t="str">
        <f>IF(AND(MONTH(E167)='IN-NX'!$J$5,'IN-NX'!$D$7=(D167&amp;"/"&amp;C167)),"x","")</f>
        <v/>
      </c>
      <c r="C167" s="185" t="s">
        <v>153</v>
      </c>
      <c r="D167" s="185" t="s">
        <v>151</v>
      </c>
      <c r="E167" s="69">
        <v>41584</v>
      </c>
      <c r="F167" s="61" t="s">
        <v>205</v>
      </c>
      <c r="G167" s="460" t="s">
        <v>158</v>
      </c>
      <c r="H167" s="189" t="s">
        <v>90</v>
      </c>
      <c r="I167" s="56" t="s">
        <v>108</v>
      </c>
      <c r="J167" s="15">
        <v>22266.666666666668</v>
      </c>
      <c r="K167" s="15">
        <v>0</v>
      </c>
      <c r="L167" s="15">
        <v>0</v>
      </c>
      <c r="M167" s="15">
        <v>240</v>
      </c>
      <c r="N167" s="15">
        <v>5344000</v>
      </c>
      <c r="O167" s="15" t="str">
        <f>IF(AND(A167='BANG KE NL'!$M$11,TH!C167="NL",LEFT(D167,1)="N"),"x","")</f>
        <v/>
      </c>
    </row>
    <row r="168" spans="1:15" hidden="1">
      <c r="A168" s="24">
        <f t="shared" si="5"/>
        <v>12</v>
      </c>
      <c r="B168" s="188" t="str">
        <f>IF(AND(MONTH(E168)='IN-NX'!$J$5,'IN-NX'!$D$7=(D168&amp;"/"&amp;C168)),"x","")</f>
        <v/>
      </c>
      <c r="C168" s="185" t="s">
        <v>153</v>
      </c>
      <c r="D168" s="185" t="s">
        <v>143</v>
      </c>
      <c r="E168" s="69">
        <v>41610</v>
      </c>
      <c r="F168" s="61" t="s">
        <v>205</v>
      </c>
      <c r="G168" s="19" t="s">
        <v>112</v>
      </c>
      <c r="H168" s="189" t="s">
        <v>108</v>
      </c>
      <c r="I168" s="56" t="s">
        <v>93</v>
      </c>
      <c r="J168" s="15">
        <v>12000</v>
      </c>
      <c r="K168" s="15">
        <v>650</v>
      </c>
      <c r="L168" s="15">
        <v>7800000</v>
      </c>
      <c r="M168" s="15">
        <v>0</v>
      </c>
      <c r="N168" s="15">
        <v>0</v>
      </c>
      <c r="O168" s="15" t="str">
        <f>IF(AND(A168='BANG KE NL'!$M$11,TH!C168="NL",LEFT(D168,1)="N"),"x","")</f>
        <v/>
      </c>
    </row>
    <row r="169" spans="1:15" hidden="1">
      <c r="A169" s="24">
        <f t="shared" si="5"/>
        <v>12</v>
      </c>
      <c r="B169" s="188" t="str">
        <f>IF(AND(MONTH(E169)='IN-NX'!$J$5,'IN-NX'!$D$7=(D169&amp;"/"&amp;C169)),"x","")</f>
        <v/>
      </c>
      <c r="C169" s="185" t="s">
        <v>153</v>
      </c>
      <c r="D169" s="185" t="s">
        <v>144</v>
      </c>
      <c r="E169" s="69">
        <v>41628</v>
      </c>
      <c r="F169" s="61" t="s">
        <v>205</v>
      </c>
      <c r="G169" s="19" t="s">
        <v>112</v>
      </c>
      <c r="H169" s="189" t="s">
        <v>108</v>
      </c>
      <c r="I169" s="56" t="s">
        <v>93</v>
      </c>
      <c r="J169" s="15">
        <v>12000</v>
      </c>
      <c r="K169" s="15">
        <v>325</v>
      </c>
      <c r="L169" s="15">
        <v>3900000</v>
      </c>
      <c r="M169" s="15">
        <v>0</v>
      </c>
      <c r="N169" s="15">
        <v>0</v>
      </c>
      <c r="O169" s="15" t="str">
        <f>IF(AND(A169='BANG KE NL'!$M$11,TH!C169="NL",LEFT(D169,1)="N"),"x","")</f>
        <v/>
      </c>
    </row>
    <row r="170" spans="1:15">
      <c r="A170" s="24">
        <f t="shared" si="5"/>
        <v>12</v>
      </c>
      <c r="B170" s="188" t="str">
        <f>IF(AND(MONTH(E170)='IN-NX'!$J$5,'IN-NX'!$D$7=(D170&amp;"/"&amp;C170)),"x","")</f>
        <v/>
      </c>
      <c r="C170" s="185" t="s">
        <v>153</v>
      </c>
      <c r="D170" s="185" t="s">
        <v>197</v>
      </c>
      <c r="E170" s="69">
        <v>41633</v>
      </c>
      <c r="F170" s="61" t="s">
        <v>205</v>
      </c>
      <c r="G170" s="460" t="s">
        <v>158</v>
      </c>
      <c r="H170" s="189" t="s">
        <v>90</v>
      </c>
      <c r="I170" s="56" t="s">
        <v>108</v>
      </c>
      <c r="J170" s="15">
        <v>12000</v>
      </c>
      <c r="K170" s="15">
        <v>0</v>
      </c>
      <c r="L170" s="15">
        <v>0</v>
      </c>
      <c r="M170" s="15">
        <v>650</v>
      </c>
      <c r="N170" s="15">
        <v>7800000</v>
      </c>
      <c r="O170" s="15" t="str">
        <f>IF(AND(A170='BANG KE NL'!$M$11,TH!C170="NL",LEFT(D170,1)="N"),"x","")</f>
        <v/>
      </c>
    </row>
    <row r="171" spans="1:15">
      <c r="A171" s="24">
        <f t="shared" si="5"/>
        <v>12</v>
      </c>
      <c r="B171" s="188" t="str">
        <f>IF(AND(MONTH(E171)='IN-NX'!$J$5,'IN-NX'!$D$7=(D171&amp;"/"&amp;C171)),"x","")</f>
        <v/>
      </c>
      <c r="C171" s="185" t="s">
        <v>153</v>
      </c>
      <c r="D171" s="185" t="s">
        <v>197</v>
      </c>
      <c r="E171" s="69">
        <v>41633</v>
      </c>
      <c r="F171" s="61" t="s">
        <v>205</v>
      </c>
      <c r="G171" s="460" t="s">
        <v>158</v>
      </c>
      <c r="H171" s="189" t="s">
        <v>90</v>
      </c>
      <c r="I171" s="56" t="s">
        <v>108</v>
      </c>
      <c r="J171" s="15">
        <v>12000</v>
      </c>
      <c r="K171" s="15">
        <v>0</v>
      </c>
      <c r="L171" s="15">
        <v>0</v>
      </c>
      <c r="M171" s="15">
        <v>225</v>
      </c>
      <c r="N171" s="15">
        <v>2700000</v>
      </c>
      <c r="O171" s="15" t="str">
        <f>IF(AND(A171='BANG KE NL'!$M$11,TH!C171="NL",LEFT(D171,1)="N"),"x","")</f>
        <v/>
      </c>
    </row>
    <row r="172" spans="1:15" hidden="1">
      <c r="A172" s="24">
        <f t="shared" si="5"/>
        <v>2</v>
      </c>
      <c r="B172" s="188" t="str">
        <f>IF(AND(MONTH(E172)='IN-NX'!$J$5,'IN-NX'!$D$7=(D172&amp;"/"&amp;C172)),"x","")</f>
        <v/>
      </c>
      <c r="C172" s="185" t="s">
        <v>153</v>
      </c>
      <c r="D172" s="185" t="s">
        <v>145</v>
      </c>
      <c r="E172" s="69">
        <v>41332</v>
      </c>
      <c r="F172" s="61" t="s">
        <v>291</v>
      </c>
      <c r="G172" s="19" t="s">
        <v>110</v>
      </c>
      <c r="H172" s="189" t="s">
        <v>108</v>
      </c>
      <c r="I172" s="56" t="s">
        <v>93</v>
      </c>
      <c r="J172" s="15">
        <v>39000</v>
      </c>
      <c r="K172" s="15">
        <v>100</v>
      </c>
      <c r="L172" s="15">
        <v>3900000</v>
      </c>
      <c r="M172" s="15">
        <v>0</v>
      </c>
      <c r="N172" s="15">
        <v>0</v>
      </c>
      <c r="O172" s="15" t="str">
        <f>IF(AND(A172='BANG KE NL'!$M$11,TH!C172="NL",LEFT(D172,1)="N"),"x","")</f>
        <v/>
      </c>
    </row>
    <row r="173" spans="1:15" hidden="1">
      <c r="A173" s="24">
        <f t="shared" si="5"/>
        <v>3</v>
      </c>
      <c r="B173" s="188" t="str">
        <f>IF(AND(MONTH(E173)='IN-NX'!$J$5,'IN-NX'!$D$7=(D173&amp;"/"&amp;C173)),"x","")</f>
        <v/>
      </c>
      <c r="C173" s="185" t="s">
        <v>153</v>
      </c>
      <c r="D173" s="185" t="s">
        <v>151</v>
      </c>
      <c r="E173" s="69">
        <v>41352</v>
      </c>
      <c r="F173" s="61" t="s">
        <v>291</v>
      </c>
      <c r="G173" s="460" t="s">
        <v>158</v>
      </c>
      <c r="H173" s="189" t="s">
        <v>90</v>
      </c>
      <c r="I173" s="56" t="s">
        <v>108</v>
      </c>
      <c r="J173" s="15">
        <v>39000</v>
      </c>
      <c r="K173" s="15">
        <v>0</v>
      </c>
      <c r="L173" s="15">
        <v>0</v>
      </c>
      <c r="M173" s="15">
        <v>100</v>
      </c>
      <c r="N173" s="15">
        <v>3900000</v>
      </c>
      <c r="O173" s="15" t="str">
        <f>IF(AND(A173='BANG KE NL'!$M$11,TH!C173="NL",LEFT(D173,1)="N"),"x","")</f>
        <v/>
      </c>
    </row>
    <row r="174" spans="1:15" hidden="1">
      <c r="A174" s="24">
        <f t="shared" si="5"/>
        <v>7</v>
      </c>
      <c r="B174" s="188" t="str">
        <f>IF(AND(MONTH(E174)='IN-NX'!$J$5,'IN-NX'!$D$7=(D174&amp;"/"&amp;C174)),"x","")</f>
        <v/>
      </c>
      <c r="C174" s="185" t="s">
        <v>153</v>
      </c>
      <c r="D174" s="185" t="s">
        <v>164</v>
      </c>
      <c r="E174" s="69">
        <v>41482</v>
      </c>
      <c r="F174" s="61" t="s">
        <v>291</v>
      </c>
      <c r="G174" s="19" t="s">
        <v>110</v>
      </c>
      <c r="H174" s="189" t="s">
        <v>108</v>
      </c>
      <c r="I174" s="56" t="s">
        <v>93</v>
      </c>
      <c r="J174" s="15">
        <v>39000</v>
      </c>
      <c r="K174" s="15">
        <v>162</v>
      </c>
      <c r="L174" s="15">
        <v>6318000</v>
      </c>
      <c r="M174" s="15">
        <v>0</v>
      </c>
      <c r="N174" s="15">
        <v>0</v>
      </c>
      <c r="O174" s="15" t="str">
        <f>IF(AND(A174='BANG KE NL'!$M$11,TH!C174="NL",LEFT(D174,1)="N"),"x","")</f>
        <v/>
      </c>
    </row>
    <row r="175" spans="1:15" hidden="1">
      <c r="A175" s="24">
        <f t="shared" si="5"/>
        <v>9</v>
      </c>
      <c r="B175" s="188" t="str">
        <f>IF(AND(MONTH(E175)='IN-NX'!$J$5,'IN-NX'!$D$7=(D175&amp;"/"&amp;C175)),"x","")</f>
        <v/>
      </c>
      <c r="C175" s="185" t="s">
        <v>153</v>
      </c>
      <c r="D175" s="185" t="s">
        <v>159</v>
      </c>
      <c r="E175" s="69">
        <v>41539</v>
      </c>
      <c r="F175" s="61" t="s">
        <v>291</v>
      </c>
      <c r="G175" s="460" t="s">
        <v>158</v>
      </c>
      <c r="H175" s="189" t="s">
        <v>90</v>
      </c>
      <c r="I175" s="56" t="s">
        <v>108</v>
      </c>
      <c r="J175" s="15">
        <v>39000</v>
      </c>
      <c r="K175" s="15">
        <v>0</v>
      </c>
      <c r="L175" s="15">
        <v>0</v>
      </c>
      <c r="M175" s="15">
        <v>162</v>
      </c>
      <c r="N175" s="15">
        <v>6318000</v>
      </c>
      <c r="O175" s="15" t="str">
        <f>IF(AND(A175='BANG KE NL'!$M$11,TH!C175="NL",LEFT(D175,1)="N"),"x","")</f>
        <v/>
      </c>
    </row>
    <row r="176" spans="1:15" hidden="1">
      <c r="A176" s="24">
        <f t="shared" si="5"/>
        <v>3</v>
      </c>
      <c r="B176" s="188" t="str">
        <f>IF(AND(MONTH(E176)='IN-NX'!$J$5,'IN-NX'!$D$7=(D176&amp;"/"&amp;C176)),"x","")</f>
        <v/>
      </c>
      <c r="C176" s="185" t="s">
        <v>153</v>
      </c>
      <c r="D176" s="185" t="s">
        <v>145</v>
      </c>
      <c r="E176" s="69">
        <v>41349</v>
      </c>
      <c r="F176" s="61" t="s">
        <v>283</v>
      </c>
      <c r="G176" s="19" t="s">
        <v>112</v>
      </c>
      <c r="H176" s="189" t="s">
        <v>108</v>
      </c>
      <c r="I176" s="56" t="s">
        <v>93</v>
      </c>
      <c r="J176" s="15">
        <v>13050</v>
      </c>
      <c r="K176" s="15">
        <v>2330</v>
      </c>
      <c r="L176" s="15">
        <v>30406500</v>
      </c>
      <c r="M176" s="15">
        <v>0</v>
      </c>
      <c r="N176" s="15">
        <v>0</v>
      </c>
      <c r="O176" s="15" t="str">
        <f>IF(AND(A176='BANG KE NL'!$M$11,TH!C176="NL",LEFT(D176,1)="N"),"x","")</f>
        <v/>
      </c>
    </row>
    <row r="177" spans="1:15" hidden="1">
      <c r="A177" s="24">
        <f t="shared" si="5"/>
        <v>3</v>
      </c>
      <c r="B177" s="188" t="str">
        <f>IF(AND(MONTH(E177)='IN-NX'!$J$5,'IN-NX'!$D$7=(D177&amp;"/"&amp;C177)),"x","")</f>
        <v/>
      </c>
      <c r="C177" s="185" t="s">
        <v>153</v>
      </c>
      <c r="D177" s="185" t="s">
        <v>197</v>
      </c>
      <c r="E177" s="69">
        <v>41358</v>
      </c>
      <c r="F177" s="61" t="s">
        <v>283</v>
      </c>
      <c r="G177" s="460" t="s">
        <v>158</v>
      </c>
      <c r="H177" s="189" t="s">
        <v>90</v>
      </c>
      <c r="I177" s="56" t="s">
        <v>108</v>
      </c>
      <c r="J177" s="15">
        <v>11400</v>
      </c>
      <c r="K177" s="15">
        <v>0</v>
      </c>
      <c r="L177" s="15">
        <v>0</v>
      </c>
      <c r="M177" s="15">
        <v>1150</v>
      </c>
      <c r="N177" s="15">
        <v>13110000</v>
      </c>
      <c r="O177" s="15" t="str">
        <f>IF(AND(A177='BANG KE NL'!$M$11,TH!C177="NL",LEFT(D177,1)="N"),"x","")</f>
        <v/>
      </c>
    </row>
    <row r="178" spans="1:15" hidden="1">
      <c r="A178" s="24">
        <f t="shared" si="5"/>
        <v>4</v>
      </c>
      <c r="B178" s="188" t="str">
        <f>IF(AND(MONTH(E178)='IN-NX'!$J$5,'IN-NX'!$D$7=(D178&amp;"/"&amp;C178)),"x","")</f>
        <v/>
      </c>
      <c r="C178" s="185" t="s">
        <v>153</v>
      </c>
      <c r="D178" s="185" t="s">
        <v>143</v>
      </c>
      <c r="E178" s="69">
        <v>41365</v>
      </c>
      <c r="F178" s="61" t="s">
        <v>283</v>
      </c>
      <c r="G178" s="19" t="s">
        <v>112</v>
      </c>
      <c r="H178" s="189" t="s">
        <v>108</v>
      </c>
      <c r="I178" s="56" t="s">
        <v>93</v>
      </c>
      <c r="J178" s="15">
        <v>13050</v>
      </c>
      <c r="K178" s="15">
        <v>2340</v>
      </c>
      <c r="L178" s="15">
        <v>30537000</v>
      </c>
      <c r="M178" s="15">
        <v>0</v>
      </c>
      <c r="N178" s="15">
        <v>0</v>
      </c>
      <c r="O178" s="15" t="str">
        <f>IF(AND(A178='BANG KE NL'!$M$11,TH!C178="NL",LEFT(D178,1)="N"),"x","")</f>
        <v/>
      </c>
    </row>
    <row r="179" spans="1:15" hidden="1">
      <c r="A179" s="24">
        <f t="shared" si="5"/>
        <v>4</v>
      </c>
      <c r="B179" s="188" t="str">
        <f>IF(AND(MONTH(E179)='IN-NX'!$J$5,'IN-NX'!$D$7=(D179&amp;"/"&amp;C179)),"x","")</f>
        <v/>
      </c>
      <c r="C179" s="185" t="s">
        <v>153</v>
      </c>
      <c r="D179" s="185" t="s">
        <v>151</v>
      </c>
      <c r="E179" s="69">
        <v>41375</v>
      </c>
      <c r="F179" s="61" t="s">
        <v>283</v>
      </c>
      <c r="G179" s="460" t="s">
        <v>158</v>
      </c>
      <c r="H179" s="189" t="s">
        <v>90</v>
      </c>
      <c r="I179" s="56" t="s">
        <v>108</v>
      </c>
      <c r="J179" s="15">
        <v>11400</v>
      </c>
      <c r="K179" s="15">
        <v>0</v>
      </c>
      <c r="L179" s="15">
        <v>0</v>
      </c>
      <c r="M179" s="15">
        <v>900</v>
      </c>
      <c r="N179" s="15">
        <v>10260000</v>
      </c>
      <c r="O179" s="15" t="str">
        <f>IF(AND(A179='BANG KE NL'!$M$11,TH!C179="NL",LEFT(D179,1)="N"),"x","")</f>
        <v/>
      </c>
    </row>
    <row r="180" spans="1:15" hidden="1">
      <c r="A180" s="24">
        <f t="shared" si="5"/>
        <v>11</v>
      </c>
      <c r="B180" s="188" t="str">
        <f>IF(AND(MONTH(E180)='IN-NX'!$J$5,'IN-NX'!$D$7=(D180&amp;"/"&amp;C180)),"x","")</f>
        <v/>
      </c>
      <c r="C180" s="185" t="s">
        <v>153</v>
      </c>
      <c r="D180" s="185" t="s">
        <v>199</v>
      </c>
      <c r="E180" s="69">
        <v>41608</v>
      </c>
      <c r="F180" s="61" t="s">
        <v>283</v>
      </c>
      <c r="G180" s="460" t="s">
        <v>158</v>
      </c>
      <c r="H180" s="189" t="s">
        <v>90</v>
      </c>
      <c r="I180" s="56" t="s">
        <v>108</v>
      </c>
      <c r="J180" s="15">
        <v>11400</v>
      </c>
      <c r="K180" s="15">
        <v>0</v>
      </c>
      <c r="L180" s="15">
        <v>0</v>
      </c>
      <c r="M180" s="15">
        <v>700</v>
      </c>
      <c r="N180" s="15">
        <v>7980000</v>
      </c>
      <c r="O180" s="15" t="str">
        <f>IF(AND(A180='BANG KE NL'!$M$11,TH!C180="NL",LEFT(D180,1)="N"),"x","")</f>
        <v/>
      </c>
    </row>
    <row r="181" spans="1:15" hidden="1">
      <c r="A181" s="24">
        <f t="shared" si="5"/>
        <v>7</v>
      </c>
      <c r="B181" s="188" t="str">
        <f>IF(AND(MONTH(E181)='IN-NX'!$J$5,'IN-NX'!$D$7=(D181&amp;"/"&amp;C181)),"x","")</f>
        <v/>
      </c>
      <c r="C181" s="185" t="s">
        <v>153</v>
      </c>
      <c r="D181" s="185" t="s">
        <v>161</v>
      </c>
      <c r="E181" s="69">
        <v>41480</v>
      </c>
      <c r="F181" s="61" t="s">
        <v>57</v>
      </c>
      <c r="G181" s="19" t="s">
        <v>112</v>
      </c>
      <c r="H181" s="189" t="s">
        <v>108</v>
      </c>
      <c r="I181" s="56" t="s">
        <v>93</v>
      </c>
      <c r="J181" s="15">
        <v>13850</v>
      </c>
      <c r="K181" s="15">
        <v>1530</v>
      </c>
      <c r="L181" s="15">
        <v>21190500</v>
      </c>
      <c r="M181" s="15">
        <v>0</v>
      </c>
      <c r="N181" s="15">
        <v>0</v>
      </c>
      <c r="O181" s="15" t="str">
        <f>IF(AND(A181='BANG KE NL'!$M$11,TH!C181="NL",LEFT(D181,1)="N"),"x","")</f>
        <v/>
      </c>
    </row>
    <row r="182" spans="1:15" hidden="1">
      <c r="A182" s="24">
        <f t="shared" si="5"/>
        <v>8</v>
      </c>
      <c r="B182" s="188" t="str">
        <f>IF(AND(MONTH(E182)='IN-NX'!$J$5,'IN-NX'!$D$7=(D182&amp;"/"&amp;C182)),"x","")</f>
        <v/>
      </c>
      <c r="C182" s="185" t="s">
        <v>153</v>
      </c>
      <c r="D182" s="185" t="s">
        <v>197</v>
      </c>
      <c r="E182" s="69">
        <v>41509</v>
      </c>
      <c r="F182" s="61" t="s">
        <v>57</v>
      </c>
      <c r="G182" s="460" t="s">
        <v>158</v>
      </c>
      <c r="H182" s="189" t="s">
        <v>90</v>
      </c>
      <c r="I182" s="56" t="s">
        <v>108</v>
      </c>
      <c r="J182" s="15">
        <v>13850</v>
      </c>
      <c r="K182" s="15">
        <v>0</v>
      </c>
      <c r="L182" s="15">
        <v>0</v>
      </c>
      <c r="M182" s="15">
        <v>1530</v>
      </c>
      <c r="N182" s="15">
        <v>21190500</v>
      </c>
      <c r="O182" s="15" t="str">
        <f>IF(AND(A182='BANG KE NL'!$M$11,TH!C182="NL",LEFT(D182,1)="N"),"x","")</f>
        <v/>
      </c>
    </row>
    <row r="183" spans="1:15" hidden="1">
      <c r="A183" s="24">
        <f t="shared" si="5"/>
        <v>9</v>
      </c>
      <c r="B183" s="188" t="str">
        <f>IF(AND(MONTH(E183)='IN-NX'!$J$5,'IN-NX'!$D$7=(D183&amp;"/"&amp;C183)),"x","")</f>
        <v/>
      </c>
      <c r="C183" s="185" t="s">
        <v>153</v>
      </c>
      <c r="D183" s="185" t="s">
        <v>147</v>
      </c>
      <c r="E183" s="69">
        <v>41529</v>
      </c>
      <c r="F183" s="61" t="s">
        <v>57</v>
      </c>
      <c r="G183" s="19" t="s">
        <v>112</v>
      </c>
      <c r="H183" s="189" t="s">
        <v>108</v>
      </c>
      <c r="I183" s="56" t="s">
        <v>93</v>
      </c>
      <c r="J183" s="15">
        <v>13850</v>
      </c>
      <c r="K183" s="15">
        <v>1650</v>
      </c>
      <c r="L183" s="15">
        <v>22852500</v>
      </c>
      <c r="M183" s="15">
        <v>0</v>
      </c>
      <c r="N183" s="15">
        <v>0</v>
      </c>
      <c r="O183" s="15" t="str">
        <f>IF(AND(A183='BANG KE NL'!$M$11,TH!C183="NL",LEFT(D183,1)="N"),"x","")</f>
        <v/>
      </c>
    </row>
    <row r="184" spans="1:15" hidden="1">
      <c r="A184" s="24">
        <f t="shared" si="5"/>
        <v>9</v>
      </c>
      <c r="B184" s="188" t="str">
        <f>IF(AND(MONTH(E184)='IN-NX'!$J$5,'IN-NX'!$D$7=(D184&amp;"/"&amp;C184)),"x","")</f>
        <v/>
      </c>
      <c r="C184" s="185" t="s">
        <v>153</v>
      </c>
      <c r="D184" s="185" t="s">
        <v>159</v>
      </c>
      <c r="E184" s="69">
        <v>41539</v>
      </c>
      <c r="F184" s="61" t="s">
        <v>57</v>
      </c>
      <c r="G184" s="460" t="s">
        <v>158</v>
      </c>
      <c r="H184" s="189" t="s">
        <v>90</v>
      </c>
      <c r="I184" s="56" t="s">
        <v>108</v>
      </c>
      <c r="J184" s="15">
        <v>13850</v>
      </c>
      <c r="K184" s="15">
        <v>0</v>
      </c>
      <c r="L184" s="15">
        <v>0</v>
      </c>
      <c r="M184" s="15">
        <v>1650</v>
      </c>
      <c r="N184" s="15">
        <v>22852500</v>
      </c>
      <c r="O184" s="15" t="str">
        <f>IF(AND(A184='BANG KE NL'!$M$11,TH!C184="NL",LEFT(D184,1)="N"),"x","")</f>
        <v/>
      </c>
    </row>
    <row r="185" spans="1:15" hidden="1">
      <c r="A185" s="24">
        <f t="shared" si="5"/>
        <v>1</v>
      </c>
      <c r="B185" s="188" t="str">
        <f>IF(AND(MONTH(E185)='IN-NX'!$J$5,'IN-NX'!$D$7=(D185&amp;"/"&amp;C185)),"x","")</f>
        <v/>
      </c>
      <c r="C185" s="185" t="s">
        <v>153</v>
      </c>
      <c r="D185" s="185" t="s">
        <v>151</v>
      </c>
      <c r="E185" s="69">
        <v>41281</v>
      </c>
      <c r="F185" s="61" t="s">
        <v>44</v>
      </c>
      <c r="G185" s="460" t="s">
        <v>158</v>
      </c>
      <c r="H185" s="189" t="s">
        <v>90</v>
      </c>
      <c r="I185" s="56" t="s">
        <v>108</v>
      </c>
      <c r="J185" s="15">
        <v>16250</v>
      </c>
      <c r="K185" s="15">
        <v>0</v>
      </c>
      <c r="L185" s="15">
        <v>0</v>
      </c>
      <c r="M185" s="15">
        <v>1000</v>
      </c>
      <c r="N185" s="15">
        <v>16250000</v>
      </c>
      <c r="O185" s="15" t="str">
        <f>IF(AND(A185='BANG KE NL'!$M$11,TH!C185="NL",LEFT(D185,1)="N"),"x","")</f>
        <v/>
      </c>
    </row>
    <row r="186" spans="1:15" hidden="1">
      <c r="A186" s="24">
        <f t="shared" si="5"/>
        <v>3</v>
      </c>
      <c r="B186" s="188" t="str">
        <f>IF(AND(MONTH(E186)='IN-NX'!$J$5,'IN-NX'!$D$7=(D186&amp;"/"&amp;C186)),"x","")</f>
        <v/>
      </c>
      <c r="C186" s="185" t="s">
        <v>153</v>
      </c>
      <c r="D186" s="185" t="s">
        <v>148</v>
      </c>
      <c r="E186" s="69">
        <v>41359</v>
      </c>
      <c r="F186" s="61" t="s">
        <v>44</v>
      </c>
      <c r="G186" s="19" t="s">
        <v>112</v>
      </c>
      <c r="H186" s="189" t="s">
        <v>108</v>
      </c>
      <c r="I186" s="56" t="s">
        <v>93</v>
      </c>
      <c r="J186" s="15">
        <v>16250</v>
      </c>
      <c r="K186" s="15">
        <v>1900</v>
      </c>
      <c r="L186" s="15">
        <v>30875000</v>
      </c>
      <c r="M186" s="15">
        <v>0</v>
      </c>
      <c r="N186" s="15">
        <v>0</v>
      </c>
      <c r="O186" s="15" t="str">
        <f>IF(AND(A186='BANG KE NL'!$M$11,TH!C186="NL",LEFT(D186,1)="N"),"x","")</f>
        <v/>
      </c>
    </row>
    <row r="187" spans="1:15" hidden="1">
      <c r="A187" s="24">
        <f t="shared" si="5"/>
        <v>4</v>
      </c>
      <c r="B187" s="188" t="str">
        <f>IF(AND(MONTH(E187)='IN-NX'!$J$5,'IN-NX'!$D$7=(D187&amp;"/"&amp;C187)),"x","")</f>
        <v/>
      </c>
      <c r="C187" s="185" t="s">
        <v>153</v>
      </c>
      <c r="D187" s="185" t="s">
        <v>152</v>
      </c>
      <c r="E187" s="69">
        <v>41378</v>
      </c>
      <c r="F187" s="61" t="s">
        <v>44</v>
      </c>
      <c r="G187" s="460" t="s">
        <v>158</v>
      </c>
      <c r="H187" s="189" t="s">
        <v>90</v>
      </c>
      <c r="I187" s="56" t="s">
        <v>108</v>
      </c>
      <c r="J187" s="15">
        <v>15653.225806451614</v>
      </c>
      <c r="K187" s="15">
        <v>0</v>
      </c>
      <c r="L187" s="15">
        <v>0</v>
      </c>
      <c r="M187" s="15">
        <v>1550</v>
      </c>
      <c r="N187" s="15">
        <v>24262500</v>
      </c>
      <c r="O187" s="15" t="str">
        <f>IF(AND(A187='BANG KE NL'!$M$11,TH!C187="NL",LEFT(D187,1)="N"),"x","")</f>
        <v/>
      </c>
    </row>
    <row r="188" spans="1:15" hidden="1">
      <c r="A188" s="24">
        <f t="shared" si="5"/>
        <v>5</v>
      </c>
      <c r="B188" s="188" t="str">
        <f>IF(AND(MONTH(E188)='IN-NX'!$J$5,'IN-NX'!$D$7=(D188&amp;"/"&amp;C188)),"x","")</f>
        <v/>
      </c>
      <c r="C188" s="185" t="s">
        <v>153</v>
      </c>
      <c r="D188" s="185" t="s">
        <v>143</v>
      </c>
      <c r="E188" s="69">
        <v>41407</v>
      </c>
      <c r="F188" s="61" t="s">
        <v>44</v>
      </c>
      <c r="G188" s="19" t="s">
        <v>112</v>
      </c>
      <c r="H188" s="189" t="s">
        <v>108</v>
      </c>
      <c r="I188" s="56" t="s">
        <v>93</v>
      </c>
      <c r="J188" s="15">
        <v>16250</v>
      </c>
      <c r="K188" s="15">
        <v>3100</v>
      </c>
      <c r="L188" s="15">
        <v>50375000</v>
      </c>
      <c r="M188" s="15">
        <v>0</v>
      </c>
      <c r="N188" s="15">
        <v>0</v>
      </c>
      <c r="O188" s="15" t="str">
        <f>IF(AND(A188='BANG KE NL'!$M$11,TH!C188="NL",LEFT(D188,1)="N"),"x","")</f>
        <v/>
      </c>
    </row>
    <row r="189" spans="1:15" hidden="1">
      <c r="A189" s="24">
        <f t="shared" si="5"/>
        <v>5</v>
      </c>
      <c r="B189" s="188" t="str">
        <f>IF(AND(MONTH(E189)='IN-NX'!$J$5,'IN-NX'!$D$7=(D189&amp;"/"&amp;C189)),"x","")</f>
        <v/>
      </c>
      <c r="C189" s="185" t="s">
        <v>153</v>
      </c>
      <c r="D189" s="185" t="s">
        <v>150</v>
      </c>
      <c r="E189" s="69">
        <v>41410</v>
      </c>
      <c r="F189" s="61" t="s">
        <v>44</v>
      </c>
      <c r="G189" s="460" t="s">
        <v>158</v>
      </c>
      <c r="H189" s="189" t="s">
        <v>90</v>
      </c>
      <c r="I189" s="56" t="s">
        <v>108</v>
      </c>
      <c r="J189" s="15">
        <v>16250</v>
      </c>
      <c r="K189" s="15">
        <v>0</v>
      </c>
      <c r="L189" s="15">
        <v>0</v>
      </c>
      <c r="M189" s="15">
        <v>1650</v>
      </c>
      <c r="N189" s="15">
        <v>26812500</v>
      </c>
      <c r="O189" s="15" t="str">
        <f>IF(AND(A189='BANG KE NL'!$M$11,TH!C189="NL",LEFT(D189,1)="N"),"x","")</f>
        <v/>
      </c>
    </row>
    <row r="190" spans="1:15" hidden="1">
      <c r="A190" s="24">
        <f t="shared" si="5"/>
        <v>5</v>
      </c>
      <c r="B190" s="188" t="str">
        <f>IF(AND(MONTH(E190)='IN-NX'!$J$5,'IN-NX'!$D$7=(D190&amp;"/"&amp;C190)),"x","")</f>
        <v/>
      </c>
      <c r="C190" s="185" t="s">
        <v>153</v>
      </c>
      <c r="D190" s="185" t="s">
        <v>147</v>
      </c>
      <c r="E190" s="69">
        <v>41421</v>
      </c>
      <c r="F190" s="61" t="s">
        <v>44</v>
      </c>
      <c r="G190" s="19" t="s">
        <v>112</v>
      </c>
      <c r="H190" s="189" t="s">
        <v>108</v>
      </c>
      <c r="I190" s="56" t="s">
        <v>93</v>
      </c>
      <c r="J190" s="15">
        <v>16250</v>
      </c>
      <c r="K190" s="15">
        <v>1500</v>
      </c>
      <c r="L190" s="15">
        <v>24375000</v>
      </c>
      <c r="M190" s="15">
        <v>0</v>
      </c>
      <c r="N190" s="15">
        <v>0</v>
      </c>
      <c r="O190" s="15" t="str">
        <f>IF(AND(A190='BANG KE NL'!$M$11,TH!C190="NL",LEFT(D190,1)="N"),"x","")</f>
        <v/>
      </c>
    </row>
    <row r="191" spans="1:15" hidden="1">
      <c r="A191" s="24">
        <f t="shared" si="5"/>
        <v>5</v>
      </c>
      <c r="B191" s="188" t="str">
        <f>IF(AND(MONTH(E191)='IN-NX'!$J$5,'IN-NX'!$D$7=(D191&amp;"/"&amp;C191)),"x","")</f>
        <v/>
      </c>
      <c r="C191" s="185" t="s">
        <v>153</v>
      </c>
      <c r="D191" s="185" t="s">
        <v>161</v>
      </c>
      <c r="E191" s="69">
        <v>41425</v>
      </c>
      <c r="F191" s="61" t="s">
        <v>44</v>
      </c>
      <c r="G191" s="19" t="s">
        <v>112</v>
      </c>
      <c r="H191" s="189" t="s">
        <v>108</v>
      </c>
      <c r="I191" s="56" t="s">
        <v>93</v>
      </c>
      <c r="J191" s="15">
        <v>16250</v>
      </c>
      <c r="K191" s="15">
        <v>260</v>
      </c>
      <c r="L191" s="15">
        <v>4225000</v>
      </c>
      <c r="M191" s="15">
        <v>0</v>
      </c>
      <c r="N191" s="15">
        <v>0</v>
      </c>
      <c r="O191" s="15" t="str">
        <f>IF(AND(A191='BANG KE NL'!$M$11,TH!C191="NL",LEFT(D191,1)="N"),"x","")</f>
        <v/>
      </c>
    </row>
    <row r="192" spans="1:15" hidden="1">
      <c r="A192" s="24">
        <f t="shared" si="5"/>
        <v>8</v>
      </c>
      <c r="B192" s="188" t="str">
        <f>IF(AND(MONTH(E192)='IN-NX'!$J$5,'IN-NX'!$D$7=(D192&amp;"/"&amp;C192)),"x","")</f>
        <v/>
      </c>
      <c r="C192" s="185" t="s">
        <v>153</v>
      </c>
      <c r="D192" s="185" t="s">
        <v>198</v>
      </c>
      <c r="E192" s="69">
        <v>41513</v>
      </c>
      <c r="F192" s="61" t="s">
        <v>44</v>
      </c>
      <c r="G192" s="460" t="s">
        <v>158</v>
      </c>
      <c r="H192" s="189" t="s">
        <v>90</v>
      </c>
      <c r="I192" s="56" t="s">
        <v>108</v>
      </c>
      <c r="J192" s="15">
        <v>16250</v>
      </c>
      <c r="K192" s="15">
        <v>0</v>
      </c>
      <c r="L192" s="15">
        <v>0</v>
      </c>
      <c r="M192" s="15">
        <v>1600</v>
      </c>
      <c r="N192" s="15">
        <v>26000000</v>
      </c>
      <c r="O192" s="15" t="str">
        <f>IF(AND(A192='BANG KE NL'!$M$11,TH!C192="NL",LEFT(D192,1)="N"),"x","")</f>
        <v/>
      </c>
    </row>
    <row r="193" spans="1:15" hidden="1">
      <c r="A193" s="24">
        <f t="shared" si="5"/>
        <v>11</v>
      </c>
      <c r="B193" s="188" t="str">
        <f>IF(AND(MONTH(E193)='IN-NX'!$J$5,'IN-NX'!$D$7=(D193&amp;"/"&amp;C193)),"x","")</f>
        <v/>
      </c>
      <c r="C193" s="185" t="s">
        <v>153</v>
      </c>
      <c r="D193" s="185" t="s">
        <v>150</v>
      </c>
      <c r="E193" s="69">
        <v>41581</v>
      </c>
      <c r="F193" s="61" t="s">
        <v>44</v>
      </c>
      <c r="G193" s="460" t="s">
        <v>158</v>
      </c>
      <c r="H193" s="189" t="s">
        <v>90</v>
      </c>
      <c r="I193" s="56" t="s">
        <v>108</v>
      </c>
      <c r="J193" s="15">
        <v>16250</v>
      </c>
      <c r="K193" s="15">
        <v>0</v>
      </c>
      <c r="L193" s="15">
        <v>0</v>
      </c>
      <c r="M193" s="15">
        <v>530</v>
      </c>
      <c r="N193" s="15">
        <v>8612500</v>
      </c>
      <c r="O193" s="15" t="str">
        <f>IF(AND(A193='BANG KE NL'!$M$11,TH!C193="NL",LEFT(D193,1)="N"),"x","")</f>
        <v/>
      </c>
    </row>
    <row r="194" spans="1:15" hidden="1">
      <c r="A194" s="24">
        <f t="shared" si="5"/>
        <v>12</v>
      </c>
      <c r="B194" s="188" t="str">
        <f>IF(AND(MONTH(E194)='IN-NX'!$J$5,'IN-NX'!$D$7=(D194&amp;"/"&amp;C194)),"x","")</f>
        <v/>
      </c>
      <c r="C194" s="185" t="s">
        <v>153</v>
      </c>
      <c r="D194" s="185" t="s">
        <v>143</v>
      </c>
      <c r="E194" s="69">
        <v>41610</v>
      </c>
      <c r="F194" s="61" t="s">
        <v>44</v>
      </c>
      <c r="G194" s="19" t="s">
        <v>112</v>
      </c>
      <c r="H194" s="189" t="s">
        <v>108</v>
      </c>
      <c r="I194" s="56" t="s">
        <v>93</v>
      </c>
      <c r="J194" s="15">
        <v>16250</v>
      </c>
      <c r="K194" s="15">
        <v>2860</v>
      </c>
      <c r="L194" s="15">
        <v>46475000</v>
      </c>
      <c r="M194" s="15">
        <v>0</v>
      </c>
      <c r="N194" s="15">
        <v>0</v>
      </c>
      <c r="O194" s="15" t="str">
        <f>IF(AND(A194='BANG KE NL'!$M$11,TH!C194="NL",LEFT(D194,1)="N"),"x","")</f>
        <v/>
      </c>
    </row>
    <row r="195" spans="1:15">
      <c r="A195" s="24">
        <f t="shared" si="5"/>
        <v>12</v>
      </c>
      <c r="B195" s="188" t="str">
        <f>IF(AND(MONTH(E195)='IN-NX'!$J$5,'IN-NX'!$D$7=(D195&amp;"/"&amp;C195)),"x","")</f>
        <v/>
      </c>
      <c r="C195" s="185" t="s">
        <v>153</v>
      </c>
      <c r="D195" s="185" t="s">
        <v>152</v>
      </c>
      <c r="E195" s="69">
        <v>41626</v>
      </c>
      <c r="F195" s="61" t="s">
        <v>44</v>
      </c>
      <c r="G195" s="460" t="s">
        <v>158</v>
      </c>
      <c r="H195" s="189" t="s">
        <v>90</v>
      </c>
      <c r="I195" s="56" t="s">
        <v>108</v>
      </c>
      <c r="J195" s="15">
        <v>16250</v>
      </c>
      <c r="K195" s="15">
        <v>0</v>
      </c>
      <c r="L195" s="15">
        <v>0</v>
      </c>
      <c r="M195" s="15">
        <v>2900</v>
      </c>
      <c r="N195" s="15">
        <v>47125000</v>
      </c>
      <c r="O195" s="15" t="str">
        <f>IF(AND(A195='BANG KE NL'!$M$11,TH!C195="NL",LEFT(D195,1)="N"),"x","")</f>
        <v/>
      </c>
    </row>
    <row r="196" spans="1:15" hidden="1">
      <c r="A196" s="24">
        <f t="shared" si="5"/>
        <v>10</v>
      </c>
      <c r="B196" s="188" t="str">
        <f>IF(AND(MONTH(E196)='IN-NX'!$J$5,'IN-NX'!$D$7=(D196&amp;"/"&amp;C196)),"x","")</f>
        <v/>
      </c>
      <c r="C196" s="185" t="s">
        <v>153</v>
      </c>
      <c r="D196" s="185" t="s">
        <v>166</v>
      </c>
      <c r="E196" s="69">
        <v>41575</v>
      </c>
      <c r="F196" s="61" t="s">
        <v>347</v>
      </c>
      <c r="G196" s="19" t="s">
        <v>112</v>
      </c>
      <c r="H196" s="189" t="s">
        <v>108</v>
      </c>
      <c r="I196" s="56" t="s">
        <v>93</v>
      </c>
      <c r="J196" s="15">
        <v>17050</v>
      </c>
      <c r="K196" s="15">
        <v>410</v>
      </c>
      <c r="L196" s="15">
        <v>6990500</v>
      </c>
      <c r="M196" s="15">
        <v>0</v>
      </c>
      <c r="N196" s="15">
        <v>0</v>
      </c>
      <c r="O196" s="15" t="str">
        <f>IF(AND(A196='BANG KE NL'!$M$11,TH!C196="NL",LEFT(D196,1)="N"),"x","")</f>
        <v/>
      </c>
    </row>
    <row r="197" spans="1:15" hidden="1">
      <c r="A197" s="24">
        <f t="shared" si="5"/>
        <v>10</v>
      </c>
      <c r="B197" s="188" t="str">
        <f>IF(AND(MONTH(E197)='IN-NX'!$J$5,'IN-NX'!$D$7=(D197&amp;"/"&amp;C197)),"x","")</f>
        <v/>
      </c>
      <c r="C197" s="185" t="s">
        <v>153</v>
      </c>
      <c r="D197" s="185" t="s">
        <v>202</v>
      </c>
      <c r="E197" s="69">
        <v>41577</v>
      </c>
      <c r="F197" s="61" t="s">
        <v>347</v>
      </c>
      <c r="G197" s="460" t="s">
        <v>158</v>
      </c>
      <c r="H197" s="189" t="s">
        <v>90</v>
      </c>
      <c r="I197" s="56" t="s">
        <v>108</v>
      </c>
      <c r="J197" s="15">
        <v>17050</v>
      </c>
      <c r="K197" s="15">
        <v>0</v>
      </c>
      <c r="L197" s="15">
        <v>0</v>
      </c>
      <c r="M197" s="15">
        <v>410</v>
      </c>
      <c r="N197" s="15">
        <v>6990500</v>
      </c>
      <c r="O197" s="15" t="str">
        <f>IF(AND(A197='BANG KE NL'!$M$11,TH!C197="NL",LEFT(D197,1)="N"),"x","")</f>
        <v/>
      </c>
    </row>
    <row r="198" spans="1:15" hidden="1">
      <c r="A198" s="24">
        <f t="shared" ref="A198:A261" si="6">IF(E198&lt;&gt;"",MONTH(E198),"")</f>
        <v>2</v>
      </c>
      <c r="B198" s="188" t="str">
        <f>IF(AND(MONTH(E198)='IN-NX'!$J$5,'IN-NX'!$D$7=(D198&amp;"/"&amp;C198)),"x","")</f>
        <v/>
      </c>
      <c r="C198" s="185" t="s">
        <v>153</v>
      </c>
      <c r="D198" s="185" t="s">
        <v>147</v>
      </c>
      <c r="E198" s="69">
        <v>41333</v>
      </c>
      <c r="F198" s="61" t="s">
        <v>348</v>
      </c>
      <c r="G198" s="19" t="s">
        <v>389</v>
      </c>
      <c r="H198" s="189" t="s">
        <v>108</v>
      </c>
      <c r="I198" s="56" t="s">
        <v>93</v>
      </c>
      <c r="J198" s="15">
        <v>10120</v>
      </c>
      <c r="K198" s="15">
        <v>144</v>
      </c>
      <c r="L198" s="15">
        <v>1457280</v>
      </c>
      <c r="M198" s="15">
        <v>0</v>
      </c>
      <c r="N198" s="15">
        <v>0</v>
      </c>
      <c r="O198" s="15" t="str">
        <f>IF(AND(A198='BANG KE NL'!$M$11,TH!C198="NL",LEFT(D198,1)="N"),"x","")</f>
        <v/>
      </c>
    </row>
    <row r="199" spans="1:15" hidden="1">
      <c r="A199" s="24">
        <f t="shared" si="6"/>
        <v>3</v>
      </c>
      <c r="B199" s="188" t="str">
        <f>IF(AND(MONTH(E199)='IN-NX'!$J$5,'IN-NX'!$D$7=(D199&amp;"/"&amp;C199)),"x","")</f>
        <v/>
      </c>
      <c r="C199" s="185" t="s">
        <v>153</v>
      </c>
      <c r="D199" s="185" t="s">
        <v>151</v>
      </c>
      <c r="E199" s="69">
        <v>41352</v>
      </c>
      <c r="F199" s="61" t="s">
        <v>348</v>
      </c>
      <c r="G199" s="460" t="s">
        <v>158</v>
      </c>
      <c r="H199" s="189" t="s">
        <v>90</v>
      </c>
      <c r="I199" s="56" t="s">
        <v>108</v>
      </c>
      <c r="J199" s="15">
        <v>10120</v>
      </c>
      <c r="K199" s="15">
        <v>0</v>
      </c>
      <c r="L199" s="15">
        <v>0</v>
      </c>
      <c r="M199" s="15">
        <v>144</v>
      </c>
      <c r="N199" s="15">
        <v>1457280</v>
      </c>
      <c r="O199" s="15" t="str">
        <f>IF(AND(A199='BANG KE NL'!$M$11,TH!C199="NL",LEFT(D199,1)="N"),"x","")</f>
        <v/>
      </c>
    </row>
    <row r="200" spans="1:15" hidden="1">
      <c r="A200" s="24">
        <f t="shared" si="6"/>
        <v>1</v>
      </c>
      <c r="B200" s="188" t="str">
        <f>IF(AND(MONTH(E200)='IN-NX'!$J$5,'IN-NX'!$D$7=(D200&amp;"/"&amp;C200)),"x","")</f>
        <v/>
      </c>
      <c r="C200" s="185" t="s">
        <v>153</v>
      </c>
      <c r="D200" s="185" t="s">
        <v>151</v>
      </c>
      <c r="E200" s="69">
        <v>41281</v>
      </c>
      <c r="F200" s="61" t="s">
        <v>284</v>
      </c>
      <c r="G200" s="460" t="s">
        <v>158</v>
      </c>
      <c r="H200" s="189" t="s">
        <v>90</v>
      </c>
      <c r="I200" s="56" t="s">
        <v>108</v>
      </c>
      <c r="J200" s="15">
        <v>12050</v>
      </c>
      <c r="K200" s="15">
        <v>0</v>
      </c>
      <c r="L200" s="15">
        <v>0</v>
      </c>
      <c r="M200" s="15">
        <v>10</v>
      </c>
      <c r="N200" s="15">
        <v>120500</v>
      </c>
      <c r="O200" s="15" t="str">
        <f>IF(AND(A200='BANG KE NL'!$M$11,TH!C200="NL",LEFT(D200,1)="N"),"x","")</f>
        <v/>
      </c>
    </row>
    <row r="201" spans="1:15" hidden="1">
      <c r="A201" s="24">
        <f t="shared" si="6"/>
        <v>5</v>
      </c>
      <c r="B201" s="188" t="str">
        <f>IF(AND(MONTH(E201)='IN-NX'!$J$5,'IN-NX'!$D$7=(D201&amp;"/"&amp;C201)),"x","")</f>
        <v/>
      </c>
      <c r="C201" s="185" t="s">
        <v>153</v>
      </c>
      <c r="D201" s="185" t="s">
        <v>144</v>
      </c>
      <c r="E201" s="69">
        <v>41411</v>
      </c>
      <c r="F201" s="61" t="s">
        <v>284</v>
      </c>
      <c r="G201" s="19" t="s">
        <v>112</v>
      </c>
      <c r="H201" s="189" t="s">
        <v>108</v>
      </c>
      <c r="I201" s="56" t="s">
        <v>93</v>
      </c>
      <c r="J201" s="15">
        <v>12050</v>
      </c>
      <c r="K201" s="15">
        <v>150</v>
      </c>
      <c r="L201" s="15">
        <v>1807500</v>
      </c>
      <c r="M201" s="15">
        <v>0</v>
      </c>
      <c r="N201" s="15">
        <v>0</v>
      </c>
      <c r="O201" s="15" t="str">
        <f>IF(AND(A201='BANG KE NL'!$M$11,TH!C201="NL",LEFT(D201,1)="N"),"x","")</f>
        <v/>
      </c>
    </row>
    <row r="202" spans="1:15" hidden="1">
      <c r="A202" s="24">
        <f t="shared" si="6"/>
        <v>5</v>
      </c>
      <c r="B202" s="188" t="str">
        <f>IF(AND(MONTH(E202)='IN-NX'!$J$5,'IN-NX'!$D$7=(D202&amp;"/"&amp;C202)),"x","")</f>
        <v/>
      </c>
      <c r="C202" s="185" t="s">
        <v>153</v>
      </c>
      <c r="D202" s="185" t="s">
        <v>147</v>
      </c>
      <c r="E202" s="69">
        <v>41421</v>
      </c>
      <c r="F202" s="61" t="s">
        <v>284</v>
      </c>
      <c r="G202" s="19" t="s">
        <v>112</v>
      </c>
      <c r="H202" s="189" t="s">
        <v>108</v>
      </c>
      <c r="I202" s="56" t="s">
        <v>93</v>
      </c>
      <c r="J202" s="15">
        <v>12050</v>
      </c>
      <c r="K202" s="15">
        <v>100</v>
      </c>
      <c r="L202" s="15">
        <v>1205000</v>
      </c>
      <c r="M202" s="15">
        <v>0</v>
      </c>
      <c r="N202" s="15">
        <v>0</v>
      </c>
      <c r="O202" s="15" t="str">
        <f>IF(AND(A202='BANG KE NL'!$M$11,TH!C202="NL",LEFT(D202,1)="N"),"x","")</f>
        <v/>
      </c>
    </row>
    <row r="203" spans="1:15" hidden="1">
      <c r="A203" s="24">
        <f t="shared" si="6"/>
        <v>5</v>
      </c>
      <c r="B203" s="188" t="str">
        <f>IF(AND(MONTH(E203)='IN-NX'!$J$5,'IN-NX'!$D$7=(D203&amp;"/"&amp;C203)),"x","")</f>
        <v/>
      </c>
      <c r="C203" s="185" t="s">
        <v>153</v>
      </c>
      <c r="D203" s="185" t="s">
        <v>152</v>
      </c>
      <c r="E203" s="69">
        <v>41423</v>
      </c>
      <c r="F203" s="61" t="s">
        <v>284</v>
      </c>
      <c r="G203" s="460" t="s">
        <v>158</v>
      </c>
      <c r="H203" s="189" t="s">
        <v>90</v>
      </c>
      <c r="I203" s="56" t="s">
        <v>108</v>
      </c>
      <c r="J203" s="15">
        <v>12050</v>
      </c>
      <c r="K203" s="15">
        <v>0</v>
      </c>
      <c r="L203" s="15">
        <v>0</v>
      </c>
      <c r="M203" s="15">
        <v>130</v>
      </c>
      <c r="N203" s="15">
        <v>1566500</v>
      </c>
      <c r="O203" s="15" t="str">
        <f>IF(AND(A203='BANG KE NL'!$M$11,TH!C203="NL",LEFT(D203,1)="N"),"x","")</f>
        <v/>
      </c>
    </row>
    <row r="204" spans="1:15" hidden="1">
      <c r="A204" s="24">
        <f t="shared" si="6"/>
        <v>6</v>
      </c>
      <c r="B204" s="188" t="str">
        <f>IF(AND(MONTH(E204)='IN-NX'!$J$5,'IN-NX'!$D$7=(D204&amp;"/"&amp;C204)),"x","")</f>
        <v/>
      </c>
      <c r="C204" s="185" t="s">
        <v>153</v>
      </c>
      <c r="D204" s="185" t="s">
        <v>151</v>
      </c>
      <c r="E204" s="69">
        <v>41437</v>
      </c>
      <c r="F204" s="61" t="s">
        <v>284</v>
      </c>
      <c r="G204" s="460" t="s">
        <v>158</v>
      </c>
      <c r="H204" s="189" t="s">
        <v>90</v>
      </c>
      <c r="I204" s="56" t="s">
        <v>108</v>
      </c>
      <c r="J204" s="15">
        <v>12050</v>
      </c>
      <c r="K204" s="15">
        <v>0</v>
      </c>
      <c r="L204" s="15">
        <v>0</v>
      </c>
      <c r="M204" s="15">
        <v>120</v>
      </c>
      <c r="N204" s="15">
        <v>1446000</v>
      </c>
      <c r="O204" s="15" t="str">
        <f>IF(AND(A204='BANG KE NL'!$M$11,TH!C204="NL",LEFT(D204,1)="N"),"x","")</f>
        <v/>
      </c>
    </row>
    <row r="205" spans="1:15" hidden="1">
      <c r="A205" s="24">
        <f t="shared" si="6"/>
        <v>7</v>
      </c>
      <c r="B205" s="188" t="str">
        <f>IF(AND(MONTH(E205)='IN-NX'!$J$5,'IN-NX'!$D$7=(D205&amp;"/"&amp;C205)),"x","")</f>
        <v/>
      </c>
      <c r="C205" s="185" t="s">
        <v>153</v>
      </c>
      <c r="D205" s="185" t="s">
        <v>148</v>
      </c>
      <c r="E205" s="69">
        <v>41478</v>
      </c>
      <c r="F205" s="61" t="s">
        <v>284</v>
      </c>
      <c r="G205" s="19" t="s">
        <v>112</v>
      </c>
      <c r="H205" s="189" t="s">
        <v>108</v>
      </c>
      <c r="I205" s="56" t="s">
        <v>93</v>
      </c>
      <c r="J205" s="15">
        <v>12050</v>
      </c>
      <c r="K205" s="15">
        <v>525</v>
      </c>
      <c r="L205" s="15">
        <v>6326250</v>
      </c>
      <c r="M205" s="15">
        <v>0</v>
      </c>
      <c r="N205" s="15">
        <v>0</v>
      </c>
      <c r="O205" s="15" t="str">
        <f>IF(AND(A205='BANG KE NL'!$M$11,TH!C205="NL",LEFT(D205,1)="N"),"x","")</f>
        <v/>
      </c>
    </row>
    <row r="206" spans="1:15" hidden="1">
      <c r="A206" s="24">
        <f t="shared" si="6"/>
        <v>8</v>
      </c>
      <c r="B206" s="188" t="str">
        <f>IF(AND(MONTH(E206)='IN-NX'!$J$5,'IN-NX'!$D$7=(D206&amp;"/"&amp;C206)),"x","")</f>
        <v/>
      </c>
      <c r="C206" s="185" t="s">
        <v>153</v>
      </c>
      <c r="D206" s="185" t="s">
        <v>146</v>
      </c>
      <c r="E206" s="69">
        <v>41498</v>
      </c>
      <c r="F206" s="61" t="s">
        <v>284</v>
      </c>
      <c r="G206" s="19" t="s">
        <v>112</v>
      </c>
      <c r="H206" s="189" t="s">
        <v>108</v>
      </c>
      <c r="I206" s="56" t="s">
        <v>93</v>
      </c>
      <c r="J206" s="15">
        <v>12050</v>
      </c>
      <c r="K206" s="15">
        <v>230</v>
      </c>
      <c r="L206" s="15">
        <v>2771500</v>
      </c>
      <c r="M206" s="15">
        <v>0</v>
      </c>
      <c r="N206" s="15">
        <v>0</v>
      </c>
      <c r="O206" s="15" t="str">
        <f>IF(AND(A206='BANG KE NL'!$M$11,TH!C206="NL",LEFT(D206,1)="N"),"x","")</f>
        <v/>
      </c>
    </row>
    <row r="207" spans="1:15" hidden="1">
      <c r="A207" s="24">
        <f t="shared" si="6"/>
        <v>10</v>
      </c>
      <c r="B207" s="188" t="str">
        <f>IF(AND(MONTH(E207)='IN-NX'!$J$5,'IN-NX'!$D$7=(D207&amp;"/"&amp;C207)),"x","")</f>
        <v/>
      </c>
      <c r="C207" s="185" t="s">
        <v>153</v>
      </c>
      <c r="D207" s="185" t="s">
        <v>163</v>
      </c>
      <c r="E207" s="69">
        <v>41566</v>
      </c>
      <c r="F207" s="61" t="s">
        <v>284</v>
      </c>
      <c r="G207" s="19" t="s">
        <v>112</v>
      </c>
      <c r="H207" s="189" t="s">
        <v>108</v>
      </c>
      <c r="I207" s="56" t="s">
        <v>93</v>
      </c>
      <c r="J207" s="15">
        <v>12050</v>
      </c>
      <c r="K207" s="15">
        <v>230</v>
      </c>
      <c r="L207" s="15">
        <v>2771500</v>
      </c>
      <c r="M207" s="15">
        <v>0</v>
      </c>
      <c r="N207" s="15">
        <v>0</v>
      </c>
      <c r="O207" s="15" t="str">
        <f>IF(AND(A207='BANG KE NL'!$M$11,TH!C207="NL",LEFT(D207,1)="N"),"x","")</f>
        <v/>
      </c>
    </row>
    <row r="208" spans="1:15" hidden="1">
      <c r="A208" s="24">
        <f t="shared" si="6"/>
        <v>10</v>
      </c>
      <c r="B208" s="188" t="str">
        <f>IF(AND(MONTH(E208)='IN-NX'!$J$5,'IN-NX'!$D$7=(D208&amp;"/"&amp;C208)),"x","")</f>
        <v/>
      </c>
      <c r="C208" s="185" t="s">
        <v>153</v>
      </c>
      <c r="D208" s="185" t="s">
        <v>199</v>
      </c>
      <c r="E208" s="69">
        <v>41571</v>
      </c>
      <c r="F208" s="61" t="s">
        <v>284</v>
      </c>
      <c r="G208" s="460" t="s">
        <v>158</v>
      </c>
      <c r="H208" s="189" t="s">
        <v>90</v>
      </c>
      <c r="I208" s="56" t="s">
        <v>108</v>
      </c>
      <c r="J208" s="15">
        <v>12050</v>
      </c>
      <c r="K208" s="15">
        <v>0</v>
      </c>
      <c r="L208" s="15">
        <v>0</v>
      </c>
      <c r="M208" s="15">
        <v>220</v>
      </c>
      <c r="N208" s="15">
        <v>2651000</v>
      </c>
      <c r="O208" s="15" t="str">
        <f>IF(AND(A208='BANG KE NL'!$M$11,TH!C208="NL",LEFT(D208,1)="N"),"x","")</f>
        <v/>
      </c>
    </row>
    <row r="209" spans="1:15" hidden="1">
      <c r="A209" s="24">
        <f t="shared" si="6"/>
        <v>12</v>
      </c>
      <c r="B209" s="188" t="str">
        <f>IF(AND(MONTH(E209)='IN-NX'!$J$5,'IN-NX'!$D$7=(D209&amp;"/"&amp;C209)),"x","")</f>
        <v/>
      </c>
      <c r="C209" s="185" t="s">
        <v>153</v>
      </c>
      <c r="D209" s="185" t="s">
        <v>143</v>
      </c>
      <c r="E209" s="69">
        <v>41610</v>
      </c>
      <c r="F209" s="61" t="s">
        <v>284</v>
      </c>
      <c r="G209" s="19" t="s">
        <v>112</v>
      </c>
      <c r="H209" s="189" t="s">
        <v>108</v>
      </c>
      <c r="I209" s="56" t="s">
        <v>93</v>
      </c>
      <c r="J209" s="15">
        <v>12050</v>
      </c>
      <c r="K209" s="15">
        <v>445</v>
      </c>
      <c r="L209" s="15">
        <v>5362250</v>
      </c>
      <c r="M209" s="15">
        <v>0</v>
      </c>
      <c r="N209" s="15">
        <v>0</v>
      </c>
      <c r="O209" s="15" t="str">
        <f>IF(AND(A209='BANG KE NL'!$M$11,TH!C209="NL",LEFT(D209,1)="N"),"x","")</f>
        <v/>
      </c>
    </row>
    <row r="210" spans="1:15" hidden="1">
      <c r="A210" s="24">
        <f t="shared" si="6"/>
        <v>12</v>
      </c>
      <c r="B210" s="188" t="str">
        <f>IF(AND(MONTH(E210)='IN-NX'!$J$5,'IN-NX'!$D$7=(D210&amp;"/"&amp;C210)),"x","")</f>
        <v/>
      </c>
      <c r="C210" s="185" t="s">
        <v>153</v>
      </c>
      <c r="D210" s="185" t="s">
        <v>144</v>
      </c>
      <c r="E210" s="69">
        <v>41628</v>
      </c>
      <c r="F210" s="61" t="s">
        <v>284</v>
      </c>
      <c r="G210" s="19" t="s">
        <v>112</v>
      </c>
      <c r="H210" s="189" t="s">
        <v>108</v>
      </c>
      <c r="I210" s="56" t="s">
        <v>93</v>
      </c>
      <c r="J210" s="15">
        <v>12050</v>
      </c>
      <c r="K210" s="15">
        <v>175</v>
      </c>
      <c r="L210" s="15">
        <v>2108750</v>
      </c>
      <c r="M210" s="15">
        <v>0</v>
      </c>
      <c r="N210" s="15">
        <v>0</v>
      </c>
      <c r="O210" s="15" t="str">
        <f>IF(AND(A210='BANG KE NL'!$M$11,TH!C210="NL",LEFT(D210,1)="N"),"x","")</f>
        <v/>
      </c>
    </row>
    <row r="211" spans="1:15">
      <c r="A211" s="24">
        <f t="shared" si="6"/>
        <v>12</v>
      </c>
      <c r="B211" s="188" t="str">
        <f>IF(AND(MONTH(E211)='IN-NX'!$J$5,'IN-NX'!$D$7=(D211&amp;"/"&amp;C211)),"x","")</f>
        <v/>
      </c>
      <c r="C211" s="185" t="s">
        <v>153</v>
      </c>
      <c r="D211" s="185" t="s">
        <v>159</v>
      </c>
      <c r="E211" s="69">
        <v>41631</v>
      </c>
      <c r="F211" s="61" t="s">
        <v>284</v>
      </c>
      <c r="G211" s="460" t="s">
        <v>158</v>
      </c>
      <c r="H211" s="189" t="s">
        <v>90</v>
      </c>
      <c r="I211" s="56" t="s">
        <v>108</v>
      </c>
      <c r="J211" s="15">
        <v>12050</v>
      </c>
      <c r="K211" s="15">
        <v>0</v>
      </c>
      <c r="L211" s="15">
        <v>0</v>
      </c>
      <c r="M211" s="15">
        <v>175</v>
      </c>
      <c r="N211" s="15">
        <v>2108750</v>
      </c>
      <c r="O211" s="15" t="str">
        <f>IF(AND(A211='BANG KE NL'!$M$11,TH!C211="NL",LEFT(D211,1)="N"),"x","")</f>
        <v/>
      </c>
    </row>
    <row r="212" spans="1:15" hidden="1">
      <c r="A212" s="24">
        <f t="shared" si="6"/>
        <v>5</v>
      </c>
      <c r="B212" s="188" t="str">
        <f>IF(AND(MONTH(E212)='IN-NX'!$J$5,'IN-NX'!$D$7=(D212&amp;"/"&amp;C212)),"x","")</f>
        <v/>
      </c>
      <c r="C212" s="185" t="s">
        <v>153</v>
      </c>
      <c r="D212" s="185" t="s">
        <v>144</v>
      </c>
      <c r="E212" s="69">
        <v>41411</v>
      </c>
      <c r="F212" s="61" t="s">
        <v>58</v>
      </c>
      <c r="G212" s="19" t="s">
        <v>112</v>
      </c>
      <c r="H212" s="189" t="s">
        <v>108</v>
      </c>
      <c r="I212" s="56" t="s">
        <v>93</v>
      </c>
      <c r="J212" s="15">
        <v>12600</v>
      </c>
      <c r="K212" s="15">
        <v>600</v>
      </c>
      <c r="L212" s="15">
        <v>7560000</v>
      </c>
      <c r="M212" s="15">
        <v>0</v>
      </c>
      <c r="N212" s="15">
        <v>0</v>
      </c>
      <c r="O212" s="15" t="str">
        <f>IF(AND(A212='BANG KE NL'!$M$11,TH!C212="NL",LEFT(D212,1)="N"),"x","")</f>
        <v/>
      </c>
    </row>
    <row r="213" spans="1:15" hidden="1">
      <c r="A213" s="24">
        <f t="shared" si="6"/>
        <v>5</v>
      </c>
      <c r="B213" s="188" t="str">
        <f>IF(AND(MONTH(E213)='IN-NX'!$J$5,'IN-NX'!$D$7=(D213&amp;"/"&amp;C213)),"x","")</f>
        <v/>
      </c>
      <c r="C213" s="185" t="s">
        <v>153</v>
      </c>
      <c r="D213" s="185" t="s">
        <v>152</v>
      </c>
      <c r="E213" s="69">
        <v>41423</v>
      </c>
      <c r="F213" s="61" t="s">
        <v>58</v>
      </c>
      <c r="G213" s="460" t="s">
        <v>158</v>
      </c>
      <c r="H213" s="189" t="s">
        <v>90</v>
      </c>
      <c r="I213" s="56" t="s">
        <v>108</v>
      </c>
      <c r="J213" s="15">
        <v>12600</v>
      </c>
      <c r="K213" s="15">
        <v>0</v>
      </c>
      <c r="L213" s="15">
        <v>0</v>
      </c>
      <c r="M213" s="15">
        <v>600</v>
      </c>
      <c r="N213" s="15">
        <v>7560000</v>
      </c>
      <c r="O213" s="15" t="str">
        <f>IF(AND(A213='BANG KE NL'!$M$11,TH!C213="NL",LEFT(D213,1)="N"),"x","")</f>
        <v/>
      </c>
    </row>
    <row r="214" spans="1:15" hidden="1">
      <c r="A214" s="24">
        <f t="shared" si="6"/>
        <v>9</v>
      </c>
      <c r="B214" s="188" t="str">
        <f>IF(AND(MONTH(E214)='IN-NX'!$J$5,'IN-NX'!$D$7=(D214&amp;"/"&amp;C214)),"x","")</f>
        <v/>
      </c>
      <c r="C214" s="185" t="s">
        <v>153</v>
      </c>
      <c r="D214" s="185" t="s">
        <v>147</v>
      </c>
      <c r="E214" s="69">
        <v>41529</v>
      </c>
      <c r="F214" s="61" t="s">
        <v>58</v>
      </c>
      <c r="G214" s="19" t="s">
        <v>112</v>
      </c>
      <c r="H214" s="189" t="s">
        <v>108</v>
      </c>
      <c r="I214" s="56" t="s">
        <v>93</v>
      </c>
      <c r="J214" s="15">
        <v>12600</v>
      </c>
      <c r="K214" s="15">
        <v>1130</v>
      </c>
      <c r="L214" s="15">
        <v>14238000</v>
      </c>
      <c r="M214" s="15">
        <v>0</v>
      </c>
      <c r="N214" s="15">
        <v>0</v>
      </c>
      <c r="O214" s="15" t="str">
        <f>IF(AND(A214='BANG KE NL'!$M$11,TH!C214="NL",LEFT(D214,1)="N"),"x","")</f>
        <v/>
      </c>
    </row>
    <row r="215" spans="1:15" hidden="1">
      <c r="A215" s="24">
        <f t="shared" si="6"/>
        <v>10</v>
      </c>
      <c r="B215" s="188" t="str">
        <f>IF(AND(MONTH(E215)='IN-NX'!$J$5,'IN-NX'!$D$7=(D215&amp;"/"&amp;C215)),"x","")</f>
        <v/>
      </c>
      <c r="C215" s="185" t="s">
        <v>153</v>
      </c>
      <c r="D215" s="185" t="s">
        <v>163</v>
      </c>
      <c r="E215" s="69">
        <v>41566</v>
      </c>
      <c r="F215" s="61" t="s">
        <v>58</v>
      </c>
      <c r="G215" s="19" t="s">
        <v>112</v>
      </c>
      <c r="H215" s="189" t="s">
        <v>108</v>
      </c>
      <c r="I215" s="56" t="s">
        <v>93</v>
      </c>
      <c r="J215" s="15">
        <v>12600</v>
      </c>
      <c r="K215" s="15">
        <v>830</v>
      </c>
      <c r="L215" s="15">
        <v>10458000</v>
      </c>
      <c r="M215" s="15">
        <v>0</v>
      </c>
      <c r="N215" s="15">
        <v>0</v>
      </c>
      <c r="O215" s="15" t="str">
        <f>IF(AND(A215='BANG KE NL'!$M$11,TH!C215="NL",LEFT(D215,1)="N"),"x","")</f>
        <v/>
      </c>
    </row>
    <row r="216" spans="1:15">
      <c r="A216" s="24">
        <f t="shared" si="6"/>
        <v>12</v>
      </c>
      <c r="B216" s="188" t="str">
        <f>IF(AND(MONTH(E216)='IN-NX'!$J$5,'IN-NX'!$D$7=(D216&amp;"/"&amp;C216)),"x","")</f>
        <v/>
      </c>
      <c r="C216" s="185" t="s">
        <v>153</v>
      </c>
      <c r="D216" s="185" t="s">
        <v>151</v>
      </c>
      <c r="E216" s="69">
        <v>41614</v>
      </c>
      <c r="F216" s="61" t="s">
        <v>58</v>
      </c>
      <c r="G216" s="460" t="s">
        <v>158</v>
      </c>
      <c r="H216" s="189" t="s">
        <v>90</v>
      </c>
      <c r="I216" s="56" t="s">
        <v>108</v>
      </c>
      <c r="J216" s="15">
        <v>12600</v>
      </c>
      <c r="K216" s="15">
        <v>0</v>
      </c>
      <c r="L216" s="15">
        <v>0</v>
      </c>
      <c r="M216" s="15">
        <v>1130</v>
      </c>
      <c r="N216" s="15">
        <v>14238000</v>
      </c>
      <c r="O216" s="15" t="str">
        <f>IF(AND(A216='BANG KE NL'!$M$11,TH!C216="NL",LEFT(D216,1)="N"),"x","")</f>
        <v/>
      </c>
    </row>
    <row r="217" spans="1:15" hidden="1">
      <c r="A217" s="24">
        <f t="shared" si="6"/>
        <v>6</v>
      </c>
      <c r="B217" s="188" t="str">
        <f>IF(AND(MONTH(E217)='IN-NX'!$J$5,'IN-NX'!$D$7=(D217&amp;"/"&amp;C217)),"x","")</f>
        <v/>
      </c>
      <c r="C217" s="185" t="s">
        <v>153</v>
      </c>
      <c r="D217" s="185" t="s">
        <v>151</v>
      </c>
      <c r="E217" s="69">
        <v>41437</v>
      </c>
      <c r="F217" s="61" t="s">
        <v>277</v>
      </c>
      <c r="G217" s="460" t="s">
        <v>158</v>
      </c>
      <c r="H217" s="189" t="s">
        <v>90</v>
      </c>
      <c r="I217" s="56" t="s">
        <v>108</v>
      </c>
      <c r="J217" s="15">
        <v>12700</v>
      </c>
      <c r="K217" s="15">
        <v>0</v>
      </c>
      <c r="L217" s="15">
        <v>0</v>
      </c>
      <c r="M217" s="15">
        <v>700</v>
      </c>
      <c r="N217" s="15">
        <v>8890000</v>
      </c>
      <c r="O217" s="15" t="str">
        <f>IF(AND(A217='BANG KE NL'!$M$11,TH!C217="NL",LEFT(D217,1)="N"),"x","")</f>
        <v/>
      </c>
    </row>
    <row r="218" spans="1:15" hidden="1">
      <c r="A218" s="24">
        <f t="shared" si="6"/>
        <v>7</v>
      </c>
      <c r="B218" s="188" t="str">
        <f>IF(AND(MONTH(E218)='IN-NX'!$J$5,'IN-NX'!$D$7=(D218&amp;"/"&amp;C218)),"x","")</f>
        <v/>
      </c>
      <c r="C218" s="185" t="s">
        <v>153</v>
      </c>
      <c r="D218" s="185" t="s">
        <v>148</v>
      </c>
      <c r="E218" s="69">
        <v>41478</v>
      </c>
      <c r="F218" s="61" t="s">
        <v>349</v>
      </c>
      <c r="G218" s="19" t="s">
        <v>112</v>
      </c>
      <c r="H218" s="189" t="s">
        <v>108</v>
      </c>
      <c r="I218" s="56" t="s">
        <v>93</v>
      </c>
      <c r="J218" s="15">
        <v>12450</v>
      </c>
      <c r="K218" s="15">
        <v>680</v>
      </c>
      <c r="L218" s="15">
        <v>8466000</v>
      </c>
      <c r="M218" s="15">
        <v>0</v>
      </c>
      <c r="N218" s="15">
        <v>0</v>
      </c>
      <c r="O218" s="15" t="str">
        <f>IF(AND(A218='BANG KE NL'!$M$11,TH!C218="NL",LEFT(D218,1)="N"),"x","")</f>
        <v/>
      </c>
    </row>
    <row r="219" spans="1:15" hidden="1">
      <c r="A219" s="24">
        <f t="shared" si="6"/>
        <v>8</v>
      </c>
      <c r="B219" s="188" t="str">
        <f>IF(AND(MONTH(E219)='IN-NX'!$J$5,'IN-NX'!$D$7=(D219&amp;"/"&amp;C219)),"x","")</f>
        <v/>
      </c>
      <c r="C219" s="185" t="s">
        <v>153</v>
      </c>
      <c r="D219" s="185" t="s">
        <v>151</v>
      </c>
      <c r="E219" s="69">
        <v>41499</v>
      </c>
      <c r="F219" s="61" t="s">
        <v>349</v>
      </c>
      <c r="G219" s="460" t="s">
        <v>158</v>
      </c>
      <c r="H219" s="189" t="s">
        <v>90</v>
      </c>
      <c r="I219" s="56" t="s">
        <v>108</v>
      </c>
      <c r="J219" s="15">
        <v>12450</v>
      </c>
      <c r="K219" s="15">
        <v>0</v>
      </c>
      <c r="L219" s="15">
        <v>0</v>
      </c>
      <c r="M219" s="15">
        <v>680</v>
      </c>
      <c r="N219" s="15">
        <v>8466000</v>
      </c>
      <c r="O219" s="15" t="str">
        <f>IF(AND(A219='BANG KE NL'!$M$11,TH!C219="NL",LEFT(D219,1)="N"),"x","")</f>
        <v/>
      </c>
    </row>
    <row r="220" spans="1:15" hidden="1">
      <c r="A220" s="24">
        <f t="shared" si="6"/>
        <v>9</v>
      </c>
      <c r="B220" s="188" t="str">
        <f>IF(AND(MONTH(E220)='IN-NX'!$J$5,'IN-NX'!$D$7=(D220&amp;"/"&amp;C220)),"x","")</f>
        <v/>
      </c>
      <c r="C220" s="185" t="s">
        <v>153</v>
      </c>
      <c r="D220" s="185" t="s">
        <v>161</v>
      </c>
      <c r="E220" s="69">
        <v>41544</v>
      </c>
      <c r="F220" s="61" t="s">
        <v>349</v>
      </c>
      <c r="G220" s="19" t="s">
        <v>112</v>
      </c>
      <c r="H220" s="189" t="s">
        <v>108</v>
      </c>
      <c r="I220" s="56" t="s">
        <v>93</v>
      </c>
      <c r="J220" s="15">
        <v>12450</v>
      </c>
      <c r="K220" s="15">
        <v>60</v>
      </c>
      <c r="L220" s="15">
        <v>747000</v>
      </c>
      <c r="M220" s="15">
        <v>0</v>
      </c>
      <c r="N220" s="15">
        <v>0</v>
      </c>
      <c r="O220" s="15" t="str">
        <f>IF(AND(A220='BANG KE NL'!$M$11,TH!C220="NL",LEFT(D220,1)="N"),"x","")</f>
        <v/>
      </c>
    </row>
    <row r="221" spans="1:15" hidden="1">
      <c r="A221" s="24">
        <f t="shared" si="6"/>
        <v>9</v>
      </c>
      <c r="B221" s="188" t="str">
        <f>IF(AND(MONTH(E221)='IN-NX'!$J$5,'IN-NX'!$D$7=(D221&amp;"/"&amp;C221)),"x","")</f>
        <v/>
      </c>
      <c r="C221" s="185" t="s">
        <v>153</v>
      </c>
      <c r="D221" s="185" t="s">
        <v>197</v>
      </c>
      <c r="E221" s="69">
        <v>41544</v>
      </c>
      <c r="F221" s="61" t="s">
        <v>349</v>
      </c>
      <c r="G221" s="460" t="s">
        <v>158</v>
      </c>
      <c r="H221" s="189" t="s">
        <v>90</v>
      </c>
      <c r="I221" s="56" t="s">
        <v>108</v>
      </c>
      <c r="J221" s="15">
        <v>12450</v>
      </c>
      <c r="K221" s="15">
        <v>0</v>
      </c>
      <c r="L221" s="15">
        <v>0</v>
      </c>
      <c r="M221" s="15">
        <v>60</v>
      </c>
      <c r="N221" s="15">
        <v>747000</v>
      </c>
      <c r="O221" s="15" t="str">
        <f>IF(AND(A221='BANG KE NL'!$M$11,TH!C221="NL",LEFT(D221,1)="N"),"x","")</f>
        <v/>
      </c>
    </row>
    <row r="222" spans="1:15" hidden="1">
      <c r="A222" s="24">
        <f t="shared" si="6"/>
        <v>7</v>
      </c>
      <c r="B222" s="188" t="str">
        <f>IF(AND(MONTH(E222)='IN-NX'!$J$5,'IN-NX'!$D$7=(D222&amp;"/"&amp;C222)),"x","")</f>
        <v/>
      </c>
      <c r="C222" s="185" t="s">
        <v>153</v>
      </c>
      <c r="D222" s="185" t="s">
        <v>161</v>
      </c>
      <c r="E222" s="69">
        <v>41480</v>
      </c>
      <c r="F222" s="61" t="s">
        <v>59</v>
      </c>
      <c r="G222" s="19" t="s">
        <v>112</v>
      </c>
      <c r="H222" s="189" t="s">
        <v>108</v>
      </c>
      <c r="I222" s="56" t="s">
        <v>93</v>
      </c>
      <c r="J222" s="15">
        <v>13650</v>
      </c>
      <c r="K222" s="15">
        <v>330</v>
      </c>
      <c r="L222" s="15">
        <v>4504500</v>
      </c>
      <c r="M222" s="15">
        <v>0</v>
      </c>
      <c r="N222" s="15">
        <v>0</v>
      </c>
      <c r="O222" s="15" t="str">
        <f>IF(AND(A222='BANG KE NL'!$M$11,TH!C222="NL",LEFT(D222,1)="N"),"x","")</f>
        <v/>
      </c>
    </row>
    <row r="223" spans="1:15" hidden="1">
      <c r="A223" s="24">
        <f t="shared" si="6"/>
        <v>8</v>
      </c>
      <c r="B223" s="188" t="str">
        <f>IF(AND(MONTH(E223)='IN-NX'!$J$5,'IN-NX'!$D$7=(D223&amp;"/"&amp;C223)),"x","")</f>
        <v/>
      </c>
      <c r="C223" s="185" t="s">
        <v>153</v>
      </c>
      <c r="D223" s="185" t="s">
        <v>199</v>
      </c>
      <c r="E223" s="69">
        <v>41514</v>
      </c>
      <c r="F223" s="61" t="s">
        <v>59</v>
      </c>
      <c r="G223" s="460" t="s">
        <v>158</v>
      </c>
      <c r="H223" s="189" t="s">
        <v>90</v>
      </c>
      <c r="I223" s="56" t="s">
        <v>108</v>
      </c>
      <c r="J223" s="15">
        <v>13650</v>
      </c>
      <c r="K223" s="15">
        <v>0</v>
      </c>
      <c r="L223" s="15">
        <v>0</v>
      </c>
      <c r="M223" s="15">
        <v>330</v>
      </c>
      <c r="N223" s="15">
        <v>4504500</v>
      </c>
      <c r="O223" s="15" t="str">
        <f>IF(AND(A223='BANG KE NL'!$M$11,TH!C223="NL",LEFT(D223,1)="N"),"x","")</f>
        <v/>
      </c>
    </row>
    <row r="224" spans="1:15" hidden="1">
      <c r="A224" s="24">
        <f t="shared" si="6"/>
        <v>10</v>
      </c>
      <c r="B224" s="188" t="str">
        <f>IF(AND(MONTH(E224)='IN-NX'!$J$5,'IN-NX'!$D$7=(D224&amp;"/"&amp;C224)),"x","")</f>
        <v/>
      </c>
      <c r="C224" s="185" t="s">
        <v>153</v>
      </c>
      <c r="D224" s="185" t="s">
        <v>146</v>
      </c>
      <c r="E224" s="69">
        <v>41558</v>
      </c>
      <c r="F224" s="61" t="s">
        <v>59</v>
      </c>
      <c r="G224" s="19" t="s">
        <v>112</v>
      </c>
      <c r="H224" s="189" t="s">
        <v>108</v>
      </c>
      <c r="I224" s="56" t="s">
        <v>93</v>
      </c>
      <c r="J224" s="15">
        <v>13000</v>
      </c>
      <c r="K224" s="15">
        <v>300</v>
      </c>
      <c r="L224" s="15">
        <v>3900000</v>
      </c>
      <c r="M224" s="15">
        <v>0</v>
      </c>
      <c r="N224" s="15">
        <v>0</v>
      </c>
      <c r="O224" s="15" t="str">
        <f>IF(AND(A224='BANG KE NL'!$M$11,TH!C224="NL",LEFT(D224,1)="N"),"x","")</f>
        <v/>
      </c>
    </row>
    <row r="225" spans="1:15" hidden="1">
      <c r="A225" s="24">
        <f t="shared" si="6"/>
        <v>10</v>
      </c>
      <c r="B225" s="188" t="str">
        <f>IF(AND(MONTH(E225)='IN-NX'!$J$5,'IN-NX'!$D$7=(D225&amp;"/"&amp;C225)),"x","")</f>
        <v/>
      </c>
      <c r="C225" s="185" t="s">
        <v>153</v>
      </c>
      <c r="D225" s="185" t="s">
        <v>164</v>
      </c>
      <c r="E225" s="69">
        <v>41571</v>
      </c>
      <c r="F225" s="61" t="s">
        <v>59</v>
      </c>
      <c r="G225" s="19" t="s">
        <v>112</v>
      </c>
      <c r="H225" s="189" t="s">
        <v>108</v>
      </c>
      <c r="I225" s="56" t="s">
        <v>93</v>
      </c>
      <c r="J225" s="15">
        <v>13000</v>
      </c>
      <c r="K225" s="15">
        <v>100</v>
      </c>
      <c r="L225" s="15">
        <v>1300000</v>
      </c>
      <c r="M225" s="15">
        <v>0</v>
      </c>
      <c r="N225" s="15">
        <v>0</v>
      </c>
      <c r="O225" s="15" t="str">
        <f>IF(AND(A225='BANG KE NL'!$M$11,TH!C225="NL",LEFT(D225,1)="N"),"x","")</f>
        <v/>
      </c>
    </row>
    <row r="226" spans="1:15" hidden="1">
      <c r="A226" s="24">
        <f t="shared" si="6"/>
        <v>10</v>
      </c>
      <c r="B226" s="188" t="str">
        <f>IF(AND(MONTH(E226)='IN-NX'!$J$5,'IN-NX'!$D$7=(D226&amp;"/"&amp;C226)),"x","")</f>
        <v/>
      </c>
      <c r="C226" s="185" t="s">
        <v>153</v>
      </c>
      <c r="D226" s="185" t="s">
        <v>199</v>
      </c>
      <c r="E226" s="69">
        <v>41571</v>
      </c>
      <c r="F226" s="61" t="s">
        <v>59</v>
      </c>
      <c r="G226" s="460" t="s">
        <v>158</v>
      </c>
      <c r="H226" s="189" t="s">
        <v>90</v>
      </c>
      <c r="I226" s="56" t="s">
        <v>108</v>
      </c>
      <c r="J226" s="15">
        <v>13000</v>
      </c>
      <c r="K226" s="15">
        <v>0</v>
      </c>
      <c r="L226" s="15">
        <v>0</v>
      </c>
      <c r="M226" s="15">
        <v>300</v>
      </c>
      <c r="N226" s="15">
        <v>3900000</v>
      </c>
      <c r="O226" s="15" t="str">
        <f>IF(AND(A226='BANG KE NL'!$M$11,TH!C226="NL",LEFT(D226,1)="N"),"x","")</f>
        <v/>
      </c>
    </row>
    <row r="227" spans="1:15" hidden="1">
      <c r="A227" s="24">
        <f t="shared" si="6"/>
        <v>10</v>
      </c>
      <c r="B227" s="188" t="str">
        <f>IF(AND(MONTH(E227)='IN-NX'!$J$5,'IN-NX'!$D$7=(D227&amp;"/"&amp;C227)),"x","")</f>
        <v/>
      </c>
      <c r="C227" s="185" t="s">
        <v>153</v>
      </c>
      <c r="D227" s="185" t="s">
        <v>202</v>
      </c>
      <c r="E227" s="69">
        <v>41577</v>
      </c>
      <c r="F227" s="61" t="s">
        <v>59</v>
      </c>
      <c r="G227" s="460" t="s">
        <v>158</v>
      </c>
      <c r="H227" s="189" t="s">
        <v>90</v>
      </c>
      <c r="I227" s="56" t="s">
        <v>108</v>
      </c>
      <c r="J227" s="15">
        <v>13000</v>
      </c>
      <c r="K227" s="15">
        <v>0</v>
      </c>
      <c r="L227" s="15">
        <v>0</v>
      </c>
      <c r="M227" s="15">
        <v>100</v>
      </c>
      <c r="N227" s="15">
        <v>1300000</v>
      </c>
      <c r="O227" s="15" t="str">
        <f>IF(AND(A227='BANG KE NL'!$M$11,TH!C227="NL",LEFT(D227,1)="N"),"x","")</f>
        <v/>
      </c>
    </row>
    <row r="228" spans="1:15" hidden="1">
      <c r="A228" s="24">
        <f t="shared" si="6"/>
        <v>6</v>
      </c>
      <c r="B228" s="188" t="str">
        <f>IF(AND(MONTH(E228)='IN-NX'!$J$5,'IN-NX'!$D$7=(D228&amp;"/"&amp;C228)),"x","")</f>
        <v/>
      </c>
      <c r="C228" s="185" t="s">
        <v>153</v>
      </c>
      <c r="D228" s="185" t="s">
        <v>144</v>
      </c>
      <c r="E228" s="69">
        <v>41446</v>
      </c>
      <c r="F228" s="61" t="s">
        <v>60</v>
      </c>
      <c r="G228" s="19" t="s">
        <v>112</v>
      </c>
      <c r="H228" s="189" t="s">
        <v>108</v>
      </c>
      <c r="I228" s="56" t="s">
        <v>93</v>
      </c>
      <c r="J228" s="15">
        <v>18400</v>
      </c>
      <c r="K228" s="15">
        <v>260</v>
      </c>
      <c r="L228" s="15">
        <v>4784000</v>
      </c>
      <c r="M228" s="15">
        <v>0</v>
      </c>
      <c r="N228" s="15">
        <v>0</v>
      </c>
      <c r="O228" s="15" t="str">
        <f>IF(AND(A228='BANG KE NL'!$M$11,TH!C228="NL",LEFT(D228,1)="N"),"x","")</f>
        <v/>
      </c>
    </row>
    <row r="229" spans="1:15" hidden="1">
      <c r="A229" s="24">
        <f t="shared" si="6"/>
        <v>7</v>
      </c>
      <c r="B229" s="188" t="str">
        <f>IF(AND(MONTH(E229)='IN-NX'!$J$5,'IN-NX'!$D$7=(D229&amp;"/"&amp;C229)),"x","")</f>
        <v/>
      </c>
      <c r="C229" s="185" t="s">
        <v>153</v>
      </c>
      <c r="D229" s="185" t="s">
        <v>145</v>
      </c>
      <c r="E229" s="69">
        <v>41470</v>
      </c>
      <c r="F229" s="61" t="s">
        <v>60</v>
      </c>
      <c r="G229" s="19" t="s">
        <v>112</v>
      </c>
      <c r="H229" s="189" t="s">
        <v>108</v>
      </c>
      <c r="I229" s="56" t="s">
        <v>93</v>
      </c>
      <c r="J229" s="15">
        <v>18400</v>
      </c>
      <c r="K229" s="15">
        <v>510</v>
      </c>
      <c r="L229" s="15">
        <v>9384000</v>
      </c>
      <c r="M229" s="15">
        <v>0</v>
      </c>
      <c r="N229" s="15">
        <v>0</v>
      </c>
      <c r="O229" s="15" t="str">
        <f>IF(AND(A229='BANG KE NL'!$M$11,TH!C229="NL",LEFT(D229,1)="N"),"x","")</f>
        <v/>
      </c>
    </row>
    <row r="230" spans="1:15" hidden="1">
      <c r="A230" s="24">
        <f t="shared" si="6"/>
        <v>8</v>
      </c>
      <c r="B230" s="188" t="str">
        <f>IF(AND(MONTH(E230)='IN-NX'!$J$5,'IN-NX'!$D$7=(D230&amp;"/"&amp;C230)),"x","")</f>
        <v/>
      </c>
      <c r="C230" s="185" t="s">
        <v>153</v>
      </c>
      <c r="D230" s="185" t="s">
        <v>146</v>
      </c>
      <c r="E230" s="69">
        <v>41498</v>
      </c>
      <c r="F230" s="61" t="s">
        <v>60</v>
      </c>
      <c r="G230" s="19" t="s">
        <v>112</v>
      </c>
      <c r="H230" s="189" t="s">
        <v>108</v>
      </c>
      <c r="I230" s="56" t="s">
        <v>93</v>
      </c>
      <c r="J230" s="15">
        <v>18400</v>
      </c>
      <c r="K230" s="15">
        <v>610</v>
      </c>
      <c r="L230" s="15">
        <v>11224000</v>
      </c>
      <c r="M230" s="15">
        <v>0</v>
      </c>
      <c r="N230" s="15">
        <v>0</v>
      </c>
      <c r="O230" s="15" t="str">
        <f>IF(AND(A230='BANG KE NL'!$M$11,TH!C230="NL",LEFT(D230,1)="N"),"x","")</f>
        <v/>
      </c>
    </row>
    <row r="231" spans="1:15" hidden="1">
      <c r="A231" s="24">
        <f t="shared" si="6"/>
        <v>8</v>
      </c>
      <c r="B231" s="188" t="str">
        <f>IF(AND(MONTH(E231)='IN-NX'!$J$5,'IN-NX'!$D$7=(D231&amp;"/"&amp;C231)),"x","")</f>
        <v/>
      </c>
      <c r="C231" s="185" t="s">
        <v>153</v>
      </c>
      <c r="D231" s="185" t="s">
        <v>151</v>
      </c>
      <c r="E231" s="69">
        <v>41499</v>
      </c>
      <c r="F231" s="61" t="s">
        <v>60</v>
      </c>
      <c r="G231" s="460" t="s">
        <v>158</v>
      </c>
      <c r="H231" s="189" t="s">
        <v>90</v>
      </c>
      <c r="I231" s="56" t="s">
        <v>108</v>
      </c>
      <c r="J231" s="15">
        <v>18400</v>
      </c>
      <c r="K231" s="15">
        <v>0</v>
      </c>
      <c r="L231" s="15">
        <v>0</v>
      </c>
      <c r="M231" s="15">
        <v>260</v>
      </c>
      <c r="N231" s="15">
        <v>4784000</v>
      </c>
      <c r="O231" s="15" t="str">
        <f>IF(AND(A231='BANG KE NL'!$M$11,TH!C231="NL",LEFT(D231,1)="N"),"x","")</f>
        <v/>
      </c>
    </row>
    <row r="232" spans="1:15" hidden="1">
      <c r="A232" s="24">
        <f t="shared" si="6"/>
        <v>9</v>
      </c>
      <c r="B232" s="188" t="str">
        <f>IF(AND(MONTH(E232)='IN-NX'!$J$5,'IN-NX'!$D$7=(D232&amp;"/"&amp;C232)),"x","")</f>
        <v/>
      </c>
      <c r="C232" s="185" t="s">
        <v>153</v>
      </c>
      <c r="D232" s="185" t="s">
        <v>147</v>
      </c>
      <c r="E232" s="69">
        <v>41529</v>
      </c>
      <c r="F232" s="61" t="s">
        <v>60</v>
      </c>
      <c r="G232" s="19" t="s">
        <v>112</v>
      </c>
      <c r="H232" s="189" t="s">
        <v>108</v>
      </c>
      <c r="I232" s="56" t="s">
        <v>93</v>
      </c>
      <c r="J232" s="15">
        <v>18400</v>
      </c>
      <c r="K232" s="15">
        <v>415</v>
      </c>
      <c r="L232" s="15">
        <v>7636000</v>
      </c>
      <c r="M232" s="15">
        <v>0</v>
      </c>
      <c r="N232" s="15">
        <v>0</v>
      </c>
      <c r="O232" s="15" t="str">
        <f>IF(AND(A232='BANG KE NL'!$M$11,TH!C232="NL",LEFT(D232,1)="N"),"x","")</f>
        <v/>
      </c>
    </row>
    <row r="233" spans="1:15" hidden="1">
      <c r="A233" s="24">
        <f t="shared" si="6"/>
        <v>9</v>
      </c>
      <c r="B233" s="188" t="str">
        <f>IF(AND(MONTH(E233)='IN-NX'!$J$5,'IN-NX'!$D$7=(D233&amp;"/"&amp;C233)),"x","")</f>
        <v/>
      </c>
      <c r="C233" s="185" t="s">
        <v>153</v>
      </c>
      <c r="D233" s="185" t="s">
        <v>159</v>
      </c>
      <c r="E233" s="69">
        <v>41539</v>
      </c>
      <c r="F233" s="61" t="s">
        <v>60</v>
      </c>
      <c r="G233" s="460" t="s">
        <v>158</v>
      </c>
      <c r="H233" s="189" t="s">
        <v>90</v>
      </c>
      <c r="I233" s="56" t="s">
        <v>108</v>
      </c>
      <c r="J233" s="15">
        <v>18400</v>
      </c>
      <c r="K233" s="15">
        <v>0</v>
      </c>
      <c r="L233" s="15">
        <v>0</v>
      </c>
      <c r="M233" s="15">
        <v>510</v>
      </c>
      <c r="N233" s="15">
        <v>9384000</v>
      </c>
      <c r="O233" s="15" t="str">
        <f>IF(AND(A233='BANG KE NL'!$M$11,TH!C233="NL",LEFT(D233,1)="N"),"x","")</f>
        <v/>
      </c>
    </row>
    <row r="234" spans="1:15" hidden="1">
      <c r="A234" s="24">
        <f t="shared" si="6"/>
        <v>9</v>
      </c>
      <c r="B234" s="188" t="str">
        <f>IF(AND(MONTH(E234)='IN-NX'!$J$5,'IN-NX'!$D$7=(D234&amp;"/"&amp;C234)),"x","")</f>
        <v/>
      </c>
      <c r="C234" s="185" t="s">
        <v>153</v>
      </c>
      <c r="D234" s="185" t="s">
        <v>159</v>
      </c>
      <c r="E234" s="69">
        <v>41539</v>
      </c>
      <c r="F234" s="61" t="s">
        <v>60</v>
      </c>
      <c r="G234" s="460" t="s">
        <v>158</v>
      </c>
      <c r="H234" s="189" t="s">
        <v>90</v>
      </c>
      <c r="I234" s="56" t="s">
        <v>108</v>
      </c>
      <c r="J234" s="15">
        <v>18400</v>
      </c>
      <c r="K234" s="15">
        <v>0</v>
      </c>
      <c r="L234" s="15">
        <v>0</v>
      </c>
      <c r="M234" s="15">
        <v>285</v>
      </c>
      <c r="N234" s="15">
        <v>5244000</v>
      </c>
      <c r="O234" s="15" t="str">
        <f>IF(AND(A234='BANG KE NL'!$M$11,TH!C234="NL",LEFT(D234,1)="N"),"x","")</f>
        <v/>
      </c>
    </row>
    <row r="235" spans="1:15" hidden="1">
      <c r="A235" s="24">
        <f t="shared" si="6"/>
        <v>12</v>
      </c>
      <c r="B235" s="188" t="str">
        <f>IF(AND(MONTH(E235)='IN-NX'!$J$5,'IN-NX'!$D$7=(D235&amp;"/"&amp;C235)),"x","")</f>
        <v/>
      </c>
      <c r="C235" s="185" t="s">
        <v>153</v>
      </c>
      <c r="D235" s="185" t="s">
        <v>146</v>
      </c>
      <c r="E235" s="69">
        <v>41636</v>
      </c>
      <c r="F235" s="61" t="s">
        <v>60</v>
      </c>
      <c r="G235" s="19" t="s">
        <v>112</v>
      </c>
      <c r="H235" s="189" t="s">
        <v>108</v>
      </c>
      <c r="I235" s="56" t="s">
        <v>93</v>
      </c>
      <c r="J235" s="15">
        <v>18400</v>
      </c>
      <c r="K235" s="15">
        <v>350</v>
      </c>
      <c r="L235" s="15">
        <v>6440000</v>
      </c>
      <c r="M235" s="15">
        <v>0</v>
      </c>
      <c r="N235" s="15">
        <v>0</v>
      </c>
      <c r="O235" s="15" t="str">
        <f>IF(AND(A235='BANG KE NL'!$M$11,TH!C235="NL",LEFT(D235,1)="N"),"x","")</f>
        <v/>
      </c>
    </row>
    <row r="236" spans="1:15" hidden="1">
      <c r="A236" s="24">
        <f t="shared" si="6"/>
        <v>2</v>
      </c>
      <c r="B236" s="188" t="str">
        <f>IF(AND(MONTH(E236)='IN-NX'!$J$5,'IN-NX'!$D$7=(D236&amp;"/"&amp;C236)),"x","")</f>
        <v/>
      </c>
      <c r="C236" s="185" t="s">
        <v>153</v>
      </c>
      <c r="D236" s="185" t="s">
        <v>144</v>
      </c>
      <c r="E236" s="69">
        <v>41331</v>
      </c>
      <c r="F236" s="61" t="s">
        <v>350</v>
      </c>
      <c r="G236" s="19" t="s">
        <v>110</v>
      </c>
      <c r="H236" s="189" t="s">
        <v>108</v>
      </c>
      <c r="I236" s="56" t="s">
        <v>93</v>
      </c>
      <c r="J236" s="15">
        <v>38000</v>
      </c>
      <c r="K236" s="15">
        <v>200</v>
      </c>
      <c r="L236" s="15">
        <v>7600000</v>
      </c>
      <c r="M236" s="15">
        <v>0</v>
      </c>
      <c r="N236" s="15">
        <v>0</v>
      </c>
      <c r="O236" s="15" t="str">
        <f>IF(AND(A236='BANG KE NL'!$M$11,TH!C236="NL",LEFT(D236,1)="N"),"x","")</f>
        <v/>
      </c>
    </row>
    <row r="237" spans="1:15" hidden="1">
      <c r="A237" s="24">
        <f t="shared" si="6"/>
        <v>3</v>
      </c>
      <c r="B237" s="188" t="str">
        <f>IF(AND(MONTH(E237)='IN-NX'!$J$5,'IN-NX'!$D$7=(D237&amp;"/"&amp;C237)),"x","")</f>
        <v/>
      </c>
      <c r="C237" s="185" t="s">
        <v>153</v>
      </c>
      <c r="D237" s="185" t="s">
        <v>151</v>
      </c>
      <c r="E237" s="69">
        <v>41352</v>
      </c>
      <c r="F237" s="61" t="s">
        <v>350</v>
      </c>
      <c r="G237" s="460" t="s">
        <v>158</v>
      </c>
      <c r="H237" s="189" t="s">
        <v>90</v>
      </c>
      <c r="I237" s="56" t="s">
        <v>108</v>
      </c>
      <c r="J237" s="15">
        <v>38000</v>
      </c>
      <c r="K237" s="15">
        <v>0</v>
      </c>
      <c r="L237" s="15">
        <v>0</v>
      </c>
      <c r="M237" s="15">
        <v>200</v>
      </c>
      <c r="N237" s="15">
        <v>7600000</v>
      </c>
      <c r="O237" s="15" t="str">
        <f>IF(AND(A237='BANG KE NL'!$M$11,TH!C237="NL",LEFT(D237,1)="N"),"x","")</f>
        <v/>
      </c>
    </row>
    <row r="238" spans="1:15" hidden="1">
      <c r="A238" s="24">
        <f t="shared" si="6"/>
        <v>7</v>
      </c>
      <c r="B238" s="188" t="str">
        <f>IF(AND(MONTH(E238)='IN-NX'!$J$5,'IN-NX'!$D$7=(D238&amp;"/"&amp;C238)),"x","")</f>
        <v/>
      </c>
      <c r="C238" s="185" t="s">
        <v>153</v>
      </c>
      <c r="D238" s="185" t="s">
        <v>164</v>
      </c>
      <c r="E238" s="69">
        <v>41482</v>
      </c>
      <c r="F238" s="61" t="s">
        <v>350</v>
      </c>
      <c r="G238" s="19" t="s">
        <v>110</v>
      </c>
      <c r="H238" s="189" t="s">
        <v>108</v>
      </c>
      <c r="I238" s="56" t="s">
        <v>93</v>
      </c>
      <c r="J238" s="15">
        <v>38000</v>
      </c>
      <c r="K238" s="15">
        <v>112</v>
      </c>
      <c r="L238" s="15">
        <v>4256000</v>
      </c>
      <c r="M238" s="15">
        <v>0</v>
      </c>
      <c r="N238" s="15">
        <v>0</v>
      </c>
      <c r="O238" s="15" t="str">
        <f>IF(AND(A238='BANG KE NL'!$M$11,TH!C238="NL",LEFT(D238,1)="N"),"x","")</f>
        <v/>
      </c>
    </row>
    <row r="239" spans="1:15" hidden="1">
      <c r="A239" s="24">
        <f t="shared" si="6"/>
        <v>10</v>
      </c>
      <c r="B239" s="188" t="str">
        <f>IF(AND(MONTH(E239)='IN-NX'!$J$5,'IN-NX'!$D$7=(D239&amp;"/"&amp;C239)),"x","")</f>
        <v/>
      </c>
      <c r="C239" s="185" t="s">
        <v>153</v>
      </c>
      <c r="D239" s="185" t="s">
        <v>198</v>
      </c>
      <c r="E239" s="69">
        <v>41567</v>
      </c>
      <c r="F239" s="61" t="s">
        <v>350</v>
      </c>
      <c r="G239" s="460" t="s">
        <v>158</v>
      </c>
      <c r="H239" s="189" t="s">
        <v>90</v>
      </c>
      <c r="I239" s="56" t="s">
        <v>108</v>
      </c>
      <c r="J239" s="15">
        <v>38000</v>
      </c>
      <c r="K239" s="15">
        <v>0</v>
      </c>
      <c r="L239" s="15">
        <v>0</v>
      </c>
      <c r="M239" s="15">
        <v>112</v>
      </c>
      <c r="N239" s="15">
        <v>4256000</v>
      </c>
      <c r="O239" s="15" t="str">
        <f>IF(AND(A239='BANG KE NL'!$M$11,TH!C239="NL",LEFT(D239,1)="N"),"x","")</f>
        <v/>
      </c>
    </row>
    <row r="240" spans="1:15" hidden="1">
      <c r="A240" s="24">
        <f t="shared" si="6"/>
        <v>1</v>
      </c>
      <c r="B240" s="188" t="str">
        <f>IF(AND(MONTH(E240)='IN-NX'!$J$5,'IN-NX'!$D$7=(D240&amp;"/"&amp;C240)),"x","")</f>
        <v/>
      </c>
      <c r="C240" s="185" t="s">
        <v>153</v>
      </c>
      <c r="D240" s="185" t="s">
        <v>143</v>
      </c>
      <c r="E240" s="69">
        <v>41292</v>
      </c>
      <c r="F240" s="61" t="s">
        <v>279</v>
      </c>
      <c r="G240" s="19" t="s">
        <v>111</v>
      </c>
      <c r="H240" s="189" t="s">
        <v>108</v>
      </c>
      <c r="I240" s="56" t="s">
        <v>93</v>
      </c>
      <c r="J240" s="15">
        <v>22509</v>
      </c>
      <c r="K240" s="15">
        <v>622</v>
      </c>
      <c r="L240" s="15">
        <v>14000598</v>
      </c>
      <c r="M240" s="15">
        <v>0</v>
      </c>
      <c r="N240" s="15">
        <v>0</v>
      </c>
      <c r="O240" s="15" t="str">
        <f>IF(AND(A240='BANG KE NL'!$M$11,TH!C240="NL",LEFT(D240,1)="N"),"x","")</f>
        <v/>
      </c>
    </row>
    <row r="241" spans="1:15" hidden="1">
      <c r="A241" s="24">
        <f t="shared" si="6"/>
        <v>1</v>
      </c>
      <c r="B241" s="188" t="str">
        <f>IF(AND(MONTH(E241)='IN-NX'!$J$5,'IN-NX'!$D$7=(D241&amp;"/"&amp;C241)),"x","")</f>
        <v/>
      </c>
      <c r="C241" s="185" t="s">
        <v>153</v>
      </c>
      <c r="D241" s="185" t="s">
        <v>152</v>
      </c>
      <c r="E241" s="69">
        <v>41298</v>
      </c>
      <c r="F241" s="61" t="s">
        <v>279</v>
      </c>
      <c r="G241" s="460" t="s">
        <v>158</v>
      </c>
      <c r="H241" s="189" t="s">
        <v>90</v>
      </c>
      <c r="I241" s="56" t="s">
        <v>108</v>
      </c>
      <c r="J241" s="15">
        <v>22509</v>
      </c>
      <c r="K241" s="15">
        <v>0</v>
      </c>
      <c r="L241" s="15">
        <v>0</v>
      </c>
      <c r="M241" s="15">
        <v>202</v>
      </c>
      <c r="N241" s="15">
        <v>4546818</v>
      </c>
      <c r="O241" s="15" t="str">
        <f>IF(AND(A241='BANG KE NL'!$M$11,TH!C241="NL",LEFT(D241,1)="N"),"x","")</f>
        <v/>
      </c>
    </row>
    <row r="242" spans="1:15" hidden="1">
      <c r="A242" s="24">
        <f t="shared" si="6"/>
        <v>2</v>
      </c>
      <c r="B242" s="188" t="str">
        <f>IF(AND(MONTH(E242)='IN-NX'!$J$5,'IN-NX'!$D$7=(D242&amp;"/"&amp;C242)),"x","")</f>
        <v/>
      </c>
      <c r="C242" s="185" t="s">
        <v>153</v>
      </c>
      <c r="D242" s="185" t="s">
        <v>146</v>
      </c>
      <c r="E242" s="69">
        <v>41333</v>
      </c>
      <c r="F242" s="61" t="s">
        <v>278</v>
      </c>
      <c r="G242" s="19" t="s">
        <v>111</v>
      </c>
      <c r="H242" s="189" t="s">
        <v>108</v>
      </c>
      <c r="I242" s="56" t="s">
        <v>93</v>
      </c>
      <c r="J242" s="15">
        <v>14000</v>
      </c>
      <c r="K242" s="15">
        <v>2560</v>
      </c>
      <c r="L242" s="15">
        <v>35840000</v>
      </c>
      <c r="M242" s="15">
        <v>0</v>
      </c>
      <c r="N242" s="15">
        <v>0</v>
      </c>
      <c r="O242" s="15" t="str">
        <f>IF(AND(A242='BANG KE NL'!$M$11,TH!C242="NL",LEFT(D242,1)="N"),"x","")</f>
        <v/>
      </c>
    </row>
    <row r="243" spans="1:15" hidden="1">
      <c r="A243" s="24">
        <f t="shared" si="6"/>
        <v>3</v>
      </c>
      <c r="B243" s="188" t="str">
        <f>IF(AND(MONTH(E243)='IN-NX'!$J$5,'IN-NX'!$D$7=(D243&amp;"/"&amp;C243)),"x","")</f>
        <v/>
      </c>
      <c r="C243" s="185" t="s">
        <v>153</v>
      </c>
      <c r="D243" s="185" t="s">
        <v>152</v>
      </c>
      <c r="E243" s="69">
        <v>41352</v>
      </c>
      <c r="F243" s="61" t="s">
        <v>278</v>
      </c>
      <c r="G243" s="460" t="s">
        <v>158</v>
      </c>
      <c r="H243" s="189" t="s">
        <v>90</v>
      </c>
      <c r="I243" s="56" t="s">
        <v>108</v>
      </c>
      <c r="J243" s="15">
        <v>14000</v>
      </c>
      <c r="K243" s="15">
        <v>0</v>
      </c>
      <c r="L243" s="15">
        <v>0</v>
      </c>
      <c r="M243" s="15">
        <v>2560</v>
      </c>
      <c r="N243" s="15">
        <v>35840000</v>
      </c>
      <c r="O243" s="15" t="str">
        <f>IF(AND(A243='BANG KE NL'!$M$11,TH!C243="NL",LEFT(D243,1)="N"),"x","")</f>
        <v/>
      </c>
    </row>
    <row r="244" spans="1:15" hidden="1">
      <c r="A244" s="24">
        <f t="shared" si="6"/>
        <v>6</v>
      </c>
      <c r="B244" s="188" t="str">
        <f>IF(AND(MONTH(E244)='IN-NX'!$J$5,'IN-NX'!$D$7=(D244&amp;"/"&amp;C244)),"x","")</f>
        <v/>
      </c>
      <c r="C244" s="185" t="s">
        <v>153</v>
      </c>
      <c r="D244" s="185" t="s">
        <v>146</v>
      </c>
      <c r="E244" s="69">
        <v>41451</v>
      </c>
      <c r="F244" s="61" t="s">
        <v>278</v>
      </c>
      <c r="G244" s="19" t="s">
        <v>111</v>
      </c>
      <c r="H244" s="189" t="s">
        <v>108</v>
      </c>
      <c r="I244" s="56" t="s">
        <v>93</v>
      </c>
      <c r="J244" s="15">
        <v>14000</v>
      </c>
      <c r="K244" s="15">
        <v>2500</v>
      </c>
      <c r="L244" s="15">
        <v>35000000</v>
      </c>
      <c r="M244" s="15">
        <v>0</v>
      </c>
      <c r="N244" s="15">
        <v>0</v>
      </c>
      <c r="O244" s="15" t="str">
        <f>IF(AND(A244='BANG KE NL'!$M$11,TH!C244="NL",LEFT(D244,1)="N"),"x","")</f>
        <v/>
      </c>
    </row>
    <row r="245" spans="1:15" hidden="1">
      <c r="A245" s="24">
        <f t="shared" si="6"/>
        <v>6</v>
      </c>
      <c r="B245" s="188" t="str">
        <f>IF(AND(MONTH(E245)='IN-NX'!$J$5,'IN-NX'!$D$7=(D245&amp;"/"&amp;C245)),"x","")</f>
        <v/>
      </c>
      <c r="C245" s="185" t="s">
        <v>153</v>
      </c>
      <c r="D245" s="185" t="s">
        <v>159</v>
      </c>
      <c r="E245" s="69">
        <v>41451</v>
      </c>
      <c r="F245" s="61" t="s">
        <v>278</v>
      </c>
      <c r="G245" s="460" t="s">
        <v>158</v>
      </c>
      <c r="H245" s="189" t="s">
        <v>90</v>
      </c>
      <c r="I245" s="56" t="s">
        <v>108</v>
      </c>
      <c r="J245" s="15">
        <v>14000</v>
      </c>
      <c r="K245" s="15">
        <v>0</v>
      </c>
      <c r="L245" s="15">
        <v>0</v>
      </c>
      <c r="M245" s="15">
        <v>2500</v>
      </c>
      <c r="N245" s="15">
        <v>35000000</v>
      </c>
      <c r="O245" s="15" t="str">
        <f>IF(AND(A245='BANG KE NL'!$M$11,TH!C245="NL",LEFT(D245,1)="N"),"x","")</f>
        <v/>
      </c>
    </row>
    <row r="246" spans="1:15" hidden="1">
      <c r="A246" s="24">
        <f t="shared" si="6"/>
        <v>7</v>
      </c>
      <c r="B246" s="188" t="str">
        <f>IF(AND(MONTH(E246)='IN-NX'!$J$5,'IN-NX'!$D$7=(D246&amp;"/"&amp;C246)),"x","")</f>
        <v/>
      </c>
      <c r="C246" s="185" t="s">
        <v>153</v>
      </c>
      <c r="D246" s="185" t="s">
        <v>147</v>
      </c>
      <c r="E246" s="69">
        <v>41473</v>
      </c>
      <c r="F246" s="61" t="s">
        <v>278</v>
      </c>
      <c r="G246" s="19" t="s">
        <v>111</v>
      </c>
      <c r="H246" s="189" t="s">
        <v>108</v>
      </c>
      <c r="I246" s="56" t="s">
        <v>93</v>
      </c>
      <c r="J246" s="15">
        <v>14000</v>
      </c>
      <c r="K246" s="15">
        <v>2500</v>
      </c>
      <c r="L246" s="15">
        <v>35000000</v>
      </c>
      <c r="M246" s="15">
        <v>0</v>
      </c>
      <c r="N246" s="15">
        <v>0</v>
      </c>
      <c r="O246" s="15" t="str">
        <f>IF(AND(A246='BANG KE NL'!$M$11,TH!C246="NL",LEFT(D246,1)="N"),"x","")</f>
        <v/>
      </c>
    </row>
    <row r="247" spans="1:15" hidden="1">
      <c r="A247" s="24">
        <f t="shared" si="6"/>
        <v>7</v>
      </c>
      <c r="B247" s="188" t="str">
        <f>IF(AND(MONTH(E247)='IN-NX'!$J$5,'IN-NX'!$D$7=(D247&amp;"/"&amp;C247)),"x","")</f>
        <v/>
      </c>
      <c r="C247" s="185" t="s">
        <v>153</v>
      </c>
      <c r="D247" s="185" t="s">
        <v>159</v>
      </c>
      <c r="E247" s="69">
        <v>41474</v>
      </c>
      <c r="F247" s="61" t="s">
        <v>278</v>
      </c>
      <c r="G247" s="460" t="s">
        <v>158</v>
      </c>
      <c r="H247" s="189" t="s">
        <v>90</v>
      </c>
      <c r="I247" s="56" t="s">
        <v>108</v>
      </c>
      <c r="J247" s="15">
        <v>14000</v>
      </c>
      <c r="K247" s="15">
        <v>0</v>
      </c>
      <c r="L247" s="15">
        <v>0</v>
      </c>
      <c r="M247" s="15">
        <v>2500</v>
      </c>
      <c r="N247" s="15">
        <v>35000000</v>
      </c>
      <c r="O247" s="15" t="str">
        <f>IF(AND(A247='BANG KE NL'!$M$11,TH!C247="NL",LEFT(D247,1)="N"),"x","")</f>
        <v/>
      </c>
    </row>
    <row r="248" spans="1:15" hidden="1">
      <c r="A248" s="24">
        <f t="shared" si="6"/>
        <v>3</v>
      </c>
      <c r="B248" s="188" t="str">
        <f>IF(AND(MONTH(E248)='IN-NX'!$J$5,'IN-NX'!$D$7=(D248&amp;"/"&amp;C248)),"x","")</f>
        <v/>
      </c>
      <c r="C248" s="185" t="s">
        <v>153</v>
      </c>
      <c r="D248" s="185" t="s">
        <v>143</v>
      </c>
      <c r="E248" s="69">
        <v>41334</v>
      </c>
      <c r="F248" s="61" t="s">
        <v>351</v>
      </c>
      <c r="G248" s="19" t="s">
        <v>392</v>
      </c>
      <c r="H248" s="189" t="s">
        <v>108</v>
      </c>
      <c r="I248" s="56" t="s">
        <v>93</v>
      </c>
      <c r="J248" s="15">
        <v>333.5</v>
      </c>
      <c r="K248" s="15">
        <v>99400</v>
      </c>
      <c r="L248" s="15">
        <v>33149900</v>
      </c>
      <c r="M248" s="15">
        <v>0</v>
      </c>
      <c r="N248" s="15">
        <v>0</v>
      </c>
      <c r="O248" s="15" t="str">
        <f>IF(AND(A248='BANG KE NL'!$M$11,TH!C248="NL",LEFT(D248,1)="N"),"x","")</f>
        <v/>
      </c>
    </row>
    <row r="249" spans="1:15" hidden="1">
      <c r="A249" s="24">
        <f t="shared" si="6"/>
        <v>3</v>
      </c>
      <c r="B249" s="188" t="str">
        <f>IF(AND(MONTH(E249)='IN-NX'!$J$5,'IN-NX'!$D$7=(D249&amp;"/"&amp;C249)),"x","")</f>
        <v/>
      </c>
      <c r="C249" s="185" t="s">
        <v>153</v>
      </c>
      <c r="D249" s="185" t="s">
        <v>197</v>
      </c>
      <c r="E249" s="69">
        <v>41358</v>
      </c>
      <c r="F249" s="61" t="s">
        <v>351</v>
      </c>
      <c r="G249" s="460" t="s">
        <v>158</v>
      </c>
      <c r="H249" s="189" t="s">
        <v>90</v>
      </c>
      <c r="I249" s="56" t="s">
        <v>108</v>
      </c>
      <c r="J249" s="15">
        <v>333.28505050505049</v>
      </c>
      <c r="K249" s="15">
        <v>0</v>
      </c>
      <c r="L249" s="15">
        <v>0</v>
      </c>
      <c r="M249" s="15">
        <v>123750</v>
      </c>
      <c r="N249" s="15">
        <v>41244025</v>
      </c>
      <c r="O249" s="15" t="str">
        <f>IF(AND(A249='BANG KE NL'!$M$11,TH!C249="NL",LEFT(D249,1)="N"),"x","")</f>
        <v/>
      </c>
    </row>
    <row r="250" spans="1:15" hidden="1">
      <c r="A250" s="24">
        <f t="shared" si="6"/>
        <v>3</v>
      </c>
      <c r="B250" s="188" t="str">
        <f>IF(AND(MONTH(E250)='IN-NX'!$J$5,'IN-NX'!$D$7=(D250&amp;"/"&amp;C250)),"x","")</f>
        <v/>
      </c>
      <c r="C250" s="185" t="s">
        <v>153</v>
      </c>
      <c r="D250" s="185" t="s">
        <v>143</v>
      </c>
      <c r="E250" s="69">
        <v>41334</v>
      </c>
      <c r="F250" s="61" t="s">
        <v>352</v>
      </c>
      <c r="G250" s="19" t="s">
        <v>392</v>
      </c>
      <c r="H250" s="189" t="s">
        <v>108</v>
      </c>
      <c r="I250" s="56" t="s">
        <v>93</v>
      </c>
      <c r="J250" s="15">
        <v>429</v>
      </c>
      <c r="K250" s="15">
        <v>43980</v>
      </c>
      <c r="L250" s="15">
        <v>18867420</v>
      </c>
      <c r="M250" s="15">
        <v>0</v>
      </c>
      <c r="N250" s="15">
        <v>0</v>
      </c>
      <c r="O250" s="15" t="str">
        <f>IF(AND(A250='BANG KE NL'!$M$11,TH!C250="NL",LEFT(D250,1)="N"),"x","")</f>
        <v/>
      </c>
    </row>
    <row r="251" spans="1:15" hidden="1">
      <c r="A251" s="24">
        <f t="shared" si="6"/>
        <v>3</v>
      </c>
      <c r="B251" s="188" t="str">
        <f>IF(AND(MONTH(E251)='IN-NX'!$J$5,'IN-NX'!$D$7=(D251&amp;"/"&amp;C251)),"x","")</f>
        <v/>
      </c>
      <c r="C251" s="185" t="s">
        <v>153</v>
      </c>
      <c r="D251" s="185" t="s">
        <v>197</v>
      </c>
      <c r="E251" s="69">
        <v>41358</v>
      </c>
      <c r="F251" s="61" t="s">
        <v>352</v>
      </c>
      <c r="G251" s="460" t="s">
        <v>158</v>
      </c>
      <c r="H251" s="189" t="s">
        <v>90</v>
      </c>
      <c r="I251" s="56" t="s">
        <v>108</v>
      </c>
      <c r="J251" s="15">
        <v>429</v>
      </c>
      <c r="K251" s="15">
        <v>0</v>
      </c>
      <c r="L251" s="15">
        <v>0</v>
      </c>
      <c r="M251" s="15">
        <v>33874</v>
      </c>
      <c r="N251" s="15">
        <v>14531946</v>
      </c>
      <c r="O251" s="15" t="str">
        <f>IF(AND(A251='BANG KE NL'!$M$11,TH!C251="NL",LEFT(D251,1)="N"),"x","")</f>
        <v/>
      </c>
    </row>
    <row r="252" spans="1:15" hidden="1">
      <c r="A252" s="24">
        <f t="shared" si="6"/>
        <v>11</v>
      </c>
      <c r="B252" s="188" t="str">
        <f>IF(AND(MONTH(E252)='IN-NX'!$J$5,'IN-NX'!$D$7=(D252&amp;"/"&amp;C252)),"x","")</f>
        <v/>
      </c>
      <c r="C252" s="185" t="s">
        <v>153</v>
      </c>
      <c r="D252" s="185" t="s">
        <v>198</v>
      </c>
      <c r="E252" s="69">
        <v>41597</v>
      </c>
      <c r="F252" s="61" t="s">
        <v>48</v>
      </c>
      <c r="G252" s="19" t="s">
        <v>391</v>
      </c>
      <c r="H252" s="189" t="s">
        <v>93</v>
      </c>
      <c r="I252" s="56" t="s">
        <v>108</v>
      </c>
      <c r="J252" s="15">
        <v>360</v>
      </c>
      <c r="K252" s="15">
        <v>0</v>
      </c>
      <c r="L252" s="15">
        <v>0</v>
      </c>
      <c r="M252" s="15">
        <v>1336</v>
      </c>
      <c r="N252" s="15">
        <v>480960</v>
      </c>
      <c r="O252" s="15" t="str">
        <f>IF(AND(A252='BANG KE NL'!$M$11,TH!C252="NL",LEFT(D252,1)="N"),"x","")</f>
        <v/>
      </c>
    </row>
    <row r="253" spans="1:15" hidden="1">
      <c r="A253" s="24">
        <f t="shared" si="6"/>
        <v>11</v>
      </c>
      <c r="B253" s="188" t="str">
        <f>IF(AND(MONTH(E253)='IN-NX'!$J$5,'IN-NX'!$D$7=(D253&amp;"/"&amp;C253)),"x","")</f>
        <v/>
      </c>
      <c r="C253" s="185" t="s">
        <v>153</v>
      </c>
      <c r="D253" s="185" t="s">
        <v>198</v>
      </c>
      <c r="E253" s="69">
        <v>41597</v>
      </c>
      <c r="F253" s="61" t="s">
        <v>49</v>
      </c>
      <c r="G253" s="19" t="s">
        <v>391</v>
      </c>
      <c r="H253" s="189" t="s">
        <v>93</v>
      </c>
      <c r="I253" s="56" t="s">
        <v>108</v>
      </c>
      <c r="J253" s="15">
        <v>545</v>
      </c>
      <c r="K253" s="15">
        <v>0</v>
      </c>
      <c r="L253" s="15">
        <v>0</v>
      </c>
      <c r="M253" s="15">
        <v>59100</v>
      </c>
      <c r="N253" s="15">
        <v>32209500</v>
      </c>
      <c r="O253" s="15" t="str">
        <f>IF(AND(A253='BANG KE NL'!$M$11,TH!C253="NL",LEFT(D253,1)="N"),"x","")</f>
        <v/>
      </c>
    </row>
    <row r="254" spans="1:15" hidden="1">
      <c r="A254" s="24">
        <f t="shared" si="6"/>
        <v>11</v>
      </c>
      <c r="B254" s="188" t="str">
        <f>IF(AND(MONTH(E254)='IN-NX'!$J$5,'IN-NX'!$D$7=(D254&amp;"/"&amp;C254)),"x","")</f>
        <v/>
      </c>
      <c r="C254" s="185" t="s">
        <v>153</v>
      </c>
      <c r="D254" s="185" t="s">
        <v>198</v>
      </c>
      <c r="E254" s="69">
        <v>41597</v>
      </c>
      <c r="F254" s="61" t="s">
        <v>50</v>
      </c>
      <c r="G254" s="19" t="s">
        <v>391</v>
      </c>
      <c r="H254" s="189" t="s">
        <v>93</v>
      </c>
      <c r="I254" s="56" t="s">
        <v>108</v>
      </c>
      <c r="J254" s="15">
        <v>235</v>
      </c>
      <c r="K254" s="15">
        <v>0</v>
      </c>
      <c r="L254" s="15">
        <v>0</v>
      </c>
      <c r="M254" s="15">
        <v>31500</v>
      </c>
      <c r="N254" s="15">
        <v>7402500</v>
      </c>
      <c r="O254" s="15" t="str">
        <f>IF(AND(A254='BANG KE NL'!$M$11,TH!C254="NL",LEFT(D254,1)="N"),"x","")</f>
        <v/>
      </c>
    </row>
    <row r="255" spans="1:15" hidden="1">
      <c r="A255" s="24">
        <f t="shared" si="6"/>
        <v>8</v>
      </c>
      <c r="B255" s="188" t="str">
        <f>IF(AND(MONTH(E255)='IN-NX'!$J$5,'IN-NX'!$D$7=(D255&amp;"/"&amp;C255)),"x","")</f>
        <v/>
      </c>
      <c r="C255" s="185" t="s">
        <v>155</v>
      </c>
      <c r="D255" s="24" t="s">
        <v>170</v>
      </c>
      <c r="E255" s="69">
        <v>41496</v>
      </c>
      <c r="F255" s="61" t="s">
        <v>52</v>
      </c>
      <c r="G255" s="19" t="s">
        <v>125</v>
      </c>
      <c r="H255" s="216" t="s">
        <v>160</v>
      </c>
      <c r="I255" s="56" t="s">
        <v>93</v>
      </c>
      <c r="J255" s="15">
        <v>18000</v>
      </c>
      <c r="K255" s="15">
        <v>5795</v>
      </c>
      <c r="L255" s="15">
        <v>104310000</v>
      </c>
      <c r="M255" s="15">
        <v>0</v>
      </c>
      <c r="N255" s="15">
        <v>0</v>
      </c>
      <c r="O255" s="15" t="str">
        <f>IF(AND(A255='BANG KE NL'!$M$11,TH!C255="NL",LEFT(D255,1)="N"),"x","")</f>
        <v/>
      </c>
    </row>
    <row r="256" spans="1:15" hidden="1">
      <c r="A256" s="24">
        <f t="shared" si="6"/>
        <v>8</v>
      </c>
      <c r="B256" s="188" t="str">
        <f>IF(AND(MONTH(E256)='IN-NX'!$J$5,'IN-NX'!$D$7=(D256&amp;"/"&amp;C256)),"x","")</f>
        <v/>
      </c>
      <c r="C256" s="185" t="s">
        <v>155</v>
      </c>
      <c r="D256" s="24" t="s">
        <v>171</v>
      </c>
      <c r="E256" s="69">
        <v>41496</v>
      </c>
      <c r="F256" s="61" t="s">
        <v>52</v>
      </c>
      <c r="G256" s="19" t="s">
        <v>126</v>
      </c>
      <c r="H256" s="216" t="s">
        <v>160</v>
      </c>
      <c r="I256" s="56" t="s">
        <v>93</v>
      </c>
      <c r="J256" s="15">
        <v>18000</v>
      </c>
      <c r="K256" s="15">
        <v>5836</v>
      </c>
      <c r="L256" s="15">
        <v>105048000</v>
      </c>
      <c r="M256" s="15">
        <v>0</v>
      </c>
      <c r="N256" s="15">
        <v>0</v>
      </c>
      <c r="O256" s="15" t="str">
        <f>IF(AND(A256='BANG KE NL'!$M$11,TH!C256="NL",LEFT(D256,1)="N"),"x","")</f>
        <v/>
      </c>
    </row>
    <row r="257" spans="1:15" hidden="1">
      <c r="A257" s="24">
        <f t="shared" si="6"/>
        <v>8</v>
      </c>
      <c r="B257" s="188" t="str">
        <f>IF(AND(MONTH(E257)='IN-NX'!$J$5,'IN-NX'!$D$7=(D257&amp;"/"&amp;C257)),"x","")</f>
        <v/>
      </c>
      <c r="C257" s="185" t="s">
        <v>155</v>
      </c>
      <c r="D257" s="24" t="s">
        <v>172</v>
      </c>
      <c r="E257" s="69">
        <v>41496</v>
      </c>
      <c r="F257" s="61" t="s">
        <v>52</v>
      </c>
      <c r="G257" s="19" t="s">
        <v>425</v>
      </c>
      <c r="H257" s="216" t="s">
        <v>160</v>
      </c>
      <c r="I257" s="56" t="s">
        <v>93</v>
      </c>
      <c r="J257" s="15">
        <v>18000</v>
      </c>
      <c r="K257" s="15">
        <v>5762</v>
      </c>
      <c r="L257" s="15">
        <v>103716000</v>
      </c>
      <c r="M257" s="15">
        <v>0</v>
      </c>
      <c r="N257" s="15">
        <v>0</v>
      </c>
      <c r="O257" s="15" t="str">
        <f>IF(AND(A257='BANG KE NL'!$M$11,TH!C257="NL",LEFT(D257,1)="N"),"x","")</f>
        <v/>
      </c>
    </row>
    <row r="258" spans="1:15" hidden="1">
      <c r="A258" s="24">
        <f t="shared" si="6"/>
        <v>8</v>
      </c>
      <c r="B258" s="188" t="str">
        <f>IF(AND(MONTH(E258)='IN-NX'!$J$5,'IN-NX'!$D$7=(D258&amp;"/"&amp;C258)),"x","")</f>
        <v/>
      </c>
      <c r="C258" s="185" t="s">
        <v>155</v>
      </c>
      <c r="D258" s="24" t="s">
        <v>173</v>
      </c>
      <c r="E258" s="69">
        <v>41496</v>
      </c>
      <c r="F258" s="61" t="s">
        <v>52</v>
      </c>
      <c r="G258" s="19" t="s">
        <v>423</v>
      </c>
      <c r="H258" s="216" t="s">
        <v>160</v>
      </c>
      <c r="I258" s="56" t="s">
        <v>93</v>
      </c>
      <c r="J258" s="15">
        <v>18000</v>
      </c>
      <c r="K258" s="15">
        <v>5607</v>
      </c>
      <c r="L258" s="15">
        <v>100926000</v>
      </c>
      <c r="M258" s="15">
        <v>0</v>
      </c>
      <c r="N258" s="15">
        <v>0</v>
      </c>
      <c r="O258" s="15" t="str">
        <f>IF(AND(A258='BANG KE NL'!$M$11,TH!C258="NL",LEFT(D258,1)="N"),"x","")</f>
        <v/>
      </c>
    </row>
    <row r="259" spans="1:15" hidden="1">
      <c r="A259" s="24">
        <f t="shared" si="6"/>
        <v>8</v>
      </c>
      <c r="B259" s="188" t="str">
        <f>IF(AND(MONTH(E259)='IN-NX'!$J$5,'IN-NX'!$D$7=(D259&amp;"/"&amp;C259)),"x","")</f>
        <v/>
      </c>
      <c r="C259" s="185" t="s">
        <v>155</v>
      </c>
      <c r="D259" s="24" t="s">
        <v>174</v>
      </c>
      <c r="E259" s="69">
        <v>41496</v>
      </c>
      <c r="F259" s="61" t="s">
        <v>52</v>
      </c>
      <c r="G259" s="19" t="s">
        <v>416</v>
      </c>
      <c r="H259" s="216" t="s">
        <v>160</v>
      </c>
      <c r="I259" s="56" t="s">
        <v>93</v>
      </c>
      <c r="J259" s="15">
        <v>18000</v>
      </c>
      <c r="K259" s="15">
        <v>4200</v>
      </c>
      <c r="L259" s="15">
        <v>75600000</v>
      </c>
      <c r="M259" s="15">
        <v>0</v>
      </c>
      <c r="N259" s="15">
        <v>0</v>
      </c>
      <c r="O259" s="15" t="str">
        <f>IF(AND(A259='BANG KE NL'!$M$11,TH!C259="NL",LEFT(D259,1)="N"),"x","")</f>
        <v/>
      </c>
    </row>
    <row r="260" spans="1:15" hidden="1">
      <c r="A260" s="24">
        <f t="shared" si="6"/>
        <v>8</v>
      </c>
      <c r="B260" s="188" t="str">
        <f>IF(AND(MONTH(E260)='IN-NX'!$J$5,'IN-NX'!$D$7=(D260&amp;"/"&amp;C260)),"x","")</f>
        <v/>
      </c>
      <c r="C260" s="185" t="s">
        <v>155</v>
      </c>
      <c r="D260" s="24" t="s">
        <v>197</v>
      </c>
      <c r="E260" s="69">
        <v>41497</v>
      </c>
      <c r="F260" s="61" t="s">
        <v>52</v>
      </c>
      <c r="G260" s="460" t="s">
        <v>158</v>
      </c>
      <c r="H260" s="216" t="s">
        <v>90</v>
      </c>
      <c r="I260" s="56" t="s">
        <v>160</v>
      </c>
      <c r="J260" s="15">
        <v>18000</v>
      </c>
      <c r="K260" s="15">
        <v>0</v>
      </c>
      <c r="L260" s="15">
        <v>0</v>
      </c>
      <c r="M260" s="15">
        <v>17393</v>
      </c>
      <c r="N260" s="15">
        <v>313074000</v>
      </c>
      <c r="O260" s="15" t="str">
        <f>IF(AND(A260='BANG KE NL'!$M$11,TH!C260="NL",LEFT(D260,1)="N"),"x","")</f>
        <v/>
      </c>
    </row>
    <row r="261" spans="1:15" hidden="1">
      <c r="A261" s="24">
        <f t="shared" si="6"/>
        <v>8</v>
      </c>
      <c r="B261" s="188" t="str">
        <f>IF(AND(MONTH(E261)='IN-NX'!$J$5,'IN-NX'!$D$7=(D261&amp;"/"&amp;C261)),"x","")</f>
        <v/>
      </c>
      <c r="C261" s="185" t="s">
        <v>155</v>
      </c>
      <c r="D261" s="185" t="s">
        <v>199</v>
      </c>
      <c r="E261" s="69">
        <v>41499</v>
      </c>
      <c r="F261" s="61" t="s">
        <v>52</v>
      </c>
      <c r="G261" s="460" t="s">
        <v>158</v>
      </c>
      <c r="H261" s="216" t="s">
        <v>90</v>
      </c>
      <c r="I261" s="56" t="s">
        <v>160</v>
      </c>
      <c r="J261" s="15">
        <v>18000</v>
      </c>
      <c r="K261" s="15">
        <v>0</v>
      </c>
      <c r="L261" s="15">
        <v>0</v>
      </c>
      <c r="M261" s="15">
        <v>9807</v>
      </c>
      <c r="N261" s="15">
        <v>176526000</v>
      </c>
      <c r="O261" s="15" t="str">
        <f>IF(AND(A261='BANG KE NL'!$M$11,TH!C261="NL",LEFT(D261,1)="N"),"x","")</f>
        <v/>
      </c>
    </row>
    <row r="262" spans="1:15" hidden="1">
      <c r="A262" s="24">
        <f t="shared" ref="A262:A325" si="7">IF(E262&lt;&gt;"",MONTH(E262),"")</f>
        <v>9</v>
      </c>
      <c r="B262" s="188" t="str">
        <f>IF(AND(MONTH(E262)='IN-NX'!$J$5,'IN-NX'!$D$7=(D262&amp;"/"&amp;C262)),"x","")</f>
        <v/>
      </c>
      <c r="C262" s="185" t="s">
        <v>155</v>
      </c>
      <c r="D262" s="24" t="s">
        <v>143</v>
      </c>
      <c r="E262" s="69">
        <v>41518</v>
      </c>
      <c r="F262" s="61" t="s">
        <v>52</v>
      </c>
      <c r="G262" s="19" t="s">
        <v>416</v>
      </c>
      <c r="H262" s="216" t="s">
        <v>160</v>
      </c>
      <c r="I262" s="56" t="s">
        <v>93</v>
      </c>
      <c r="J262" s="15">
        <v>17000</v>
      </c>
      <c r="K262" s="15">
        <v>5330</v>
      </c>
      <c r="L262" s="15">
        <v>90610000</v>
      </c>
      <c r="M262" s="15">
        <v>0</v>
      </c>
      <c r="N262" s="15">
        <v>0</v>
      </c>
      <c r="O262" s="15" t="str">
        <f>IF(AND(A262='BANG KE NL'!$M$11,TH!C262="NL",LEFT(D262,1)="N"),"x","")</f>
        <v/>
      </c>
    </row>
    <row r="263" spans="1:15" hidden="1">
      <c r="A263" s="24">
        <f t="shared" si="7"/>
        <v>9</v>
      </c>
      <c r="B263" s="188" t="str">
        <f>IF(AND(MONTH(E263)='IN-NX'!$J$5,'IN-NX'!$D$7=(D263&amp;"/"&amp;C263)),"x","")</f>
        <v/>
      </c>
      <c r="C263" s="185" t="s">
        <v>155</v>
      </c>
      <c r="D263" s="185" t="s">
        <v>144</v>
      </c>
      <c r="E263" s="69">
        <v>41518</v>
      </c>
      <c r="F263" s="61" t="s">
        <v>52</v>
      </c>
      <c r="G263" s="19" t="s">
        <v>125</v>
      </c>
      <c r="H263" s="216" t="s">
        <v>160</v>
      </c>
      <c r="I263" s="56" t="s">
        <v>93</v>
      </c>
      <c r="J263" s="15">
        <v>17000</v>
      </c>
      <c r="K263" s="15">
        <v>4930</v>
      </c>
      <c r="L263" s="15">
        <v>83810000</v>
      </c>
      <c r="M263" s="15">
        <v>0</v>
      </c>
      <c r="N263" s="15">
        <v>0</v>
      </c>
      <c r="O263" s="15" t="str">
        <f>IF(AND(A263='BANG KE NL'!$M$11,TH!C263="NL",LEFT(D263,1)="N"),"x","")</f>
        <v/>
      </c>
    </row>
    <row r="264" spans="1:15" hidden="1">
      <c r="A264" s="24">
        <f t="shared" si="7"/>
        <v>9</v>
      </c>
      <c r="B264" s="188" t="str">
        <f>IF(AND(MONTH(E264)='IN-NX'!$J$5,'IN-NX'!$D$7=(D264&amp;"/"&amp;C264)),"x","")</f>
        <v/>
      </c>
      <c r="C264" s="185" t="s">
        <v>155</v>
      </c>
      <c r="D264" s="185" t="s">
        <v>149</v>
      </c>
      <c r="E264" s="69">
        <v>41518</v>
      </c>
      <c r="F264" s="61" t="s">
        <v>52</v>
      </c>
      <c r="G264" s="460" t="s">
        <v>158</v>
      </c>
      <c r="H264" s="216" t="s">
        <v>90</v>
      </c>
      <c r="I264" s="56" t="s">
        <v>160</v>
      </c>
      <c r="J264" s="15">
        <v>17000</v>
      </c>
      <c r="K264" s="15">
        <v>0</v>
      </c>
      <c r="L264" s="15">
        <v>0</v>
      </c>
      <c r="M264" s="15">
        <v>10260</v>
      </c>
      <c r="N264" s="15">
        <v>174420000</v>
      </c>
      <c r="O264" s="15" t="str">
        <f>IF(AND(A264='BANG KE NL'!$M$11,TH!C264="NL",LEFT(D264,1)="N"),"x","")</f>
        <v/>
      </c>
    </row>
    <row r="265" spans="1:15" hidden="1">
      <c r="A265" s="24">
        <f t="shared" si="7"/>
        <v>9</v>
      </c>
      <c r="B265" s="188" t="str">
        <f>IF(AND(MONTH(E265)='IN-NX'!$J$5,'IN-NX'!$D$7=(D265&amp;"/"&amp;C265)),"x","")</f>
        <v/>
      </c>
      <c r="C265" s="185" t="s">
        <v>155</v>
      </c>
      <c r="D265" s="185" t="s">
        <v>161</v>
      </c>
      <c r="E265" s="69">
        <v>41522</v>
      </c>
      <c r="F265" s="61" t="s">
        <v>52</v>
      </c>
      <c r="G265" s="19" t="s">
        <v>319</v>
      </c>
      <c r="H265" s="216" t="s">
        <v>160</v>
      </c>
      <c r="I265" s="56" t="s">
        <v>93</v>
      </c>
      <c r="J265" s="15">
        <v>17000</v>
      </c>
      <c r="K265" s="15">
        <v>4814</v>
      </c>
      <c r="L265" s="15">
        <v>81838000</v>
      </c>
      <c r="M265" s="15">
        <v>0</v>
      </c>
      <c r="N265" s="15">
        <v>0</v>
      </c>
      <c r="O265" s="15" t="str">
        <f>IF(AND(A265='BANG KE NL'!$M$11,TH!C265="NL",LEFT(D265,1)="N"),"x","")</f>
        <v/>
      </c>
    </row>
    <row r="266" spans="1:15" hidden="1">
      <c r="A266" s="24">
        <f t="shared" si="7"/>
        <v>9</v>
      </c>
      <c r="B266" s="188" t="str">
        <f>IF(AND(MONTH(E266)='IN-NX'!$J$5,'IN-NX'!$D$7=(D266&amp;"/"&amp;C266)),"x","")</f>
        <v/>
      </c>
      <c r="C266" s="185" t="s">
        <v>155</v>
      </c>
      <c r="D266" s="185" t="s">
        <v>163</v>
      </c>
      <c r="E266" s="69">
        <v>41522</v>
      </c>
      <c r="F266" s="61" t="s">
        <v>52</v>
      </c>
      <c r="G266" s="19" t="s">
        <v>126</v>
      </c>
      <c r="H266" s="216" t="s">
        <v>160</v>
      </c>
      <c r="I266" s="56" t="s">
        <v>93</v>
      </c>
      <c r="J266" s="15">
        <v>17000</v>
      </c>
      <c r="K266" s="15">
        <v>4214</v>
      </c>
      <c r="L266" s="15">
        <v>71638000</v>
      </c>
      <c r="M266" s="15">
        <v>0</v>
      </c>
      <c r="N266" s="15">
        <v>0</v>
      </c>
      <c r="O266" s="15" t="str">
        <f>IF(AND(A266='BANG KE NL'!$M$11,TH!C266="NL",LEFT(D266,1)="N"),"x","")</f>
        <v/>
      </c>
    </row>
    <row r="267" spans="1:15" hidden="1">
      <c r="A267" s="24">
        <f t="shared" si="7"/>
        <v>9</v>
      </c>
      <c r="B267" s="188" t="str">
        <f>IF(AND(MONTH(E267)='IN-NX'!$J$5,'IN-NX'!$D$7=(D267&amp;"/"&amp;C267)),"x","")</f>
        <v/>
      </c>
      <c r="C267" s="185" t="s">
        <v>155</v>
      </c>
      <c r="D267" s="185" t="s">
        <v>151</v>
      </c>
      <c r="E267" s="69">
        <v>41522</v>
      </c>
      <c r="F267" s="61" t="s">
        <v>52</v>
      </c>
      <c r="G267" s="460" t="s">
        <v>158</v>
      </c>
      <c r="H267" s="216" t="s">
        <v>90</v>
      </c>
      <c r="I267" s="56" t="s">
        <v>160</v>
      </c>
      <c r="J267" s="15">
        <v>17000</v>
      </c>
      <c r="K267" s="15">
        <v>0</v>
      </c>
      <c r="L267" s="15">
        <v>0</v>
      </c>
      <c r="M267" s="15">
        <v>9028</v>
      </c>
      <c r="N267" s="15">
        <v>153476000</v>
      </c>
      <c r="O267" s="15" t="str">
        <f>IF(AND(A267='BANG KE NL'!$M$11,TH!C267="NL",LEFT(D267,1)="N"),"x","")</f>
        <v/>
      </c>
    </row>
    <row r="268" spans="1:15" hidden="1">
      <c r="A268" s="24">
        <f t="shared" si="7"/>
        <v>9</v>
      </c>
      <c r="B268" s="188" t="str">
        <f>IF(AND(MONTH(E268)='IN-NX'!$J$5,'IN-NX'!$D$7=(D268&amp;"/"&amp;C268)),"x","")</f>
        <v/>
      </c>
      <c r="C268" s="185" t="s">
        <v>155</v>
      </c>
      <c r="D268" s="185" t="s">
        <v>170</v>
      </c>
      <c r="E268" s="69">
        <v>41527</v>
      </c>
      <c r="F268" s="61" t="s">
        <v>52</v>
      </c>
      <c r="G268" s="19" t="s">
        <v>318</v>
      </c>
      <c r="H268" s="216" t="s">
        <v>160</v>
      </c>
      <c r="I268" s="56" t="s">
        <v>93</v>
      </c>
      <c r="J268" s="15">
        <v>17000</v>
      </c>
      <c r="K268" s="15">
        <v>5303</v>
      </c>
      <c r="L268" s="15">
        <v>90151000</v>
      </c>
      <c r="M268" s="15">
        <v>0</v>
      </c>
      <c r="N268" s="15">
        <v>0</v>
      </c>
      <c r="O268" s="15" t="str">
        <f>IF(AND(A268='BANG KE NL'!$M$11,TH!C268="NL",LEFT(D268,1)="N"),"x","")</f>
        <v/>
      </c>
    </row>
    <row r="269" spans="1:15" hidden="1">
      <c r="A269" s="24">
        <f t="shared" si="7"/>
        <v>9</v>
      </c>
      <c r="B269" s="188" t="str">
        <f>IF(AND(MONTH(E269)='IN-NX'!$J$5,'IN-NX'!$D$7=(D269&amp;"/"&amp;C269)),"x","")</f>
        <v/>
      </c>
      <c r="C269" s="185" t="s">
        <v>155</v>
      </c>
      <c r="D269" s="24" t="s">
        <v>171</v>
      </c>
      <c r="E269" s="69">
        <v>41527</v>
      </c>
      <c r="F269" s="61" t="s">
        <v>52</v>
      </c>
      <c r="G269" s="19" t="s">
        <v>423</v>
      </c>
      <c r="H269" s="216" t="s">
        <v>160</v>
      </c>
      <c r="I269" s="56" t="s">
        <v>93</v>
      </c>
      <c r="J269" s="15">
        <v>17000</v>
      </c>
      <c r="K269" s="15">
        <v>3184</v>
      </c>
      <c r="L269" s="15">
        <v>54128000</v>
      </c>
      <c r="M269" s="15">
        <v>0</v>
      </c>
      <c r="N269" s="15">
        <v>0</v>
      </c>
      <c r="O269" s="15" t="str">
        <f>IF(AND(A269='BANG KE NL'!$M$11,TH!C269="NL",LEFT(D269,1)="N"),"x","")</f>
        <v/>
      </c>
    </row>
    <row r="270" spans="1:15" hidden="1">
      <c r="A270" s="24">
        <f t="shared" si="7"/>
        <v>9</v>
      </c>
      <c r="B270" s="188" t="str">
        <f>IF(AND(MONTH(E270)='IN-NX'!$J$5,'IN-NX'!$D$7=(D270&amp;"/"&amp;C270)),"x","")</f>
        <v/>
      </c>
      <c r="C270" s="185" t="s">
        <v>155</v>
      </c>
      <c r="D270" s="24" t="s">
        <v>197</v>
      </c>
      <c r="E270" s="69">
        <v>41527</v>
      </c>
      <c r="F270" s="61" t="s">
        <v>52</v>
      </c>
      <c r="G270" s="460" t="s">
        <v>158</v>
      </c>
      <c r="H270" s="216" t="s">
        <v>90</v>
      </c>
      <c r="I270" s="56" t="s">
        <v>160</v>
      </c>
      <c r="J270" s="15">
        <v>17000</v>
      </c>
      <c r="K270" s="15">
        <v>0</v>
      </c>
      <c r="L270" s="15">
        <v>0</v>
      </c>
      <c r="M270" s="15">
        <v>6362</v>
      </c>
      <c r="N270" s="15">
        <v>108154000</v>
      </c>
      <c r="O270" s="15" t="str">
        <f>IF(AND(A270='BANG KE NL'!$M$11,TH!C270="NL",LEFT(D270,1)="N"),"x","")</f>
        <v/>
      </c>
    </row>
    <row r="271" spans="1:15" hidden="1">
      <c r="A271" s="24">
        <f t="shared" si="7"/>
        <v>9</v>
      </c>
      <c r="B271" s="188" t="str">
        <f>IF(AND(MONTH(E271)='IN-NX'!$J$5,'IN-NX'!$D$7=(D271&amp;"/"&amp;C271)),"x","")</f>
        <v/>
      </c>
      <c r="C271" s="185" t="s">
        <v>155</v>
      </c>
      <c r="D271" s="24" t="s">
        <v>174</v>
      </c>
      <c r="E271" s="69">
        <v>41532</v>
      </c>
      <c r="F271" s="61" t="s">
        <v>52</v>
      </c>
      <c r="G271" s="19" t="s">
        <v>137</v>
      </c>
      <c r="H271" s="216" t="s">
        <v>160</v>
      </c>
      <c r="I271" s="56" t="s">
        <v>93</v>
      </c>
      <c r="J271" s="15">
        <v>17000</v>
      </c>
      <c r="K271" s="15">
        <v>5172</v>
      </c>
      <c r="L271" s="15">
        <v>87924000</v>
      </c>
      <c r="M271" s="15">
        <v>0</v>
      </c>
      <c r="N271" s="15">
        <v>0</v>
      </c>
      <c r="O271" s="15" t="str">
        <f>IF(AND(A271='BANG KE NL'!$M$11,TH!C271="NL",LEFT(D271,1)="N"),"x","")</f>
        <v/>
      </c>
    </row>
    <row r="272" spans="1:15" hidden="1">
      <c r="A272" s="24">
        <f t="shared" si="7"/>
        <v>9</v>
      </c>
      <c r="B272" s="188" t="str">
        <f>IF(AND(MONTH(E272)='IN-NX'!$J$5,'IN-NX'!$D$7=(D272&amp;"/"&amp;C272)),"x","")</f>
        <v/>
      </c>
      <c r="C272" s="185" t="s">
        <v>155</v>
      </c>
      <c r="D272" s="24" t="s">
        <v>178</v>
      </c>
      <c r="E272" s="69">
        <v>41532</v>
      </c>
      <c r="F272" s="61" t="s">
        <v>52</v>
      </c>
      <c r="G272" s="19" t="s">
        <v>138</v>
      </c>
      <c r="H272" s="216" t="s">
        <v>160</v>
      </c>
      <c r="I272" s="56" t="s">
        <v>93</v>
      </c>
      <c r="J272" s="15">
        <v>17000</v>
      </c>
      <c r="K272" s="15">
        <v>4772</v>
      </c>
      <c r="L272" s="15">
        <v>81124000</v>
      </c>
      <c r="M272" s="15">
        <v>0</v>
      </c>
      <c r="N272" s="15">
        <v>0</v>
      </c>
      <c r="O272" s="15" t="str">
        <f>IF(AND(A272='BANG KE NL'!$M$11,TH!C272="NL",LEFT(D272,1)="N"),"x","")</f>
        <v/>
      </c>
    </row>
    <row r="273" spans="1:15" hidden="1">
      <c r="A273" s="24">
        <f t="shared" si="7"/>
        <v>9</v>
      </c>
      <c r="B273" s="188" t="str">
        <f>IF(AND(MONTH(E273)='IN-NX'!$J$5,'IN-NX'!$D$7=(D273&amp;"/"&amp;C273)),"x","")</f>
        <v/>
      </c>
      <c r="C273" s="185" t="s">
        <v>155</v>
      </c>
      <c r="D273" s="24" t="s">
        <v>179</v>
      </c>
      <c r="E273" s="69">
        <v>41532</v>
      </c>
      <c r="F273" s="61" t="s">
        <v>52</v>
      </c>
      <c r="G273" s="19" t="s">
        <v>429</v>
      </c>
      <c r="H273" s="216" t="s">
        <v>160</v>
      </c>
      <c r="I273" s="56" t="s">
        <v>93</v>
      </c>
      <c r="J273" s="15">
        <v>17000</v>
      </c>
      <c r="K273" s="15">
        <v>5931</v>
      </c>
      <c r="L273" s="15">
        <v>100827000</v>
      </c>
      <c r="M273" s="15">
        <v>0</v>
      </c>
      <c r="N273" s="15">
        <v>0</v>
      </c>
      <c r="O273" s="15" t="str">
        <f>IF(AND(A273='BANG KE NL'!$M$11,TH!C273="NL",LEFT(D273,1)="N"),"x","")</f>
        <v/>
      </c>
    </row>
    <row r="274" spans="1:15" hidden="1">
      <c r="A274" s="24">
        <f t="shared" si="7"/>
        <v>10</v>
      </c>
      <c r="B274" s="188" t="str">
        <f>IF(AND(MONTH(E274)='IN-NX'!$J$5,'IN-NX'!$D$7=(D274&amp;"/"&amp;C274)),"x","")</f>
        <v/>
      </c>
      <c r="C274" s="185" t="s">
        <v>155</v>
      </c>
      <c r="D274" s="24" t="s">
        <v>159</v>
      </c>
      <c r="E274" s="69">
        <v>41555</v>
      </c>
      <c r="F274" s="61" t="s">
        <v>52</v>
      </c>
      <c r="G274" s="460" t="s">
        <v>158</v>
      </c>
      <c r="H274" s="216" t="s">
        <v>90</v>
      </c>
      <c r="I274" s="56" t="s">
        <v>160</v>
      </c>
      <c r="J274" s="15">
        <v>17000</v>
      </c>
      <c r="K274" s="15">
        <v>0</v>
      </c>
      <c r="L274" s="15">
        <v>0</v>
      </c>
      <c r="M274" s="15">
        <v>18000</v>
      </c>
      <c r="N274" s="15">
        <v>306000000</v>
      </c>
      <c r="O274" s="15" t="str">
        <f>IF(AND(A274='BANG KE NL'!$M$11,TH!C274="NL",LEFT(D274,1)="N"),"x","")</f>
        <v/>
      </c>
    </row>
    <row r="275" spans="1:15" hidden="1">
      <c r="A275" s="24">
        <f t="shared" si="7"/>
        <v>11</v>
      </c>
      <c r="B275" s="188" t="str">
        <f>IF(AND(MONTH(E275)='IN-NX'!$J$5,'IN-NX'!$D$7=(D275&amp;"/"&amp;C275)),"x","")</f>
        <v/>
      </c>
      <c r="C275" s="185" t="s">
        <v>155</v>
      </c>
      <c r="D275" s="185" t="s">
        <v>143</v>
      </c>
      <c r="E275" s="69">
        <v>41579</v>
      </c>
      <c r="F275" s="61" t="s">
        <v>52</v>
      </c>
      <c r="G275" s="19" t="s">
        <v>429</v>
      </c>
      <c r="H275" s="216" t="s">
        <v>160</v>
      </c>
      <c r="I275" s="56" t="s">
        <v>93</v>
      </c>
      <c r="J275" s="15">
        <v>17000</v>
      </c>
      <c r="K275" s="15">
        <v>4795</v>
      </c>
      <c r="L275" s="15">
        <v>81515000</v>
      </c>
      <c r="M275" s="15">
        <v>0</v>
      </c>
      <c r="N275" s="15">
        <v>0</v>
      </c>
      <c r="O275" s="15" t="str">
        <f>IF(AND(A275='BANG KE NL'!$M$11,TH!C275="NL",LEFT(D275,1)="N"),"x","")</f>
        <v/>
      </c>
    </row>
    <row r="276" spans="1:15" hidden="1">
      <c r="A276" s="24">
        <f t="shared" si="7"/>
        <v>11</v>
      </c>
      <c r="B276" s="188" t="str">
        <f>IF(AND(MONTH(E276)='IN-NX'!$J$5,'IN-NX'!$D$7=(D276&amp;"/"&amp;C276)),"x","")</f>
        <v/>
      </c>
      <c r="C276" s="185" t="s">
        <v>155</v>
      </c>
      <c r="D276" s="185" t="s">
        <v>144</v>
      </c>
      <c r="E276" s="69">
        <v>41579</v>
      </c>
      <c r="F276" s="61" t="s">
        <v>52</v>
      </c>
      <c r="G276" s="19" t="s">
        <v>138</v>
      </c>
      <c r="H276" s="216" t="s">
        <v>160</v>
      </c>
      <c r="I276" s="56" t="s">
        <v>93</v>
      </c>
      <c r="J276" s="15">
        <v>17000</v>
      </c>
      <c r="K276" s="15">
        <v>4705</v>
      </c>
      <c r="L276" s="15">
        <v>79985000</v>
      </c>
      <c r="M276" s="15">
        <v>0</v>
      </c>
      <c r="N276" s="15">
        <v>0</v>
      </c>
      <c r="O276" s="15" t="str">
        <f>IF(AND(A276='BANG KE NL'!$M$11,TH!C276="NL",LEFT(D276,1)="N"),"x","")</f>
        <v/>
      </c>
    </row>
    <row r="277" spans="1:15" hidden="1">
      <c r="A277" s="24">
        <f t="shared" si="7"/>
        <v>11</v>
      </c>
      <c r="B277" s="188" t="str">
        <f>IF(AND(MONTH(E277)='IN-NX'!$J$5,'IN-NX'!$D$7=(D277&amp;"/"&amp;C277)),"x","")</f>
        <v/>
      </c>
      <c r="C277" s="185" t="s">
        <v>155</v>
      </c>
      <c r="D277" s="185" t="s">
        <v>149</v>
      </c>
      <c r="E277" s="69">
        <v>41579</v>
      </c>
      <c r="F277" s="61" t="s">
        <v>52</v>
      </c>
      <c r="G277" s="460" t="s">
        <v>158</v>
      </c>
      <c r="H277" s="216" t="s">
        <v>90</v>
      </c>
      <c r="I277" s="56" t="s">
        <v>160</v>
      </c>
      <c r="J277" s="15">
        <v>17000</v>
      </c>
      <c r="K277" s="15">
        <v>0</v>
      </c>
      <c r="L277" s="15">
        <v>0</v>
      </c>
      <c r="M277" s="15">
        <v>9500</v>
      </c>
      <c r="N277" s="15">
        <v>161500000</v>
      </c>
      <c r="O277" s="15" t="str">
        <f>IF(AND(A277='BANG KE NL'!$M$11,TH!C277="NL",LEFT(D277,1)="N"),"x","")</f>
        <v/>
      </c>
    </row>
    <row r="278" spans="1:15" hidden="1">
      <c r="A278" s="24">
        <f t="shared" si="7"/>
        <v>11</v>
      </c>
      <c r="B278" s="188" t="str">
        <f>IF(AND(MONTH(E278)='IN-NX'!$J$5,'IN-NX'!$D$7=(D278&amp;"/"&amp;C278)),"x","")</f>
        <v/>
      </c>
      <c r="C278" s="185" t="s">
        <v>155</v>
      </c>
      <c r="D278" s="185" t="s">
        <v>163</v>
      </c>
      <c r="E278" s="69">
        <v>41596</v>
      </c>
      <c r="F278" s="61" t="s">
        <v>52</v>
      </c>
      <c r="G278" s="19" t="s">
        <v>139</v>
      </c>
      <c r="H278" s="216" t="s">
        <v>160</v>
      </c>
      <c r="I278" s="56" t="s">
        <v>93</v>
      </c>
      <c r="J278" s="15">
        <v>17000</v>
      </c>
      <c r="K278" s="15">
        <v>5983</v>
      </c>
      <c r="L278" s="15">
        <v>101711000</v>
      </c>
      <c r="M278" s="15">
        <v>0</v>
      </c>
      <c r="N278" s="15">
        <v>0</v>
      </c>
      <c r="O278" s="15" t="str">
        <f>IF(AND(A278='BANG KE NL'!$M$11,TH!C278="NL",LEFT(D278,1)="N"),"x","")</f>
        <v/>
      </c>
    </row>
    <row r="279" spans="1:15" hidden="1">
      <c r="A279" s="24">
        <f t="shared" si="7"/>
        <v>11</v>
      </c>
      <c r="B279" s="188" t="str">
        <f>IF(AND(MONTH(E279)='IN-NX'!$J$5,'IN-NX'!$D$7=(D279&amp;"/"&amp;C279)),"x","")</f>
        <v/>
      </c>
      <c r="C279" s="185" t="s">
        <v>155</v>
      </c>
      <c r="D279" s="185" t="s">
        <v>164</v>
      </c>
      <c r="E279" s="69">
        <v>41596</v>
      </c>
      <c r="F279" s="61" t="s">
        <v>52</v>
      </c>
      <c r="G279" s="19" t="s">
        <v>416</v>
      </c>
      <c r="H279" s="216" t="s">
        <v>160</v>
      </c>
      <c r="I279" s="56" t="s">
        <v>93</v>
      </c>
      <c r="J279" s="15">
        <v>17000</v>
      </c>
      <c r="K279" s="15">
        <v>5921</v>
      </c>
      <c r="L279" s="15">
        <v>100657000</v>
      </c>
      <c r="M279" s="15">
        <v>0</v>
      </c>
      <c r="N279" s="15">
        <v>0</v>
      </c>
      <c r="O279" s="15" t="str">
        <f>IF(AND(A279='BANG KE NL'!$M$11,TH!C279="NL",LEFT(D279,1)="N"),"x","")</f>
        <v/>
      </c>
    </row>
    <row r="280" spans="1:15" hidden="1">
      <c r="A280" s="24">
        <f t="shared" si="7"/>
        <v>11</v>
      </c>
      <c r="B280" s="188" t="str">
        <f>IF(AND(MONTH(E280)='IN-NX'!$J$5,'IN-NX'!$D$7=(D280&amp;"/"&amp;C280)),"x","")</f>
        <v/>
      </c>
      <c r="C280" s="185" t="s">
        <v>155</v>
      </c>
      <c r="D280" s="185" t="s">
        <v>165</v>
      </c>
      <c r="E280" s="69">
        <v>41596</v>
      </c>
      <c r="F280" s="61" t="s">
        <v>52</v>
      </c>
      <c r="G280" s="19" t="s">
        <v>140</v>
      </c>
      <c r="H280" s="216" t="s">
        <v>160</v>
      </c>
      <c r="I280" s="56" t="s">
        <v>93</v>
      </c>
      <c r="J280" s="15">
        <v>17000</v>
      </c>
      <c r="K280" s="15">
        <v>5986</v>
      </c>
      <c r="L280" s="15">
        <v>101762000</v>
      </c>
      <c r="M280" s="15">
        <v>0</v>
      </c>
      <c r="N280" s="15">
        <v>0</v>
      </c>
      <c r="O280" s="15" t="str">
        <f>IF(AND(A280='BANG KE NL'!$M$11,TH!C280="NL",LEFT(D280,1)="N"),"x","")</f>
        <v/>
      </c>
    </row>
    <row r="281" spans="1:15" hidden="1">
      <c r="A281" s="24">
        <f t="shared" si="7"/>
        <v>11</v>
      </c>
      <c r="B281" s="188" t="str">
        <f>IF(AND(MONTH(E281)='IN-NX'!$J$5,'IN-NX'!$D$7=(D281&amp;"/"&amp;C281)),"x","")</f>
        <v/>
      </c>
      <c r="C281" s="185" t="s">
        <v>155</v>
      </c>
      <c r="D281" s="185" t="s">
        <v>151</v>
      </c>
      <c r="E281" s="69">
        <v>41598</v>
      </c>
      <c r="F281" s="61" t="s">
        <v>52</v>
      </c>
      <c r="G281" s="460" t="s">
        <v>158</v>
      </c>
      <c r="H281" s="216" t="s">
        <v>90</v>
      </c>
      <c r="I281" s="56" t="s">
        <v>160</v>
      </c>
      <c r="J281" s="15">
        <v>17000</v>
      </c>
      <c r="K281" s="15">
        <v>0</v>
      </c>
      <c r="L281" s="15">
        <v>0</v>
      </c>
      <c r="M281" s="15">
        <v>17890</v>
      </c>
      <c r="N281" s="15">
        <v>304130000</v>
      </c>
      <c r="O281" s="15" t="str">
        <f>IF(AND(A281='BANG KE NL'!$M$11,TH!C281="NL",LEFT(D281,1)="N"),"x","")</f>
        <v/>
      </c>
    </row>
    <row r="282" spans="1:15" hidden="1">
      <c r="A282" s="24">
        <f t="shared" si="7"/>
        <v>12</v>
      </c>
      <c r="B282" s="188" t="str">
        <f>IF(AND(MONTH(E282)='IN-NX'!$J$5,'IN-NX'!$D$7=(D282&amp;"/"&amp;C282)),"x","")</f>
        <v/>
      </c>
      <c r="C282" s="185" t="s">
        <v>155</v>
      </c>
      <c r="D282" s="185" t="s">
        <v>143</v>
      </c>
      <c r="E282" s="69">
        <v>41609</v>
      </c>
      <c r="F282" s="61" t="s">
        <v>52</v>
      </c>
      <c r="G282" s="19" t="s">
        <v>411</v>
      </c>
      <c r="H282" s="216" t="s">
        <v>160</v>
      </c>
      <c r="I282" s="56" t="s">
        <v>93</v>
      </c>
      <c r="J282" s="15">
        <v>18000</v>
      </c>
      <c r="K282" s="15">
        <v>5986</v>
      </c>
      <c r="L282" s="15">
        <v>107748000</v>
      </c>
      <c r="M282" s="15">
        <v>0</v>
      </c>
      <c r="N282" s="15">
        <v>0</v>
      </c>
      <c r="O282" s="15" t="str">
        <f>IF(AND(A282='BANG KE NL'!$M$11,TH!C282="NL",LEFT(D282,1)="N"),"x","")</f>
        <v>x</v>
      </c>
    </row>
    <row r="283" spans="1:15" hidden="1">
      <c r="A283" s="24">
        <f t="shared" si="7"/>
        <v>12</v>
      </c>
      <c r="B283" s="188" t="str">
        <f>IF(AND(MONTH(E283)='IN-NX'!$J$5,'IN-NX'!$D$7=(D283&amp;"/"&amp;C283)),"x","")</f>
        <v/>
      </c>
      <c r="C283" s="185" t="s">
        <v>155</v>
      </c>
      <c r="D283" s="185" t="s">
        <v>144</v>
      </c>
      <c r="E283" s="69">
        <v>41609</v>
      </c>
      <c r="F283" s="61" t="s">
        <v>52</v>
      </c>
      <c r="G283" s="19" t="s">
        <v>137</v>
      </c>
      <c r="H283" s="216" t="s">
        <v>160</v>
      </c>
      <c r="I283" s="56" t="s">
        <v>93</v>
      </c>
      <c r="J283" s="15">
        <v>18000</v>
      </c>
      <c r="K283" s="15">
        <v>5213</v>
      </c>
      <c r="L283" s="15">
        <v>93834000</v>
      </c>
      <c r="M283" s="15">
        <v>0</v>
      </c>
      <c r="N283" s="15">
        <v>0</v>
      </c>
      <c r="O283" s="15" t="str">
        <f>IF(AND(A283='BANG KE NL'!$M$11,TH!C283="NL",LEFT(D283,1)="N"),"x","")</f>
        <v>x</v>
      </c>
    </row>
    <row r="284" spans="1:15" hidden="1">
      <c r="A284" s="24">
        <f t="shared" si="7"/>
        <v>12</v>
      </c>
      <c r="B284" s="188" t="str">
        <f>IF(AND(MONTH(E284)='IN-NX'!$J$5,'IN-NX'!$D$7=(D284&amp;"/"&amp;C284)),"x","")</f>
        <v/>
      </c>
      <c r="C284" s="185" t="s">
        <v>155</v>
      </c>
      <c r="D284" s="185" t="s">
        <v>146</v>
      </c>
      <c r="E284" s="69">
        <v>41609</v>
      </c>
      <c r="F284" s="61" t="s">
        <v>52</v>
      </c>
      <c r="G284" s="19" t="s">
        <v>429</v>
      </c>
      <c r="H284" s="216" t="s">
        <v>160</v>
      </c>
      <c r="I284" s="56" t="s">
        <v>93</v>
      </c>
      <c r="J284" s="15">
        <v>18000</v>
      </c>
      <c r="K284" s="15">
        <v>4787</v>
      </c>
      <c r="L284" s="15">
        <v>86166000</v>
      </c>
      <c r="M284" s="15">
        <v>0</v>
      </c>
      <c r="N284" s="15">
        <v>0</v>
      </c>
      <c r="O284" s="15" t="str">
        <f>IF(AND(A284='BANG KE NL'!$M$11,TH!C284="NL",LEFT(D284,1)="N"),"x","")</f>
        <v>x</v>
      </c>
    </row>
    <row r="285" spans="1:15" hidden="1">
      <c r="A285" s="24">
        <f t="shared" si="7"/>
        <v>12</v>
      </c>
      <c r="B285" s="188" t="str">
        <f>IF(AND(MONTH(E285)='IN-NX'!$J$5,'IN-NX'!$D$7=(D285&amp;"/"&amp;C285)),"x","")</f>
        <v/>
      </c>
      <c r="C285" s="185" t="s">
        <v>155</v>
      </c>
      <c r="D285" s="185" t="s">
        <v>147</v>
      </c>
      <c r="E285" s="69">
        <v>41609</v>
      </c>
      <c r="F285" s="61" t="s">
        <v>52</v>
      </c>
      <c r="G285" s="19" t="s">
        <v>413</v>
      </c>
      <c r="H285" s="216" t="s">
        <v>160</v>
      </c>
      <c r="I285" s="56" t="s">
        <v>93</v>
      </c>
      <c r="J285" s="15">
        <v>18000</v>
      </c>
      <c r="K285" s="15">
        <v>5492</v>
      </c>
      <c r="L285" s="15">
        <v>98856000</v>
      </c>
      <c r="M285" s="15">
        <v>0</v>
      </c>
      <c r="N285" s="15">
        <v>0</v>
      </c>
      <c r="O285" s="15" t="str">
        <f>IF(AND(A285='BANG KE NL'!$M$11,TH!C285="NL",LEFT(D285,1)="N"),"x","")</f>
        <v>x</v>
      </c>
    </row>
    <row r="286" spans="1:15" hidden="1">
      <c r="A286" s="24">
        <f t="shared" si="7"/>
        <v>12</v>
      </c>
      <c r="B286" s="188" t="str">
        <f>IF(AND(MONTH(E286)='IN-NX'!$J$5,'IN-NX'!$D$7=(D286&amp;"/"&amp;C286)),"x","")</f>
        <v/>
      </c>
      <c r="C286" s="185" t="s">
        <v>155</v>
      </c>
      <c r="D286" s="185" t="s">
        <v>149</v>
      </c>
      <c r="E286" s="69">
        <v>41609</v>
      </c>
      <c r="F286" s="61" t="s">
        <v>52</v>
      </c>
      <c r="G286" s="460" t="s">
        <v>158</v>
      </c>
      <c r="H286" s="216" t="s">
        <v>90</v>
      </c>
      <c r="I286" s="56" t="s">
        <v>160</v>
      </c>
      <c r="J286" s="15">
        <v>18000</v>
      </c>
      <c r="K286" s="15">
        <v>0</v>
      </c>
      <c r="L286" s="15">
        <v>0</v>
      </c>
      <c r="M286" s="15">
        <v>15986</v>
      </c>
      <c r="N286" s="15">
        <v>287748000</v>
      </c>
      <c r="O286" s="15" t="str">
        <f>IF(AND(A286='BANG KE NL'!$M$11,TH!C286="NL",LEFT(D286,1)="N"),"x","")</f>
        <v/>
      </c>
    </row>
    <row r="287" spans="1:15" hidden="1">
      <c r="A287" s="24">
        <f t="shared" si="7"/>
        <v>12</v>
      </c>
      <c r="B287" s="188" t="str">
        <f>IF(AND(MONTH(E287)='IN-NX'!$J$5,'IN-NX'!$D$7=(D287&amp;"/"&amp;C287)),"x","")</f>
        <v/>
      </c>
      <c r="C287" s="185" t="s">
        <v>155</v>
      </c>
      <c r="D287" s="185" t="s">
        <v>171</v>
      </c>
      <c r="E287" s="69">
        <v>41611</v>
      </c>
      <c r="F287" s="61" t="s">
        <v>52</v>
      </c>
      <c r="G287" s="19" t="s">
        <v>412</v>
      </c>
      <c r="H287" s="216" t="s">
        <v>160</v>
      </c>
      <c r="I287" s="56" t="s">
        <v>93</v>
      </c>
      <c r="J287" s="15">
        <v>18000</v>
      </c>
      <c r="K287" s="15">
        <v>4931</v>
      </c>
      <c r="L287" s="15">
        <v>88758000</v>
      </c>
      <c r="M287" s="15">
        <v>0</v>
      </c>
      <c r="N287" s="15">
        <v>0</v>
      </c>
      <c r="O287" s="15" t="str">
        <f>IF(AND(A287='BANG KE NL'!$M$11,TH!C287="NL",LEFT(D287,1)="N"),"x","")</f>
        <v>x</v>
      </c>
    </row>
    <row r="288" spans="1:15" hidden="1">
      <c r="A288" s="24">
        <f t="shared" si="7"/>
        <v>12</v>
      </c>
      <c r="B288" s="188" t="str">
        <f>IF(AND(MONTH(E288)='IN-NX'!$J$5,'IN-NX'!$D$7=(D288&amp;"/"&amp;C288)),"x","")</f>
        <v/>
      </c>
      <c r="C288" s="185" t="s">
        <v>155</v>
      </c>
      <c r="D288" s="185" t="s">
        <v>172</v>
      </c>
      <c r="E288" s="69">
        <v>41611</v>
      </c>
      <c r="F288" s="61" t="s">
        <v>52</v>
      </c>
      <c r="G288" s="19" t="s">
        <v>319</v>
      </c>
      <c r="H288" s="216" t="s">
        <v>160</v>
      </c>
      <c r="I288" s="56" t="s">
        <v>93</v>
      </c>
      <c r="J288" s="15">
        <v>18000</v>
      </c>
      <c r="K288" s="15">
        <v>4831</v>
      </c>
      <c r="L288" s="15">
        <v>86958000</v>
      </c>
      <c r="M288" s="15">
        <v>0</v>
      </c>
      <c r="N288" s="15">
        <v>0</v>
      </c>
      <c r="O288" s="15" t="str">
        <f>IF(AND(A288='BANG KE NL'!$M$11,TH!C288="NL",LEFT(D288,1)="N"),"x","")</f>
        <v>x</v>
      </c>
    </row>
    <row r="289" spans="1:15" hidden="1">
      <c r="A289" s="24">
        <f t="shared" si="7"/>
        <v>12</v>
      </c>
      <c r="B289" s="188" t="str">
        <f>IF(AND(MONTH(E289)='IN-NX'!$J$5,'IN-NX'!$D$7=(D289&amp;"/"&amp;C289)),"x","")</f>
        <v/>
      </c>
      <c r="C289" s="185" t="s">
        <v>155</v>
      </c>
      <c r="D289" s="185" t="s">
        <v>173</v>
      </c>
      <c r="E289" s="69">
        <v>41611</v>
      </c>
      <c r="F289" s="61" t="s">
        <v>52</v>
      </c>
      <c r="G289" s="19" t="s">
        <v>318</v>
      </c>
      <c r="H289" s="216" t="s">
        <v>160</v>
      </c>
      <c r="I289" s="56" t="s">
        <v>93</v>
      </c>
      <c r="J289" s="15">
        <v>18000</v>
      </c>
      <c r="K289" s="15">
        <v>4639</v>
      </c>
      <c r="L289" s="15">
        <v>83502000</v>
      </c>
      <c r="M289" s="15">
        <v>0</v>
      </c>
      <c r="N289" s="15">
        <v>0</v>
      </c>
      <c r="O289" s="15" t="str">
        <f>IF(AND(A289='BANG KE NL'!$M$11,TH!C289="NL",LEFT(D289,1)="N"),"x","")</f>
        <v>x</v>
      </c>
    </row>
    <row r="290" spans="1:15" hidden="1">
      <c r="A290" s="24">
        <f t="shared" si="7"/>
        <v>12</v>
      </c>
      <c r="B290" s="188" t="str">
        <f>IF(AND(MONTH(E290)='IN-NX'!$J$5,'IN-NX'!$D$7=(D290&amp;"/"&amp;C290)),"x","")</f>
        <v/>
      </c>
      <c r="C290" s="185" t="s">
        <v>155</v>
      </c>
      <c r="D290" s="185" t="s">
        <v>174</v>
      </c>
      <c r="E290" s="69">
        <v>41611</v>
      </c>
      <c r="F290" s="61" t="s">
        <v>52</v>
      </c>
      <c r="G290" s="19" t="s">
        <v>138</v>
      </c>
      <c r="H290" s="216" t="s">
        <v>160</v>
      </c>
      <c r="I290" s="56" t="s">
        <v>93</v>
      </c>
      <c r="J290" s="15">
        <v>18000</v>
      </c>
      <c r="K290" s="15">
        <v>4731</v>
      </c>
      <c r="L290" s="15">
        <v>85158000</v>
      </c>
      <c r="M290" s="15">
        <v>0</v>
      </c>
      <c r="N290" s="15">
        <v>0</v>
      </c>
      <c r="O290" s="15" t="str">
        <f>IF(AND(A290='BANG KE NL'!$M$11,TH!C290="NL",LEFT(D290,1)="N"),"x","")</f>
        <v>x</v>
      </c>
    </row>
    <row r="291" spans="1:15" hidden="1">
      <c r="A291" s="24">
        <f t="shared" si="7"/>
        <v>12</v>
      </c>
      <c r="B291" s="188" t="str">
        <f>IF(AND(MONTH(E291)='IN-NX'!$J$5,'IN-NX'!$D$7=(D291&amp;"/"&amp;C291)),"x","")</f>
        <v/>
      </c>
      <c r="C291" s="185" t="s">
        <v>155</v>
      </c>
      <c r="D291" s="185" t="s">
        <v>151</v>
      </c>
      <c r="E291" s="69">
        <v>41611</v>
      </c>
      <c r="F291" s="61" t="s">
        <v>52</v>
      </c>
      <c r="G291" s="460" t="s">
        <v>158</v>
      </c>
      <c r="H291" s="216" t="s">
        <v>90</v>
      </c>
      <c r="I291" s="56" t="s">
        <v>160</v>
      </c>
      <c r="J291" s="15">
        <v>18000</v>
      </c>
      <c r="K291" s="15">
        <v>0</v>
      </c>
      <c r="L291" s="15">
        <v>0</v>
      </c>
      <c r="M291" s="15">
        <v>15254</v>
      </c>
      <c r="N291" s="15">
        <v>274572000</v>
      </c>
      <c r="O291" s="15" t="str">
        <f>IF(AND(A291='BANG KE NL'!$M$11,TH!C291="NL",LEFT(D291,1)="N"),"x","")</f>
        <v/>
      </c>
    </row>
    <row r="292" spans="1:15" hidden="1">
      <c r="A292" s="24">
        <f t="shared" si="7"/>
        <v>12</v>
      </c>
      <c r="B292" s="188" t="str">
        <f>IF(AND(MONTH(E292)='IN-NX'!$J$5,'IN-NX'!$D$7=(D292&amp;"/"&amp;C292)),"x","")</f>
        <v/>
      </c>
      <c r="C292" s="185" t="s">
        <v>155</v>
      </c>
      <c r="D292" s="185" t="s">
        <v>152</v>
      </c>
      <c r="E292" s="69">
        <v>41612</v>
      </c>
      <c r="F292" s="61" t="s">
        <v>52</v>
      </c>
      <c r="G292" s="460" t="s">
        <v>158</v>
      </c>
      <c r="H292" s="216" t="s">
        <v>90</v>
      </c>
      <c r="I292" s="56" t="s">
        <v>160</v>
      </c>
      <c r="J292" s="15">
        <v>18000</v>
      </c>
      <c r="K292" s="15">
        <v>0</v>
      </c>
      <c r="L292" s="15">
        <v>0</v>
      </c>
      <c r="M292" s="15">
        <v>9370</v>
      </c>
      <c r="N292" s="15">
        <v>168660000</v>
      </c>
      <c r="O292" s="15" t="str">
        <f>IF(AND(A292='BANG KE NL'!$M$11,TH!C292="NL",LEFT(D292,1)="N"),"x","")</f>
        <v/>
      </c>
    </row>
    <row r="293" spans="1:15" hidden="1">
      <c r="A293" s="24">
        <f t="shared" si="7"/>
        <v>1</v>
      </c>
      <c r="B293" s="188" t="str">
        <f>IF(AND(MONTH(E293)='IN-NX'!$J$5,'IN-NX'!$D$7=(D293&amp;"/"&amp;C293)),"x","")</f>
        <v/>
      </c>
      <c r="C293" s="185" t="s">
        <v>155</v>
      </c>
      <c r="D293" s="185" t="s">
        <v>164</v>
      </c>
      <c r="E293" s="69">
        <v>41278</v>
      </c>
      <c r="F293" s="61" t="s">
        <v>39</v>
      </c>
      <c r="G293" s="19" t="s">
        <v>408</v>
      </c>
      <c r="H293" s="216" t="s">
        <v>160</v>
      </c>
      <c r="I293" s="56" t="s">
        <v>93</v>
      </c>
      <c r="J293" s="15">
        <v>27000</v>
      </c>
      <c r="K293" s="15">
        <v>500</v>
      </c>
      <c r="L293" s="15">
        <v>13500000</v>
      </c>
      <c r="M293" s="15">
        <v>0</v>
      </c>
      <c r="N293" s="15">
        <v>0</v>
      </c>
      <c r="O293" s="15" t="str">
        <f>IF(AND(A293='BANG KE NL'!$M$11,TH!C293="NL",LEFT(D293,1)="N"),"x","")</f>
        <v/>
      </c>
    </row>
    <row r="294" spans="1:15" hidden="1">
      <c r="A294" s="24">
        <f t="shared" si="7"/>
        <v>1</v>
      </c>
      <c r="B294" s="188" t="str">
        <f>IF(AND(MONTH(E294)='IN-NX'!$J$5,'IN-NX'!$D$7=(D294&amp;"/"&amp;C294)),"x","")</f>
        <v/>
      </c>
      <c r="C294" s="185" t="s">
        <v>155</v>
      </c>
      <c r="D294" s="185" t="s">
        <v>151</v>
      </c>
      <c r="E294" s="69">
        <v>41278</v>
      </c>
      <c r="F294" s="61" t="s">
        <v>39</v>
      </c>
      <c r="G294" s="460" t="s">
        <v>158</v>
      </c>
      <c r="H294" s="216" t="s">
        <v>90</v>
      </c>
      <c r="I294" s="56" t="s">
        <v>160</v>
      </c>
      <c r="J294" s="15">
        <v>27000</v>
      </c>
      <c r="K294" s="15">
        <v>0</v>
      </c>
      <c r="L294" s="15">
        <v>0</v>
      </c>
      <c r="M294" s="15">
        <v>500</v>
      </c>
      <c r="N294" s="15">
        <v>13500000</v>
      </c>
      <c r="O294" s="15" t="str">
        <f>IF(AND(A294='BANG KE NL'!$M$11,TH!C294="NL",LEFT(D294,1)="N"),"x","")</f>
        <v/>
      </c>
    </row>
    <row r="295" spans="1:15" hidden="1">
      <c r="A295" s="24">
        <f t="shared" si="7"/>
        <v>3</v>
      </c>
      <c r="B295" s="188" t="str">
        <f>IF(AND(MONTH(E295)='IN-NX'!$J$5,'IN-NX'!$D$7=(D295&amp;"/"&amp;C295)),"x","")</f>
        <v/>
      </c>
      <c r="C295" s="185" t="s">
        <v>155</v>
      </c>
      <c r="D295" s="185" t="s">
        <v>164</v>
      </c>
      <c r="E295" s="69">
        <v>41343</v>
      </c>
      <c r="F295" s="61" t="s">
        <v>39</v>
      </c>
      <c r="G295" s="19" t="s">
        <v>408</v>
      </c>
      <c r="H295" s="216" t="s">
        <v>160</v>
      </c>
      <c r="I295" s="56" t="s">
        <v>93</v>
      </c>
      <c r="J295" s="15">
        <v>27000</v>
      </c>
      <c r="K295" s="15">
        <v>5480</v>
      </c>
      <c r="L295" s="15">
        <v>147960000</v>
      </c>
      <c r="M295" s="15">
        <v>0</v>
      </c>
      <c r="N295" s="15">
        <v>0</v>
      </c>
      <c r="O295" s="15" t="str">
        <f>IF(AND(A295='BANG KE NL'!$M$11,TH!C295="NL",LEFT(D295,1)="N"),"x","")</f>
        <v/>
      </c>
    </row>
    <row r="296" spans="1:15" hidden="1">
      <c r="A296" s="24">
        <f t="shared" si="7"/>
        <v>3</v>
      </c>
      <c r="B296" s="188" t="str">
        <f>IF(AND(MONTH(E296)='IN-NX'!$J$5,'IN-NX'!$D$7=(D296&amp;"/"&amp;C296)),"x","")</f>
        <v/>
      </c>
      <c r="C296" s="185" t="s">
        <v>155</v>
      </c>
      <c r="D296" s="185" t="s">
        <v>165</v>
      </c>
      <c r="E296" s="69">
        <v>41343</v>
      </c>
      <c r="F296" s="61" t="s">
        <v>39</v>
      </c>
      <c r="G296" s="19" t="s">
        <v>128</v>
      </c>
      <c r="H296" s="216" t="s">
        <v>160</v>
      </c>
      <c r="I296" s="56" t="s">
        <v>93</v>
      </c>
      <c r="J296" s="15">
        <v>27000</v>
      </c>
      <c r="K296" s="15">
        <v>5339</v>
      </c>
      <c r="L296" s="15">
        <v>144153000</v>
      </c>
      <c r="M296" s="15">
        <v>0</v>
      </c>
      <c r="N296" s="15">
        <v>0</v>
      </c>
      <c r="O296" s="15" t="str">
        <f>IF(AND(A296='BANG KE NL'!$M$11,TH!C296="NL",LEFT(D296,1)="N"),"x","")</f>
        <v/>
      </c>
    </row>
    <row r="297" spans="1:15" hidden="1">
      <c r="A297" s="24">
        <f t="shared" si="7"/>
        <v>3</v>
      </c>
      <c r="B297" s="188" t="str">
        <f>IF(AND(MONTH(E297)='IN-NX'!$J$5,'IN-NX'!$D$7=(D297&amp;"/"&amp;C297)),"x","")</f>
        <v/>
      </c>
      <c r="C297" s="185" t="s">
        <v>155</v>
      </c>
      <c r="D297" s="185" t="s">
        <v>166</v>
      </c>
      <c r="E297" s="69">
        <v>41343</v>
      </c>
      <c r="F297" s="61" t="s">
        <v>39</v>
      </c>
      <c r="G297" s="19" t="s">
        <v>309</v>
      </c>
      <c r="H297" s="216" t="s">
        <v>160</v>
      </c>
      <c r="I297" s="56" t="s">
        <v>93</v>
      </c>
      <c r="J297" s="15">
        <v>27000</v>
      </c>
      <c r="K297" s="15">
        <v>4870</v>
      </c>
      <c r="L297" s="15">
        <v>131490000</v>
      </c>
      <c r="M297" s="15">
        <v>0</v>
      </c>
      <c r="N297" s="15">
        <v>0</v>
      </c>
      <c r="O297" s="15" t="str">
        <f>IF(AND(A297='BANG KE NL'!$M$11,TH!C297="NL",LEFT(D297,1)="N"),"x","")</f>
        <v/>
      </c>
    </row>
    <row r="298" spans="1:15" hidden="1">
      <c r="A298" s="24">
        <f t="shared" si="7"/>
        <v>3</v>
      </c>
      <c r="B298" s="188" t="str">
        <f>IF(AND(MONTH(E298)='IN-NX'!$J$5,'IN-NX'!$D$7=(D298&amp;"/"&amp;C298)),"x","")</f>
        <v/>
      </c>
      <c r="C298" s="185" t="s">
        <v>155</v>
      </c>
      <c r="D298" s="185" t="s">
        <v>167</v>
      </c>
      <c r="E298" s="69">
        <v>41343</v>
      </c>
      <c r="F298" s="61" t="s">
        <v>39</v>
      </c>
      <c r="G298" s="19" t="s">
        <v>127</v>
      </c>
      <c r="H298" s="216" t="s">
        <v>160</v>
      </c>
      <c r="I298" s="56" t="s">
        <v>93</v>
      </c>
      <c r="J298" s="15">
        <v>27000</v>
      </c>
      <c r="K298" s="15">
        <v>5862</v>
      </c>
      <c r="L298" s="15">
        <v>158274000</v>
      </c>
      <c r="M298" s="15">
        <v>0</v>
      </c>
      <c r="N298" s="15">
        <v>0</v>
      </c>
      <c r="O298" s="15" t="str">
        <f>IF(AND(A298='BANG KE NL'!$M$11,TH!C298="NL",LEFT(D298,1)="N"),"x","")</f>
        <v/>
      </c>
    </row>
    <row r="299" spans="1:15" hidden="1">
      <c r="A299" s="24">
        <f t="shared" si="7"/>
        <v>3</v>
      </c>
      <c r="B299" s="188" t="str">
        <f>IF(AND(MONTH(E299)='IN-NX'!$J$5,'IN-NX'!$D$7=(D299&amp;"/"&amp;C299)),"x","")</f>
        <v/>
      </c>
      <c r="C299" s="185" t="s">
        <v>155</v>
      </c>
      <c r="D299" s="185" t="s">
        <v>168</v>
      </c>
      <c r="E299" s="69">
        <v>41343</v>
      </c>
      <c r="F299" s="61" t="s">
        <v>39</v>
      </c>
      <c r="G299" s="19" t="s">
        <v>409</v>
      </c>
      <c r="H299" s="216" t="s">
        <v>160</v>
      </c>
      <c r="I299" s="56" t="s">
        <v>93</v>
      </c>
      <c r="J299" s="15">
        <v>27000</v>
      </c>
      <c r="K299" s="15">
        <v>5991</v>
      </c>
      <c r="L299" s="15">
        <v>161757000</v>
      </c>
      <c r="M299" s="15">
        <v>0</v>
      </c>
      <c r="N299" s="15">
        <v>0</v>
      </c>
      <c r="O299" s="15" t="str">
        <f>IF(AND(A299='BANG KE NL'!$M$11,TH!C299="NL",LEFT(D299,1)="N"),"x","")</f>
        <v/>
      </c>
    </row>
    <row r="300" spans="1:15" hidden="1">
      <c r="A300" s="24">
        <f t="shared" si="7"/>
        <v>3</v>
      </c>
      <c r="B300" s="188" t="str">
        <f>IF(AND(MONTH(E300)='IN-NX'!$J$5,'IN-NX'!$D$7=(D300&amp;"/"&amp;C300)),"x","")</f>
        <v/>
      </c>
      <c r="C300" s="185" t="s">
        <v>155</v>
      </c>
      <c r="D300" s="185" t="s">
        <v>169</v>
      </c>
      <c r="E300" s="69">
        <v>41344</v>
      </c>
      <c r="F300" s="61" t="s">
        <v>39</v>
      </c>
      <c r="G300" s="19" t="s">
        <v>308</v>
      </c>
      <c r="H300" s="216" t="s">
        <v>160</v>
      </c>
      <c r="I300" s="56" t="s">
        <v>93</v>
      </c>
      <c r="J300" s="15">
        <v>27000</v>
      </c>
      <c r="K300" s="15">
        <v>5780</v>
      </c>
      <c r="L300" s="15">
        <v>156060000</v>
      </c>
      <c r="M300" s="15">
        <v>0</v>
      </c>
      <c r="N300" s="15">
        <v>0</v>
      </c>
      <c r="O300" s="15" t="str">
        <f>IF(AND(A300='BANG KE NL'!$M$11,TH!C300="NL",LEFT(D300,1)="N"),"x","")</f>
        <v/>
      </c>
    </row>
    <row r="301" spans="1:15" hidden="1">
      <c r="A301" s="24">
        <f t="shared" si="7"/>
        <v>3</v>
      </c>
      <c r="B301" s="188" t="str">
        <f>IF(AND(MONTH(E301)='IN-NX'!$J$5,'IN-NX'!$D$7=(D301&amp;"/"&amp;C301)),"x","")</f>
        <v/>
      </c>
      <c r="C301" s="185" t="s">
        <v>155</v>
      </c>
      <c r="D301" s="185" t="s">
        <v>170</v>
      </c>
      <c r="E301" s="69">
        <v>41344</v>
      </c>
      <c r="F301" s="61" t="s">
        <v>39</v>
      </c>
      <c r="G301" s="19" t="s">
        <v>130</v>
      </c>
      <c r="H301" s="216" t="s">
        <v>160</v>
      </c>
      <c r="I301" s="56" t="s">
        <v>93</v>
      </c>
      <c r="J301" s="15">
        <v>27000</v>
      </c>
      <c r="K301" s="15">
        <v>4856</v>
      </c>
      <c r="L301" s="15">
        <v>131112000</v>
      </c>
      <c r="M301" s="15">
        <v>0</v>
      </c>
      <c r="N301" s="15">
        <v>0</v>
      </c>
      <c r="O301" s="15" t="str">
        <f>IF(AND(A301='BANG KE NL'!$M$11,TH!C301="NL",LEFT(D301,1)="N"),"x","")</f>
        <v/>
      </c>
    </row>
    <row r="302" spans="1:15" hidden="1">
      <c r="A302" s="24">
        <f t="shared" si="7"/>
        <v>3</v>
      </c>
      <c r="B302" s="188" t="str">
        <f>IF(AND(MONTH(E302)='IN-NX'!$J$5,'IN-NX'!$D$7=(D302&amp;"/"&amp;C302)),"x","")</f>
        <v/>
      </c>
      <c r="C302" s="185" t="s">
        <v>155</v>
      </c>
      <c r="D302" s="185" t="s">
        <v>171</v>
      </c>
      <c r="E302" s="69">
        <v>41344</v>
      </c>
      <c r="F302" s="61" t="s">
        <v>39</v>
      </c>
      <c r="G302" s="19" t="s">
        <v>132</v>
      </c>
      <c r="H302" s="216" t="s">
        <v>160</v>
      </c>
      <c r="I302" s="56" t="s">
        <v>93</v>
      </c>
      <c r="J302" s="15">
        <v>27000</v>
      </c>
      <c r="K302" s="15">
        <v>5991</v>
      </c>
      <c r="L302" s="15">
        <v>161757000</v>
      </c>
      <c r="M302" s="15">
        <v>0</v>
      </c>
      <c r="N302" s="15">
        <v>0</v>
      </c>
      <c r="O302" s="15" t="str">
        <f>IF(AND(A302='BANG KE NL'!$M$11,TH!C302="NL",LEFT(D302,1)="N"),"x","")</f>
        <v/>
      </c>
    </row>
    <row r="303" spans="1:15" hidden="1">
      <c r="A303" s="24">
        <f t="shared" si="7"/>
        <v>3</v>
      </c>
      <c r="B303" s="188" t="str">
        <f>IF(AND(MONTH(E303)='IN-NX'!$J$5,'IN-NX'!$D$7=(D303&amp;"/"&amp;C303)),"x","")</f>
        <v/>
      </c>
      <c r="C303" s="185" t="s">
        <v>155</v>
      </c>
      <c r="D303" s="185" t="s">
        <v>172</v>
      </c>
      <c r="E303" s="69">
        <v>41344</v>
      </c>
      <c r="F303" s="61" t="s">
        <v>39</v>
      </c>
      <c r="G303" s="19" t="s">
        <v>131</v>
      </c>
      <c r="H303" s="216" t="s">
        <v>160</v>
      </c>
      <c r="I303" s="56" t="s">
        <v>93</v>
      </c>
      <c r="J303" s="15">
        <v>27000</v>
      </c>
      <c r="K303" s="15">
        <v>5831</v>
      </c>
      <c r="L303" s="15">
        <v>157437000</v>
      </c>
      <c r="M303" s="15">
        <v>0</v>
      </c>
      <c r="N303" s="15">
        <v>0</v>
      </c>
      <c r="O303" s="15" t="str">
        <f>IF(AND(A303='BANG KE NL'!$M$11,TH!C303="NL",LEFT(D303,1)="N"),"x","")</f>
        <v/>
      </c>
    </row>
    <row r="304" spans="1:15" hidden="1">
      <c r="A304" s="24">
        <f t="shared" si="7"/>
        <v>3</v>
      </c>
      <c r="B304" s="188" t="str">
        <f>IF(AND(MONTH(E304)='IN-NX'!$J$5,'IN-NX'!$D$7=(D304&amp;"/"&amp;C304)),"x","")</f>
        <v/>
      </c>
      <c r="C304" s="185" t="s">
        <v>155</v>
      </c>
      <c r="D304" s="185" t="s">
        <v>152</v>
      </c>
      <c r="E304" s="69">
        <v>41344</v>
      </c>
      <c r="F304" s="61" t="s">
        <v>39</v>
      </c>
      <c r="G304" s="460" t="s">
        <v>158</v>
      </c>
      <c r="H304" s="216" t="s">
        <v>90</v>
      </c>
      <c r="I304" s="56" t="s">
        <v>160</v>
      </c>
      <c r="J304" s="15">
        <v>27000</v>
      </c>
      <c r="K304" s="15">
        <v>0</v>
      </c>
      <c r="L304" s="15">
        <v>0</v>
      </c>
      <c r="M304" s="15">
        <v>15689</v>
      </c>
      <c r="N304" s="15">
        <v>423603000</v>
      </c>
      <c r="O304" s="15" t="str">
        <f>IF(AND(A304='BANG KE NL'!$M$11,TH!C304="NL",LEFT(D304,1)="N"),"x","")</f>
        <v/>
      </c>
    </row>
    <row r="305" spans="1:15" hidden="1">
      <c r="A305" s="24">
        <f t="shared" si="7"/>
        <v>3</v>
      </c>
      <c r="B305" s="188" t="str">
        <f>IF(AND(MONTH(E305)='IN-NX'!$J$5,'IN-NX'!$D$7=(D305&amp;"/"&amp;C305)),"x","")</f>
        <v/>
      </c>
      <c r="C305" s="185" t="s">
        <v>155</v>
      </c>
      <c r="D305" s="24" t="s">
        <v>197</v>
      </c>
      <c r="E305" s="69">
        <v>41346</v>
      </c>
      <c r="F305" s="61" t="s">
        <v>39</v>
      </c>
      <c r="G305" s="460" t="s">
        <v>158</v>
      </c>
      <c r="H305" s="216" t="s">
        <v>90</v>
      </c>
      <c r="I305" s="56" t="s">
        <v>160</v>
      </c>
      <c r="J305" s="15">
        <v>27000</v>
      </c>
      <c r="K305" s="15">
        <v>0</v>
      </c>
      <c r="L305" s="15">
        <v>0</v>
      </c>
      <c r="M305" s="15">
        <v>17633</v>
      </c>
      <c r="N305" s="15">
        <v>476091000</v>
      </c>
      <c r="O305" s="15" t="str">
        <f>IF(AND(A305='BANG KE NL'!$M$11,TH!C305="NL",LEFT(D305,1)="N"),"x","")</f>
        <v/>
      </c>
    </row>
    <row r="306" spans="1:15" hidden="1">
      <c r="A306" s="24">
        <f t="shared" si="7"/>
        <v>3</v>
      </c>
      <c r="B306" s="188" t="str">
        <f>IF(AND(MONTH(E306)='IN-NX'!$J$5,'IN-NX'!$D$7=(D306&amp;"/"&amp;C306)),"x","")</f>
        <v/>
      </c>
      <c r="C306" s="185" t="s">
        <v>155</v>
      </c>
      <c r="D306" s="24" t="s">
        <v>198</v>
      </c>
      <c r="E306" s="69">
        <v>41347</v>
      </c>
      <c r="F306" s="61" t="s">
        <v>39</v>
      </c>
      <c r="G306" s="460" t="s">
        <v>158</v>
      </c>
      <c r="H306" s="216" t="s">
        <v>90</v>
      </c>
      <c r="I306" s="56" t="s">
        <v>160</v>
      </c>
      <c r="J306" s="15">
        <v>27000</v>
      </c>
      <c r="K306" s="15">
        <v>0</v>
      </c>
      <c r="L306" s="15">
        <v>0</v>
      </c>
      <c r="M306" s="15">
        <v>16678</v>
      </c>
      <c r="N306" s="15">
        <v>450306000</v>
      </c>
      <c r="O306" s="15" t="str">
        <f>IF(AND(A306='BANG KE NL'!$M$11,TH!C306="NL",LEFT(D306,1)="N"),"x","")</f>
        <v/>
      </c>
    </row>
    <row r="307" spans="1:15" hidden="1">
      <c r="A307" s="24">
        <f t="shared" si="7"/>
        <v>4</v>
      </c>
      <c r="B307" s="188" t="str">
        <f>IF(AND(MONTH(E307)='IN-NX'!$J$5,'IN-NX'!$D$7=(D307&amp;"/"&amp;C307)),"x","")</f>
        <v/>
      </c>
      <c r="C307" s="185" t="s">
        <v>155</v>
      </c>
      <c r="D307" s="185" t="s">
        <v>143</v>
      </c>
      <c r="E307" s="69">
        <v>41366</v>
      </c>
      <c r="F307" s="61" t="s">
        <v>39</v>
      </c>
      <c r="G307" s="19" t="s">
        <v>408</v>
      </c>
      <c r="H307" s="216" t="s">
        <v>160</v>
      </c>
      <c r="I307" s="56" t="s">
        <v>93</v>
      </c>
      <c r="J307" s="15">
        <v>28000</v>
      </c>
      <c r="K307" s="15">
        <v>5895</v>
      </c>
      <c r="L307" s="15">
        <v>165060000</v>
      </c>
      <c r="M307" s="15">
        <v>0</v>
      </c>
      <c r="N307" s="15">
        <v>0</v>
      </c>
      <c r="O307" s="15" t="str">
        <f>IF(AND(A307='BANG KE NL'!$M$11,TH!C307="NL",LEFT(D307,1)="N"),"x","")</f>
        <v/>
      </c>
    </row>
    <row r="308" spans="1:15" hidden="1">
      <c r="A308" s="24">
        <f t="shared" si="7"/>
        <v>4</v>
      </c>
      <c r="B308" s="188" t="str">
        <f>IF(AND(MONTH(E308)='IN-NX'!$J$5,'IN-NX'!$D$7=(D308&amp;"/"&amp;C308)),"x","")</f>
        <v/>
      </c>
      <c r="C308" s="185" t="s">
        <v>155</v>
      </c>
      <c r="D308" s="185" t="s">
        <v>144</v>
      </c>
      <c r="E308" s="69">
        <v>41366</v>
      </c>
      <c r="F308" s="61" t="s">
        <v>39</v>
      </c>
      <c r="G308" s="19" t="s">
        <v>309</v>
      </c>
      <c r="H308" s="216" t="s">
        <v>160</v>
      </c>
      <c r="I308" s="56" t="s">
        <v>93</v>
      </c>
      <c r="J308" s="15">
        <v>28000</v>
      </c>
      <c r="K308" s="15">
        <v>5487</v>
      </c>
      <c r="L308" s="15">
        <v>153636000</v>
      </c>
      <c r="M308" s="15">
        <v>0</v>
      </c>
      <c r="N308" s="15">
        <v>0</v>
      </c>
      <c r="O308" s="15" t="str">
        <f>IF(AND(A308='BANG KE NL'!$M$11,TH!C308="NL",LEFT(D308,1)="N"),"x","")</f>
        <v/>
      </c>
    </row>
    <row r="309" spans="1:15" hidden="1">
      <c r="A309" s="24">
        <f t="shared" si="7"/>
        <v>4</v>
      </c>
      <c r="B309" s="188" t="str">
        <f>IF(AND(MONTH(E309)='IN-NX'!$J$5,'IN-NX'!$D$7=(D309&amp;"/"&amp;C309)),"x","")</f>
        <v/>
      </c>
      <c r="C309" s="185" t="s">
        <v>155</v>
      </c>
      <c r="D309" s="185" t="s">
        <v>145</v>
      </c>
      <c r="E309" s="69">
        <v>41366</v>
      </c>
      <c r="F309" s="61" t="s">
        <v>39</v>
      </c>
      <c r="G309" s="19" t="s">
        <v>302</v>
      </c>
      <c r="H309" s="216" t="s">
        <v>160</v>
      </c>
      <c r="I309" s="56" t="s">
        <v>93</v>
      </c>
      <c r="J309" s="15">
        <v>28000</v>
      </c>
      <c r="K309" s="15">
        <v>5356</v>
      </c>
      <c r="L309" s="15">
        <v>149968000</v>
      </c>
      <c r="M309" s="15">
        <v>0</v>
      </c>
      <c r="N309" s="15">
        <v>0</v>
      </c>
      <c r="O309" s="15" t="str">
        <f>IF(AND(A309='BANG KE NL'!$M$11,TH!C309="NL",LEFT(D309,1)="N"),"x","")</f>
        <v/>
      </c>
    </row>
    <row r="310" spans="1:15" hidden="1">
      <c r="A310" s="24">
        <f t="shared" si="7"/>
        <v>4</v>
      </c>
      <c r="B310" s="188" t="str">
        <f>IF(AND(MONTH(E310)='IN-NX'!$J$5,'IN-NX'!$D$7=(D310&amp;"/"&amp;C310)),"x","")</f>
        <v/>
      </c>
      <c r="C310" s="185" t="s">
        <v>155</v>
      </c>
      <c r="D310" s="24" t="s">
        <v>146</v>
      </c>
      <c r="E310" s="69">
        <v>41366</v>
      </c>
      <c r="F310" s="61" t="s">
        <v>39</v>
      </c>
      <c r="G310" s="19" t="s">
        <v>128</v>
      </c>
      <c r="H310" s="216" t="s">
        <v>160</v>
      </c>
      <c r="I310" s="415" t="s">
        <v>93</v>
      </c>
      <c r="J310" s="15">
        <v>28000</v>
      </c>
      <c r="K310" s="15">
        <v>4751</v>
      </c>
      <c r="L310" s="15">
        <v>133028000</v>
      </c>
      <c r="M310" s="15">
        <v>0</v>
      </c>
      <c r="N310" s="15">
        <v>0</v>
      </c>
      <c r="O310" s="15" t="str">
        <f>IF(AND(A310='BANG KE NL'!$M$11,TH!C310="NL",LEFT(D310,1)="N"),"x","")</f>
        <v/>
      </c>
    </row>
    <row r="311" spans="1:15" hidden="1">
      <c r="A311" s="24">
        <f t="shared" si="7"/>
        <v>4</v>
      </c>
      <c r="B311" s="188" t="str">
        <f>IF(AND(MONTH(E311)='IN-NX'!$J$5,'IN-NX'!$D$7=(D311&amp;"/"&amp;C311)),"x","")</f>
        <v/>
      </c>
      <c r="C311" s="185" t="s">
        <v>155</v>
      </c>
      <c r="D311" s="24" t="s">
        <v>147</v>
      </c>
      <c r="E311" s="69">
        <v>41367</v>
      </c>
      <c r="F311" s="61" t="s">
        <v>39</v>
      </c>
      <c r="G311" s="19" t="s">
        <v>317</v>
      </c>
      <c r="H311" s="216" t="s">
        <v>160</v>
      </c>
      <c r="I311" s="415" t="s">
        <v>93</v>
      </c>
      <c r="J311" s="15">
        <v>28000</v>
      </c>
      <c r="K311" s="15">
        <v>5236</v>
      </c>
      <c r="L311" s="15">
        <v>146608000</v>
      </c>
      <c r="M311" s="15">
        <v>0</v>
      </c>
      <c r="N311" s="15">
        <v>0</v>
      </c>
      <c r="O311" s="15" t="str">
        <f>IF(AND(A311='BANG KE NL'!$M$11,TH!C311="NL",LEFT(D311,1)="N"),"x","")</f>
        <v/>
      </c>
    </row>
    <row r="312" spans="1:15" hidden="1">
      <c r="A312" s="24">
        <f t="shared" si="7"/>
        <v>4</v>
      </c>
      <c r="B312" s="188" t="str">
        <f>IF(AND(MONTH(E312)='IN-NX'!$J$5,'IN-NX'!$D$7=(D312&amp;"/"&amp;C312)),"x","")</f>
        <v/>
      </c>
      <c r="C312" s="185" t="s">
        <v>155</v>
      </c>
      <c r="D312" s="24" t="s">
        <v>148</v>
      </c>
      <c r="E312" s="69">
        <v>41367</v>
      </c>
      <c r="F312" s="61" t="s">
        <v>39</v>
      </c>
      <c r="G312" s="19" t="s">
        <v>409</v>
      </c>
      <c r="H312" s="216" t="s">
        <v>160</v>
      </c>
      <c r="I312" s="415" t="s">
        <v>93</v>
      </c>
      <c r="J312" s="15">
        <v>28000</v>
      </c>
      <c r="K312" s="15">
        <v>5741</v>
      </c>
      <c r="L312" s="15">
        <v>160748000</v>
      </c>
      <c r="M312" s="15">
        <v>0</v>
      </c>
      <c r="N312" s="15">
        <v>0</v>
      </c>
      <c r="O312" s="15" t="str">
        <f>IF(AND(A312='BANG KE NL'!$M$11,TH!C312="NL",LEFT(D312,1)="N"),"x","")</f>
        <v/>
      </c>
    </row>
    <row r="313" spans="1:15" hidden="1">
      <c r="A313" s="24">
        <f t="shared" si="7"/>
        <v>4</v>
      </c>
      <c r="B313" s="188" t="str">
        <f>IF(AND(MONTH(E313)='IN-NX'!$J$5,'IN-NX'!$D$7=(D313&amp;"/"&amp;C313)),"x","")</f>
        <v/>
      </c>
      <c r="C313" s="185" t="s">
        <v>155</v>
      </c>
      <c r="D313" s="24" t="s">
        <v>161</v>
      </c>
      <c r="E313" s="69">
        <v>41367</v>
      </c>
      <c r="F313" s="61" t="s">
        <v>39</v>
      </c>
      <c r="G313" s="19" t="s">
        <v>127</v>
      </c>
      <c r="H313" s="216" t="s">
        <v>160</v>
      </c>
      <c r="I313" s="415" t="s">
        <v>93</v>
      </c>
      <c r="J313" s="15">
        <v>28000</v>
      </c>
      <c r="K313" s="15">
        <v>5874</v>
      </c>
      <c r="L313" s="15">
        <v>164472000</v>
      </c>
      <c r="M313" s="15">
        <v>0</v>
      </c>
      <c r="N313" s="15">
        <v>0</v>
      </c>
      <c r="O313" s="15" t="str">
        <f>IF(AND(A313='BANG KE NL'!$M$11,TH!C313="NL",LEFT(D313,1)="N"),"x","")</f>
        <v/>
      </c>
    </row>
    <row r="314" spans="1:15" hidden="1">
      <c r="A314" s="24">
        <f t="shared" si="7"/>
        <v>4</v>
      </c>
      <c r="B314" s="188" t="str">
        <f>IF(AND(MONTH(E314)='IN-NX'!$J$5,'IN-NX'!$D$7=(D314&amp;"/"&amp;C314)),"x","")</f>
        <v/>
      </c>
      <c r="C314" s="185" t="s">
        <v>155</v>
      </c>
      <c r="D314" s="24" t="s">
        <v>149</v>
      </c>
      <c r="E314" s="69">
        <v>41367</v>
      </c>
      <c r="F314" s="61" t="s">
        <v>39</v>
      </c>
      <c r="G314" s="460" t="s">
        <v>158</v>
      </c>
      <c r="H314" s="216" t="s">
        <v>90</v>
      </c>
      <c r="I314" s="56" t="s">
        <v>160</v>
      </c>
      <c r="J314" s="15">
        <v>28000</v>
      </c>
      <c r="K314" s="15">
        <v>0</v>
      </c>
      <c r="L314" s="15">
        <v>0</v>
      </c>
      <c r="M314" s="15">
        <v>16738</v>
      </c>
      <c r="N314" s="15">
        <v>468664000</v>
      </c>
      <c r="O314" s="15" t="str">
        <f>IF(AND(A314='BANG KE NL'!$M$11,TH!C314="NL",LEFT(D314,1)="N"),"x","")</f>
        <v/>
      </c>
    </row>
    <row r="315" spans="1:15" hidden="1">
      <c r="A315" s="24">
        <f t="shared" si="7"/>
        <v>4</v>
      </c>
      <c r="B315" s="188" t="str">
        <f>IF(AND(MONTH(E315)='IN-NX'!$J$5,'IN-NX'!$D$7=(D315&amp;"/"&amp;C315)),"x","")</f>
        <v/>
      </c>
      <c r="C315" s="185" t="s">
        <v>155</v>
      </c>
      <c r="D315" s="24" t="s">
        <v>163</v>
      </c>
      <c r="E315" s="69">
        <v>41368</v>
      </c>
      <c r="F315" s="61" t="s">
        <v>39</v>
      </c>
      <c r="G315" s="19" t="s">
        <v>308</v>
      </c>
      <c r="H315" s="216" t="s">
        <v>160</v>
      </c>
      <c r="I315" s="415" t="s">
        <v>93</v>
      </c>
      <c r="J315" s="15">
        <v>28000</v>
      </c>
      <c r="K315" s="15">
        <v>5798</v>
      </c>
      <c r="L315" s="15">
        <v>162344000</v>
      </c>
      <c r="M315" s="15">
        <v>0</v>
      </c>
      <c r="N315" s="15">
        <v>0</v>
      </c>
      <c r="O315" s="15" t="str">
        <f>IF(AND(A315='BANG KE NL'!$M$11,TH!C315="NL",LEFT(D315,1)="N"),"x","")</f>
        <v/>
      </c>
    </row>
    <row r="316" spans="1:15" hidden="1">
      <c r="A316" s="24">
        <f t="shared" si="7"/>
        <v>4</v>
      </c>
      <c r="B316" s="188" t="str">
        <f>IF(AND(MONTH(E316)='IN-NX'!$J$5,'IN-NX'!$D$7=(D316&amp;"/"&amp;C316)),"x","")</f>
        <v/>
      </c>
      <c r="C316" s="185" t="s">
        <v>155</v>
      </c>
      <c r="D316" s="24" t="s">
        <v>164</v>
      </c>
      <c r="E316" s="69">
        <v>41368</v>
      </c>
      <c r="F316" s="61" t="s">
        <v>39</v>
      </c>
      <c r="G316" s="19" t="s">
        <v>408</v>
      </c>
      <c r="H316" s="216" t="s">
        <v>160</v>
      </c>
      <c r="I316" s="415" t="s">
        <v>93</v>
      </c>
      <c r="J316" s="15">
        <v>28000</v>
      </c>
      <c r="K316" s="15">
        <v>5862</v>
      </c>
      <c r="L316" s="15">
        <v>164136000</v>
      </c>
      <c r="M316" s="15">
        <v>0</v>
      </c>
      <c r="N316" s="15">
        <v>0</v>
      </c>
      <c r="O316" s="15" t="str">
        <f>IF(AND(A316='BANG KE NL'!$M$11,TH!C316="NL",LEFT(D316,1)="N"),"x","")</f>
        <v/>
      </c>
    </row>
    <row r="317" spans="1:15" hidden="1">
      <c r="A317" s="24">
        <f t="shared" si="7"/>
        <v>4</v>
      </c>
      <c r="B317" s="188" t="str">
        <f>IF(AND(MONTH(E317)='IN-NX'!$J$5,'IN-NX'!$D$7=(D317&amp;"/"&amp;C317)),"x","")</f>
        <v/>
      </c>
      <c r="C317" s="185" t="s">
        <v>155</v>
      </c>
      <c r="D317" s="24" t="s">
        <v>150</v>
      </c>
      <c r="E317" s="69">
        <v>41368</v>
      </c>
      <c r="F317" s="61" t="s">
        <v>39</v>
      </c>
      <c r="G317" s="460" t="s">
        <v>158</v>
      </c>
      <c r="H317" s="216" t="s">
        <v>90</v>
      </c>
      <c r="I317" s="56" t="s">
        <v>160</v>
      </c>
      <c r="J317" s="15">
        <v>28000</v>
      </c>
      <c r="K317" s="15">
        <v>0</v>
      </c>
      <c r="L317" s="15">
        <v>0</v>
      </c>
      <c r="M317" s="15">
        <v>9987</v>
      </c>
      <c r="N317" s="15">
        <v>279636000</v>
      </c>
      <c r="O317" s="15" t="str">
        <f>IF(AND(A317='BANG KE NL'!$M$11,TH!C317="NL",LEFT(D317,1)="N"),"x","")</f>
        <v/>
      </c>
    </row>
    <row r="318" spans="1:15" hidden="1">
      <c r="A318" s="24">
        <f t="shared" si="7"/>
        <v>4</v>
      </c>
      <c r="B318" s="188" t="str">
        <f>IF(AND(MONTH(E318)='IN-NX'!$J$5,'IN-NX'!$D$7=(D318&amp;"/"&amp;C318)),"x","")</f>
        <v/>
      </c>
      <c r="C318" s="185" t="s">
        <v>155</v>
      </c>
      <c r="D318" s="24" t="s">
        <v>151</v>
      </c>
      <c r="E318" s="69">
        <v>41369</v>
      </c>
      <c r="F318" s="61" t="s">
        <v>39</v>
      </c>
      <c r="G318" s="460" t="s">
        <v>158</v>
      </c>
      <c r="H318" s="216" t="s">
        <v>90</v>
      </c>
      <c r="I318" s="56" t="s">
        <v>160</v>
      </c>
      <c r="J318" s="15">
        <v>28000</v>
      </c>
      <c r="K318" s="15">
        <v>0</v>
      </c>
      <c r="L318" s="15">
        <v>0</v>
      </c>
      <c r="M318" s="15">
        <v>11615</v>
      </c>
      <c r="N318" s="15">
        <v>325220000</v>
      </c>
      <c r="O318" s="15" t="str">
        <f>IF(AND(A318='BANG KE NL'!$M$11,TH!C318="NL",LEFT(D318,1)="N"),"x","")</f>
        <v/>
      </c>
    </row>
    <row r="319" spans="1:15" hidden="1">
      <c r="A319" s="24">
        <f t="shared" si="7"/>
        <v>4</v>
      </c>
      <c r="B319" s="188" t="str">
        <f>IF(AND(MONTH(E319)='IN-NX'!$J$5,'IN-NX'!$D$7=(D319&amp;"/"&amp;C319)),"x","")</f>
        <v/>
      </c>
      <c r="C319" s="185" t="s">
        <v>155</v>
      </c>
      <c r="D319" s="24" t="s">
        <v>152</v>
      </c>
      <c r="E319" s="69">
        <v>41370</v>
      </c>
      <c r="F319" s="61" t="s">
        <v>39</v>
      </c>
      <c r="G319" s="460" t="s">
        <v>158</v>
      </c>
      <c r="H319" s="216" t="s">
        <v>90</v>
      </c>
      <c r="I319" s="56" t="s">
        <v>160</v>
      </c>
      <c r="J319" s="15">
        <v>28000</v>
      </c>
      <c r="K319" s="15">
        <v>0</v>
      </c>
      <c r="L319" s="15">
        <v>0</v>
      </c>
      <c r="M319" s="15">
        <v>11660</v>
      </c>
      <c r="N319" s="15">
        <v>326480000</v>
      </c>
      <c r="O319" s="15" t="str">
        <f>IF(AND(A319='BANG KE NL'!$M$11,TH!C319="NL",LEFT(D319,1)="N"),"x","")</f>
        <v/>
      </c>
    </row>
    <row r="320" spans="1:15" hidden="1">
      <c r="A320" s="24">
        <f t="shared" si="7"/>
        <v>5</v>
      </c>
      <c r="B320" s="188" t="str">
        <f>IF(AND(MONTH(E320)='IN-NX'!$J$5,'IN-NX'!$D$7=(D320&amp;"/"&amp;C320)),"x","")</f>
        <v/>
      </c>
      <c r="C320" s="185" t="s">
        <v>155</v>
      </c>
      <c r="D320" s="185" t="s">
        <v>143</v>
      </c>
      <c r="E320" s="69">
        <v>41395</v>
      </c>
      <c r="F320" s="61" t="s">
        <v>39</v>
      </c>
      <c r="G320" s="19" t="s">
        <v>408</v>
      </c>
      <c r="H320" s="216" t="s">
        <v>160</v>
      </c>
      <c r="I320" s="56" t="s">
        <v>93</v>
      </c>
      <c r="J320" s="15">
        <v>29000</v>
      </c>
      <c r="K320" s="15">
        <v>5146</v>
      </c>
      <c r="L320" s="15">
        <v>149234000</v>
      </c>
      <c r="M320" s="15">
        <v>0</v>
      </c>
      <c r="N320" s="15">
        <v>0</v>
      </c>
      <c r="O320" s="15" t="str">
        <f>IF(AND(A320='BANG KE NL'!$M$11,TH!C320="NL",LEFT(D320,1)="N"),"x","")</f>
        <v/>
      </c>
    </row>
    <row r="321" spans="1:15" hidden="1">
      <c r="A321" s="24">
        <f t="shared" si="7"/>
        <v>5</v>
      </c>
      <c r="B321" s="188" t="str">
        <f>IF(AND(MONTH(E321)='IN-NX'!$J$5,'IN-NX'!$D$7=(D321&amp;"/"&amp;C321)),"x","")</f>
        <v/>
      </c>
      <c r="C321" s="185" t="s">
        <v>155</v>
      </c>
      <c r="D321" s="185" t="s">
        <v>144</v>
      </c>
      <c r="E321" s="69">
        <v>41395</v>
      </c>
      <c r="F321" s="61" t="s">
        <v>39</v>
      </c>
      <c r="G321" s="19" t="s">
        <v>309</v>
      </c>
      <c r="H321" s="216" t="s">
        <v>160</v>
      </c>
      <c r="I321" s="56" t="s">
        <v>93</v>
      </c>
      <c r="J321" s="15">
        <v>29000</v>
      </c>
      <c r="K321" s="15">
        <v>4726</v>
      </c>
      <c r="L321" s="15">
        <v>137054000</v>
      </c>
      <c r="M321" s="15">
        <v>0</v>
      </c>
      <c r="N321" s="15">
        <v>0</v>
      </c>
      <c r="O321" s="15" t="str">
        <f>IF(AND(A321='BANG KE NL'!$M$11,TH!C321="NL",LEFT(D321,1)="N"),"x","")</f>
        <v/>
      </c>
    </row>
    <row r="322" spans="1:15" hidden="1">
      <c r="A322" s="24">
        <f t="shared" si="7"/>
        <v>5</v>
      </c>
      <c r="B322" s="188" t="str">
        <f>IF(AND(MONTH(E322)='IN-NX'!$J$5,'IN-NX'!$D$7=(D322&amp;"/"&amp;C322)),"x","")</f>
        <v/>
      </c>
      <c r="C322" s="185" t="s">
        <v>155</v>
      </c>
      <c r="D322" s="185" t="s">
        <v>145</v>
      </c>
      <c r="E322" s="69">
        <v>41395</v>
      </c>
      <c r="F322" s="61" t="s">
        <v>39</v>
      </c>
      <c r="G322" s="19" t="s">
        <v>302</v>
      </c>
      <c r="H322" s="216" t="s">
        <v>160</v>
      </c>
      <c r="I322" s="56" t="s">
        <v>93</v>
      </c>
      <c r="J322" s="15">
        <v>29000</v>
      </c>
      <c r="K322" s="15">
        <v>4413</v>
      </c>
      <c r="L322" s="15">
        <v>127977000</v>
      </c>
      <c r="M322" s="15">
        <v>0</v>
      </c>
      <c r="N322" s="15">
        <v>0</v>
      </c>
      <c r="O322" s="15" t="str">
        <f>IF(AND(A322='BANG KE NL'!$M$11,TH!C322="NL",LEFT(D322,1)="N"),"x","")</f>
        <v/>
      </c>
    </row>
    <row r="323" spans="1:15" hidden="1">
      <c r="A323" s="24">
        <f t="shared" si="7"/>
        <v>5</v>
      </c>
      <c r="B323" s="188" t="str">
        <f>IF(AND(MONTH(E323)='IN-NX'!$J$5,'IN-NX'!$D$7=(D323&amp;"/"&amp;C323)),"x","")</f>
        <v/>
      </c>
      <c r="C323" s="185" t="s">
        <v>155</v>
      </c>
      <c r="D323" s="185" t="s">
        <v>149</v>
      </c>
      <c r="E323" s="69">
        <v>41396</v>
      </c>
      <c r="F323" s="61" t="s">
        <v>39</v>
      </c>
      <c r="G323" s="460" t="s">
        <v>158</v>
      </c>
      <c r="H323" s="216" t="s">
        <v>90</v>
      </c>
      <c r="I323" s="56" t="s">
        <v>160</v>
      </c>
      <c r="J323" s="15">
        <v>29000</v>
      </c>
      <c r="K323" s="15">
        <v>0</v>
      </c>
      <c r="L323" s="15">
        <v>0</v>
      </c>
      <c r="M323" s="15">
        <v>14285</v>
      </c>
      <c r="N323" s="15">
        <v>414265000</v>
      </c>
      <c r="O323" s="15" t="str">
        <f>IF(AND(A323='BANG KE NL'!$M$11,TH!C323="NL",LEFT(D323,1)="N"),"x","")</f>
        <v/>
      </c>
    </row>
    <row r="324" spans="1:15" hidden="1">
      <c r="A324" s="24">
        <f t="shared" si="7"/>
        <v>5</v>
      </c>
      <c r="B324" s="188" t="str">
        <f>IF(AND(MONTH(E324)='IN-NX'!$J$5,'IN-NX'!$D$7=(D324&amp;"/"&amp;C324)),"x","")</f>
        <v/>
      </c>
      <c r="C324" s="185" t="s">
        <v>155</v>
      </c>
      <c r="D324" s="185" t="s">
        <v>161</v>
      </c>
      <c r="E324" s="69">
        <v>41397</v>
      </c>
      <c r="F324" s="61" t="s">
        <v>39</v>
      </c>
      <c r="G324" s="19" t="s">
        <v>133</v>
      </c>
      <c r="H324" s="216" t="s">
        <v>160</v>
      </c>
      <c r="I324" s="56" t="s">
        <v>93</v>
      </c>
      <c r="J324" s="15">
        <v>29000</v>
      </c>
      <c r="K324" s="15">
        <v>5356</v>
      </c>
      <c r="L324" s="15">
        <v>155324000</v>
      </c>
      <c r="M324" s="15">
        <v>0</v>
      </c>
      <c r="N324" s="15">
        <v>0</v>
      </c>
      <c r="O324" s="15" t="str">
        <f>IF(AND(A324='BANG KE NL'!$M$11,TH!C324="NL",LEFT(D324,1)="N"),"x","")</f>
        <v/>
      </c>
    </row>
    <row r="325" spans="1:15" hidden="1">
      <c r="A325" s="24">
        <f t="shared" si="7"/>
        <v>5</v>
      </c>
      <c r="B325" s="188" t="str">
        <f>IF(AND(MONTH(E325)='IN-NX'!$J$5,'IN-NX'!$D$7=(D325&amp;"/"&amp;C325)),"x","")</f>
        <v/>
      </c>
      <c r="C325" s="185" t="s">
        <v>155</v>
      </c>
      <c r="D325" s="185" t="s">
        <v>163</v>
      </c>
      <c r="E325" s="69">
        <v>41397</v>
      </c>
      <c r="F325" s="61" t="s">
        <v>39</v>
      </c>
      <c r="G325" s="19" t="s">
        <v>131</v>
      </c>
      <c r="H325" s="216" t="s">
        <v>160</v>
      </c>
      <c r="I325" s="56" t="s">
        <v>93</v>
      </c>
      <c r="J325" s="15">
        <v>29000</v>
      </c>
      <c r="K325" s="15">
        <v>4783</v>
      </c>
      <c r="L325" s="15">
        <v>138707000</v>
      </c>
      <c r="M325" s="15">
        <v>0</v>
      </c>
      <c r="N325" s="15">
        <v>0</v>
      </c>
      <c r="O325" s="15" t="str">
        <f>IF(AND(A325='BANG KE NL'!$M$11,TH!C325="NL",LEFT(D325,1)="N"),"x","")</f>
        <v/>
      </c>
    </row>
    <row r="326" spans="1:15" hidden="1">
      <c r="A326" s="24">
        <f t="shared" ref="A326:A389" si="8">IF(E326&lt;&gt;"",MONTH(E326),"")</f>
        <v>5</v>
      </c>
      <c r="B326" s="188" t="str">
        <f>IF(AND(MONTH(E326)='IN-NX'!$J$5,'IN-NX'!$D$7=(D326&amp;"/"&amp;C326)),"x","")</f>
        <v/>
      </c>
      <c r="C326" s="185" t="s">
        <v>155</v>
      </c>
      <c r="D326" s="17" t="s">
        <v>164</v>
      </c>
      <c r="E326" s="18">
        <v>41399</v>
      </c>
      <c r="F326" s="61" t="s">
        <v>39</v>
      </c>
      <c r="G326" s="19" t="s">
        <v>317</v>
      </c>
      <c r="H326" s="216" t="s">
        <v>160</v>
      </c>
      <c r="I326" s="56" t="s">
        <v>93</v>
      </c>
      <c r="J326" s="15">
        <v>29000</v>
      </c>
      <c r="K326" s="15">
        <v>4721</v>
      </c>
      <c r="L326" s="15">
        <v>136909000</v>
      </c>
      <c r="M326" s="15">
        <v>0</v>
      </c>
      <c r="N326" s="15">
        <v>0</v>
      </c>
      <c r="O326" s="15" t="str">
        <f>IF(AND(A326='BANG KE NL'!$M$11,TH!C326="NL",LEFT(D326,1)="N"),"x","")</f>
        <v/>
      </c>
    </row>
    <row r="327" spans="1:15" hidden="1">
      <c r="A327" s="24">
        <f t="shared" si="8"/>
        <v>5</v>
      </c>
      <c r="B327" s="188" t="str">
        <f>IF(AND(MONTH(E327)='IN-NX'!$J$5,'IN-NX'!$D$7=(D327&amp;"/"&amp;C327)),"x","")</f>
        <v/>
      </c>
      <c r="C327" s="185" t="s">
        <v>155</v>
      </c>
      <c r="D327" s="17" t="s">
        <v>165</v>
      </c>
      <c r="E327" s="18">
        <v>41399</v>
      </c>
      <c r="F327" s="61" t="s">
        <v>39</v>
      </c>
      <c r="G327" s="19" t="s">
        <v>409</v>
      </c>
      <c r="H327" s="216" t="s">
        <v>160</v>
      </c>
      <c r="I327" s="56" t="s">
        <v>93</v>
      </c>
      <c r="J327" s="15">
        <v>29000</v>
      </c>
      <c r="K327" s="15">
        <v>5416</v>
      </c>
      <c r="L327" s="15">
        <v>157064000</v>
      </c>
      <c r="M327" s="15">
        <v>0</v>
      </c>
      <c r="N327" s="15">
        <v>0</v>
      </c>
      <c r="O327" s="15" t="str">
        <f>IF(AND(A327='BANG KE NL'!$M$11,TH!C327="NL",LEFT(D327,1)="N"),"x","")</f>
        <v/>
      </c>
    </row>
    <row r="328" spans="1:15" hidden="1">
      <c r="A328" s="24">
        <f t="shared" si="8"/>
        <v>5</v>
      </c>
      <c r="B328" s="188" t="str">
        <f>IF(AND(MONTH(E328)='IN-NX'!$J$5,'IN-NX'!$D$7=(D328&amp;"/"&amp;C328)),"x","")</f>
        <v/>
      </c>
      <c r="C328" s="185" t="s">
        <v>155</v>
      </c>
      <c r="D328" s="17" t="s">
        <v>166</v>
      </c>
      <c r="E328" s="18">
        <v>41399</v>
      </c>
      <c r="F328" s="61" t="s">
        <v>39</v>
      </c>
      <c r="G328" s="19" t="s">
        <v>127</v>
      </c>
      <c r="H328" s="216" t="s">
        <v>160</v>
      </c>
      <c r="I328" s="56" t="s">
        <v>93</v>
      </c>
      <c r="J328" s="15">
        <v>29000</v>
      </c>
      <c r="K328" s="15">
        <v>5423</v>
      </c>
      <c r="L328" s="15">
        <v>157267000</v>
      </c>
      <c r="M328" s="15">
        <v>0</v>
      </c>
      <c r="N328" s="15">
        <v>0</v>
      </c>
      <c r="O328" s="15" t="str">
        <f>IF(AND(A328='BANG KE NL'!$M$11,TH!C328="NL",LEFT(D328,1)="N"),"x","")</f>
        <v/>
      </c>
    </row>
    <row r="329" spans="1:15" hidden="1">
      <c r="A329" s="24">
        <f t="shared" si="8"/>
        <v>5</v>
      </c>
      <c r="B329" s="188" t="str">
        <f>IF(AND(MONTH(E329)='IN-NX'!$J$5,'IN-NX'!$D$7=(D329&amp;"/"&amp;C329)),"x","")</f>
        <v/>
      </c>
      <c r="C329" s="185" t="s">
        <v>155</v>
      </c>
      <c r="D329" s="17" t="s">
        <v>151</v>
      </c>
      <c r="E329" s="18">
        <v>41399</v>
      </c>
      <c r="F329" s="61" t="s">
        <v>39</v>
      </c>
      <c r="G329" s="460" t="s">
        <v>158</v>
      </c>
      <c r="H329" s="216" t="s">
        <v>90</v>
      </c>
      <c r="I329" s="56" t="s">
        <v>160</v>
      </c>
      <c r="J329" s="15">
        <v>29000</v>
      </c>
      <c r="K329" s="15">
        <v>0</v>
      </c>
      <c r="L329" s="15">
        <v>0</v>
      </c>
      <c r="M329" s="15">
        <v>14860</v>
      </c>
      <c r="N329" s="15">
        <v>430940000</v>
      </c>
      <c r="O329" s="15" t="str">
        <f>IF(AND(A329='BANG KE NL'!$M$11,TH!C329="NL",LEFT(D329,1)="N"),"x","")</f>
        <v/>
      </c>
    </row>
    <row r="330" spans="1:15" hidden="1">
      <c r="A330" s="24">
        <f t="shared" si="8"/>
        <v>5</v>
      </c>
      <c r="B330" s="188" t="str">
        <f>IF(AND(MONTH(E330)='IN-NX'!$J$5,'IN-NX'!$D$7=(D330&amp;"/"&amp;C330)),"x","")</f>
        <v/>
      </c>
      <c r="C330" s="185" t="s">
        <v>155</v>
      </c>
      <c r="D330" s="17" t="s">
        <v>167</v>
      </c>
      <c r="E330" s="18">
        <v>41400</v>
      </c>
      <c r="F330" s="61" t="s">
        <v>39</v>
      </c>
      <c r="G330" s="19" t="s">
        <v>130</v>
      </c>
      <c r="H330" s="216" t="s">
        <v>160</v>
      </c>
      <c r="I330" s="56" t="s">
        <v>93</v>
      </c>
      <c r="J330" s="15">
        <v>29000</v>
      </c>
      <c r="K330" s="15">
        <v>5310</v>
      </c>
      <c r="L330" s="15">
        <v>153990000</v>
      </c>
      <c r="M330" s="15">
        <v>0</v>
      </c>
      <c r="N330" s="15">
        <v>0</v>
      </c>
      <c r="O330" s="15" t="str">
        <f>IF(AND(A330='BANG KE NL'!$M$11,TH!C330="NL",LEFT(D330,1)="N"),"x","")</f>
        <v/>
      </c>
    </row>
    <row r="331" spans="1:15" hidden="1">
      <c r="A331" s="24">
        <f t="shared" si="8"/>
        <v>5</v>
      </c>
      <c r="B331" s="188" t="str">
        <f>IF(AND(MONTH(E331)='IN-NX'!$J$5,'IN-NX'!$D$7=(D331&amp;"/"&amp;C331)),"x","")</f>
        <v/>
      </c>
      <c r="C331" s="185" t="s">
        <v>155</v>
      </c>
      <c r="D331" s="17" t="s">
        <v>168</v>
      </c>
      <c r="E331" s="18">
        <v>41400</v>
      </c>
      <c r="F331" s="61" t="s">
        <v>39</v>
      </c>
      <c r="G331" s="19" t="s">
        <v>129</v>
      </c>
      <c r="H331" s="216" t="s">
        <v>160</v>
      </c>
      <c r="I331" s="56" t="s">
        <v>93</v>
      </c>
      <c r="J331" s="15">
        <v>29000</v>
      </c>
      <c r="K331" s="15">
        <v>5020</v>
      </c>
      <c r="L331" s="15">
        <v>145580000</v>
      </c>
      <c r="M331" s="15">
        <v>0</v>
      </c>
      <c r="N331" s="15">
        <v>0</v>
      </c>
      <c r="O331" s="15" t="str">
        <f>IF(AND(A331='BANG KE NL'!$M$11,TH!C331="NL",LEFT(D331,1)="N"),"x","")</f>
        <v/>
      </c>
    </row>
    <row r="332" spans="1:15" hidden="1">
      <c r="A332" s="24">
        <f t="shared" si="8"/>
        <v>5</v>
      </c>
      <c r="B332" s="188" t="str">
        <f>IF(AND(MONTH(E332)='IN-NX'!$J$5,'IN-NX'!$D$7=(D332&amp;"/"&amp;C332)),"x","")</f>
        <v/>
      </c>
      <c r="C332" s="185" t="s">
        <v>155</v>
      </c>
      <c r="D332" s="17" t="s">
        <v>152</v>
      </c>
      <c r="E332" s="18">
        <v>41400</v>
      </c>
      <c r="F332" s="61" t="s">
        <v>39</v>
      </c>
      <c r="G332" s="460" t="s">
        <v>158</v>
      </c>
      <c r="H332" s="216" t="s">
        <v>90</v>
      </c>
      <c r="I332" s="56" t="s">
        <v>160</v>
      </c>
      <c r="J332" s="68">
        <v>29000</v>
      </c>
      <c r="K332" s="15">
        <v>0</v>
      </c>
      <c r="L332" s="15">
        <v>0</v>
      </c>
      <c r="M332" s="15">
        <v>16149</v>
      </c>
      <c r="N332" s="15">
        <v>468321000</v>
      </c>
      <c r="O332" s="15" t="str">
        <f>IF(AND(A332='BANG KE NL'!$M$11,TH!C332="NL",LEFT(D332,1)="N"),"x","")</f>
        <v/>
      </c>
    </row>
    <row r="333" spans="1:15" hidden="1">
      <c r="A333" s="24">
        <f t="shared" si="8"/>
        <v>5</v>
      </c>
      <c r="B333" s="188" t="str">
        <f>IF(AND(MONTH(E333)='IN-NX'!$J$5,'IN-NX'!$D$7=(D333&amp;"/"&amp;C333)),"x","")</f>
        <v/>
      </c>
      <c r="C333" s="185" t="s">
        <v>155</v>
      </c>
      <c r="D333" s="17" t="s">
        <v>169</v>
      </c>
      <c r="E333" s="18">
        <v>41401</v>
      </c>
      <c r="F333" s="61" t="s">
        <v>39</v>
      </c>
      <c r="G333" s="19" t="s">
        <v>132</v>
      </c>
      <c r="H333" s="216" t="s">
        <v>160</v>
      </c>
      <c r="I333" s="56" t="s">
        <v>93</v>
      </c>
      <c r="J333" s="68">
        <v>29000</v>
      </c>
      <c r="K333" s="15">
        <v>4913</v>
      </c>
      <c r="L333" s="15">
        <v>142477000</v>
      </c>
      <c r="M333" s="15">
        <v>0</v>
      </c>
      <c r="N333" s="15">
        <v>0</v>
      </c>
      <c r="O333" s="15" t="str">
        <f>IF(AND(A333='BANG KE NL'!$M$11,TH!C333="NL",LEFT(D333,1)="N"),"x","")</f>
        <v/>
      </c>
    </row>
    <row r="334" spans="1:15" hidden="1">
      <c r="A334" s="24">
        <f t="shared" si="8"/>
        <v>5</v>
      </c>
      <c r="B334" s="188" t="str">
        <f>IF(AND(MONTH(E334)='IN-NX'!$J$5,'IN-NX'!$D$7=(D334&amp;"/"&amp;C334)),"x","")</f>
        <v/>
      </c>
      <c r="C334" s="185" t="s">
        <v>155</v>
      </c>
      <c r="D334" s="17" t="s">
        <v>170</v>
      </c>
      <c r="E334" s="18">
        <v>41401</v>
      </c>
      <c r="F334" s="61" t="s">
        <v>39</v>
      </c>
      <c r="G334" s="19" t="s">
        <v>133</v>
      </c>
      <c r="H334" s="216" t="s">
        <v>160</v>
      </c>
      <c r="I334" s="56" t="s">
        <v>93</v>
      </c>
      <c r="J334" s="68">
        <v>29000</v>
      </c>
      <c r="K334" s="15">
        <v>4327</v>
      </c>
      <c r="L334" s="15">
        <v>125483000</v>
      </c>
      <c r="M334" s="15">
        <v>0</v>
      </c>
      <c r="N334" s="15">
        <v>0</v>
      </c>
      <c r="O334" s="15" t="str">
        <f>IF(AND(A334='BANG KE NL'!$M$11,TH!C334="NL",LEFT(D334,1)="N"),"x","")</f>
        <v/>
      </c>
    </row>
    <row r="335" spans="1:15" hidden="1">
      <c r="A335" s="24">
        <f t="shared" si="8"/>
        <v>5</v>
      </c>
      <c r="B335" s="188" t="str">
        <f>IF(AND(MONTH(E335)='IN-NX'!$J$5,'IN-NX'!$D$7=(D335&amp;"/"&amp;C335)),"x","")</f>
        <v/>
      </c>
      <c r="C335" s="185" t="s">
        <v>155</v>
      </c>
      <c r="D335" s="17" t="s">
        <v>159</v>
      </c>
      <c r="E335" s="18">
        <v>41401</v>
      </c>
      <c r="F335" s="61" t="s">
        <v>39</v>
      </c>
      <c r="G335" s="460" t="s">
        <v>158</v>
      </c>
      <c r="H335" s="216" t="s">
        <v>90</v>
      </c>
      <c r="I335" s="56" t="s">
        <v>160</v>
      </c>
      <c r="J335" s="68">
        <v>29000</v>
      </c>
      <c r="K335" s="15">
        <v>0</v>
      </c>
      <c r="L335" s="15">
        <v>0</v>
      </c>
      <c r="M335" s="15">
        <v>14260</v>
      </c>
      <c r="N335" s="15">
        <v>413540000</v>
      </c>
      <c r="O335" s="15" t="str">
        <f>IF(AND(A335='BANG KE NL'!$M$11,TH!C335="NL",LEFT(D335,1)="N"),"x","")</f>
        <v/>
      </c>
    </row>
    <row r="336" spans="1:15" hidden="1">
      <c r="A336" s="24">
        <f t="shared" si="8"/>
        <v>5</v>
      </c>
      <c r="B336" s="188" t="str">
        <f>IF(AND(MONTH(E336)='IN-NX'!$J$5,'IN-NX'!$D$7=(D336&amp;"/"&amp;C336)),"x","")</f>
        <v/>
      </c>
      <c r="C336" s="185" t="s">
        <v>155</v>
      </c>
      <c r="D336" s="17" t="s">
        <v>171</v>
      </c>
      <c r="E336" s="18">
        <v>41402</v>
      </c>
      <c r="F336" s="61" t="s">
        <v>39</v>
      </c>
      <c r="G336" s="19" t="s">
        <v>317</v>
      </c>
      <c r="H336" s="216" t="s">
        <v>160</v>
      </c>
      <c r="I336" s="56" t="s">
        <v>93</v>
      </c>
      <c r="J336" s="68">
        <v>29000</v>
      </c>
      <c r="K336" s="15">
        <v>5342</v>
      </c>
      <c r="L336" s="15">
        <v>154918000</v>
      </c>
      <c r="M336" s="15">
        <v>0</v>
      </c>
      <c r="N336" s="15">
        <v>0</v>
      </c>
      <c r="O336" s="15" t="str">
        <f>IF(AND(A336='BANG KE NL'!$M$11,TH!C336="NL",LEFT(D336,1)="N"),"x","")</f>
        <v/>
      </c>
    </row>
    <row r="337" spans="1:15" hidden="1">
      <c r="A337" s="24">
        <f t="shared" si="8"/>
        <v>5</v>
      </c>
      <c r="B337" s="188" t="str">
        <f>IF(AND(MONTH(E337)='IN-NX'!$J$5,'IN-NX'!$D$7=(D337&amp;"/"&amp;C337)),"x","")</f>
        <v/>
      </c>
      <c r="C337" s="185" t="s">
        <v>155</v>
      </c>
      <c r="D337" s="17" t="s">
        <v>172</v>
      </c>
      <c r="E337" s="18">
        <v>41402</v>
      </c>
      <c r="F337" s="61" t="s">
        <v>39</v>
      </c>
      <c r="G337" s="428" t="s">
        <v>127</v>
      </c>
      <c r="H337" s="216" t="s">
        <v>160</v>
      </c>
      <c r="I337" s="56" t="s">
        <v>93</v>
      </c>
      <c r="J337" s="68">
        <v>29000</v>
      </c>
      <c r="K337" s="15">
        <v>5013</v>
      </c>
      <c r="L337" s="15">
        <v>145377000</v>
      </c>
      <c r="M337" s="15">
        <v>0</v>
      </c>
      <c r="N337" s="15">
        <v>0</v>
      </c>
      <c r="O337" s="15" t="str">
        <f>IF(AND(A337='BANG KE NL'!$M$11,TH!C337="NL",LEFT(D337,1)="N"),"x","")</f>
        <v/>
      </c>
    </row>
    <row r="338" spans="1:15" hidden="1">
      <c r="A338" s="24">
        <f t="shared" si="8"/>
        <v>5</v>
      </c>
      <c r="B338" s="188" t="str">
        <f>IF(AND(MONTH(E338)='IN-NX'!$J$5,'IN-NX'!$D$7=(D338&amp;"/"&amp;C338)),"x","")</f>
        <v/>
      </c>
      <c r="C338" s="185" t="s">
        <v>155</v>
      </c>
      <c r="D338" s="17" t="s">
        <v>173</v>
      </c>
      <c r="E338" s="18">
        <v>41402</v>
      </c>
      <c r="F338" s="61" t="s">
        <v>39</v>
      </c>
      <c r="G338" s="19" t="s">
        <v>409</v>
      </c>
      <c r="H338" s="216" t="s">
        <v>160</v>
      </c>
      <c r="I338" s="56" t="s">
        <v>93</v>
      </c>
      <c r="J338" s="68">
        <v>29000</v>
      </c>
      <c r="K338" s="15">
        <v>2591</v>
      </c>
      <c r="L338" s="15">
        <v>75139000</v>
      </c>
      <c r="M338" s="15">
        <v>0</v>
      </c>
      <c r="N338" s="15">
        <v>0</v>
      </c>
      <c r="O338" s="15" t="str">
        <f>IF(AND(A338='BANG KE NL'!$M$11,TH!C338="NL",LEFT(D338,1)="N"),"x","")</f>
        <v/>
      </c>
    </row>
    <row r="339" spans="1:15" hidden="1">
      <c r="A339" s="24">
        <f t="shared" si="8"/>
        <v>5</v>
      </c>
      <c r="B339" s="188" t="str">
        <f>IF(AND(MONTH(E339)='IN-NX'!$J$5,'IN-NX'!$D$7=(D339&amp;"/"&amp;C339)),"x","")</f>
        <v/>
      </c>
      <c r="C339" s="185" t="s">
        <v>155</v>
      </c>
      <c r="D339" s="17" t="s">
        <v>197</v>
      </c>
      <c r="E339" s="18">
        <v>41402</v>
      </c>
      <c r="F339" s="61" t="s">
        <v>39</v>
      </c>
      <c r="G339" s="460" t="s">
        <v>158</v>
      </c>
      <c r="H339" s="216" t="s">
        <v>90</v>
      </c>
      <c r="I339" s="56" t="s">
        <v>160</v>
      </c>
      <c r="J339" s="68">
        <v>29000</v>
      </c>
      <c r="K339" s="15">
        <v>0</v>
      </c>
      <c r="L339" s="15">
        <v>0</v>
      </c>
      <c r="M339" s="15">
        <v>12946</v>
      </c>
      <c r="N339" s="15">
        <v>375434000</v>
      </c>
      <c r="O339" s="15" t="str">
        <f>IF(AND(A339='BANG KE NL'!$M$11,TH!C339="NL",LEFT(D339,1)="N"),"x","")</f>
        <v/>
      </c>
    </row>
    <row r="340" spans="1:15" hidden="1">
      <c r="A340" s="24">
        <f t="shared" si="8"/>
        <v>5</v>
      </c>
      <c r="B340" s="188" t="str">
        <f>IF(AND(MONTH(E340)='IN-NX'!$J$5,'IN-NX'!$D$7=(D340&amp;"/"&amp;C340)),"x","")</f>
        <v/>
      </c>
      <c r="C340" s="185" t="s">
        <v>155</v>
      </c>
      <c r="D340" s="17" t="s">
        <v>180</v>
      </c>
      <c r="E340" s="18">
        <v>41411</v>
      </c>
      <c r="F340" s="61" t="s">
        <v>39</v>
      </c>
      <c r="G340" s="429" t="s">
        <v>309</v>
      </c>
      <c r="H340" s="216" t="s">
        <v>160</v>
      </c>
      <c r="I340" s="56" t="s">
        <v>93</v>
      </c>
      <c r="J340" s="68">
        <v>29000</v>
      </c>
      <c r="K340" s="15">
        <v>2500</v>
      </c>
      <c r="L340" s="15">
        <v>72500000</v>
      </c>
      <c r="M340" s="15">
        <v>0</v>
      </c>
      <c r="N340" s="15">
        <v>0</v>
      </c>
      <c r="O340" s="15" t="str">
        <f>IF(AND(A340='BANG KE NL'!$M$11,TH!C340="NL",LEFT(D340,1)="N"),"x","")</f>
        <v/>
      </c>
    </row>
    <row r="341" spans="1:15" hidden="1">
      <c r="A341" s="24">
        <f t="shared" si="8"/>
        <v>5</v>
      </c>
      <c r="B341" s="188" t="str">
        <f>IF(AND(MONTH(E341)='IN-NX'!$J$5,'IN-NX'!$D$7=(D341&amp;"/"&amp;C341)),"x","")</f>
        <v/>
      </c>
      <c r="C341" s="185" t="s">
        <v>155</v>
      </c>
      <c r="D341" s="17" t="s">
        <v>201</v>
      </c>
      <c r="E341" s="18">
        <v>41412</v>
      </c>
      <c r="F341" s="61" t="s">
        <v>39</v>
      </c>
      <c r="G341" s="460" t="s">
        <v>158</v>
      </c>
      <c r="H341" s="216" t="s">
        <v>90</v>
      </c>
      <c r="I341" s="56" t="s">
        <v>160</v>
      </c>
      <c r="J341" s="68">
        <v>29000</v>
      </c>
      <c r="K341" s="15">
        <v>0</v>
      </c>
      <c r="L341" s="15">
        <v>0</v>
      </c>
      <c r="M341" s="15">
        <v>2500</v>
      </c>
      <c r="N341" s="15">
        <v>72500000</v>
      </c>
      <c r="O341" s="15" t="str">
        <f>IF(AND(A341='BANG KE NL'!$M$11,TH!C341="NL",LEFT(D341,1)="N"),"x","")</f>
        <v/>
      </c>
    </row>
    <row r="342" spans="1:15" hidden="1">
      <c r="A342" s="24">
        <f t="shared" si="8"/>
        <v>8</v>
      </c>
      <c r="B342" s="188" t="str">
        <f>IF(AND(MONTH(E342)='IN-NX'!$J$5,'IN-NX'!$D$7=(D342&amp;"/"&amp;C342)),"x","")</f>
        <v/>
      </c>
      <c r="C342" s="185" t="s">
        <v>155</v>
      </c>
      <c r="D342" s="17" t="s">
        <v>178</v>
      </c>
      <c r="E342" s="18">
        <v>41499</v>
      </c>
      <c r="F342" s="61" t="s">
        <v>39</v>
      </c>
      <c r="G342" s="19" t="s">
        <v>298</v>
      </c>
      <c r="H342" s="216" t="s">
        <v>160</v>
      </c>
      <c r="I342" s="56" t="s">
        <v>93</v>
      </c>
      <c r="J342" s="68">
        <v>27500</v>
      </c>
      <c r="K342" s="15">
        <v>5961</v>
      </c>
      <c r="L342" s="15">
        <v>163927500</v>
      </c>
      <c r="M342" s="15">
        <v>0</v>
      </c>
      <c r="N342" s="15">
        <v>0</v>
      </c>
      <c r="O342" s="15" t="str">
        <f>IF(AND(A342='BANG KE NL'!$M$11,TH!C342="NL",LEFT(D342,1)="N"),"x","")</f>
        <v/>
      </c>
    </row>
    <row r="343" spans="1:15" hidden="1">
      <c r="A343" s="24">
        <f t="shared" si="8"/>
        <v>8</v>
      </c>
      <c r="B343" s="188" t="str">
        <f>IF(AND(MONTH(E343)='IN-NX'!$J$5,'IN-NX'!$D$7=(D343&amp;"/"&amp;C343)),"x","")</f>
        <v/>
      </c>
      <c r="C343" s="185" t="s">
        <v>155</v>
      </c>
      <c r="D343" s="17" t="s">
        <v>179</v>
      </c>
      <c r="E343" s="18">
        <v>41499</v>
      </c>
      <c r="F343" s="61" t="s">
        <v>39</v>
      </c>
      <c r="G343" s="19" t="s">
        <v>303</v>
      </c>
      <c r="H343" s="216" t="s">
        <v>160</v>
      </c>
      <c r="I343" s="56" t="s">
        <v>93</v>
      </c>
      <c r="J343" s="68">
        <v>27500</v>
      </c>
      <c r="K343" s="15">
        <v>4039</v>
      </c>
      <c r="L343" s="15">
        <v>111072500</v>
      </c>
      <c r="M343" s="15">
        <v>0</v>
      </c>
      <c r="N343" s="15">
        <v>0</v>
      </c>
      <c r="O343" s="15" t="str">
        <f>IF(AND(A343='BANG KE NL'!$M$11,TH!C343="NL",LEFT(D343,1)="N"),"x","")</f>
        <v/>
      </c>
    </row>
    <row r="344" spans="1:15" hidden="1">
      <c r="A344" s="24">
        <f t="shared" si="8"/>
        <v>8</v>
      </c>
      <c r="B344" s="188" t="str">
        <f>IF(AND(MONTH(E344)='IN-NX'!$J$5,'IN-NX'!$D$7=(D344&amp;"/"&amp;C344)),"x","")</f>
        <v/>
      </c>
      <c r="C344" s="185" t="s">
        <v>155</v>
      </c>
      <c r="D344" s="17" t="s">
        <v>202</v>
      </c>
      <c r="E344" s="18">
        <v>41502</v>
      </c>
      <c r="F344" s="61" t="s">
        <v>39</v>
      </c>
      <c r="G344" s="460" t="s">
        <v>158</v>
      </c>
      <c r="H344" s="216" t="s">
        <v>90</v>
      </c>
      <c r="I344" s="56" t="s">
        <v>160</v>
      </c>
      <c r="J344" s="68">
        <v>27500</v>
      </c>
      <c r="K344" s="15">
        <v>0</v>
      </c>
      <c r="L344" s="15">
        <v>0</v>
      </c>
      <c r="M344" s="15">
        <v>10000</v>
      </c>
      <c r="N344" s="15">
        <v>275000000</v>
      </c>
      <c r="O344" s="15" t="str">
        <f>IF(AND(A344='BANG KE NL'!$M$11,TH!C344="NL",LEFT(D344,1)="N"),"x","")</f>
        <v/>
      </c>
    </row>
    <row r="345" spans="1:15" hidden="1">
      <c r="A345" s="24">
        <f t="shared" si="8"/>
        <v>8</v>
      </c>
      <c r="B345" s="188" t="str">
        <f>IF(AND(MONTH(E345)='IN-NX'!$J$5,'IN-NX'!$D$7=(D345&amp;"/"&amp;C345)),"x","")</f>
        <v/>
      </c>
      <c r="C345" s="185" t="s">
        <v>155</v>
      </c>
      <c r="D345" s="17" t="s">
        <v>304</v>
      </c>
      <c r="E345" s="18">
        <v>41504</v>
      </c>
      <c r="F345" s="61" t="s">
        <v>39</v>
      </c>
      <c r="G345" s="19" t="s">
        <v>408</v>
      </c>
      <c r="H345" s="216" t="s">
        <v>160</v>
      </c>
      <c r="I345" s="56" t="s">
        <v>93</v>
      </c>
      <c r="J345" s="68">
        <v>27000</v>
      </c>
      <c r="K345" s="15">
        <v>3088</v>
      </c>
      <c r="L345" s="15">
        <v>83376000</v>
      </c>
      <c r="M345" s="15">
        <v>0</v>
      </c>
      <c r="N345" s="15">
        <v>0</v>
      </c>
      <c r="O345" s="15" t="str">
        <f>IF(AND(A345='BANG KE NL'!$M$11,TH!C345="NL",LEFT(D345,1)="N"),"x","")</f>
        <v/>
      </c>
    </row>
    <row r="346" spans="1:15" hidden="1">
      <c r="A346" s="24">
        <f t="shared" si="8"/>
        <v>8</v>
      </c>
      <c r="B346" s="188" t="str">
        <f>IF(AND(MONTH(E346)='IN-NX'!$J$5,'IN-NX'!$D$7=(D346&amp;"/"&amp;C346)),"x","")</f>
        <v/>
      </c>
      <c r="C346" s="185" t="s">
        <v>155</v>
      </c>
      <c r="D346" s="17" t="s">
        <v>311</v>
      </c>
      <c r="E346" s="18">
        <v>41507</v>
      </c>
      <c r="F346" s="61" t="s">
        <v>39</v>
      </c>
      <c r="G346" s="19" t="s">
        <v>430</v>
      </c>
      <c r="H346" s="216" t="s">
        <v>160</v>
      </c>
      <c r="I346" s="56" t="s">
        <v>93</v>
      </c>
      <c r="J346" s="68">
        <v>27000</v>
      </c>
      <c r="K346" s="15">
        <v>4162</v>
      </c>
      <c r="L346" s="15">
        <v>112374000</v>
      </c>
      <c r="M346" s="15">
        <v>0</v>
      </c>
      <c r="N346" s="15">
        <v>0</v>
      </c>
      <c r="O346" s="15" t="str">
        <f>IF(AND(A346='BANG KE NL'!$M$11,TH!C346="NL",LEFT(D346,1)="N"),"x","")</f>
        <v/>
      </c>
    </row>
    <row r="347" spans="1:15" hidden="1">
      <c r="A347" s="24">
        <f t="shared" si="8"/>
        <v>8</v>
      </c>
      <c r="B347" s="188" t="str">
        <f>IF(AND(MONTH(E347)='IN-NX'!$J$5,'IN-NX'!$D$7=(D347&amp;"/"&amp;C347)),"x","")</f>
        <v/>
      </c>
      <c r="C347" s="185" t="s">
        <v>155</v>
      </c>
      <c r="D347" s="17" t="s">
        <v>312</v>
      </c>
      <c r="E347" s="18">
        <v>41507</v>
      </c>
      <c r="F347" s="61" t="s">
        <v>39</v>
      </c>
      <c r="G347" s="428" t="s">
        <v>127</v>
      </c>
      <c r="H347" s="216" t="s">
        <v>160</v>
      </c>
      <c r="I347" s="56" t="s">
        <v>93</v>
      </c>
      <c r="J347" s="68">
        <v>27000</v>
      </c>
      <c r="K347" s="15">
        <v>2750</v>
      </c>
      <c r="L347" s="15">
        <v>74250000</v>
      </c>
      <c r="M347" s="15">
        <v>0</v>
      </c>
      <c r="N347" s="15">
        <v>0</v>
      </c>
      <c r="O347" s="15" t="str">
        <f>IF(AND(A347='BANG KE NL'!$M$11,TH!C347="NL",LEFT(D347,1)="N"),"x","")</f>
        <v/>
      </c>
    </row>
    <row r="348" spans="1:15" hidden="1">
      <c r="A348" s="24">
        <f t="shared" si="8"/>
        <v>8</v>
      </c>
      <c r="B348" s="188" t="str">
        <f>IF(AND(MONTH(E348)='IN-NX'!$J$5,'IN-NX'!$D$7=(D348&amp;"/"&amp;C348)),"x","")</f>
        <v/>
      </c>
      <c r="C348" s="185" t="s">
        <v>155</v>
      </c>
      <c r="D348" s="17" t="s">
        <v>432</v>
      </c>
      <c r="E348" s="18">
        <v>41509</v>
      </c>
      <c r="F348" s="61" t="s">
        <v>39</v>
      </c>
      <c r="G348" s="460" t="s">
        <v>158</v>
      </c>
      <c r="H348" s="216" t="s">
        <v>90</v>
      </c>
      <c r="I348" s="56" t="s">
        <v>160</v>
      </c>
      <c r="J348" s="68">
        <v>27000</v>
      </c>
      <c r="K348" s="15">
        <v>0</v>
      </c>
      <c r="L348" s="15">
        <v>0</v>
      </c>
      <c r="M348" s="15">
        <v>10000</v>
      </c>
      <c r="N348" s="15">
        <v>270000000</v>
      </c>
      <c r="O348" s="15" t="str">
        <f>IF(AND(A348='BANG KE NL'!$M$11,TH!C348="NL",LEFT(D348,1)="N"),"x","")</f>
        <v/>
      </c>
    </row>
    <row r="349" spans="1:15" hidden="1">
      <c r="A349" s="24">
        <f t="shared" si="8"/>
        <v>11</v>
      </c>
      <c r="B349" s="188" t="str">
        <f>IF(AND(MONTH(E349)='IN-NX'!$J$5,'IN-NX'!$D$7=(D349&amp;"/"&amp;C349)),"x","")</f>
        <v/>
      </c>
      <c r="C349" s="185" t="s">
        <v>155</v>
      </c>
      <c r="D349" s="17" t="s">
        <v>148</v>
      </c>
      <c r="E349" s="18">
        <v>41580</v>
      </c>
      <c r="F349" s="61" t="s">
        <v>39</v>
      </c>
      <c r="G349" s="19" t="s">
        <v>307</v>
      </c>
      <c r="H349" s="216" t="s">
        <v>160</v>
      </c>
      <c r="I349" s="56" t="s">
        <v>93</v>
      </c>
      <c r="J349" s="68">
        <v>27000</v>
      </c>
      <c r="K349" s="15">
        <v>5314</v>
      </c>
      <c r="L349" s="15">
        <v>143478000</v>
      </c>
      <c r="M349" s="15">
        <v>0</v>
      </c>
      <c r="N349" s="15">
        <v>0</v>
      </c>
      <c r="O349" s="15" t="str">
        <f>IF(AND(A349='BANG KE NL'!$M$11,TH!C349="NL",LEFT(D349,1)="N"),"x","")</f>
        <v/>
      </c>
    </row>
    <row r="350" spans="1:15" hidden="1">
      <c r="A350" s="24">
        <f t="shared" si="8"/>
        <v>11</v>
      </c>
      <c r="B350" s="188" t="str">
        <f>IF(AND(MONTH(E350)='IN-NX'!$J$5,'IN-NX'!$D$7=(D350&amp;"/"&amp;C350)),"x","")</f>
        <v/>
      </c>
      <c r="C350" s="185" t="s">
        <v>155</v>
      </c>
      <c r="D350" s="17" t="s">
        <v>161</v>
      </c>
      <c r="E350" s="18">
        <v>41580</v>
      </c>
      <c r="F350" s="61" t="s">
        <v>39</v>
      </c>
      <c r="G350" s="429" t="s">
        <v>308</v>
      </c>
      <c r="H350" s="216" t="s">
        <v>160</v>
      </c>
      <c r="I350" s="56" t="s">
        <v>93</v>
      </c>
      <c r="J350" s="68">
        <v>27000</v>
      </c>
      <c r="K350" s="15">
        <v>4186</v>
      </c>
      <c r="L350" s="15">
        <v>113022000</v>
      </c>
      <c r="M350" s="15">
        <v>0</v>
      </c>
      <c r="N350" s="15">
        <v>0</v>
      </c>
      <c r="O350" s="15" t="str">
        <f>IF(AND(A350='BANG KE NL'!$M$11,TH!C350="NL",LEFT(D350,1)="N"),"x","")</f>
        <v/>
      </c>
    </row>
    <row r="351" spans="1:15" hidden="1">
      <c r="A351" s="24">
        <f t="shared" si="8"/>
        <v>11</v>
      </c>
      <c r="B351" s="188" t="str">
        <f>IF(AND(MONTH(E351)='IN-NX'!$J$5,'IN-NX'!$D$7=(D351&amp;"/"&amp;C351)),"x","")</f>
        <v/>
      </c>
      <c r="C351" s="185" t="s">
        <v>155</v>
      </c>
      <c r="D351" s="17" t="s">
        <v>150</v>
      </c>
      <c r="E351" s="18">
        <v>41580</v>
      </c>
      <c r="F351" s="61" t="s">
        <v>39</v>
      </c>
      <c r="G351" s="460" t="s">
        <v>158</v>
      </c>
      <c r="H351" s="216" t="s">
        <v>90</v>
      </c>
      <c r="I351" s="56" t="s">
        <v>160</v>
      </c>
      <c r="J351" s="68">
        <v>27000</v>
      </c>
      <c r="K351" s="15">
        <v>0</v>
      </c>
      <c r="L351" s="15">
        <v>0</v>
      </c>
      <c r="M351" s="15">
        <v>9500</v>
      </c>
      <c r="N351" s="15">
        <v>256500000</v>
      </c>
      <c r="O351" s="15" t="str">
        <f>IF(AND(A351='BANG KE NL'!$M$11,TH!C351="NL",LEFT(D351,1)="N"),"x","")</f>
        <v/>
      </c>
    </row>
    <row r="352" spans="1:15" hidden="1">
      <c r="A352" s="24">
        <f t="shared" si="8"/>
        <v>12</v>
      </c>
      <c r="B352" s="188" t="str">
        <f>IF(AND(MONTH(E352)='IN-NX'!$J$5,'IN-NX'!$D$7=(D352&amp;"/"&amp;C352)),"x","")</f>
        <v/>
      </c>
      <c r="C352" s="185" t="s">
        <v>155</v>
      </c>
      <c r="D352" s="17" t="s">
        <v>165</v>
      </c>
      <c r="E352" s="18">
        <v>41609</v>
      </c>
      <c r="F352" s="61" t="s">
        <v>39</v>
      </c>
      <c r="G352" s="428" t="s">
        <v>408</v>
      </c>
      <c r="H352" s="216" t="s">
        <v>160</v>
      </c>
      <c r="I352" s="56" t="s">
        <v>93</v>
      </c>
      <c r="J352" s="68">
        <v>29500</v>
      </c>
      <c r="K352" s="15">
        <v>4895</v>
      </c>
      <c r="L352" s="15">
        <v>144402500</v>
      </c>
      <c r="M352" s="15">
        <v>0</v>
      </c>
      <c r="N352" s="15">
        <v>0</v>
      </c>
      <c r="O352" s="15" t="str">
        <f>IF(AND(A352='BANG KE NL'!$M$11,TH!C352="NL",LEFT(D352,1)="N"),"x","")</f>
        <v>x</v>
      </c>
    </row>
    <row r="353" spans="1:15" hidden="1">
      <c r="A353" s="24">
        <f t="shared" si="8"/>
        <v>12</v>
      </c>
      <c r="B353" s="188" t="str">
        <f>IF(AND(MONTH(E353)='IN-NX'!$J$5,'IN-NX'!$D$7=(D353&amp;"/"&amp;C353)),"x","")</f>
        <v/>
      </c>
      <c r="C353" s="185" t="s">
        <v>155</v>
      </c>
      <c r="D353" s="17" t="s">
        <v>166</v>
      </c>
      <c r="E353" s="18">
        <v>41609</v>
      </c>
      <c r="F353" s="61" t="s">
        <v>39</v>
      </c>
      <c r="G353" s="428" t="s">
        <v>317</v>
      </c>
      <c r="H353" s="216" t="s">
        <v>160</v>
      </c>
      <c r="I353" s="56" t="s">
        <v>93</v>
      </c>
      <c r="J353" s="68">
        <v>29500</v>
      </c>
      <c r="K353" s="15">
        <v>5236</v>
      </c>
      <c r="L353" s="15">
        <v>154462000</v>
      </c>
      <c r="M353" s="15">
        <v>0</v>
      </c>
      <c r="N353" s="15">
        <v>0</v>
      </c>
      <c r="O353" s="15" t="str">
        <f>IF(AND(A353='BANG KE NL'!$M$11,TH!C353="NL",LEFT(D353,1)="N"),"x","")</f>
        <v>x</v>
      </c>
    </row>
    <row r="354" spans="1:15" hidden="1">
      <c r="A354" s="24">
        <f t="shared" si="8"/>
        <v>12</v>
      </c>
      <c r="B354" s="188" t="str">
        <f>IF(AND(MONTH(E354)='IN-NX'!$J$5,'IN-NX'!$D$7=(D354&amp;"/"&amp;C354)),"x","")</f>
        <v/>
      </c>
      <c r="C354" s="185" t="s">
        <v>155</v>
      </c>
      <c r="D354" s="17" t="s">
        <v>167</v>
      </c>
      <c r="E354" s="18">
        <v>41609</v>
      </c>
      <c r="F354" s="61" t="s">
        <v>39</v>
      </c>
      <c r="G354" s="19" t="s">
        <v>409</v>
      </c>
      <c r="H354" s="216" t="s">
        <v>160</v>
      </c>
      <c r="I354" s="56" t="s">
        <v>93</v>
      </c>
      <c r="J354" s="68">
        <v>29500</v>
      </c>
      <c r="K354" s="15">
        <v>5741</v>
      </c>
      <c r="L354" s="15">
        <v>169359500</v>
      </c>
      <c r="M354" s="15">
        <v>0</v>
      </c>
      <c r="N354" s="15">
        <v>0</v>
      </c>
      <c r="O354" s="15" t="str">
        <f>IF(AND(A354='BANG KE NL'!$M$11,TH!C354="NL",LEFT(D354,1)="N"),"x","")</f>
        <v>x</v>
      </c>
    </row>
    <row r="355" spans="1:15" hidden="1">
      <c r="A355" s="24">
        <f t="shared" si="8"/>
        <v>12</v>
      </c>
      <c r="B355" s="188" t="str">
        <f>IF(AND(MONTH(E355)='IN-NX'!$J$5,'IN-NX'!$D$7=(D355&amp;"/"&amp;C355)),"x","")</f>
        <v/>
      </c>
      <c r="C355" s="185" t="s">
        <v>155</v>
      </c>
      <c r="D355" s="17" t="s">
        <v>150</v>
      </c>
      <c r="E355" s="18">
        <v>41610</v>
      </c>
      <c r="F355" s="61" t="s">
        <v>39</v>
      </c>
      <c r="G355" s="460" t="s">
        <v>158</v>
      </c>
      <c r="H355" s="216" t="s">
        <v>90</v>
      </c>
      <c r="I355" s="56" t="s">
        <v>160</v>
      </c>
      <c r="J355" s="68">
        <v>29500</v>
      </c>
      <c r="K355" s="15">
        <v>0</v>
      </c>
      <c r="L355" s="15">
        <v>0</v>
      </c>
      <c r="M355" s="15">
        <v>15872</v>
      </c>
      <c r="N355" s="15">
        <v>468224000</v>
      </c>
      <c r="O355" s="15" t="str">
        <f>IF(AND(A355='BANG KE NL'!$M$11,TH!C355="NL",LEFT(D355,1)="N"),"x","")</f>
        <v/>
      </c>
    </row>
    <row r="356" spans="1:15" hidden="1">
      <c r="A356" s="24">
        <f t="shared" si="8"/>
        <v>12</v>
      </c>
      <c r="B356" s="188" t="str">
        <f>IF(AND(MONTH(E356)='IN-NX'!$J$5,'IN-NX'!$D$7=(D356&amp;"/"&amp;C356)),"x","")</f>
        <v/>
      </c>
      <c r="C356" s="185" t="s">
        <v>155</v>
      </c>
      <c r="D356" s="17" t="s">
        <v>176</v>
      </c>
      <c r="E356" s="18">
        <v>41611</v>
      </c>
      <c r="F356" s="61" t="s">
        <v>39</v>
      </c>
      <c r="G356" s="19" t="s">
        <v>127</v>
      </c>
      <c r="H356" s="216" t="s">
        <v>160</v>
      </c>
      <c r="I356" s="56" t="s">
        <v>93</v>
      </c>
      <c r="J356" s="68">
        <v>29500</v>
      </c>
      <c r="K356" s="15">
        <v>5874</v>
      </c>
      <c r="L356" s="15">
        <v>173283000</v>
      </c>
      <c r="M356" s="15">
        <v>0</v>
      </c>
      <c r="N356" s="15">
        <v>0</v>
      </c>
      <c r="O356" s="15" t="str">
        <f>IF(AND(A356='BANG KE NL'!$M$11,TH!C356="NL",LEFT(D356,1)="N"),"x","")</f>
        <v>x</v>
      </c>
    </row>
    <row r="357" spans="1:15" hidden="1">
      <c r="A357" s="24">
        <f t="shared" si="8"/>
        <v>12</v>
      </c>
      <c r="B357" s="188" t="str">
        <f>IF(AND(MONTH(E357)='IN-NX'!$J$5,'IN-NX'!$D$7=(D357&amp;"/"&amp;C357)),"x","")</f>
        <v/>
      </c>
      <c r="C357" s="185" t="s">
        <v>155</v>
      </c>
      <c r="D357" s="17" t="s">
        <v>177</v>
      </c>
      <c r="E357" s="18">
        <v>41611</v>
      </c>
      <c r="F357" s="61" t="s">
        <v>39</v>
      </c>
      <c r="G357" s="428" t="s">
        <v>309</v>
      </c>
      <c r="H357" s="216" t="s">
        <v>160</v>
      </c>
      <c r="I357" s="56" t="s">
        <v>93</v>
      </c>
      <c r="J357" s="15">
        <v>29500</v>
      </c>
      <c r="K357" s="15">
        <v>5487</v>
      </c>
      <c r="L357" s="15">
        <v>161866500</v>
      </c>
      <c r="M357" s="15">
        <v>0</v>
      </c>
      <c r="N357" s="15">
        <v>0</v>
      </c>
      <c r="O357" s="15" t="str">
        <f>IF(AND(A357='BANG KE NL'!$M$11,TH!C357="NL",LEFT(D357,1)="N"),"x","")</f>
        <v>x</v>
      </c>
    </row>
    <row r="358" spans="1:15" hidden="1">
      <c r="A358" s="24">
        <f t="shared" si="8"/>
        <v>12</v>
      </c>
      <c r="B358" s="188" t="str">
        <f>IF(AND(MONTH(E358)='IN-NX'!$J$5,'IN-NX'!$D$7=(D358&amp;"/"&amp;C358)),"x","")</f>
        <v/>
      </c>
      <c r="C358" s="185" t="s">
        <v>155</v>
      </c>
      <c r="D358" s="17" t="s">
        <v>178</v>
      </c>
      <c r="E358" s="18">
        <v>41611</v>
      </c>
      <c r="F358" s="61" t="s">
        <v>39</v>
      </c>
      <c r="G358" s="429" t="s">
        <v>131</v>
      </c>
      <c r="H358" s="216" t="s">
        <v>160</v>
      </c>
      <c r="I358" s="56" t="s">
        <v>93</v>
      </c>
      <c r="J358" s="15">
        <v>29500</v>
      </c>
      <c r="K358" s="15">
        <v>5420</v>
      </c>
      <c r="L358" s="15">
        <v>159890000</v>
      </c>
      <c r="M358" s="15">
        <v>0</v>
      </c>
      <c r="N358" s="15">
        <v>0</v>
      </c>
      <c r="O358" s="15" t="str">
        <f>IF(AND(A358='BANG KE NL'!$M$11,TH!C358="NL",LEFT(D358,1)="N"),"x","")</f>
        <v>x</v>
      </c>
    </row>
    <row r="359" spans="1:15" hidden="1">
      <c r="A359" s="24">
        <f t="shared" si="8"/>
        <v>12</v>
      </c>
      <c r="B359" s="188" t="str">
        <f>IF(AND(MONTH(E359)='IN-NX'!$J$5,'IN-NX'!$D$7=(D359&amp;"/"&amp;C359)),"x","")</f>
        <v/>
      </c>
      <c r="C359" s="185" t="s">
        <v>155</v>
      </c>
      <c r="D359" s="17" t="s">
        <v>152</v>
      </c>
      <c r="E359" s="18">
        <v>41612</v>
      </c>
      <c r="F359" s="61" t="s">
        <v>39</v>
      </c>
      <c r="G359" s="460" t="s">
        <v>158</v>
      </c>
      <c r="H359" s="216" t="s">
        <v>90</v>
      </c>
      <c r="I359" s="56" t="s">
        <v>160</v>
      </c>
      <c r="J359" s="15">
        <v>29500</v>
      </c>
      <c r="K359" s="15">
        <v>0</v>
      </c>
      <c r="L359" s="15">
        <v>0</v>
      </c>
      <c r="M359" s="15">
        <v>11361</v>
      </c>
      <c r="N359" s="15">
        <v>335149500</v>
      </c>
      <c r="O359" s="15" t="str">
        <f>IF(AND(A359='BANG KE NL'!$M$11,TH!C359="NL",LEFT(D359,1)="N"),"x","")</f>
        <v/>
      </c>
    </row>
    <row r="360" spans="1:15" hidden="1">
      <c r="A360" s="24">
        <f t="shared" si="8"/>
        <v>12</v>
      </c>
      <c r="B360" s="188" t="str">
        <f>IF(AND(MONTH(E360)='IN-NX'!$J$5,'IN-NX'!$D$7=(D360&amp;"/"&amp;C360)),"x","")</f>
        <v/>
      </c>
      <c r="C360" s="185" t="s">
        <v>155</v>
      </c>
      <c r="D360" s="17" t="s">
        <v>187</v>
      </c>
      <c r="E360" s="18">
        <v>41613</v>
      </c>
      <c r="F360" s="61" t="s">
        <v>39</v>
      </c>
      <c r="G360" s="429" t="s">
        <v>132</v>
      </c>
      <c r="H360" s="216" t="s">
        <v>160</v>
      </c>
      <c r="I360" s="56" t="s">
        <v>93</v>
      </c>
      <c r="J360" s="15">
        <v>29500</v>
      </c>
      <c r="K360" s="15">
        <v>4921</v>
      </c>
      <c r="L360" s="15">
        <v>145169500</v>
      </c>
      <c r="M360" s="15">
        <v>0</v>
      </c>
      <c r="N360" s="15">
        <v>0</v>
      </c>
      <c r="O360" s="15" t="str">
        <f>IF(AND(A360='BANG KE NL'!$M$11,TH!C360="NL",LEFT(D360,1)="N"),"x","")</f>
        <v>x</v>
      </c>
    </row>
    <row r="361" spans="1:15" hidden="1">
      <c r="A361" s="24">
        <f t="shared" si="8"/>
        <v>12</v>
      </c>
      <c r="B361" s="188" t="str">
        <f>IF(AND(MONTH(E361)='IN-NX'!$J$5,'IN-NX'!$D$7=(D361&amp;"/"&amp;C361)),"x","")</f>
        <v/>
      </c>
      <c r="C361" s="185" t="s">
        <v>155</v>
      </c>
      <c r="D361" s="17" t="s">
        <v>188</v>
      </c>
      <c r="E361" s="69">
        <v>41613</v>
      </c>
      <c r="F361" s="61" t="s">
        <v>39</v>
      </c>
      <c r="G361" s="428" t="s">
        <v>133</v>
      </c>
      <c r="H361" s="216" t="s">
        <v>160</v>
      </c>
      <c r="I361" s="56" t="s">
        <v>93</v>
      </c>
      <c r="J361" s="15">
        <v>29500</v>
      </c>
      <c r="K361" s="15">
        <v>4527</v>
      </c>
      <c r="L361" s="15">
        <v>133546500</v>
      </c>
      <c r="M361" s="15">
        <v>0</v>
      </c>
      <c r="N361" s="15">
        <v>0</v>
      </c>
      <c r="O361" s="15" t="str">
        <f>IF(AND(A361='BANG KE NL'!$M$11,TH!C361="NL",LEFT(D361,1)="N"),"x","")</f>
        <v>x</v>
      </c>
    </row>
    <row r="362" spans="1:15" hidden="1">
      <c r="A362" s="24">
        <f t="shared" si="8"/>
        <v>12</v>
      </c>
      <c r="B362" s="188" t="str">
        <f>IF(AND(MONTH(E362)='IN-NX'!$J$5,'IN-NX'!$D$7=(D362&amp;"/"&amp;C362)),"x","")</f>
        <v/>
      </c>
      <c r="C362" s="185" t="s">
        <v>155</v>
      </c>
      <c r="D362" s="17" t="s">
        <v>189</v>
      </c>
      <c r="E362" s="69">
        <v>41613</v>
      </c>
      <c r="F362" s="61" t="s">
        <v>39</v>
      </c>
      <c r="G362" s="428" t="s">
        <v>302</v>
      </c>
      <c r="H362" s="216" t="s">
        <v>160</v>
      </c>
      <c r="I362" s="56" t="s">
        <v>93</v>
      </c>
      <c r="J362" s="15">
        <v>29500</v>
      </c>
      <c r="K362" s="15">
        <v>4756</v>
      </c>
      <c r="L362" s="15">
        <v>140302000</v>
      </c>
      <c r="M362" s="15">
        <v>0</v>
      </c>
      <c r="N362" s="15">
        <v>0</v>
      </c>
      <c r="O362" s="15" t="str">
        <f>IF(AND(A362='BANG KE NL'!$M$11,TH!C362="NL",LEFT(D362,1)="N"),"x","")</f>
        <v>x</v>
      </c>
    </row>
    <row r="363" spans="1:15" hidden="1">
      <c r="A363" s="24">
        <f t="shared" si="8"/>
        <v>12</v>
      </c>
      <c r="B363" s="188" t="str">
        <f>IF(AND(MONTH(E363)='IN-NX'!$J$5,'IN-NX'!$D$7=(D363&amp;"/"&amp;C363)),"x","")</f>
        <v/>
      </c>
      <c r="C363" s="185" t="s">
        <v>155</v>
      </c>
      <c r="D363" s="17" t="s">
        <v>159</v>
      </c>
      <c r="E363" s="69">
        <v>41613</v>
      </c>
      <c r="F363" s="61" t="s">
        <v>39</v>
      </c>
      <c r="G363" s="460" t="s">
        <v>158</v>
      </c>
      <c r="H363" s="216" t="s">
        <v>90</v>
      </c>
      <c r="I363" s="56" t="s">
        <v>160</v>
      </c>
      <c r="J363" s="15">
        <v>29500</v>
      </c>
      <c r="K363" s="15">
        <v>0</v>
      </c>
      <c r="L363" s="15">
        <v>0</v>
      </c>
      <c r="M363" s="15">
        <v>10341</v>
      </c>
      <c r="N363" s="15">
        <v>305059500</v>
      </c>
      <c r="O363" s="15" t="str">
        <f>IF(AND(A363='BANG KE NL'!$M$11,TH!C363="NL",LEFT(D363,1)="N"),"x","")</f>
        <v/>
      </c>
    </row>
    <row r="364" spans="1:15" hidden="1">
      <c r="A364" s="24">
        <f t="shared" si="8"/>
        <v>12</v>
      </c>
      <c r="B364" s="188" t="str">
        <f>IF(AND(MONTH(E364)='IN-NX'!$J$5,'IN-NX'!$D$7=(D364&amp;"/"&amp;C364)),"x","")</f>
        <v/>
      </c>
      <c r="C364" s="185" t="s">
        <v>155</v>
      </c>
      <c r="D364" s="17" t="s">
        <v>190</v>
      </c>
      <c r="E364" s="69">
        <v>41614</v>
      </c>
      <c r="F364" s="61" t="s">
        <v>39</v>
      </c>
      <c r="G364" s="19" t="s">
        <v>128</v>
      </c>
      <c r="H364" s="216" t="s">
        <v>160</v>
      </c>
      <c r="I364" s="56" t="s">
        <v>93</v>
      </c>
      <c r="J364" s="15">
        <v>29500</v>
      </c>
      <c r="K364" s="15">
        <v>4751</v>
      </c>
      <c r="L364" s="15">
        <v>140154500</v>
      </c>
      <c r="M364" s="15">
        <v>0</v>
      </c>
      <c r="N364" s="15">
        <v>0</v>
      </c>
      <c r="O364" s="15" t="str">
        <f>IF(AND(A364='BANG KE NL'!$M$11,TH!C364="NL",LEFT(D364,1)="N"),"x","")</f>
        <v>x</v>
      </c>
    </row>
    <row r="365" spans="1:15" hidden="1">
      <c r="A365" s="24">
        <f t="shared" si="8"/>
        <v>12</v>
      </c>
      <c r="B365" s="188" t="str">
        <f>IF(AND(MONTH(E365)='IN-NX'!$J$5,'IN-NX'!$D$7=(D365&amp;"/"&amp;C365)),"x","")</f>
        <v/>
      </c>
      <c r="C365" s="185" t="s">
        <v>155</v>
      </c>
      <c r="D365" s="17" t="s">
        <v>191</v>
      </c>
      <c r="E365" s="18">
        <v>41614</v>
      </c>
      <c r="F365" s="61" t="s">
        <v>39</v>
      </c>
      <c r="G365" s="19" t="s">
        <v>307</v>
      </c>
      <c r="H365" s="216" t="s">
        <v>160</v>
      </c>
      <c r="I365" s="56" t="s">
        <v>93</v>
      </c>
      <c r="J365" s="15">
        <v>29500</v>
      </c>
      <c r="K365" s="15">
        <v>4814</v>
      </c>
      <c r="L365" s="15">
        <v>142013000</v>
      </c>
      <c r="M365" s="15">
        <v>0</v>
      </c>
      <c r="N365" s="15">
        <v>0</v>
      </c>
      <c r="O365" s="15" t="str">
        <f>IF(AND(A365='BANG KE NL'!$M$11,TH!C365="NL",LEFT(D365,1)="N"),"x","")</f>
        <v>x</v>
      </c>
    </row>
    <row r="366" spans="1:15" hidden="1">
      <c r="A366" s="24">
        <f t="shared" si="8"/>
        <v>12</v>
      </c>
      <c r="B366" s="188" t="str">
        <f>IF(AND(MONTH(E366)='IN-NX'!$J$5,'IN-NX'!$D$7=(D366&amp;"/"&amp;C366)),"x","")</f>
        <v/>
      </c>
      <c r="C366" s="185" t="s">
        <v>155</v>
      </c>
      <c r="D366" s="17" t="s">
        <v>192</v>
      </c>
      <c r="E366" s="69">
        <v>41614</v>
      </c>
      <c r="F366" s="61" t="s">
        <v>39</v>
      </c>
      <c r="G366" s="19" t="s">
        <v>308</v>
      </c>
      <c r="H366" s="216" t="s">
        <v>160</v>
      </c>
      <c r="I366" s="56" t="s">
        <v>93</v>
      </c>
      <c r="J366" s="15">
        <v>29500</v>
      </c>
      <c r="K366" s="15">
        <v>4886</v>
      </c>
      <c r="L366" s="15">
        <v>144137000</v>
      </c>
      <c r="M366" s="15">
        <v>0</v>
      </c>
      <c r="N366" s="15">
        <v>0</v>
      </c>
      <c r="O366" s="15" t="str">
        <f>IF(AND(A366='BANG KE NL'!$M$11,TH!C366="NL",LEFT(D366,1)="N"),"x","")</f>
        <v>x</v>
      </c>
    </row>
    <row r="367" spans="1:15" hidden="1">
      <c r="A367" s="24">
        <f t="shared" si="8"/>
        <v>12</v>
      </c>
      <c r="B367" s="188" t="str">
        <f>IF(AND(MONTH(E367)='IN-NX'!$J$5,'IN-NX'!$D$7=(D367&amp;"/"&amp;C367)),"x","")</f>
        <v/>
      </c>
      <c r="C367" s="185" t="s">
        <v>155</v>
      </c>
      <c r="D367" s="17" t="s">
        <v>197</v>
      </c>
      <c r="E367" s="69">
        <v>41614</v>
      </c>
      <c r="F367" s="61" t="s">
        <v>39</v>
      </c>
      <c r="G367" s="460" t="s">
        <v>158</v>
      </c>
      <c r="H367" s="216" t="s">
        <v>90</v>
      </c>
      <c r="I367" s="56" t="s">
        <v>160</v>
      </c>
      <c r="J367" s="15">
        <v>29500</v>
      </c>
      <c r="K367" s="15">
        <v>0</v>
      </c>
      <c r="L367" s="15">
        <v>0</v>
      </c>
      <c r="M367" s="15">
        <v>9283</v>
      </c>
      <c r="N367" s="15">
        <v>273848500</v>
      </c>
      <c r="O367" s="15" t="str">
        <f>IF(AND(A367='BANG KE NL'!$M$11,TH!C367="NL",LEFT(D367,1)="N"),"x","")</f>
        <v/>
      </c>
    </row>
    <row r="368" spans="1:15" hidden="1">
      <c r="A368" s="24">
        <f t="shared" si="8"/>
        <v>12</v>
      </c>
      <c r="B368" s="188" t="str">
        <f>IF(AND(MONTH(E368)='IN-NX'!$J$5,'IN-NX'!$D$7=(D368&amp;"/"&amp;C368)),"x","")</f>
        <v/>
      </c>
      <c r="C368" s="185" t="s">
        <v>155</v>
      </c>
      <c r="D368" s="17" t="s">
        <v>304</v>
      </c>
      <c r="E368" s="69">
        <v>41615</v>
      </c>
      <c r="F368" s="61" t="s">
        <v>39</v>
      </c>
      <c r="G368" s="429" t="s">
        <v>129</v>
      </c>
      <c r="H368" s="216" t="s">
        <v>160</v>
      </c>
      <c r="I368" s="56" t="s">
        <v>93</v>
      </c>
      <c r="J368" s="15">
        <v>29500</v>
      </c>
      <c r="K368" s="15">
        <v>4692</v>
      </c>
      <c r="L368" s="15">
        <v>138414000</v>
      </c>
      <c r="M368" s="15">
        <v>0</v>
      </c>
      <c r="N368" s="15">
        <v>0</v>
      </c>
      <c r="O368" s="15" t="str">
        <f>IF(AND(A368='BANG KE NL'!$M$11,TH!C368="NL",LEFT(D368,1)="N"),"x","")</f>
        <v>x</v>
      </c>
    </row>
    <row r="369" spans="1:15" hidden="1">
      <c r="A369" s="24">
        <f t="shared" si="8"/>
        <v>12</v>
      </c>
      <c r="B369" s="188" t="str">
        <f>IF(AND(MONTH(E369)='IN-NX'!$J$5,'IN-NX'!$D$7=(D369&amp;"/"&amp;C369)),"x","")</f>
        <v/>
      </c>
      <c r="C369" s="185" t="s">
        <v>155</v>
      </c>
      <c r="D369" s="17" t="s">
        <v>305</v>
      </c>
      <c r="E369" s="69">
        <v>41615</v>
      </c>
      <c r="F369" s="61" t="s">
        <v>39</v>
      </c>
      <c r="G369" s="19" t="s">
        <v>130</v>
      </c>
      <c r="H369" s="216" t="s">
        <v>160</v>
      </c>
      <c r="I369" s="56" t="s">
        <v>93</v>
      </c>
      <c r="J369" s="15">
        <v>29500</v>
      </c>
      <c r="K369" s="15">
        <v>1660</v>
      </c>
      <c r="L369" s="15">
        <v>48970000</v>
      </c>
      <c r="M369" s="15">
        <v>0</v>
      </c>
      <c r="N369" s="15">
        <v>0</v>
      </c>
      <c r="O369" s="15" t="str">
        <f>IF(AND(A369='BANG KE NL'!$M$11,TH!C369="NL",LEFT(D369,1)="N"),"x","")</f>
        <v>x</v>
      </c>
    </row>
    <row r="370" spans="1:15" hidden="1">
      <c r="A370" s="24">
        <f t="shared" si="8"/>
        <v>12</v>
      </c>
      <c r="B370" s="188" t="str">
        <f>IF(AND(MONTH(E370)='IN-NX'!$J$5,'IN-NX'!$D$7=(D370&amp;"/"&amp;C370)),"x","")</f>
        <v/>
      </c>
      <c r="C370" s="185" t="s">
        <v>155</v>
      </c>
      <c r="D370" s="17" t="s">
        <v>198</v>
      </c>
      <c r="E370" s="69">
        <v>41615</v>
      </c>
      <c r="F370" s="61" t="s">
        <v>39</v>
      </c>
      <c r="G370" s="460" t="s">
        <v>158</v>
      </c>
      <c r="H370" s="216" t="s">
        <v>90</v>
      </c>
      <c r="I370" s="56" t="s">
        <v>160</v>
      </c>
      <c r="J370" s="15">
        <v>29500</v>
      </c>
      <c r="K370" s="15">
        <v>0</v>
      </c>
      <c r="L370" s="15">
        <v>0</v>
      </c>
      <c r="M370" s="15">
        <v>9565</v>
      </c>
      <c r="N370" s="15">
        <v>282167500</v>
      </c>
      <c r="O370" s="15" t="str">
        <f>IF(AND(A370='BANG KE NL'!$M$11,TH!C370="NL",LEFT(D370,1)="N"),"x","")</f>
        <v/>
      </c>
    </row>
    <row r="371" spans="1:15" hidden="1">
      <c r="A371" s="24">
        <f t="shared" si="8"/>
        <v>12</v>
      </c>
      <c r="B371" s="188" t="str">
        <f>IF(AND(MONTH(E371)='IN-NX'!$J$5,'IN-NX'!$D$7=(D371&amp;"/"&amp;C371)),"x","")</f>
        <v/>
      </c>
      <c r="C371" s="185" t="s">
        <v>155</v>
      </c>
      <c r="D371" s="17" t="s">
        <v>199</v>
      </c>
      <c r="E371" s="69">
        <v>41616</v>
      </c>
      <c r="F371" s="61" t="s">
        <v>39</v>
      </c>
      <c r="G371" s="460" t="s">
        <v>158</v>
      </c>
      <c r="H371" s="216" t="s">
        <v>90</v>
      </c>
      <c r="I371" s="56" t="s">
        <v>160</v>
      </c>
      <c r="J371" s="15">
        <v>29500</v>
      </c>
      <c r="K371" s="15">
        <v>0</v>
      </c>
      <c r="L371" s="15">
        <v>0</v>
      </c>
      <c r="M371" s="15">
        <v>11238</v>
      </c>
      <c r="N371" s="15">
        <v>331521000</v>
      </c>
      <c r="O371" s="15" t="str">
        <f>IF(AND(A371='BANG KE NL'!$M$11,TH!C371="NL",LEFT(D371,1)="N"),"x","")</f>
        <v/>
      </c>
    </row>
    <row r="372" spans="1:15" hidden="1">
      <c r="A372" s="24">
        <f t="shared" si="8"/>
        <v>4</v>
      </c>
      <c r="B372" s="188" t="str">
        <f>IF(AND(MONTH(E372)='IN-NX'!$J$5,'IN-NX'!$D$7=(D372&amp;"/"&amp;C372)),"x","")</f>
        <v/>
      </c>
      <c r="C372" s="185" t="s">
        <v>155</v>
      </c>
      <c r="D372" s="17" t="s">
        <v>174</v>
      </c>
      <c r="E372" s="69">
        <v>41373</v>
      </c>
      <c r="F372" s="19" t="s">
        <v>354</v>
      </c>
      <c r="G372" s="428" t="s">
        <v>408</v>
      </c>
      <c r="H372" s="216" t="s">
        <v>160</v>
      </c>
      <c r="I372" s="56" t="s">
        <v>93</v>
      </c>
      <c r="J372" s="15">
        <v>17500</v>
      </c>
      <c r="K372" s="15">
        <v>5895</v>
      </c>
      <c r="L372" s="15">
        <v>103162500</v>
      </c>
      <c r="M372" s="15">
        <v>0</v>
      </c>
      <c r="N372" s="15">
        <v>0</v>
      </c>
      <c r="O372" s="15" t="str">
        <f>IF(AND(A372='BANG KE NL'!$M$11,TH!C372="NL",LEFT(D372,1)="N"),"x","")</f>
        <v/>
      </c>
    </row>
    <row r="373" spans="1:15" hidden="1">
      <c r="A373" s="24">
        <f t="shared" si="8"/>
        <v>4</v>
      </c>
      <c r="B373" s="188" t="str">
        <f>IF(AND(MONTH(E373)='IN-NX'!$J$5,'IN-NX'!$D$7=(D373&amp;"/"&amp;C373)),"x","")</f>
        <v/>
      </c>
      <c r="C373" s="185" t="s">
        <v>155</v>
      </c>
      <c r="D373" s="17" t="s">
        <v>175</v>
      </c>
      <c r="E373" s="69">
        <v>41373</v>
      </c>
      <c r="F373" s="19" t="s">
        <v>354</v>
      </c>
      <c r="G373" s="428" t="s">
        <v>309</v>
      </c>
      <c r="H373" s="216" t="s">
        <v>160</v>
      </c>
      <c r="I373" s="56" t="s">
        <v>93</v>
      </c>
      <c r="J373" s="15">
        <v>17500</v>
      </c>
      <c r="K373" s="15">
        <v>5487</v>
      </c>
      <c r="L373" s="15">
        <v>96022500</v>
      </c>
      <c r="M373" s="15">
        <v>0</v>
      </c>
      <c r="N373" s="15">
        <v>0</v>
      </c>
      <c r="O373" s="15" t="str">
        <f>IF(AND(A373='BANG KE NL'!$M$11,TH!C373="NL",LEFT(D373,1)="N"),"x","")</f>
        <v/>
      </c>
    </row>
    <row r="374" spans="1:15" hidden="1">
      <c r="A374" s="24">
        <f t="shared" si="8"/>
        <v>4</v>
      </c>
      <c r="B374" s="188" t="str">
        <f>IF(AND(MONTH(E374)='IN-NX'!$J$5,'IN-NX'!$D$7=(D374&amp;"/"&amp;C374)),"x","")</f>
        <v/>
      </c>
      <c r="C374" s="185" t="s">
        <v>155</v>
      </c>
      <c r="D374" s="17" t="s">
        <v>176</v>
      </c>
      <c r="E374" s="69">
        <v>41373</v>
      </c>
      <c r="F374" s="19" t="s">
        <v>354</v>
      </c>
      <c r="G374" s="19" t="s">
        <v>302</v>
      </c>
      <c r="H374" s="216" t="s">
        <v>160</v>
      </c>
      <c r="I374" s="56" t="s">
        <v>93</v>
      </c>
      <c r="J374" s="15">
        <v>17500</v>
      </c>
      <c r="K374" s="15">
        <v>5356</v>
      </c>
      <c r="L374" s="15">
        <v>93730000</v>
      </c>
      <c r="M374" s="15">
        <v>0</v>
      </c>
      <c r="N374" s="15">
        <v>0</v>
      </c>
      <c r="O374" s="15" t="str">
        <f>IF(AND(A374='BANG KE NL'!$M$11,TH!C374="NL",LEFT(D374,1)="N"),"x","")</f>
        <v/>
      </c>
    </row>
    <row r="375" spans="1:15" hidden="1">
      <c r="A375" s="24">
        <f t="shared" si="8"/>
        <v>4</v>
      </c>
      <c r="B375" s="188" t="str">
        <f>IF(AND(MONTH(E375)='IN-NX'!$J$5,'IN-NX'!$D$7=(D375&amp;"/"&amp;C375)),"x","")</f>
        <v/>
      </c>
      <c r="C375" s="185" t="s">
        <v>155</v>
      </c>
      <c r="D375" s="17" t="s">
        <v>177</v>
      </c>
      <c r="E375" s="69">
        <v>41373</v>
      </c>
      <c r="F375" s="19" t="s">
        <v>354</v>
      </c>
      <c r="G375" s="19" t="s">
        <v>133</v>
      </c>
      <c r="H375" s="216" t="s">
        <v>160</v>
      </c>
      <c r="I375" s="56" t="s">
        <v>93</v>
      </c>
      <c r="J375" s="15">
        <v>17500</v>
      </c>
      <c r="K375" s="15">
        <v>5356</v>
      </c>
      <c r="L375" s="15">
        <v>93730000</v>
      </c>
      <c r="M375" s="15">
        <v>0</v>
      </c>
      <c r="N375" s="15">
        <v>0</v>
      </c>
      <c r="O375" s="15" t="str">
        <f>IF(AND(A375='BANG KE NL'!$M$11,TH!C375="NL",LEFT(D375,1)="N"),"x","")</f>
        <v/>
      </c>
    </row>
    <row r="376" spans="1:15" hidden="1">
      <c r="A376" s="24">
        <f t="shared" si="8"/>
        <v>4</v>
      </c>
      <c r="B376" s="188" t="str">
        <f>IF(AND(MONTH(E376)='IN-NX'!$J$5,'IN-NX'!$D$7=(D376&amp;"/"&amp;C376)),"x","")</f>
        <v/>
      </c>
      <c r="C376" s="185" t="s">
        <v>155</v>
      </c>
      <c r="D376" s="17" t="s">
        <v>178</v>
      </c>
      <c r="E376" s="69">
        <v>41373</v>
      </c>
      <c r="F376" s="19" t="s">
        <v>354</v>
      </c>
      <c r="G376" s="19" t="s">
        <v>128</v>
      </c>
      <c r="H376" s="216" t="s">
        <v>160</v>
      </c>
      <c r="I376" s="56" t="s">
        <v>93</v>
      </c>
      <c r="J376" s="15">
        <v>17500</v>
      </c>
      <c r="K376" s="15">
        <v>5720</v>
      </c>
      <c r="L376" s="15">
        <v>100100000</v>
      </c>
      <c r="M376" s="15">
        <v>0</v>
      </c>
      <c r="N376" s="15">
        <v>0</v>
      </c>
      <c r="O376" s="15" t="str">
        <f>IF(AND(A376='BANG KE NL'!$M$11,TH!C376="NL",LEFT(D376,1)="N"),"x","")</f>
        <v/>
      </c>
    </row>
    <row r="377" spans="1:15" hidden="1">
      <c r="A377" s="24">
        <f t="shared" si="8"/>
        <v>4</v>
      </c>
      <c r="B377" s="188" t="str">
        <f>IF(AND(MONTH(E377)='IN-NX'!$J$5,'IN-NX'!$D$7=(D377&amp;"/"&amp;C377)),"x","")</f>
        <v/>
      </c>
      <c r="C377" s="185" t="s">
        <v>155</v>
      </c>
      <c r="D377" s="185" t="s">
        <v>179</v>
      </c>
      <c r="E377" s="69">
        <v>41373</v>
      </c>
      <c r="F377" s="19" t="s">
        <v>354</v>
      </c>
      <c r="G377" s="19" t="s">
        <v>317</v>
      </c>
      <c r="H377" s="216" t="s">
        <v>160</v>
      </c>
      <c r="I377" s="56" t="s">
        <v>93</v>
      </c>
      <c r="J377" s="15">
        <v>17500</v>
      </c>
      <c r="K377" s="15">
        <v>5236</v>
      </c>
      <c r="L377" s="15">
        <v>91630000</v>
      </c>
      <c r="M377" s="15">
        <v>0</v>
      </c>
      <c r="N377" s="15">
        <v>0</v>
      </c>
      <c r="O377" s="15" t="str">
        <f>IF(AND(A377='BANG KE NL'!$M$11,TH!C377="NL",LEFT(D377,1)="N"),"x","")</f>
        <v/>
      </c>
    </row>
    <row r="378" spans="1:15" hidden="1">
      <c r="A378" s="24">
        <f t="shared" si="8"/>
        <v>4</v>
      </c>
      <c r="B378" s="188" t="str">
        <f>IF(AND(MONTH(E378)='IN-NX'!$J$5,'IN-NX'!$D$7=(D378&amp;"/"&amp;C378)),"x","")</f>
        <v/>
      </c>
      <c r="C378" s="185" t="s">
        <v>155</v>
      </c>
      <c r="D378" s="185" t="s">
        <v>180</v>
      </c>
      <c r="E378" s="69">
        <v>41373</v>
      </c>
      <c r="F378" s="19" t="s">
        <v>354</v>
      </c>
      <c r="G378" s="19" t="s">
        <v>409</v>
      </c>
      <c r="H378" s="216" t="s">
        <v>160</v>
      </c>
      <c r="I378" s="56" t="s">
        <v>93</v>
      </c>
      <c r="J378" s="15">
        <v>17500</v>
      </c>
      <c r="K378" s="15">
        <v>5741</v>
      </c>
      <c r="L378" s="15">
        <v>100467500</v>
      </c>
      <c r="M378" s="15">
        <v>0</v>
      </c>
      <c r="N378" s="15">
        <v>0</v>
      </c>
      <c r="O378" s="15" t="str">
        <f>IF(AND(A378='BANG KE NL'!$M$11,TH!C378="NL",LEFT(D378,1)="N"),"x","")</f>
        <v/>
      </c>
    </row>
    <row r="379" spans="1:15" hidden="1">
      <c r="A379" s="24">
        <f t="shared" si="8"/>
        <v>4</v>
      </c>
      <c r="B379" s="188" t="str">
        <f>IF(AND(MONTH(E379)='IN-NX'!$J$5,'IN-NX'!$D$7=(D379&amp;"/"&amp;C379)),"x","")</f>
        <v/>
      </c>
      <c r="C379" s="185" t="s">
        <v>155</v>
      </c>
      <c r="D379" s="185" t="s">
        <v>181</v>
      </c>
      <c r="E379" s="69">
        <v>41373</v>
      </c>
      <c r="F379" s="19" t="s">
        <v>354</v>
      </c>
      <c r="G379" s="19" t="s">
        <v>127</v>
      </c>
      <c r="H379" s="216" t="s">
        <v>160</v>
      </c>
      <c r="I379" s="56" t="s">
        <v>93</v>
      </c>
      <c r="J379" s="15">
        <v>17500</v>
      </c>
      <c r="K379" s="15">
        <v>5874</v>
      </c>
      <c r="L379" s="15">
        <v>102795000</v>
      </c>
      <c r="M379" s="15">
        <v>0</v>
      </c>
      <c r="N379" s="15">
        <v>0</v>
      </c>
      <c r="O379" s="15" t="str">
        <f>IF(AND(A379='BANG KE NL'!$M$11,TH!C379="NL",LEFT(D379,1)="N"),"x","")</f>
        <v/>
      </c>
    </row>
    <row r="380" spans="1:15" hidden="1">
      <c r="A380" s="24">
        <f t="shared" si="8"/>
        <v>4</v>
      </c>
      <c r="B380" s="188" t="str">
        <f>IF(AND(MONTH(E380)='IN-NX'!$J$5,'IN-NX'!$D$7=(D380&amp;"/"&amp;C380)),"x","")</f>
        <v/>
      </c>
      <c r="C380" s="185" t="s">
        <v>155</v>
      </c>
      <c r="D380" s="185" t="s">
        <v>182</v>
      </c>
      <c r="E380" s="69">
        <v>41373</v>
      </c>
      <c r="F380" s="19" t="s">
        <v>354</v>
      </c>
      <c r="G380" s="19" t="s">
        <v>308</v>
      </c>
      <c r="H380" s="216" t="s">
        <v>160</v>
      </c>
      <c r="I380" s="56" t="s">
        <v>93</v>
      </c>
      <c r="J380" s="15">
        <v>17500</v>
      </c>
      <c r="K380" s="15">
        <v>5798</v>
      </c>
      <c r="L380" s="15">
        <v>101465000</v>
      </c>
      <c r="M380" s="15">
        <v>0</v>
      </c>
      <c r="N380" s="15">
        <v>0</v>
      </c>
      <c r="O380" s="15" t="str">
        <f>IF(AND(A380='BANG KE NL'!$M$11,TH!C380="NL",LEFT(D380,1)="N"),"x","")</f>
        <v/>
      </c>
    </row>
    <row r="381" spans="1:15" hidden="1">
      <c r="A381" s="24">
        <f t="shared" si="8"/>
        <v>4</v>
      </c>
      <c r="B381" s="188" t="str">
        <f>IF(AND(MONTH(E381)='IN-NX'!$J$5,'IN-NX'!$D$7=(D381&amp;"/"&amp;C381)),"x","")</f>
        <v/>
      </c>
      <c r="C381" s="185" t="s">
        <v>155</v>
      </c>
      <c r="D381" s="185" t="s">
        <v>198</v>
      </c>
      <c r="E381" s="69">
        <v>41373</v>
      </c>
      <c r="F381" s="19" t="s">
        <v>354</v>
      </c>
      <c r="G381" s="460" t="s">
        <v>158</v>
      </c>
      <c r="H381" s="216" t="s">
        <v>90</v>
      </c>
      <c r="I381" s="56" t="s">
        <v>160</v>
      </c>
      <c r="J381" s="15">
        <v>17500</v>
      </c>
      <c r="K381" s="15">
        <v>0</v>
      </c>
      <c r="L381" s="15">
        <v>0</v>
      </c>
      <c r="M381" s="15">
        <v>22094</v>
      </c>
      <c r="N381" s="15">
        <v>386645000</v>
      </c>
      <c r="O381" s="15" t="str">
        <f>IF(AND(A381='BANG KE NL'!$M$11,TH!C381="NL",LEFT(D381,1)="N"),"x","")</f>
        <v/>
      </c>
    </row>
    <row r="382" spans="1:15" hidden="1">
      <c r="A382" s="24">
        <f t="shared" si="8"/>
        <v>4</v>
      </c>
      <c r="B382" s="188" t="str">
        <f>IF(AND(MONTH(E382)='IN-NX'!$J$5,'IN-NX'!$D$7=(D382&amp;"/"&amp;C382)),"x","")</f>
        <v/>
      </c>
      <c r="C382" s="185" t="s">
        <v>155</v>
      </c>
      <c r="D382" s="185" t="s">
        <v>183</v>
      </c>
      <c r="E382" s="69">
        <v>41374</v>
      </c>
      <c r="F382" s="19" t="s">
        <v>354</v>
      </c>
      <c r="G382" s="19" t="s">
        <v>408</v>
      </c>
      <c r="H382" s="216" t="s">
        <v>160</v>
      </c>
      <c r="I382" s="56" t="s">
        <v>93</v>
      </c>
      <c r="J382" s="15">
        <v>17500</v>
      </c>
      <c r="K382" s="15">
        <v>5862</v>
      </c>
      <c r="L382" s="15">
        <v>102585000</v>
      </c>
      <c r="M382" s="15">
        <v>0</v>
      </c>
      <c r="N382" s="15">
        <v>0</v>
      </c>
      <c r="O382" s="15" t="str">
        <f>IF(AND(A382='BANG KE NL'!$M$11,TH!C382="NL",LEFT(D382,1)="N"),"x","")</f>
        <v/>
      </c>
    </row>
    <row r="383" spans="1:15" hidden="1">
      <c r="A383" s="24">
        <f t="shared" si="8"/>
        <v>4</v>
      </c>
      <c r="B383" s="188" t="str">
        <f>IF(AND(MONTH(E383)='IN-NX'!$J$5,'IN-NX'!$D$7=(D383&amp;"/"&amp;C383)),"x","")</f>
        <v/>
      </c>
      <c r="C383" s="185" t="s">
        <v>155</v>
      </c>
      <c r="D383" s="185" t="s">
        <v>184</v>
      </c>
      <c r="E383" s="69">
        <v>41374</v>
      </c>
      <c r="F383" s="19" t="s">
        <v>354</v>
      </c>
      <c r="G383" s="19" t="s">
        <v>127</v>
      </c>
      <c r="H383" s="216" t="s">
        <v>160</v>
      </c>
      <c r="I383" s="56" t="s">
        <v>93</v>
      </c>
      <c r="J383" s="15">
        <v>17500</v>
      </c>
      <c r="K383" s="15">
        <v>5862</v>
      </c>
      <c r="L383" s="15">
        <v>102585000</v>
      </c>
      <c r="M383" s="15">
        <v>0</v>
      </c>
      <c r="N383" s="15">
        <v>0</v>
      </c>
      <c r="O383" s="15" t="str">
        <f>IF(AND(A383='BANG KE NL'!$M$11,TH!C383="NL",LEFT(D383,1)="N"),"x","")</f>
        <v/>
      </c>
    </row>
    <row r="384" spans="1:15" hidden="1">
      <c r="A384" s="24">
        <f t="shared" si="8"/>
        <v>4</v>
      </c>
      <c r="B384" s="188" t="str">
        <f>IF(AND(MONTH(E384)='IN-NX'!$J$5,'IN-NX'!$D$7=(D384&amp;"/"&amp;C384)),"x","")</f>
        <v/>
      </c>
      <c r="C384" s="185" t="s">
        <v>155</v>
      </c>
      <c r="D384" s="185" t="s">
        <v>185</v>
      </c>
      <c r="E384" s="69">
        <v>41374</v>
      </c>
      <c r="F384" s="19" t="s">
        <v>354</v>
      </c>
      <c r="G384" s="19" t="s">
        <v>130</v>
      </c>
      <c r="H384" s="216" t="s">
        <v>160</v>
      </c>
      <c r="I384" s="56" t="s">
        <v>93</v>
      </c>
      <c r="J384" s="15">
        <v>17500</v>
      </c>
      <c r="K384" s="15">
        <v>5670</v>
      </c>
      <c r="L384" s="15">
        <v>99225000</v>
      </c>
      <c r="M384" s="15">
        <v>0</v>
      </c>
      <c r="N384" s="15">
        <v>0</v>
      </c>
      <c r="O384" s="15" t="str">
        <f>IF(AND(A384='BANG KE NL'!$M$11,TH!C384="NL",LEFT(D384,1)="N"),"x","")</f>
        <v/>
      </c>
    </row>
    <row r="385" spans="1:15" hidden="1">
      <c r="A385" s="24">
        <f t="shared" si="8"/>
        <v>4</v>
      </c>
      <c r="B385" s="188" t="str">
        <f>IF(AND(MONTH(E385)='IN-NX'!$J$5,'IN-NX'!$D$7=(D385&amp;"/"&amp;C385)),"x","")</f>
        <v/>
      </c>
      <c r="C385" s="185" t="s">
        <v>155</v>
      </c>
      <c r="D385" s="185" t="s">
        <v>186</v>
      </c>
      <c r="E385" s="69">
        <v>41374</v>
      </c>
      <c r="F385" s="19" t="s">
        <v>354</v>
      </c>
      <c r="G385" s="19" t="s">
        <v>129</v>
      </c>
      <c r="H385" s="216" t="s">
        <v>160</v>
      </c>
      <c r="I385" s="56" t="s">
        <v>93</v>
      </c>
      <c r="J385" s="15">
        <v>17500</v>
      </c>
      <c r="K385" s="15">
        <v>5798</v>
      </c>
      <c r="L385" s="15">
        <v>101465000</v>
      </c>
      <c r="M385" s="15">
        <v>0</v>
      </c>
      <c r="N385" s="15">
        <v>0</v>
      </c>
      <c r="O385" s="15" t="str">
        <f>IF(AND(A385='BANG KE NL'!$M$11,TH!C385="NL",LEFT(D385,1)="N"),"x","")</f>
        <v/>
      </c>
    </row>
    <row r="386" spans="1:15" hidden="1">
      <c r="A386" s="24">
        <f t="shared" si="8"/>
        <v>4</v>
      </c>
      <c r="B386" s="188" t="str">
        <f>IF(AND(MONTH(E386)='IN-NX'!$J$5,'IN-NX'!$D$7=(D386&amp;"/"&amp;C386)),"x","")</f>
        <v/>
      </c>
      <c r="C386" s="185" t="s">
        <v>155</v>
      </c>
      <c r="D386" s="185" t="s">
        <v>187</v>
      </c>
      <c r="E386" s="69">
        <v>41374</v>
      </c>
      <c r="F386" s="19" t="s">
        <v>354</v>
      </c>
      <c r="G386" s="19" t="s">
        <v>131</v>
      </c>
      <c r="H386" s="216" t="s">
        <v>160</v>
      </c>
      <c r="I386" s="56" t="s">
        <v>93</v>
      </c>
      <c r="J386" s="15">
        <v>17500</v>
      </c>
      <c r="K386" s="15">
        <v>5892</v>
      </c>
      <c r="L386" s="15">
        <v>103110000</v>
      </c>
      <c r="M386" s="15">
        <v>0</v>
      </c>
      <c r="N386" s="15">
        <v>0</v>
      </c>
      <c r="O386" s="15" t="str">
        <f>IF(AND(A386='BANG KE NL'!$M$11,TH!C386="NL",LEFT(D386,1)="N"),"x","")</f>
        <v/>
      </c>
    </row>
    <row r="387" spans="1:15" hidden="1">
      <c r="A387" s="24">
        <f t="shared" si="8"/>
        <v>4</v>
      </c>
      <c r="B387" s="188" t="str">
        <f>IF(AND(MONTH(E387)='IN-NX'!$J$5,'IN-NX'!$D$7=(D387&amp;"/"&amp;C387)),"x","")</f>
        <v/>
      </c>
      <c r="C387" s="185" t="s">
        <v>155</v>
      </c>
      <c r="D387" s="185" t="s">
        <v>188</v>
      </c>
      <c r="E387" s="69">
        <v>41374</v>
      </c>
      <c r="F387" s="19" t="s">
        <v>354</v>
      </c>
      <c r="G387" s="19" t="s">
        <v>132</v>
      </c>
      <c r="H387" s="216" t="s">
        <v>160</v>
      </c>
      <c r="I387" s="56" t="s">
        <v>93</v>
      </c>
      <c r="J387" s="15">
        <v>17500</v>
      </c>
      <c r="K387" s="15">
        <v>5834</v>
      </c>
      <c r="L387" s="15">
        <v>102095000</v>
      </c>
      <c r="M387" s="15">
        <v>0</v>
      </c>
      <c r="N387" s="15">
        <v>0</v>
      </c>
      <c r="O387" s="15" t="str">
        <f>IF(AND(A387='BANG KE NL'!$M$11,TH!C387="NL",LEFT(D387,1)="N"),"x","")</f>
        <v/>
      </c>
    </row>
    <row r="388" spans="1:15" hidden="1">
      <c r="A388" s="24">
        <f t="shared" si="8"/>
        <v>4</v>
      </c>
      <c r="B388" s="188" t="str">
        <f>IF(AND(MONTH(E388)='IN-NX'!$J$5,'IN-NX'!$D$7=(D388&amp;"/"&amp;C388)),"x","")</f>
        <v/>
      </c>
      <c r="C388" s="185" t="s">
        <v>155</v>
      </c>
      <c r="D388" s="185" t="s">
        <v>189</v>
      </c>
      <c r="E388" s="69">
        <v>41374</v>
      </c>
      <c r="F388" s="19" t="s">
        <v>354</v>
      </c>
      <c r="G388" s="19" t="s">
        <v>133</v>
      </c>
      <c r="H388" s="216" t="s">
        <v>160</v>
      </c>
      <c r="I388" s="56" t="s">
        <v>93</v>
      </c>
      <c r="J388" s="15">
        <v>17500</v>
      </c>
      <c r="K388" s="15">
        <v>4720</v>
      </c>
      <c r="L388" s="15">
        <v>82600000</v>
      </c>
      <c r="M388" s="15">
        <v>0</v>
      </c>
      <c r="N388" s="15">
        <v>0</v>
      </c>
      <c r="O388" s="15" t="str">
        <f>IF(AND(A388='BANG KE NL'!$M$11,TH!C388="NL",LEFT(D388,1)="N"),"x","")</f>
        <v/>
      </c>
    </row>
    <row r="389" spans="1:15" hidden="1">
      <c r="A389" s="24">
        <f t="shared" si="8"/>
        <v>4</v>
      </c>
      <c r="B389" s="188" t="str">
        <f>IF(AND(MONTH(E389)='IN-NX'!$J$5,'IN-NX'!$D$7=(D389&amp;"/"&amp;C389)),"x","")</f>
        <v/>
      </c>
      <c r="C389" s="185" t="s">
        <v>155</v>
      </c>
      <c r="D389" s="185" t="s">
        <v>190</v>
      </c>
      <c r="E389" s="69">
        <v>41374</v>
      </c>
      <c r="F389" s="19" t="s">
        <v>354</v>
      </c>
      <c r="G389" s="19" t="s">
        <v>425</v>
      </c>
      <c r="H389" s="216" t="s">
        <v>160</v>
      </c>
      <c r="I389" s="56" t="s">
        <v>93</v>
      </c>
      <c r="J389" s="15">
        <v>17500</v>
      </c>
      <c r="K389" s="15">
        <v>5621</v>
      </c>
      <c r="L389" s="15">
        <v>98367500</v>
      </c>
      <c r="M389" s="15">
        <v>0</v>
      </c>
      <c r="N389" s="15">
        <v>0</v>
      </c>
      <c r="O389" s="15" t="str">
        <f>IF(AND(A389='BANG KE NL'!$M$11,TH!C389="NL",LEFT(D389,1)="N"),"x","")</f>
        <v/>
      </c>
    </row>
    <row r="390" spans="1:15" hidden="1">
      <c r="A390" s="24">
        <f t="shared" ref="A390:A453" si="9">IF(E390&lt;&gt;"",MONTH(E390),"")</f>
        <v>4</v>
      </c>
      <c r="B390" s="188" t="str">
        <f>IF(AND(MONTH(E390)='IN-NX'!$J$5,'IN-NX'!$D$7=(D390&amp;"/"&amp;C390)),"x","")</f>
        <v/>
      </c>
      <c r="C390" s="185" t="s">
        <v>155</v>
      </c>
      <c r="D390" s="185" t="s">
        <v>191</v>
      </c>
      <c r="E390" s="69">
        <v>41374</v>
      </c>
      <c r="F390" s="19" t="s">
        <v>354</v>
      </c>
      <c r="G390" s="19" t="s">
        <v>410</v>
      </c>
      <c r="H390" s="216" t="s">
        <v>160</v>
      </c>
      <c r="I390" s="56" t="s">
        <v>93</v>
      </c>
      <c r="J390" s="15">
        <v>17500</v>
      </c>
      <c r="K390" s="15">
        <v>5113</v>
      </c>
      <c r="L390" s="15">
        <v>89477500</v>
      </c>
      <c r="M390" s="15">
        <v>0</v>
      </c>
      <c r="N390" s="15">
        <v>0</v>
      </c>
      <c r="O390" s="15" t="str">
        <f>IF(AND(A390='BANG KE NL'!$M$11,TH!C390="NL",LEFT(D390,1)="N"),"x","")</f>
        <v/>
      </c>
    </row>
    <row r="391" spans="1:15" hidden="1">
      <c r="A391" s="24">
        <f t="shared" si="9"/>
        <v>4</v>
      </c>
      <c r="B391" s="188" t="str">
        <f>IF(AND(MONTH(E391)='IN-NX'!$J$5,'IN-NX'!$D$7=(D391&amp;"/"&amp;C391)),"x","")</f>
        <v/>
      </c>
      <c r="C391" s="185" t="s">
        <v>155</v>
      </c>
      <c r="D391" s="185" t="s">
        <v>192</v>
      </c>
      <c r="E391" s="69">
        <v>41374</v>
      </c>
      <c r="F391" s="19" t="s">
        <v>354</v>
      </c>
      <c r="G391" s="19" t="s">
        <v>123</v>
      </c>
      <c r="H391" s="216" t="s">
        <v>160</v>
      </c>
      <c r="I391" s="56" t="s">
        <v>93</v>
      </c>
      <c r="J391" s="15">
        <v>17500</v>
      </c>
      <c r="K391" s="15">
        <v>5852</v>
      </c>
      <c r="L391" s="15">
        <v>102410000</v>
      </c>
      <c r="M391" s="15">
        <v>0</v>
      </c>
      <c r="N391" s="15">
        <v>0</v>
      </c>
      <c r="O391" s="15" t="str">
        <f>IF(AND(A391='BANG KE NL'!$M$11,TH!C391="NL",LEFT(D391,1)="N"),"x","")</f>
        <v/>
      </c>
    </row>
    <row r="392" spans="1:15" hidden="1">
      <c r="A392" s="24">
        <f t="shared" si="9"/>
        <v>4</v>
      </c>
      <c r="B392" s="188" t="str">
        <f>IF(AND(MONTH(E392)='IN-NX'!$J$5,'IN-NX'!$D$7=(D392&amp;"/"&amp;C392)),"x","")</f>
        <v/>
      </c>
      <c r="C392" s="185" t="s">
        <v>155</v>
      </c>
      <c r="D392" s="185" t="s">
        <v>193</v>
      </c>
      <c r="E392" s="69">
        <v>41374</v>
      </c>
      <c r="F392" s="19" t="s">
        <v>354</v>
      </c>
      <c r="G392" s="19" t="s">
        <v>418</v>
      </c>
      <c r="H392" s="216" t="s">
        <v>160</v>
      </c>
      <c r="I392" s="56" t="s">
        <v>93</v>
      </c>
      <c r="J392" s="15">
        <v>17500</v>
      </c>
      <c r="K392" s="15">
        <v>5813</v>
      </c>
      <c r="L392" s="15">
        <v>101727500</v>
      </c>
      <c r="M392" s="15">
        <v>0</v>
      </c>
      <c r="N392" s="15">
        <v>0</v>
      </c>
      <c r="O392" s="15" t="str">
        <f>IF(AND(A392='BANG KE NL'!$M$11,TH!C392="NL",LEFT(D392,1)="N"),"x","")</f>
        <v/>
      </c>
    </row>
    <row r="393" spans="1:15" hidden="1">
      <c r="A393" s="24">
        <f t="shared" si="9"/>
        <v>4</v>
      </c>
      <c r="B393" s="188" t="str">
        <f>IF(AND(MONTH(E393)='IN-NX'!$J$5,'IN-NX'!$D$7=(D393&amp;"/"&amp;C393)),"x","")</f>
        <v/>
      </c>
      <c r="C393" s="185" t="s">
        <v>155</v>
      </c>
      <c r="D393" s="185" t="s">
        <v>199</v>
      </c>
      <c r="E393" s="69">
        <v>41374</v>
      </c>
      <c r="F393" s="19" t="s">
        <v>354</v>
      </c>
      <c r="G393" s="460" t="s">
        <v>158</v>
      </c>
      <c r="H393" s="216" t="s">
        <v>90</v>
      </c>
      <c r="I393" s="56" t="s">
        <v>160</v>
      </c>
      <c r="J393" s="15">
        <v>17500</v>
      </c>
      <c r="K393" s="15">
        <v>0</v>
      </c>
      <c r="L393" s="15">
        <v>0</v>
      </c>
      <c r="M393" s="15">
        <v>22571</v>
      </c>
      <c r="N393" s="15">
        <v>394992500</v>
      </c>
      <c r="O393" s="15" t="str">
        <f>IF(AND(A393='BANG KE NL'!$M$11,TH!C393="NL",LEFT(D393,1)="N"),"x","")</f>
        <v/>
      </c>
    </row>
    <row r="394" spans="1:15" hidden="1">
      <c r="A394" s="24">
        <f t="shared" si="9"/>
        <v>4</v>
      </c>
      <c r="B394" s="188" t="str">
        <f>IF(AND(MONTH(E394)='IN-NX'!$J$5,'IN-NX'!$D$7=(D394&amp;"/"&amp;C394)),"x","")</f>
        <v/>
      </c>
      <c r="C394" s="185" t="s">
        <v>155</v>
      </c>
      <c r="D394" s="185" t="s">
        <v>200</v>
      </c>
      <c r="E394" s="69">
        <v>41375</v>
      </c>
      <c r="F394" s="19" t="s">
        <v>354</v>
      </c>
      <c r="G394" s="460" t="s">
        <v>158</v>
      </c>
      <c r="H394" s="216" t="s">
        <v>90</v>
      </c>
      <c r="I394" s="56" t="s">
        <v>160</v>
      </c>
      <c r="J394" s="15">
        <v>17500</v>
      </c>
      <c r="K394" s="15">
        <v>0</v>
      </c>
      <c r="L394" s="15">
        <v>0</v>
      </c>
      <c r="M394" s="15">
        <v>23192</v>
      </c>
      <c r="N394" s="15">
        <v>405860000</v>
      </c>
      <c r="O394" s="15" t="str">
        <f>IF(AND(A394='BANG KE NL'!$M$11,TH!C394="NL",LEFT(D394,1)="N"),"x","")</f>
        <v/>
      </c>
    </row>
    <row r="395" spans="1:15" hidden="1">
      <c r="A395" s="24">
        <f t="shared" si="9"/>
        <v>4</v>
      </c>
      <c r="B395" s="188" t="str">
        <f>IF(AND(MONTH(E395)='IN-NX'!$J$5,'IN-NX'!$D$7=(D395&amp;"/"&amp;C395)),"x","")</f>
        <v/>
      </c>
      <c r="C395" s="185" t="s">
        <v>155</v>
      </c>
      <c r="D395" s="185" t="s">
        <v>201</v>
      </c>
      <c r="E395" s="69">
        <v>41376</v>
      </c>
      <c r="F395" s="19" t="s">
        <v>354</v>
      </c>
      <c r="G395" s="460" t="s">
        <v>158</v>
      </c>
      <c r="H395" s="216" t="s">
        <v>90</v>
      </c>
      <c r="I395" s="56" t="s">
        <v>160</v>
      </c>
      <c r="J395" s="15">
        <v>17500</v>
      </c>
      <c r="K395" s="15">
        <v>0</v>
      </c>
      <c r="L395" s="15">
        <v>0</v>
      </c>
      <c r="M395" s="15">
        <v>22244</v>
      </c>
      <c r="N395" s="15">
        <v>389270000</v>
      </c>
      <c r="O395" s="15" t="str">
        <f>IF(AND(A395='BANG KE NL'!$M$11,TH!C395="NL",LEFT(D395,1)="N"),"x","")</f>
        <v/>
      </c>
    </row>
    <row r="396" spans="1:15" hidden="1">
      <c r="A396" s="24">
        <f t="shared" si="9"/>
        <v>4</v>
      </c>
      <c r="B396" s="188" t="str">
        <f>IF(AND(MONTH(E396)='IN-NX'!$J$5,'IN-NX'!$D$7=(D396&amp;"/"&amp;C396)),"x","")</f>
        <v/>
      </c>
      <c r="C396" s="185" t="s">
        <v>155</v>
      </c>
      <c r="D396" s="185" t="s">
        <v>202</v>
      </c>
      <c r="E396" s="69">
        <v>41377</v>
      </c>
      <c r="F396" s="19" t="s">
        <v>354</v>
      </c>
      <c r="G396" s="460" t="s">
        <v>158</v>
      </c>
      <c r="H396" s="216" t="s">
        <v>90</v>
      </c>
      <c r="I396" s="56" t="s">
        <v>160</v>
      </c>
      <c r="J396" s="15">
        <v>17500</v>
      </c>
      <c r="K396" s="15">
        <v>0</v>
      </c>
      <c r="L396" s="15">
        <v>0</v>
      </c>
      <c r="M396" s="15">
        <v>22399</v>
      </c>
      <c r="N396" s="15">
        <v>391982500</v>
      </c>
      <c r="O396" s="15" t="str">
        <f>IF(AND(A396='BANG KE NL'!$M$11,TH!C396="NL",LEFT(D396,1)="N"),"x","")</f>
        <v/>
      </c>
    </row>
    <row r="397" spans="1:15" hidden="1">
      <c r="A397" s="24">
        <f t="shared" si="9"/>
        <v>8</v>
      </c>
      <c r="B397" s="188" t="str">
        <f>IF(AND(MONTH(E397)='IN-NX'!$J$5,'IN-NX'!$D$7=(D397&amp;"/"&amp;C397)),"x","")</f>
        <v/>
      </c>
      <c r="C397" s="185" t="s">
        <v>155</v>
      </c>
      <c r="D397" s="185" t="s">
        <v>175</v>
      </c>
      <c r="E397" s="69">
        <v>41498</v>
      </c>
      <c r="F397" s="19" t="s">
        <v>354</v>
      </c>
      <c r="G397" s="19" t="s">
        <v>408</v>
      </c>
      <c r="H397" s="216" t="s">
        <v>160</v>
      </c>
      <c r="I397" s="56" t="s">
        <v>93</v>
      </c>
      <c r="J397" s="15">
        <v>17000</v>
      </c>
      <c r="K397" s="15">
        <v>5924</v>
      </c>
      <c r="L397" s="15">
        <v>100708000</v>
      </c>
      <c r="M397" s="15">
        <v>0</v>
      </c>
      <c r="N397" s="15">
        <v>0</v>
      </c>
      <c r="O397" s="15" t="str">
        <f>IF(AND(A397='BANG KE NL'!$M$11,TH!C397="NL",LEFT(D397,1)="N"),"x","")</f>
        <v/>
      </c>
    </row>
    <row r="398" spans="1:15" hidden="1">
      <c r="A398" s="24">
        <f t="shared" si="9"/>
        <v>8</v>
      </c>
      <c r="B398" s="188" t="str">
        <f>IF(AND(MONTH(E398)='IN-NX'!$J$5,'IN-NX'!$D$7=(D398&amp;"/"&amp;C398)),"x","")</f>
        <v/>
      </c>
      <c r="C398" s="185" t="s">
        <v>155</v>
      </c>
      <c r="D398" s="185" t="s">
        <v>176</v>
      </c>
      <c r="E398" s="69">
        <v>41498</v>
      </c>
      <c r="F398" s="19" t="s">
        <v>354</v>
      </c>
      <c r="G398" s="19" t="s">
        <v>309</v>
      </c>
      <c r="H398" s="216" t="s">
        <v>160</v>
      </c>
      <c r="I398" s="56" t="s">
        <v>93</v>
      </c>
      <c r="J398" s="15">
        <v>17000</v>
      </c>
      <c r="K398" s="15">
        <v>6521</v>
      </c>
      <c r="L398" s="15">
        <v>110857000</v>
      </c>
      <c r="M398" s="15">
        <v>0</v>
      </c>
      <c r="N398" s="15">
        <v>0</v>
      </c>
      <c r="O398" s="15" t="str">
        <f>IF(AND(A398='BANG KE NL'!$M$11,TH!C398="NL",LEFT(D398,1)="N"),"x","")</f>
        <v/>
      </c>
    </row>
    <row r="399" spans="1:15" hidden="1">
      <c r="A399" s="24">
        <f t="shared" si="9"/>
        <v>8</v>
      </c>
      <c r="B399" s="188" t="str">
        <f>IF(AND(MONTH(E399)='IN-NX'!$J$5,'IN-NX'!$D$7=(D399&amp;"/"&amp;C399)),"x","")</f>
        <v/>
      </c>
      <c r="C399" s="185" t="s">
        <v>155</v>
      </c>
      <c r="D399" s="185" t="s">
        <v>177</v>
      </c>
      <c r="E399" s="69">
        <v>41498</v>
      </c>
      <c r="F399" s="19" t="s">
        <v>354</v>
      </c>
      <c r="G399" s="19" t="s">
        <v>127</v>
      </c>
      <c r="H399" s="216" t="s">
        <v>160</v>
      </c>
      <c r="I399" s="56" t="s">
        <v>93</v>
      </c>
      <c r="J399" s="15">
        <v>17000</v>
      </c>
      <c r="K399" s="15">
        <v>5863</v>
      </c>
      <c r="L399" s="15">
        <v>99671000</v>
      </c>
      <c r="M399" s="15">
        <v>0</v>
      </c>
      <c r="N399" s="15">
        <v>0</v>
      </c>
      <c r="O399" s="15" t="str">
        <f>IF(AND(A399='BANG KE NL'!$M$11,TH!C399="NL",LEFT(D399,1)="N"),"x","")</f>
        <v/>
      </c>
    </row>
    <row r="400" spans="1:15" hidden="1">
      <c r="A400" s="24">
        <f t="shared" si="9"/>
        <v>8</v>
      </c>
      <c r="B400" s="188" t="str">
        <f>IF(AND(MONTH(E400)='IN-NX'!$J$5,'IN-NX'!$D$7=(D400&amp;"/"&amp;C400)),"x","")</f>
        <v/>
      </c>
      <c r="C400" s="185" t="s">
        <v>155</v>
      </c>
      <c r="D400" s="185" t="s">
        <v>198</v>
      </c>
      <c r="E400" s="69">
        <v>41498</v>
      </c>
      <c r="F400" s="19" t="s">
        <v>354</v>
      </c>
      <c r="G400" s="460" t="s">
        <v>158</v>
      </c>
      <c r="H400" s="216" t="s">
        <v>90</v>
      </c>
      <c r="I400" s="56" t="s">
        <v>160</v>
      </c>
      <c r="J400" s="15">
        <v>17000</v>
      </c>
      <c r="K400" s="15">
        <v>0</v>
      </c>
      <c r="L400" s="15">
        <v>0</v>
      </c>
      <c r="M400" s="15">
        <v>18308</v>
      </c>
      <c r="N400" s="15">
        <v>311236000</v>
      </c>
      <c r="O400" s="15" t="str">
        <f>IF(AND(A400='BANG KE NL'!$M$11,TH!C400="NL",LEFT(D400,1)="N"),"x","")</f>
        <v/>
      </c>
    </row>
    <row r="401" spans="1:15" hidden="1">
      <c r="A401" s="24">
        <f t="shared" si="9"/>
        <v>8</v>
      </c>
      <c r="B401" s="188" t="str">
        <f>IF(AND(MONTH(E401)='IN-NX'!$J$5,'IN-NX'!$D$7=(D401&amp;"/"&amp;C401)),"x","")</f>
        <v/>
      </c>
      <c r="C401" s="185" t="s">
        <v>155</v>
      </c>
      <c r="D401" s="185" t="s">
        <v>180</v>
      </c>
      <c r="E401" s="69">
        <v>41500</v>
      </c>
      <c r="F401" s="19" t="s">
        <v>354</v>
      </c>
      <c r="G401" s="19" t="s">
        <v>134</v>
      </c>
      <c r="H401" s="216" t="s">
        <v>160</v>
      </c>
      <c r="I401" s="56" t="s">
        <v>93</v>
      </c>
      <c r="J401" s="15">
        <v>17000</v>
      </c>
      <c r="K401" s="15">
        <v>5970</v>
      </c>
      <c r="L401" s="15">
        <v>101490000</v>
      </c>
      <c r="M401" s="15">
        <v>0</v>
      </c>
      <c r="N401" s="15">
        <v>0</v>
      </c>
      <c r="O401" s="15" t="str">
        <f>IF(AND(A401='BANG KE NL'!$M$11,TH!C401="NL",LEFT(D401,1)="N"),"x","")</f>
        <v/>
      </c>
    </row>
    <row r="402" spans="1:15" hidden="1">
      <c r="A402" s="24">
        <f t="shared" si="9"/>
        <v>8</v>
      </c>
      <c r="B402" s="188" t="str">
        <f>IF(AND(MONTH(E402)='IN-NX'!$J$5,'IN-NX'!$D$7=(D402&amp;"/"&amp;C402)),"x","")</f>
        <v/>
      </c>
      <c r="C402" s="185" t="s">
        <v>155</v>
      </c>
      <c r="D402" s="185" t="s">
        <v>181</v>
      </c>
      <c r="E402" s="69">
        <v>41500</v>
      </c>
      <c r="F402" s="19" t="s">
        <v>354</v>
      </c>
      <c r="G402" s="19" t="s">
        <v>135</v>
      </c>
      <c r="H402" s="216" t="s">
        <v>160</v>
      </c>
      <c r="I402" s="56" t="s">
        <v>93</v>
      </c>
      <c r="J402" s="15">
        <v>17000</v>
      </c>
      <c r="K402" s="15">
        <v>6412</v>
      </c>
      <c r="L402" s="15">
        <v>109004000</v>
      </c>
      <c r="M402" s="15">
        <v>0</v>
      </c>
      <c r="N402" s="15">
        <v>0</v>
      </c>
      <c r="O402" s="15" t="str">
        <f>IF(AND(A402='BANG KE NL'!$M$11,TH!C402="NL",LEFT(D402,1)="N"),"x","")</f>
        <v/>
      </c>
    </row>
    <row r="403" spans="1:15" hidden="1">
      <c r="A403" s="24">
        <f t="shared" si="9"/>
        <v>8</v>
      </c>
      <c r="B403" s="188" t="str">
        <f>IF(AND(MONTH(E403)='IN-NX'!$J$5,'IN-NX'!$D$7=(D403&amp;"/"&amp;C403)),"x","")</f>
        <v/>
      </c>
      <c r="C403" s="185" t="s">
        <v>155</v>
      </c>
      <c r="D403" s="185" t="s">
        <v>182</v>
      </c>
      <c r="E403" s="69">
        <v>41500</v>
      </c>
      <c r="F403" s="19" t="s">
        <v>354</v>
      </c>
      <c r="G403" s="19" t="s">
        <v>136</v>
      </c>
      <c r="H403" s="216" t="s">
        <v>160</v>
      </c>
      <c r="I403" s="56" t="s">
        <v>93</v>
      </c>
      <c r="J403" s="15">
        <v>17000</v>
      </c>
      <c r="K403" s="15">
        <v>5998</v>
      </c>
      <c r="L403" s="15">
        <v>101966000</v>
      </c>
      <c r="M403" s="15">
        <v>0</v>
      </c>
      <c r="N403" s="15">
        <v>0</v>
      </c>
      <c r="O403" s="15" t="str">
        <f>IF(AND(A403='BANG KE NL'!$M$11,TH!C403="NL",LEFT(D403,1)="N"),"x","")</f>
        <v/>
      </c>
    </row>
    <row r="404" spans="1:15" hidden="1">
      <c r="A404" s="24">
        <f t="shared" si="9"/>
        <v>8</v>
      </c>
      <c r="B404" s="188" t="str">
        <f>IF(AND(MONTH(E404)='IN-NX'!$J$5,'IN-NX'!$D$7=(D404&amp;"/"&amp;C404)),"x","")</f>
        <v/>
      </c>
      <c r="C404" s="185" t="s">
        <v>155</v>
      </c>
      <c r="D404" s="185" t="s">
        <v>200</v>
      </c>
      <c r="E404" s="69">
        <v>41500</v>
      </c>
      <c r="F404" s="19" t="s">
        <v>354</v>
      </c>
      <c r="G404" s="460" t="s">
        <v>158</v>
      </c>
      <c r="H404" s="216" t="s">
        <v>90</v>
      </c>
      <c r="I404" s="56" t="s">
        <v>160</v>
      </c>
      <c r="J404" s="15">
        <v>17000</v>
      </c>
      <c r="K404" s="15">
        <v>0</v>
      </c>
      <c r="L404" s="15">
        <v>0</v>
      </c>
      <c r="M404" s="15">
        <v>18380</v>
      </c>
      <c r="N404" s="15">
        <v>312460000</v>
      </c>
      <c r="O404" s="15" t="str">
        <f>IF(AND(A404='BANG KE NL'!$M$11,TH!C404="NL",LEFT(D404,1)="N"),"x","")</f>
        <v/>
      </c>
    </row>
    <row r="405" spans="1:15" hidden="1">
      <c r="A405" s="24">
        <f t="shared" si="9"/>
        <v>8</v>
      </c>
      <c r="B405" s="188" t="str">
        <f>IF(AND(MONTH(E405)='IN-NX'!$J$5,'IN-NX'!$D$7=(D405&amp;"/"&amp;C405)),"x","")</f>
        <v/>
      </c>
      <c r="C405" s="185" t="s">
        <v>155</v>
      </c>
      <c r="D405" s="185" t="s">
        <v>183</v>
      </c>
      <c r="E405" s="69">
        <v>41501</v>
      </c>
      <c r="F405" s="19" t="s">
        <v>354</v>
      </c>
      <c r="G405" s="19" t="s">
        <v>132</v>
      </c>
      <c r="H405" s="216" t="s">
        <v>160</v>
      </c>
      <c r="I405" s="56" t="s">
        <v>93</v>
      </c>
      <c r="J405" s="15">
        <v>17000</v>
      </c>
      <c r="K405" s="15">
        <v>5927</v>
      </c>
      <c r="L405" s="15">
        <v>100759000</v>
      </c>
      <c r="M405" s="15">
        <v>0</v>
      </c>
      <c r="N405" s="15">
        <v>0</v>
      </c>
      <c r="O405" s="15" t="str">
        <f>IF(AND(A405='BANG KE NL'!$M$11,TH!C405="NL",LEFT(D405,1)="N"),"x","")</f>
        <v/>
      </c>
    </row>
    <row r="406" spans="1:15" hidden="1">
      <c r="A406" s="24">
        <f t="shared" si="9"/>
        <v>8</v>
      </c>
      <c r="B406" s="188" t="str">
        <f>IF(AND(MONTH(E406)='IN-NX'!$J$5,'IN-NX'!$D$7=(D406&amp;"/"&amp;C406)),"x","")</f>
        <v/>
      </c>
      <c r="C406" s="185" t="s">
        <v>155</v>
      </c>
      <c r="D406" s="185" t="s">
        <v>184</v>
      </c>
      <c r="E406" s="69">
        <v>41501</v>
      </c>
      <c r="F406" s="19" t="s">
        <v>354</v>
      </c>
      <c r="G406" s="19" t="s">
        <v>430</v>
      </c>
      <c r="H406" s="216" t="s">
        <v>160</v>
      </c>
      <c r="I406" s="56" t="s">
        <v>93</v>
      </c>
      <c r="J406" s="15">
        <v>17000</v>
      </c>
      <c r="K406" s="15">
        <v>6613</v>
      </c>
      <c r="L406" s="15">
        <v>112421000</v>
      </c>
      <c r="M406" s="15">
        <v>0</v>
      </c>
      <c r="N406" s="15">
        <v>0</v>
      </c>
      <c r="O406" s="15" t="str">
        <f>IF(AND(A406='BANG KE NL'!$M$11,TH!C406="NL",LEFT(D406,1)="N"),"x","")</f>
        <v/>
      </c>
    </row>
    <row r="407" spans="1:15" hidden="1">
      <c r="A407" s="24">
        <f t="shared" si="9"/>
        <v>8</v>
      </c>
      <c r="B407" s="188" t="str">
        <f>IF(AND(MONTH(E407)='IN-NX'!$J$5,'IN-NX'!$D$7=(D407&amp;"/"&amp;C407)),"x","")</f>
        <v/>
      </c>
      <c r="C407" s="185" t="s">
        <v>155</v>
      </c>
      <c r="D407" s="185" t="s">
        <v>185</v>
      </c>
      <c r="E407" s="69">
        <v>41501</v>
      </c>
      <c r="F407" s="19" t="s">
        <v>354</v>
      </c>
      <c r="G407" s="19" t="s">
        <v>419</v>
      </c>
      <c r="H407" s="216" t="s">
        <v>160</v>
      </c>
      <c r="I407" s="56" t="s">
        <v>93</v>
      </c>
      <c r="J407" s="15">
        <v>17000</v>
      </c>
      <c r="K407" s="15">
        <v>5813</v>
      </c>
      <c r="L407" s="15">
        <v>98821000</v>
      </c>
      <c r="M407" s="15">
        <v>0</v>
      </c>
      <c r="N407" s="15">
        <v>0</v>
      </c>
      <c r="O407" s="15" t="str">
        <f>IF(AND(A407='BANG KE NL'!$M$11,TH!C407="NL",LEFT(D407,1)="N"),"x","")</f>
        <v/>
      </c>
    </row>
    <row r="408" spans="1:15" hidden="1">
      <c r="A408" s="24">
        <f t="shared" si="9"/>
        <v>8</v>
      </c>
      <c r="B408" s="188" t="str">
        <f>IF(AND(MONTH(E408)='IN-NX'!$J$5,'IN-NX'!$D$7=(D408&amp;"/"&amp;C408)),"x","")</f>
        <v/>
      </c>
      <c r="C408" s="185" t="s">
        <v>155</v>
      </c>
      <c r="D408" s="185" t="s">
        <v>188</v>
      </c>
      <c r="E408" s="69">
        <v>41502</v>
      </c>
      <c r="F408" s="19" t="s">
        <v>354</v>
      </c>
      <c r="G408" s="19" t="s">
        <v>417</v>
      </c>
      <c r="H408" s="216" t="s">
        <v>160</v>
      </c>
      <c r="I408" s="56" t="s">
        <v>93</v>
      </c>
      <c r="J408" s="15">
        <v>17000</v>
      </c>
      <c r="K408" s="15">
        <v>5981</v>
      </c>
      <c r="L408" s="15">
        <v>101677000</v>
      </c>
      <c r="M408" s="15">
        <v>0</v>
      </c>
      <c r="N408" s="15">
        <v>0</v>
      </c>
      <c r="O408" s="15" t="str">
        <f>IF(AND(A408='BANG KE NL'!$M$11,TH!C408="NL",LEFT(D408,1)="N"),"x","")</f>
        <v/>
      </c>
    </row>
    <row r="409" spans="1:15" hidden="1">
      <c r="A409" s="24">
        <f t="shared" si="9"/>
        <v>8</v>
      </c>
      <c r="B409" s="188" t="str">
        <f>IF(AND(MONTH(E409)='IN-NX'!$J$5,'IN-NX'!$D$7=(D409&amp;"/"&amp;C409)),"x","")</f>
        <v/>
      </c>
      <c r="C409" s="185" t="s">
        <v>155</v>
      </c>
      <c r="D409" s="185" t="s">
        <v>189</v>
      </c>
      <c r="E409" s="69">
        <v>41502</v>
      </c>
      <c r="F409" s="19" t="s">
        <v>354</v>
      </c>
      <c r="G409" s="19" t="s">
        <v>121</v>
      </c>
      <c r="H409" s="216" t="s">
        <v>160</v>
      </c>
      <c r="I409" s="56" t="s">
        <v>93</v>
      </c>
      <c r="J409" s="15">
        <v>17000</v>
      </c>
      <c r="K409" s="15">
        <v>6423</v>
      </c>
      <c r="L409" s="15">
        <v>109191000</v>
      </c>
      <c r="M409" s="15">
        <v>0</v>
      </c>
      <c r="N409" s="15">
        <v>0</v>
      </c>
      <c r="O409" s="15" t="str">
        <f>IF(AND(A409='BANG KE NL'!$M$11,TH!C409="NL",LEFT(D409,1)="N"),"x","")</f>
        <v/>
      </c>
    </row>
    <row r="410" spans="1:15" hidden="1">
      <c r="A410" s="24">
        <f t="shared" si="9"/>
        <v>8</v>
      </c>
      <c r="B410" s="188" t="str">
        <f>IF(AND(MONTH(E410)='IN-NX'!$J$5,'IN-NX'!$D$7=(D410&amp;"/"&amp;C410)),"x","")</f>
        <v/>
      </c>
      <c r="C410" s="185" t="s">
        <v>155</v>
      </c>
      <c r="D410" s="185" t="s">
        <v>190</v>
      </c>
      <c r="E410" s="69">
        <v>41502</v>
      </c>
      <c r="F410" s="19" t="s">
        <v>354</v>
      </c>
      <c r="G410" s="19" t="s">
        <v>129</v>
      </c>
      <c r="H410" s="216" t="s">
        <v>160</v>
      </c>
      <c r="I410" s="56" t="s">
        <v>93</v>
      </c>
      <c r="J410" s="15">
        <v>17000</v>
      </c>
      <c r="K410" s="15">
        <v>5519</v>
      </c>
      <c r="L410" s="15">
        <v>93823000</v>
      </c>
      <c r="M410" s="15">
        <v>0</v>
      </c>
      <c r="N410" s="15">
        <v>0</v>
      </c>
      <c r="O410" s="15" t="str">
        <f>IF(AND(A410='BANG KE NL'!$M$11,TH!C410="NL",LEFT(D410,1)="N"),"x","")</f>
        <v/>
      </c>
    </row>
    <row r="411" spans="1:15" hidden="1">
      <c r="A411" s="24">
        <f t="shared" si="9"/>
        <v>8</v>
      </c>
      <c r="B411" s="188" t="str">
        <f>IF(AND(MONTH(E411)='IN-NX'!$J$5,'IN-NX'!$D$7=(D411&amp;"/"&amp;C411)),"x","")</f>
        <v/>
      </c>
      <c r="C411" s="185" t="s">
        <v>155</v>
      </c>
      <c r="D411" s="185" t="s">
        <v>203</v>
      </c>
      <c r="E411" s="69">
        <v>41503</v>
      </c>
      <c r="F411" s="19" t="s">
        <v>354</v>
      </c>
      <c r="G411" s="460" t="s">
        <v>158</v>
      </c>
      <c r="H411" s="216" t="s">
        <v>90</v>
      </c>
      <c r="I411" s="56" t="s">
        <v>160</v>
      </c>
      <c r="J411" s="15">
        <v>17000</v>
      </c>
      <c r="K411" s="15">
        <v>0</v>
      </c>
      <c r="L411" s="15">
        <v>0</v>
      </c>
      <c r="M411" s="15">
        <v>18353</v>
      </c>
      <c r="N411" s="15">
        <v>312001000</v>
      </c>
      <c r="O411" s="15" t="str">
        <f>IF(AND(A411='BANG KE NL'!$M$11,TH!C411="NL",LEFT(D411,1)="N"),"x","")</f>
        <v/>
      </c>
    </row>
    <row r="412" spans="1:15" hidden="1">
      <c r="A412" s="24">
        <f t="shared" si="9"/>
        <v>8</v>
      </c>
      <c r="B412" s="188" t="str">
        <f>IF(AND(MONTH(E412)='IN-NX'!$J$5,'IN-NX'!$D$7=(D412&amp;"/"&amp;C412)),"x","")</f>
        <v/>
      </c>
      <c r="C412" s="185" t="s">
        <v>155</v>
      </c>
      <c r="D412" s="185" t="s">
        <v>193</v>
      </c>
      <c r="E412" s="69">
        <v>41504</v>
      </c>
      <c r="F412" s="19" t="s">
        <v>354</v>
      </c>
      <c r="G412" s="19" t="s">
        <v>131</v>
      </c>
      <c r="H412" s="216" t="s">
        <v>160</v>
      </c>
      <c r="I412" s="56" t="s">
        <v>93</v>
      </c>
      <c r="J412" s="15">
        <v>17000</v>
      </c>
      <c r="K412" s="15">
        <v>5740</v>
      </c>
      <c r="L412" s="15">
        <v>97580000</v>
      </c>
      <c r="M412" s="15">
        <v>0</v>
      </c>
      <c r="N412" s="15">
        <v>0</v>
      </c>
      <c r="O412" s="15" t="str">
        <f>IF(AND(A412='BANG KE NL'!$M$11,TH!C412="NL",LEFT(D412,1)="N"),"x","")</f>
        <v/>
      </c>
    </row>
    <row r="413" spans="1:15" hidden="1">
      <c r="A413" s="24">
        <f t="shared" si="9"/>
        <v>8</v>
      </c>
      <c r="B413" s="188" t="str">
        <f>IF(AND(MONTH(E413)='IN-NX'!$J$5,'IN-NX'!$D$7=(D413&amp;"/"&amp;C413)),"x","")</f>
        <v/>
      </c>
      <c r="C413" s="185" t="s">
        <v>155</v>
      </c>
      <c r="D413" s="185" t="s">
        <v>194</v>
      </c>
      <c r="E413" s="69">
        <v>41504</v>
      </c>
      <c r="F413" s="19" t="s">
        <v>354</v>
      </c>
      <c r="G413" s="19" t="s">
        <v>133</v>
      </c>
      <c r="H413" s="216" t="s">
        <v>160</v>
      </c>
      <c r="I413" s="56" t="s">
        <v>93</v>
      </c>
      <c r="J413" s="15">
        <v>17000</v>
      </c>
      <c r="K413" s="15">
        <v>6745</v>
      </c>
      <c r="L413" s="15">
        <v>114665000</v>
      </c>
      <c r="M413" s="15">
        <v>0</v>
      </c>
      <c r="N413" s="15">
        <v>0</v>
      </c>
      <c r="O413" s="15" t="str">
        <f>IF(AND(A413='BANG KE NL'!$M$11,TH!C413="NL",LEFT(D413,1)="N"),"x","")</f>
        <v/>
      </c>
    </row>
    <row r="414" spans="1:15" hidden="1">
      <c r="A414" s="24">
        <f t="shared" si="9"/>
        <v>8</v>
      </c>
      <c r="B414" s="188" t="str">
        <f>IF(AND(MONTH(E414)='IN-NX'!$J$5,'IN-NX'!$D$7=(D414&amp;"/"&amp;C414)),"x","")</f>
        <v/>
      </c>
      <c r="C414" s="185" t="s">
        <v>155</v>
      </c>
      <c r="D414" s="185" t="s">
        <v>195</v>
      </c>
      <c r="E414" s="69">
        <v>41504</v>
      </c>
      <c r="F414" s="19" t="s">
        <v>354</v>
      </c>
      <c r="G414" s="19" t="s">
        <v>409</v>
      </c>
      <c r="H414" s="216" t="s">
        <v>160</v>
      </c>
      <c r="I414" s="56" t="s">
        <v>93</v>
      </c>
      <c r="J414" s="15">
        <v>17000</v>
      </c>
      <c r="K414" s="15">
        <v>5765</v>
      </c>
      <c r="L414" s="15">
        <v>98005000</v>
      </c>
      <c r="M414" s="15">
        <v>0</v>
      </c>
      <c r="N414" s="15">
        <v>0</v>
      </c>
      <c r="O414" s="15" t="str">
        <f>IF(AND(A414='BANG KE NL'!$M$11,TH!C414="NL",LEFT(D414,1)="N"),"x","")</f>
        <v/>
      </c>
    </row>
    <row r="415" spans="1:15" hidden="1">
      <c r="A415" s="24">
        <f t="shared" si="9"/>
        <v>8</v>
      </c>
      <c r="B415" s="188" t="str">
        <f>IF(AND(MONTH(E415)='IN-NX'!$J$5,'IN-NX'!$D$7=(D415&amp;"/"&amp;C415)),"x","")</f>
        <v/>
      </c>
      <c r="C415" s="185" t="s">
        <v>155</v>
      </c>
      <c r="D415" s="185" t="s">
        <v>433</v>
      </c>
      <c r="E415" s="69">
        <v>41504</v>
      </c>
      <c r="F415" s="19" t="s">
        <v>354</v>
      </c>
      <c r="G415" s="460" t="s">
        <v>158</v>
      </c>
      <c r="H415" s="216" t="s">
        <v>90</v>
      </c>
      <c r="I415" s="56" t="s">
        <v>160</v>
      </c>
      <c r="J415" s="15">
        <v>17000</v>
      </c>
      <c r="K415" s="15">
        <v>0</v>
      </c>
      <c r="L415" s="15">
        <v>0</v>
      </c>
      <c r="M415" s="15">
        <v>17923</v>
      </c>
      <c r="N415" s="15">
        <v>304691000</v>
      </c>
      <c r="O415" s="15" t="str">
        <f>IF(AND(A415='BANG KE NL'!$M$11,TH!C415="NL",LEFT(D415,1)="N"),"x","")</f>
        <v/>
      </c>
    </row>
    <row r="416" spans="1:15" hidden="1">
      <c r="A416" s="24">
        <f t="shared" si="9"/>
        <v>8</v>
      </c>
      <c r="B416" s="188" t="str">
        <f>IF(AND(MONTH(E416)='IN-NX'!$J$5,'IN-NX'!$D$7=(D416&amp;"/"&amp;C416)),"x","")</f>
        <v/>
      </c>
      <c r="C416" s="185" t="s">
        <v>155</v>
      </c>
      <c r="D416" s="185" t="s">
        <v>305</v>
      </c>
      <c r="E416" s="69">
        <v>41505</v>
      </c>
      <c r="F416" s="19" t="s">
        <v>354</v>
      </c>
      <c r="G416" s="19" t="s">
        <v>408</v>
      </c>
      <c r="H416" s="216" t="s">
        <v>160</v>
      </c>
      <c r="I416" s="56" t="s">
        <v>93</v>
      </c>
      <c r="J416" s="15">
        <v>17000</v>
      </c>
      <c r="K416" s="15">
        <v>5940</v>
      </c>
      <c r="L416" s="15">
        <v>100980000</v>
      </c>
      <c r="M416" s="15">
        <v>0</v>
      </c>
      <c r="N416" s="15">
        <v>0</v>
      </c>
      <c r="O416" s="15" t="str">
        <f>IF(AND(A416='BANG KE NL'!$M$11,TH!C416="NL",LEFT(D416,1)="N"),"x","")</f>
        <v/>
      </c>
    </row>
    <row r="417" spans="1:15" hidden="1">
      <c r="A417" s="24">
        <f t="shared" si="9"/>
        <v>8</v>
      </c>
      <c r="B417" s="188" t="str">
        <f>IF(AND(MONTH(E417)='IN-NX'!$J$5,'IN-NX'!$D$7=(D417&amp;"/"&amp;C417)),"x","")</f>
        <v/>
      </c>
      <c r="C417" s="185" t="s">
        <v>155</v>
      </c>
      <c r="D417" s="185" t="s">
        <v>306</v>
      </c>
      <c r="E417" s="69">
        <v>41505</v>
      </c>
      <c r="F417" s="19" t="s">
        <v>354</v>
      </c>
      <c r="G417" s="19" t="s">
        <v>309</v>
      </c>
      <c r="H417" s="216" t="s">
        <v>160</v>
      </c>
      <c r="I417" s="56" t="s">
        <v>93</v>
      </c>
      <c r="J417" s="15">
        <v>17000</v>
      </c>
      <c r="K417" s="15">
        <v>6623</v>
      </c>
      <c r="L417" s="15">
        <v>112591000</v>
      </c>
      <c r="M417" s="15">
        <v>0</v>
      </c>
      <c r="N417" s="15">
        <v>0</v>
      </c>
      <c r="O417" s="15" t="str">
        <f>IF(AND(A417='BANG KE NL'!$M$11,TH!C417="NL",LEFT(D417,1)="N"),"x","")</f>
        <v/>
      </c>
    </row>
    <row r="418" spans="1:15" hidden="1">
      <c r="A418" s="24">
        <f t="shared" si="9"/>
        <v>8</v>
      </c>
      <c r="B418" s="188" t="str">
        <f>IF(AND(MONTH(E418)='IN-NX'!$J$5,'IN-NX'!$D$7=(D418&amp;"/"&amp;C418)),"x","")</f>
        <v/>
      </c>
      <c r="C418" s="185" t="s">
        <v>155</v>
      </c>
      <c r="D418" s="185" t="s">
        <v>316</v>
      </c>
      <c r="E418" s="69">
        <v>41505</v>
      </c>
      <c r="F418" s="19" t="s">
        <v>354</v>
      </c>
      <c r="G418" s="19" t="s">
        <v>300</v>
      </c>
      <c r="H418" s="216" t="s">
        <v>160</v>
      </c>
      <c r="I418" s="56" t="s">
        <v>93</v>
      </c>
      <c r="J418" s="15">
        <v>17000</v>
      </c>
      <c r="K418" s="15">
        <v>6146</v>
      </c>
      <c r="L418" s="15">
        <v>104482000</v>
      </c>
      <c r="M418" s="15">
        <v>0</v>
      </c>
      <c r="N418" s="15">
        <v>0</v>
      </c>
      <c r="O418" s="15" t="str">
        <f>IF(AND(A418='BANG KE NL'!$M$11,TH!C418="NL",LEFT(D418,1)="N"),"x","")</f>
        <v/>
      </c>
    </row>
    <row r="419" spans="1:15" hidden="1">
      <c r="A419" s="24">
        <f t="shared" si="9"/>
        <v>8</v>
      </c>
      <c r="B419" s="188" t="str">
        <f>IF(AND(MONTH(E419)='IN-NX'!$J$5,'IN-NX'!$D$7=(D419&amp;"/"&amp;C419)),"x","")</f>
        <v/>
      </c>
      <c r="C419" s="185" t="s">
        <v>155</v>
      </c>
      <c r="D419" s="185" t="s">
        <v>310</v>
      </c>
      <c r="E419" s="69">
        <v>41505</v>
      </c>
      <c r="F419" s="19" t="s">
        <v>354</v>
      </c>
      <c r="G419" s="19" t="s">
        <v>301</v>
      </c>
      <c r="H419" s="216" t="s">
        <v>160</v>
      </c>
      <c r="I419" s="56" t="s">
        <v>93</v>
      </c>
      <c r="J419" s="15">
        <v>17000</v>
      </c>
      <c r="K419" s="15">
        <v>5127</v>
      </c>
      <c r="L419" s="15">
        <v>87159000</v>
      </c>
      <c r="M419" s="15">
        <v>0</v>
      </c>
      <c r="N419" s="15">
        <v>0</v>
      </c>
      <c r="O419" s="15" t="str">
        <f>IF(AND(A419='BANG KE NL'!$M$11,TH!C419="NL",LEFT(D419,1)="N"),"x","")</f>
        <v/>
      </c>
    </row>
    <row r="420" spans="1:15" hidden="1">
      <c r="A420" s="24">
        <f t="shared" si="9"/>
        <v>8</v>
      </c>
      <c r="B420" s="188" t="str">
        <f>IF(AND(MONTH(E420)='IN-NX'!$J$5,'IN-NX'!$D$7=(D420&amp;"/"&amp;C420)),"x","")</f>
        <v/>
      </c>
      <c r="C420" s="185" t="s">
        <v>155</v>
      </c>
      <c r="D420" s="185" t="s">
        <v>434</v>
      </c>
      <c r="E420" s="69">
        <v>41506</v>
      </c>
      <c r="F420" s="19" t="s">
        <v>354</v>
      </c>
      <c r="G420" s="460" t="s">
        <v>158</v>
      </c>
      <c r="H420" s="216" t="s">
        <v>90</v>
      </c>
      <c r="I420" s="56" t="s">
        <v>160</v>
      </c>
      <c r="J420" s="15">
        <v>17000</v>
      </c>
      <c r="K420" s="15">
        <v>0</v>
      </c>
      <c r="L420" s="15">
        <v>0</v>
      </c>
      <c r="M420" s="15">
        <v>18250</v>
      </c>
      <c r="N420" s="15">
        <v>310250000</v>
      </c>
      <c r="O420" s="15" t="str">
        <f>IF(AND(A420='BANG KE NL'!$M$11,TH!C420="NL",LEFT(D420,1)="N"),"x","")</f>
        <v/>
      </c>
    </row>
    <row r="421" spans="1:15" hidden="1">
      <c r="A421" s="24">
        <f t="shared" si="9"/>
        <v>8</v>
      </c>
      <c r="B421" s="188" t="str">
        <f>IF(AND(MONTH(E421)='IN-NX'!$J$5,'IN-NX'!$D$7=(D421&amp;"/"&amp;C421)),"x","")</f>
        <v/>
      </c>
      <c r="C421" s="185" t="s">
        <v>155</v>
      </c>
      <c r="D421" s="185" t="s">
        <v>435</v>
      </c>
      <c r="E421" s="69">
        <v>41507</v>
      </c>
      <c r="F421" s="19" t="s">
        <v>354</v>
      </c>
      <c r="G421" s="460" t="s">
        <v>158</v>
      </c>
      <c r="H421" s="216" t="s">
        <v>90</v>
      </c>
      <c r="I421" s="56" t="s">
        <v>160</v>
      </c>
      <c r="J421" s="15">
        <v>17000</v>
      </c>
      <c r="K421" s="15">
        <v>0</v>
      </c>
      <c r="L421" s="15">
        <v>0</v>
      </c>
      <c r="M421" s="15">
        <v>12563</v>
      </c>
      <c r="N421" s="15">
        <v>213571000</v>
      </c>
      <c r="O421" s="15" t="str">
        <f>IF(AND(A421='BANG KE NL'!$M$11,TH!C421="NL",LEFT(D421,1)="N"),"x","")</f>
        <v/>
      </c>
    </row>
    <row r="422" spans="1:15" hidden="1">
      <c r="A422" s="24">
        <f t="shared" si="9"/>
        <v>8</v>
      </c>
      <c r="B422" s="188" t="str">
        <f>IF(AND(MONTH(E422)='IN-NX'!$J$5,'IN-NX'!$D$7=(D422&amp;"/"&amp;C422)),"x","")</f>
        <v/>
      </c>
      <c r="C422" s="185" t="s">
        <v>155</v>
      </c>
      <c r="D422" s="185" t="s">
        <v>436</v>
      </c>
      <c r="E422" s="69">
        <v>41508</v>
      </c>
      <c r="F422" s="19" t="s">
        <v>354</v>
      </c>
      <c r="G422" s="460" t="s">
        <v>158</v>
      </c>
      <c r="H422" s="216" t="s">
        <v>90</v>
      </c>
      <c r="I422" s="56" t="s">
        <v>160</v>
      </c>
      <c r="J422" s="15">
        <v>17000</v>
      </c>
      <c r="K422" s="15">
        <v>0</v>
      </c>
      <c r="L422" s="15">
        <v>0</v>
      </c>
      <c r="M422" s="15">
        <v>11273</v>
      </c>
      <c r="N422" s="15">
        <v>191641000</v>
      </c>
      <c r="O422" s="15" t="str">
        <f>IF(AND(A422='BANG KE NL'!$M$11,TH!C422="NL",LEFT(D422,1)="N"),"x","")</f>
        <v/>
      </c>
    </row>
    <row r="423" spans="1:15" hidden="1">
      <c r="A423" s="24">
        <f t="shared" si="9"/>
        <v>10</v>
      </c>
      <c r="B423" s="188" t="str">
        <f>IF(AND(MONTH(E423)='IN-NX'!$J$5,'IN-NX'!$D$7=(D423&amp;"/"&amp;C423)),"x","")</f>
        <v/>
      </c>
      <c r="C423" s="185" t="s">
        <v>155</v>
      </c>
      <c r="D423" s="185" t="s">
        <v>182</v>
      </c>
      <c r="E423" s="69">
        <v>41571</v>
      </c>
      <c r="F423" s="19" t="s">
        <v>354</v>
      </c>
      <c r="G423" s="19" t="s">
        <v>129</v>
      </c>
      <c r="H423" s="216" t="s">
        <v>160</v>
      </c>
      <c r="I423" s="56" t="s">
        <v>93</v>
      </c>
      <c r="J423" s="15">
        <v>18000</v>
      </c>
      <c r="K423" s="15">
        <v>5353</v>
      </c>
      <c r="L423" s="15">
        <v>96354000</v>
      </c>
      <c r="M423" s="15">
        <v>0</v>
      </c>
      <c r="N423" s="15">
        <v>0</v>
      </c>
      <c r="O423" s="15" t="str">
        <f>IF(AND(A423='BANG KE NL'!$M$11,TH!C423="NL",LEFT(D423,1)="N"),"x","")</f>
        <v/>
      </c>
    </row>
    <row r="424" spans="1:15" hidden="1">
      <c r="A424" s="24">
        <f t="shared" si="9"/>
        <v>10</v>
      </c>
      <c r="B424" s="188" t="str">
        <f>IF(AND(MONTH(E424)='IN-NX'!$J$5,'IN-NX'!$D$7=(D424&amp;"/"&amp;C424)),"x","")</f>
        <v/>
      </c>
      <c r="C424" s="185" t="s">
        <v>155</v>
      </c>
      <c r="D424" s="185" t="s">
        <v>183</v>
      </c>
      <c r="E424" s="69">
        <v>41571</v>
      </c>
      <c r="F424" s="19" t="s">
        <v>354</v>
      </c>
      <c r="G424" s="19" t="s">
        <v>130</v>
      </c>
      <c r="H424" s="216" t="s">
        <v>160</v>
      </c>
      <c r="I424" s="56" t="s">
        <v>93</v>
      </c>
      <c r="J424" s="15">
        <v>18000</v>
      </c>
      <c r="K424" s="15">
        <v>4647</v>
      </c>
      <c r="L424" s="15">
        <v>83646000</v>
      </c>
      <c r="M424" s="15">
        <v>0</v>
      </c>
      <c r="N424" s="15">
        <v>0</v>
      </c>
      <c r="O424" s="15" t="str">
        <f>IF(AND(A424='BANG KE NL'!$M$11,TH!C424="NL",LEFT(D424,1)="N"),"x","")</f>
        <v/>
      </c>
    </row>
    <row r="425" spans="1:15" hidden="1">
      <c r="A425" s="24">
        <f t="shared" si="9"/>
        <v>10</v>
      </c>
      <c r="B425" s="188" t="str">
        <f>IF(AND(MONTH(E425)='IN-NX'!$J$5,'IN-NX'!$D$7=(D425&amp;"/"&amp;C425)),"x","")</f>
        <v/>
      </c>
      <c r="C425" s="185" t="s">
        <v>155</v>
      </c>
      <c r="D425" s="185" t="s">
        <v>435</v>
      </c>
      <c r="E425" s="69">
        <v>41572</v>
      </c>
      <c r="F425" s="19" t="s">
        <v>354</v>
      </c>
      <c r="G425" s="460" t="s">
        <v>158</v>
      </c>
      <c r="H425" s="216" t="s">
        <v>90</v>
      </c>
      <c r="I425" s="56" t="s">
        <v>160</v>
      </c>
      <c r="J425" s="15">
        <v>18000</v>
      </c>
      <c r="K425" s="15">
        <v>0</v>
      </c>
      <c r="L425" s="15">
        <v>0</v>
      </c>
      <c r="M425" s="15">
        <v>10000</v>
      </c>
      <c r="N425" s="15">
        <v>180000000</v>
      </c>
      <c r="O425" s="15" t="str">
        <f>IF(AND(A425='BANG KE NL'!$M$11,TH!C425="NL",LEFT(D425,1)="N"),"x","")</f>
        <v/>
      </c>
    </row>
    <row r="426" spans="1:15" hidden="1">
      <c r="A426" s="24">
        <f t="shared" si="9"/>
        <v>12</v>
      </c>
      <c r="B426" s="188" t="str">
        <f>IF(AND(MONTH(E426)='IN-NX'!$J$5,'IN-NX'!$D$7=(D426&amp;"/"&amp;C426)),"x","")</f>
        <v/>
      </c>
      <c r="C426" s="185" t="s">
        <v>155</v>
      </c>
      <c r="D426" s="185" t="s">
        <v>437</v>
      </c>
      <c r="E426" s="69">
        <v>41629</v>
      </c>
      <c r="F426" s="61" t="s">
        <v>355</v>
      </c>
      <c r="G426" s="19" t="s">
        <v>408</v>
      </c>
      <c r="H426" s="216" t="s">
        <v>160</v>
      </c>
      <c r="I426" s="56" t="s">
        <v>93</v>
      </c>
      <c r="J426" s="15">
        <v>22000</v>
      </c>
      <c r="K426" s="15">
        <v>3581</v>
      </c>
      <c r="L426" s="15">
        <v>78782000</v>
      </c>
      <c r="M426" s="15">
        <v>0</v>
      </c>
      <c r="N426" s="15">
        <v>0</v>
      </c>
      <c r="O426" s="15" t="str">
        <f>IF(AND(A426='BANG KE NL'!$M$11,TH!C426="NL",LEFT(D426,1)="N"),"x","")</f>
        <v>x</v>
      </c>
    </row>
    <row r="427" spans="1:15" hidden="1">
      <c r="A427" s="24">
        <f t="shared" si="9"/>
        <v>12</v>
      </c>
      <c r="B427" s="188" t="str">
        <f>IF(AND(MONTH(E427)='IN-NX'!$J$5,'IN-NX'!$D$7=(D427&amp;"/"&amp;C427)),"x","")</f>
        <v/>
      </c>
      <c r="C427" s="185" t="s">
        <v>155</v>
      </c>
      <c r="D427" s="185" t="s">
        <v>438</v>
      </c>
      <c r="E427" s="69">
        <v>41629</v>
      </c>
      <c r="F427" s="61" t="s">
        <v>355</v>
      </c>
      <c r="G427" s="19" t="s">
        <v>430</v>
      </c>
      <c r="H427" s="216" t="s">
        <v>160</v>
      </c>
      <c r="I427" s="56" t="s">
        <v>93</v>
      </c>
      <c r="J427" s="15">
        <v>22000</v>
      </c>
      <c r="K427" s="15">
        <v>3919</v>
      </c>
      <c r="L427" s="15">
        <v>86218000</v>
      </c>
      <c r="M427" s="15">
        <v>0</v>
      </c>
      <c r="N427" s="15">
        <v>0</v>
      </c>
      <c r="O427" s="15" t="str">
        <f>IF(AND(A427='BANG KE NL'!$M$11,TH!C427="NL",LEFT(D427,1)="N"),"x","")</f>
        <v>x</v>
      </c>
    </row>
    <row r="428" spans="1:15" hidden="1">
      <c r="A428" s="24">
        <f t="shared" si="9"/>
        <v>12</v>
      </c>
      <c r="B428" s="188" t="str">
        <f>IF(AND(MONTH(E428)='IN-NX'!$J$5,'IN-NX'!$D$7=(D428&amp;"/"&amp;C428)),"x","")</f>
        <v/>
      </c>
      <c r="C428" s="185" t="s">
        <v>155</v>
      </c>
      <c r="D428" s="185" t="s">
        <v>434</v>
      </c>
      <c r="E428" s="69">
        <v>41629</v>
      </c>
      <c r="F428" s="61" t="s">
        <v>355</v>
      </c>
      <c r="G428" s="460" t="s">
        <v>158</v>
      </c>
      <c r="H428" s="216" t="s">
        <v>90</v>
      </c>
      <c r="I428" s="56" t="s">
        <v>160</v>
      </c>
      <c r="J428" s="15">
        <v>22000</v>
      </c>
      <c r="K428" s="15">
        <v>0</v>
      </c>
      <c r="L428" s="15">
        <v>0</v>
      </c>
      <c r="M428" s="15">
        <v>7500</v>
      </c>
      <c r="N428" s="15">
        <v>165000000</v>
      </c>
      <c r="O428" s="15" t="str">
        <f>IF(AND(A428='BANG KE NL'!$M$11,TH!C428="NL",LEFT(D428,1)="N"),"x","")</f>
        <v/>
      </c>
    </row>
    <row r="429" spans="1:15" hidden="1">
      <c r="A429" s="24">
        <f t="shared" si="9"/>
        <v>3</v>
      </c>
      <c r="B429" s="188" t="str">
        <f>IF(AND(MONTH(E429)='IN-NX'!$J$5,'IN-NX'!$D$7=(D429&amp;"/"&amp;C429)),"x","")</f>
        <v/>
      </c>
      <c r="C429" s="185" t="s">
        <v>155</v>
      </c>
      <c r="D429" s="185" t="s">
        <v>178</v>
      </c>
      <c r="E429" s="69">
        <v>41346</v>
      </c>
      <c r="F429" s="61" t="s">
        <v>356</v>
      </c>
      <c r="G429" s="19" t="s">
        <v>425</v>
      </c>
      <c r="H429" s="216" t="s">
        <v>160</v>
      </c>
      <c r="I429" s="56" t="s">
        <v>93</v>
      </c>
      <c r="J429" s="15">
        <v>28000</v>
      </c>
      <c r="K429" s="15">
        <v>4280</v>
      </c>
      <c r="L429" s="15">
        <v>119840000</v>
      </c>
      <c r="M429" s="15">
        <v>0</v>
      </c>
      <c r="N429" s="15">
        <v>0</v>
      </c>
      <c r="O429" s="15" t="str">
        <f>IF(AND(A429='BANG KE NL'!$M$11,TH!C429="NL",LEFT(D429,1)="N"),"x","")</f>
        <v/>
      </c>
    </row>
    <row r="430" spans="1:15" hidden="1">
      <c r="A430" s="24">
        <f t="shared" si="9"/>
        <v>3</v>
      </c>
      <c r="B430" s="188" t="str">
        <f>IF(AND(MONTH(E430)='IN-NX'!$J$5,'IN-NX'!$D$7=(D430&amp;"/"&amp;C430)),"x","")</f>
        <v/>
      </c>
      <c r="C430" s="185" t="s">
        <v>155</v>
      </c>
      <c r="D430" s="185" t="s">
        <v>179</v>
      </c>
      <c r="E430" s="69">
        <v>41346</v>
      </c>
      <c r="F430" s="61" t="s">
        <v>356</v>
      </c>
      <c r="G430" s="19" t="s">
        <v>126</v>
      </c>
      <c r="H430" s="216" t="s">
        <v>160</v>
      </c>
      <c r="I430" s="56" t="s">
        <v>93</v>
      </c>
      <c r="J430" s="15">
        <v>28000</v>
      </c>
      <c r="K430" s="15">
        <v>4150</v>
      </c>
      <c r="L430" s="15">
        <v>116200000</v>
      </c>
      <c r="M430" s="15">
        <v>0</v>
      </c>
      <c r="N430" s="15">
        <v>0</v>
      </c>
      <c r="O430" s="15" t="str">
        <f>IF(AND(A430='BANG KE NL'!$M$11,TH!C430="NL",LEFT(D430,1)="N"),"x","")</f>
        <v/>
      </c>
    </row>
    <row r="431" spans="1:15" hidden="1">
      <c r="A431" s="24">
        <f t="shared" si="9"/>
        <v>3</v>
      </c>
      <c r="B431" s="188" t="str">
        <f>IF(AND(MONTH(E431)='IN-NX'!$J$5,'IN-NX'!$D$7=(D431&amp;"/"&amp;C431)),"x","")</f>
        <v/>
      </c>
      <c r="C431" s="185" t="s">
        <v>155</v>
      </c>
      <c r="D431" s="185" t="s">
        <v>180</v>
      </c>
      <c r="E431" s="69">
        <v>41346</v>
      </c>
      <c r="F431" s="61" t="s">
        <v>356</v>
      </c>
      <c r="G431" s="19" t="s">
        <v>423</v>
      </c>
      <c r="H431" s="216" t="s">
        <v>160</v>
      </c>
      <c r="I431" s="56" t="s">
        <v>93</v>
      </c>
      <c r="J431" s="15">
        <v>28000</v>
      </c>
      <c r="K431" s="15">
        <v>4320</v>
      </c>
      <c r="L431" s="15">
        <v>120960000</v>
      </c>
      <c r="M431" s="15">
        <v>0</v>
      </c>
      <c r="N431" s="15">
        <v>0</v>
      </c>
      <c r="O431" s="15" t="str">
        <f>IF(AND(A431='BANG KE NL'!$M$11,TH!C431="NL",LEFT(D431,1)="N"),"x","")</f>
        <v/>
      </c>
    </row>
    <row r="432" spans="1:15" hidden="1">
      <c r="A432" s="24">
        <f t="shared" si="9"/>
        <v>3</v>
      </c>
      <c r="B432" s="188" t="str">
        <f>IF(AND(MONTH(E432)='IN-NX'!$J$5,'IN-NX'!$D$7=(D432&amp;"/"&amp;C432)),"x","")</f>
        <v/>
      </c>
      <c r="C432" s="185" t="s">
        <v>155</v>
      </c>
      <c r="D432" s="185" t="s">
        <v>181</v>
      </c>
      <c r="E432" s="69">
        <v>41347</v>
      </c>
      <c r="F432" s="61" t="s">
        <v>356</v>
      </c>
      <c r="G432" s="19" t="s">
        <v>125</v>
      </c>
      <c r="H432" s="216" t="s">
        <v>160</v>
      </c>
      <c r="I432" s="56" t="s">
        <v>93</v>
      </c>
      <c r="J432" s="15">
        <v>28000</v>
      </c>
      <c r="K432" s="15">
        <v>4340</v>
      </c>
      <c r="L432" s="15">
        <v>121520000</v>
      </c>
      <c r="M432" s="15">
        <v>0</v>
      </c>
      <c r="N432" s="15">
        <v>0</v>
      </c>
      <c r="O432" s="15" t="str">
        <f>IF(AND(A432='BANG KE NL'!$M$11,TH!C432="NL",LEFT(D432,1)="N"),"x","")</f>
        <v/>
      </c>
    </row>
    <row r="433" spans="1:15" hidden="1">
      <c r="A433" s="24">
        <f t="shared" si="9"/>
        <v>3</v>
      </c>
      <c r="B433" s="188" t="str">
        <f>IF(AND(MONTH(E433)='IN-NX'!$J$5,'IN-NX'!$D$7=(D433&amp;"/"&amp;C433)),"x","")</f>
        <v/>
      </c>
      <c r="C433" s="185" t="s">
        <v>155</v>
      </c>
      <c r="D433" s="185" t="s">
        <v>182</v>
      </c>
      <c r="E433" s="69">
        <v>41347</v>
      </c>
      <c r="F433" s="61" t="s">
        <v>356</v>
      </c>
      <c r="G433" s="19" t="s">
        <v>425</v>
      </c>
      <c r="H433" s="216" t="s">
        <v>160</v>
      </c>
      <c r="I433" s="56" t="s">
        <v>93</v>
      </c>
      <c r="J433" s="15">
        <v>28000</v>
      </c>
      <c r="K433" s="15">
        <v>3410</v>
      </c>
      <c r="L433" s="15">
        <v>95480000</v>
      </c>
      <c r="M433" s="15">
        <v>0</v>
      </c>
      <c r="N433" s="15">
        <v>0</v>
      </c>
      <c r="O433" s="15" t="str">
        <f>IF(AND(A433='BANG KE NL'!$M$11,TH!C433="NL",LEFT(D433,1)="N"),"x","")</f>
        <v/>
      </c>
    </row>
    <row r="434" spans="1:15" hidden="1">
      <c r="A434" s="24">
        <f t="shared" si="9"/>
        <v>3</v>
      </c>
      <c r="B434" s="188" t="str">
        <f>IF(AND(MONTH(E434)='IN-NX'!$J$5,'IN-NX'!$D$7=(D434&amp;"/"&amp;C434)),"x","")</f>
        <v/>
      </c>
      <c r="C434" s="185" t="s">
        <v>155</v>
      </c>
      <c r="D434" s="185" t="s">
        <v>199</v>
      </c>
      <c r="E434" s="69">
        <v>41348</v>
      </c>
      <c r="F434" s="61" t="s">
        <v>356</v>
      </c>
      <c r="G434" s="460" t="s">
        <v>158</v>
      </c>
      <c r="H434" s="216" t="s">
        <v>90</v>
      </c>
      <c r="I434" s="56" t="s">
        <v>160</v>
      </c>
      <c r="J434" s="15">
        <v>28000</v>
      </c>
      <c r="K434" s="15">
        <v>0</v>
      </c>
      <c r="L434" s="15">
        <v>0</v>
      </c>
      <c r="M434" s="15">
        <v>12750</v>
      </c>
      <c r="N434" s="15">
        <v>357000000</v>
      </c>
      <c r="O434" s="15" t="str">
        <f>IF(AND(A434='BANG KE NL'!$M$11,TH!C434="NL",LEFT(D434,1)="N"),"x","")</f>
        <v/>
      </c>
    </row>
    <row r="435" spans="1:15" hidden="1">
      <c r="A435" s="24">
        <f t="shared" si="9"/>
        <v>3</v>
      </c>
      <c r="B435" s="188" t="str">
        <f>IF(AND(MONTH(E435)='IN-NX'!$J$5,'IN-NX'!$D$7=(D435&amp;"/"&amp;C435)),"x","")</f>
        <v/>
      </c>
      <c r="C435" s="185" t="s">
        <v>155</v>
      </c>
      <c r="D435" s="185" t="s">
        <v>200</v>
      </c>
      <c r="E435" s="69">
        <v>41349</v>
      </c>
      <c r="F435" s="61" t="s">
        <v>356</v>
      </c>
      <c r="G435" s="460" t="s">
        <v>158</v>
      </c>
      <c r="H435" s="216" t="s">
        <v>90</v>
      </c>
      <c r="I435" s="56" t="s">
        <v>160</v>
      </c>
      <c r="J435" s="15">
        <v>28000</v>
      </c>
      <c r="K435" s="15">
        <v>0</v>
      </c>
      <c r="L435" s="15">
        <v>0</v>
      </c>
      <c r="M435" s="15">
        <v>7750</v>
      </c>
      <c r="N435" s="15">
        <v>217000000</v>
      </c>
      <c r="O435" s="15" t="str">
        <f>IF(AND(A435='BANG KE NL'!$M$11,TH!C435="NL",LEFT(D435,1)="N"),"x","")</f>
        <v/>
      </c>
    </row>
    <row r="436" spans="1:15" hidden="1">
      <c r="A436" s="24">
        <f t="shared" si="9"/>
        <v>4</v>
      </c>
      <c r="B436" s="188" t="str">
        <f>IF(AND(MONTH(E436)='IN-NX'!$J$5,'IN-NX'!$D$7=(D436&amp;"/"&amp;C436)),"x","")</f>
        <v/>
      </c>
      <c r="C436" s="185" t="s">
        <v>155</v>
      </c>
      <c r="D436" s="185" t="s">
        <v>170</v>
      </c>
      <c r="E436" s="69">
        <v>41372</v>
      </c>
      <c r="F436" s="61" t="s">
        <v>356</v>
      </c>
      <c r="G436" s="19" t="s">
        <v>425</v>
      </c>
      <c r="H436" s="216" t="s">
        <v>160</v>
      </c>
      <c r="I436" s="56" t="s">
        <v>93</v>
      </c>
      <c r="J436" s="15">
        <v>30000</v>
      </c>
      <c r="K436" s="15">
        <v>5621</v>
      </c>
      <c r="L436" s="15">
        <v>168630000</v>
      </c>
      <c r="M436" s="15">
        <v>0</v>
      </c>
      <c r="N436" s="15">
        <v>0</v>
      </c>
      <c r="O436" s="15" t="str">
        <f>IF(AND(A436='BANG KE NL'!$M$11,TH!C436="NL",LEFT(D436,1)="N"),"x","")</f>
        <v/>
      </c>
    </row>
    <row r="437" spans="1:15" hidden="1">
      <c r="A437" s="24">
        <f t="shared" si="9"/>
        <v>4</v>
      </c>
      <c r="B437" s="188" t="str">
        <f>IF(AND(MONTH(E437)='IN-NX'!$J$5,'IN-NX'!$D$7=(D437&amp;"/"&amp;C437)),"x","")</f>
        <v/>
      </c>
      <c r="C437" s="185" t="s">
        <v>155</v>
      </c>
      <c r="D437" s="185" t="s">
        <v>171</v>
      </c>
      <c r="E437" s="69">
        <v>41372</v>
      </c>
      <c r="F437" s="61" t="s">
        <v>356</v>
      </c>
      <c r="G437" s="19" t="s">
        <v>410</v>
      </c>
      <c r="H437" s="216" t="s">
        <v>160</v>
      </c>
      <c r="I437" s="56" t="s">
        <v>93</v>
      </c>
      <c r="J437" s="15">
        <v>30000</v>
      </c>
      <c r="K437" s="15">
        <v>4582</v>
      </c>
      <c r="L437" s="15">
        <v>137460000</v>
      </c>
      <c r="M437" s="15">
        <v>0</v>
      </c>
      <c r="N437" s="15">
        <v>0</v>
      </c>
      <c r="O437" s="15" t="str">
        <f>IF(AND(A437='BANG KE NL'!$M$11,TH!C437="NL",LEFT(D437,1)="N"),"x","")</f>
        <v/>
      </c>
    </row>
    <row r="438" spans="1:15" hidden="1">
      <c r="A438" s="24">
        <f t="shared" si="9"/>
        <v>4</v>
      </c>
      <c r="B438" s="188" t="str">
        <f>IF(AND(MONTH(E438)='IN-NX'!$J$5,'IN-NX'!$D$7=(D438&amp;"/"&amp;C438)),"x","")</f>
        <v/>
      </c>
      <c r="C438" s="185" t="s">
        <v>155</v>
      </c>
      <c r="D438" s="185" t="s">
        <v>172</v>
      </c>
      <c r="E438" s="69">
        <v>41372</v>
      </c>
      <c r="F438" s="61" t="s">
        <v>356</v>
      </c>
      <c r="G438" s="19" t="s">
        <v>123</v>
      </c>
      <c r="H438" s="216" t="s">
        <v>160</v>
      </c>
      <c r="I438" s="56" t="s">
        <v>93</v>
      </c>
      <c r="J438" s="15">
        <v>30000</v>
      </c>
      <c r="K438" s="15">
        <v>5852</v>
      </c>
      <c r="L438" s="15">
        <v>175560000</v>
      </c>
      <c r="M438" s="15">
        <v>0</v>
      </c>
      <c r="N438" s="15">
        <v>0</v>
      </c>
      <c r="O438" s="15" t="str">
        <f>IF(AND(A438='BANG KE NL'!$M$11,TH!C438="NL",LEFT(D438,1)="N"),"x","")</f>
        <v/>
      </c>
    </row>
    <row r="439" spans="1:15" hidden="1">
      <c r="A439" s="24">
        <f t="shared" si="9"/>
        <v>4</v>
      </c>
      <c r="B439" s="188" t="str">
        <f>IF(AND(MONTH(E439)='IN-NX'!$J$5,'IN-NX'!$D$7=(D439&amp;"/"&amp;C439)),"x","")</f>
        <v/>
      </c>
      <c r="C439" s="185" t="s">
        <v>155</v>
      </c>
      <c r="D439" s="185" t="s">
        <v>173</v>
      </c>
      <c r="E439" s="69">
        <v>41372</v>
      </c>
      <c r="F439" s="61" t="s">
        <v>356</v>
      </c>
      <c r="G439" s="19" t="s">
        <v>418</v>
      </c>
      <c r="H439" s="216" t="s">
        <v>160</v>
      </c>
      <c r="I439" s="56" t="s">
        <v>93</v>
      </c>
      <c r="J439" s="15">
        <v>30000</v>
      </c>
      <c r="K439" s="15">
        <v>3945</v>
      </c>
      <c r="L439" s="15">
        <v>118350000</v>
      </c>
      <c r="M439" s="15">
        <v>0</v>
      </c>
      <c r="N439" s="15">
        <v>0</v>
      </c>
      <c r="O439" s="15" t="str">
        <f>IF(AND(A439='BANG KE NL'!$M$11,TH!C439="NL",LEFT(D439,1)="N"),"x","")</f>
        <v/>
      </c>
    </row>
    <row r="440" spans="1:15" hidden="1">
      <c r="A440" s="24">
        <f t="shared" si="9"/>
        <v>4</v>
      </c>
      <c r="B440" s="188" t="str">
        <f>IF(AND(MONTH(E440)='IN-NX'!$J$5,'IN-NX'!$D$7=(D440&amp;"/"&amp;C440)),"x","")</f>
        <v/>
      </c>
      <c r="C440" s="185" t="s">
        <v>155</v>
      </c>
      <c r="D440" s="185" t="s">
        <v>197</v>
      </c>
      <c r="E440" s="69">
        <v>41372</v>
      </c>
      <c r="F440" s="61" t="s">
        <v>356</v>
      </c>
      <c r="G440" s="460" t="s">
        <v>158</v>
      </c>
      <c r="H440" s="216" t="s">
        <v>90</v>
      </c>
      <c r="I440" s="56" t="s">
        <v>160</v>
      </c>
      <c r="J440" s="15">
        <v>30000</v>
      </c>
      <c r="K440" s="15">
        <v>0</v>
      </c>
      <c r="L440" s="15">
        <v>0</v>
      </c>
      <c r="M440" s="15">
        <v>10203</v>
      </c>
      <c r="N440" s="15">
        <v>306090000</v>
      </c>
      <c r="O440" s="15" t="str">
        <f>IF(AND(A440='BANG KE NL'!$M$11,TH!C440="NL",LEFT(D440,1)="N"),"x","")</f>
        <v/>
      </c>
    </row>
    <row r="441" spans="1:15" hidden="1">
      <c r="A441" s="24">
        <f t="shared" si="9"/>
        <v>4</v>
      </c>
      <c r="B441" s="188" t="str">
        <f>IF(AND(MONTH(E441)='IN-NX'!$J$5,'IN-NX'!$D$7=(D441&amp;"/"&amp;C441)),"x","")</f>
        <v/>
      </c>
      <c r="C441" s="185" t="s">
        <v>155</v>
      </c>
      <c r="D441" s="185" t="s">
        <v>198</v>
      </c>
      <c r="E441" s="69">
        <v>41373</v>
      </c>
      <c r="F441" s="61" t="s">
        <v>356</v>
      </c>
      <c r="G441" s="460" t="s">
        <v>158</v>
      </c>
      <c r="H441" s="216" t="s">
        <v>90</v>
      </c>
      <c r="I441" s="56" t="s">
        <v>160</v>
      </c>
      <c r="J441" s="15">
        <v>30000</v>
      </c>
      <c r="K441" s="15">
        <v>0</v>
      </c>
      <c r="L441" s="15">
        <v>0</v>
      </c>
      <c r="M441" s="15">
        <v>9797</v>
      </c>
      <c r="N441" s="15">
        <v>293910000</v>
      </c>
      <c r="O441" s="15" t="str">
        <f>IF(AND(A441='BANG KE NL'!$M$11,TH!C441="NL",LEFT(D441,1)="N"),"x","")</f>
        <v/>
      </c>
    </row>
    <row r="442" spans="1:15" hidden="1">
      <c r="A442" s="24">
        <f t="shared" si="9"/>
        <v>5</v>
      </c>
      <c r="B442" s="188" t="str">
        <f>IF(AND(MONTH(E442)='IN-NX'!$J$5,'IN-NX'!$D$7=(D442&amp;"/"&amp;C442)),"x","")</f>
        <v/>
      </c>
      <c r="C442" s="185" t="s">
        <v>155</v>
      </c>
      <c r="D442" s="185" t="s">
        <v>146</v>
      </c>
      <c r="E442" s="69">
        <v>41396</v>
      </c>
      <c r="F442" s="61" t="s">
        <v>356</v>
      </c>
      <c r="G442" s="19" t="s">
        <v>425</v>
      </c>
      <c r="H442" s="216" t="s">
        <v>160</v>
      </c>
      <c r="I442" s="56" t="s">
        <v>93</v>
      </c>
      <c r="J442" s="15">
        <v>34000</v>
      </c>
      <c r="K442" s="15">
        <v>4538</v>
      </c>
      <c r="L442" s="15">
        <v>154292000</v>
      </c>
      <c r="M442" s="15">
        <v>0</v>
      </c>
      <c r="N442" s="15">
        <v>0</v>
      </c>
      <c r="O442" s="15" t="str">
        <f>IF(AND(A442='BANG KE NL'!$M$11,TH!C442="NL",LEFT(D442,1)="N"),"x","")</f>
        <v/>
      </c>
    </row>
    <row r="443" spans="1:15" hidden="1">
      <c r="A443" s="24">
        <f t="shared" si="9"/>
        <v>5</v>
      </c>
      <c r="B443" s="188" t="str">
        <f>IF(AND(MONTH(E443)='IN-NX'!$J$5,'IN-NX'!$D$7=(D443&amp;"/"&amp;C443)),"x","")</f>
        <v/>
      </c>
      <c r="C443" s="185" t="s">
        <v>155</v>
      </c>
      <c r="D443" s="185" t="s">
        <v>147</v>
      </c>
      <c r="E443" s="69">
        <v>41396</v>
      </c>
      <c r="F443" s="61" t="s">
        <v>356</v>
      </c>
      <c r="G443" s="19" t="s">
        <v>410</v>
      </c>
      <c r="H443" s="216" t="s">
        <v>160</v>
      </c>
      <c r="I443" s="56" t="s">
        <v>93</v>
      </c>
      <c r="J443" s="15">
        <v>34000</v>
      </c>
      <c r="K443" s="15">
        <v>4590</v>
      </c>
      <c r="L443" s="15">
        <v>156060000</v>
      </c>
      <c r="M443" s="15">
        <v>0</v>
      </c>
      <c r="N443" s="15">
        <v>0</v>
      </c>
      <c r="O443" s="15" t="str">
        <f>IF(AND(A443='BANG KE NL'!$M$11,TH!C443="NL",LEFT(D443,1)="N"),"x","")</f>
        <v/>
      </c>
    </row>
    <row r="444" spans="1:15" hidden="1">
      <c r="A444" s="24">
        <f t="shared" si="9"/>
        <v>5</v>
      </c>
      <c r="B444" s="188" t="str">
        <f>IF(AND(MONTH(E444)='IN-NX'!$J$5,'IN-NX'!$D$7=(D444&amp;"/"&amp;C444)),"x","")</f>
        <v/>
      </c>
      <c r="C444" s="185" t="s">
        <v>155</v>
      </c>
      <c r="D444" s="185" t="s">
        <v>148</v>
      </c>
      <c r="E444" s="69">
        <v>41396</v>
      </c>
      <c r="F444" s="61" t="s">
        <v>356</v>
      </c>
      <c r="G444" s="19" t="s">
        <v>123</v>
      </c>
      <c r="H444" s="216" t="s">
        <v>160</v>
      </c>
      <c r="I444" s="56" t="s">
        <v>93</v>
      </c>
      <c r="J444" s="15">
        <v>34000</v>
      </c>
      <c r="K444" s="15">
        <v>3397</v>
      </c>
      <c r="L444" s="15">
        <v>115498000</v>
      </c>
      <c r="M444" s="15">
        <v>0</v>
      </c>
      <c r="N444" s="15">
        <v>0</v>
      </c>
      <c r="O444" s="15" t="str">
        <f>IF(AND(A444='BANG KE NL'!$M$11,TH!C444="NL",LEFT(D444,1)="N"),"x","")</f>
        <v/>
      </c>
    </row>
    <row r="445" spans="1:15" hidden="1">
      <c r="A445" s="24">
        <f t="shared" si="9"/>
        <v>5</v>
      </c>
      <c r="B445" s="188" t="str">
        <f>IF(AND(MONTH(E445)='IN-NX'!$J$5,'IN-NX'!$D$7=(D445&amp;"/"&amp;C445)),"x","")</f>
        <v/>
      </c>
      <c r="C445" s="185" t="s">
        <v>155</v>
      </c>
      <c r="D445" s="185" t="s">
        <v>150</v>
      </c>
      <c r="E445" s="69">
        <v>41397</v>
      </c>
      <c r="F445" s="61" t="s">
        <v>356</v>
      </c>
      <c r="G445" s="460" t="s">
        <v>158</v>
      </c>
      <c r="H445" s="216" t="s">
        <v>90</v>
      </c>
      <c r="I445" s="56" t="s">
        <v>160</v>
      </c>
      <c r="J445" s="15">
        <v>34000</v>
      </c>
      <c r="K445" s="15">
        <v>0</v>
      </c>
      <c r="L445" s="15">
        <v>0</v>
      </c>
      <c r="M445" s="15">
        <v>12525</v>
      </c>
      <c r="N445" s="15">
        <v>425850000</v>
      </c>
      <c r="O445" s="15" t="str">
        <f>IF(AND(A445='BANG KE NL'!$M$11,TH!C445="NL",LEFT(D445,1)="N"),"x","")</f>
        <v/>
      </c>
    </row>
    <row r="446" spans="1:15" hidden="1">
      <c r="A446" s="24">
        <f t="shared" si="9"/>
        <v>12</v>
      </c>
      <c r="B446" s="188" t="str">
        <f>IF(AND(MONTH(E446)='IN-NX'!$J$5,'IN-NX'!$D$7=(D446&amp;"/"&amp;C446)),"x","")</f>
        <v/>
      </c>
      <c r="C446" s="185" t="s">
        <v>155</v>
      </c>
      <c r="D446" s="185" t="s">
        <v>169</v>
      </c>
      <c r="E446" s="69">
        <v>41610</v>
      </c>
      <c r="F446" s="61" t="s">
        <v>356</v>
      </c>
      <c r="G446" s="19" t="s">
        <v>123</v>
      </c>
      <c r="H446" s="216" t="s">
        <v>160</v>
      </c>
      <c r="I446" s="56" t="s">
        <v>93</v>
      </c>
      <c r="J446" s="15">
        <v>37500</v>
      </c>
      <c r="K446" s="15">
        <v>6152</v>
      </c>
      <c r="L446" s="15">
        <v>230700000</v>
      </c>
      <c r="M446" s="15">
        <v>0</v>
      </c>
      <c r="N446" s="15">
        <v>0</v>
      </c>
      <c r="O446" s="15" t="str">
        <f>IF(AND(A446='BANG KE NL'!$M$11,TH!C446="NL",LEFT(D446,1)="N"),"x","")</f>
        <v>x</v>
      </c>
    </row>
    <row r="447" spans="1:15" hidden="1">
      <c r="A447" s="24">
        <f t="shared" si="9"/>
        <v>12</v>
      </c>
      <c r="B447" s="188" t="str">
        <f>IF(AND(MONTH(E447)='IN-NX'!$J$5,'IN-NX'!$D$7=(D447&amp;"/"&amp;C447)),"x","")</f>
        <v/>
      </c>
      <c r="C447" s="185" t="s">
        <v>155</v>
      </c>
      <c r="D447" s="185" t="s">
        <v>170</v>
      </c>
      <c r="E447" s="69">
        <v>41610</v>
      </c>
      <c r="F447" s="61" t="s">
        <v>356</v>
      </c>
      <c r="G447" s="19" t="s">
        <v>125</v>
      </c>
      <c r="H447" s="216" t="s">
        <v>160</v>
      </c>
      <c r="I447" s="56" t="s">
        <v>93</v>
      </c>
      <c r="J447" s="15">
        <v>37500</v>
      </c>
      <c r="K447" s="15">
        <v>6245</v>
      </c>
      <c r="L447" s="15">
        <v>234187500</v>
      </c>
      <c r="M447" s="15">
        <v>0</v>
      </c>
      <c r="N447" s="15">
        <v>0</v>
      </c>
      <c r="O447" s="15" t="str">
        <f>IF(AND(A447='BANG KE NL'!$M$11,TH!C447="NL",LEFT(D447,1)="N"),"x","")</f>
        <v>x</v>
      </c>
    </row>
    <row r="448" spans="1:15" hidden="1">
      <c r="A448" s="24">
        <f t="shared" si="9"/>
        <v>12</v>
      </c>
      <c r="B448" s="188" t="str">
        <f>IF(AND(MONTH(E448)='IN-NX'!$J$5,'IN-NX'!$D$7=(D448&amp;"/"&amp;C448)),"x","")</f>
        <v/>
      </c>
      <c r="C448" s="185" t="s">
        <v>155</v>
      </c>
      <c r="D448" s="185" t="s">
        <v>151</v>
      </c>
      <c r="E448" s="69">
        <v>41611</v>
      </c>
      <c r="F448" s="61" t="s">
        <v>356</v>
      </c>
      <c r="G448" s="460" t="s">
        <v>158</v>
      </c>
      <c r="H448" s="216" t="s">
        <v>90</v>
      </c>
      <c r="I448" s="56" t="s">
        <v>160</v>
      </c>
      <c r="J448" s="15">
        <v>37500</v>
      </c>
      <c r="K448" s="15">
        <v>0</v>
      </c>
      <c r="L448" s="15">
        <v>0</v>
      </c>
      <c r="M448" s="15">
        <v>12397</v>
      </c>
      <c r="N448" s="15">
        <v>464887500</v>
      </c>
      <c r="O448" s="15" t="str">
        <f>IF(AND(A448='BANG KE NL'!$M$11,TH!C448="NL",LEFT(D448,1)="N"),"x","")</f>
        <v/>
      </c>
    </row>
    <row r="449" spans="1:15" hidden="1">
      <c r="A449" s="24">
        <f t="shared" si="9"/>
        <v>12</v>
      </c>
      <c r="B449" s="188" t="str">
        <f>IF(AND(MONTH(E449)='IN-NX'!$J$5,'IN-NX'!$D$7=(D449&amp;"/"&amp;C449)),"x","")</f>
        <v/>
      </c>
      <c r="C449" s="185" t="s">
        <v>155</v>
      </c>
      <c r="D449" s="185" t="s">
        <v>179</v>
      </c>
      <c r="E449" s="69">
        <v>41612</v>
      </c>
      <c r="F449" s="61" t="s">
        <v>356</v>
      </c>
      <c r="G449" s="19" t="s">
        <v>126</v>
      </c>
      <c r="H449" s="216" t="s">
        <v>160</v>
      </c>
      <c r="I449" s="56" t="s">
        <v>93</v>
      </c>
      <c r="J449" s="15">
        <v>37500</v>
      </c>
      <c r="K449" s="15">
        <v>6423</v>
      </c>
      <c r="L449" s="15">
        <v>240862500</v>
      </c>
      <c r="M449" s="15">
        <v>0</v>
      </c>
      <c r="N449" s="15">
        <v>0</v>
      </c>
      <c r="O449" s="15" t="str">
        <f>IF(AND(A449='BANG KE NL'!$M$11,TH!C449="NL",LEFT(D449,1)="N"),"x","")</f>
        <v>x</v>
      </c>
    </row>
    <row r="450" spans="1:15" hidden="1">
      <c r="A450" s="24">
        <f t="shared" si="9"/>
        <v>12</v>
      </c>
      <c r="B450" s="188" t="str">
        <f>IF(AND(MONTH(E450)='IN-NX'!$J$5,'IN-NX'!$D$7=(D450&amp;"/"&amp;C450)),"x","")</f>
        <v/>
      </c>
      <c r="C450" s="185" t="s">
        <v>155</v>
      </c>
      <c r="D450" s="185" t="s">
        <v>180</v>
      </c>
      <c r="E450" s="69">
        <v>41612</v>
      </c>
      <c r="F450" s="61" t="s">
        <v>356</v>
      </c>
      <c r="G450" s="19" t="s">
        <v>425</v>
      </c>
      <c r="H450" s="216" t="s">
        <v>160</v>
      </c>
      <c r="I450" s="56" t="s">
        <v>93</v>
      </c>
      <c r="J450" s="15">
        <v>37500</v>
      </c>
      <c r="K450" s="15">
        <v>6082</v>
      </c>
      <c r="L450" s="15">
        <v>228075000</v>
      </c>
      <c r="M450" s="15">
        <v>0</v>
      </c>
      <c r="N450" s="15">
        <v>0</v>
      </c>
      <c r="O450" s="15" t="str">
        <f>IF(AND(A450='BANG KE NL'!$M$11,TH!C450="NL",LEFT(D450,1)="N"),"x","")</f>
        <v>x</v>
      </c>
    </row>
    <row r="451" spans="1:15" hidden="1">
      <c r="A451" s="24">
        <f t="shared" si="9"/>
        <v>12</v>
      </c>
      <c r="B451" s="188" t="str">
        <f>IF(AND(MONTH(E451)='IN-NX'!$J$5,'IN-NX'!$D$7=(D451&amp;"/"&amp;C451)),"x","")</f>
        <v/>
      </c>
      <c r="C451" s="185" t="s">
        <v>155</v>
      </c>
      <c r="D451" s="185" t="s">
        <v>181</v>
      </c>
      <c r="E451" s="69">
        <v>41613</v>
      </c>
      <c r="F451" s="61" t="s">
        <v>356</v>
      </c>
      <c r="G451" s="19" t="s">
        <v>425</v>
      </c>
      <c r="H451" s="216" t="s">
        <v>160</v>
      </c>
      <c r="I451" s="56" t="s">
        <v>93</v>
      </c>
      <c r="J451" s="15">
        <v>37500</v>
      </c>
      <c r="K451" s="15">
        <v>6823</v>
      </c>
      <c r="L451" s="15">
        <v>255862500</v>
      </c>
      <c r="M451" s="15">
        <v>0</v>
      </c>
      <c r="N451" s="15">
        <v>0</v>
      </c>
      <c r="O451" s="15" t="str">
        <f>IF(AND(A451='BANG KE NL'!$M$11,TH!C451="NL",LEFT(D451,1)="N"),"x","")</f>
        <v>x</v>
      </c>
    </row>
    <row r="452" spans="1:15" hidden="1">
      <c r="A452" s="24">
        <f t="shared" si="9"/>
        <v>12</v>
      </c>
      <c r="B452" s="188" t="str">
        <f>IF(AND(MONTH(E452)='IN-NX'!$J$5,'IN-NX'!$D$7=(D452&amp;"/"&amp;C452)),"x","")</f>
        <v/>
      </c>
      <c r="C452" s="185" t="s">
        <v>155</v>
      </c>
      <c r="D452" s="185" t="s">
        <v>182</v>
      </c>
      <c r="E452" s="69">
        <v>41613</v>
      </c>
      <c r="F452" s="61" t="s">
        <v>356</v>
      </c>
      <c r="G452" s="19" t="s">
        <v>418</v>
      </c>
      <c r="H452" s="216" t="s">
        <v>160</v>
      </c>
      <c r="I452" s="56" t="s">
        <v>93</v>
      </c>
      <c r="J452" s="15">
        <v>37500</v>
      </c>
      <c r="K452" s="15">
        <v>6020</v>
      </c>
      <c r="L452" s="15">
        <v>225750000</v>
      </c>
      <c r="M452" s="15">
        <v>0</v>
      </c>
      <c r="N452" s="15">
        <v>0</v>
      </c>
      <c r="O452" s="15" t="str">
        <f>IF(AND(A452='BANG KE NL'!$M$11,TH!C452="NL",LEFT(D452,1)="N"),"x","")</f>
        <v>x</v>
      </c>
    </row>
    <row r="453" spans="1:15" hidden="1">
      <c r="A453" s="24">
        <f t="shared" si="9"/>
        <v>12</v>
      </c>
      <c r="B453" s="188" t="str">
        <f>IF(AND(MONTH(E453)='IN-NX'!$J$5,'IN-NX'!$D$7=(D453&amp;"/"&amp;C453)),"x","")</f>
        <v/>
      </c>
      <c r="C453" s="185" t="s">
        <v>155</v>
      </c>
      <c r="D453" s="185" t="s">
        <v>201</v>
      </c>
      <c r="E453" s="69">
        <v>41619</v>
      </c>
      <c r="F453" s="61" t="s">
        <v>356</v>
      </c>
      <c r="G453" s="460" t="s">
        <v>158</v>
      </c>
      <c r="H453" s="216" t="s">
        <v>90</v>
      </c>
      <c r="I453" s="56" t="s">
        <v>160</v>
      </c>
      <c r="J453" s="15">
        <v>37500</v>
      </c>
      <c r="K453" s="15">
        <v>0</v>
      </c>
      <c r="L453" s="15">
        <v>0</v>
      </c>
      <c r="M453" s="15">
        <v>12505</v>
      </c>
      <c r="N453" s="15">
        <v>468937500</v>
      </c>
      <c r="O453" s="15" t="str">
        <f>IF(AND(A453='BANG KE NL'!$M$11,TH!C453="NL",LEFT(D453,1)="N"),"x","")</f>
        <v/>
      </c>
    </row>
    <row r="454" spans="1:15" hidden="1">
      <c r="A454" s="24">
        <f t="shared" ref="A454:A517" si="10">IF(E454&lt;&gt;"",MONTH(E454),"")</f>
        <v>12</v>
      </c>
      <c r="B454" s="188" t="str">
        <f>IF(AND(MONTH(E454)='IN-NX'!$J$5,'IN-NX'!$D$7=(D454&amp;"/"&amp;C454)),"x","")</f>
        <v/>
      </c>
      <c r="C454" s="185" t="s">
        <v>155</v>
      </c>
      <c r="D454" s="185" t="s">
        <v>203</v>
      </c>
      <c r="E454" s="69">
        <v>41621</v>
      </c>
      <c r="F454" s="61" t="s">
        <v>356</v>
      </c>
      <c r="G454" s="460" t="s">
        <v>158</v>
      </c>
      <c r="H454" s="216" t="s">
        <v>90</v>
      </c>
      <c r="I454" s="56" t="s">
        <v>160</v>
      </c>
      <c r="J454" s="15">
        <v>37500</v>
      </c>
      <c r="K454" s="15">
        <v>0</v>
      </c>
      <c r="L454" s="15">
        <v>0</v>
      </c>
      <c r="M454" s="15">
        <v>12843</v>
      </c>
      <c r="N454" s="15">
        <v>481612500</v>
      </c>
      <c r="O454" s="15" t="str">
        <f>IF(AND(A454='BANG KE NL'!$M$11,TH!C454="NL",LEFT(D454,1)="N"),"x","")</f>
        <v/>
      </c>
    </row>
    <row r="455" spans="1:15" hidden="1">
      <c r="A455" s="24">
        <f t="shared" si="10"/>
        <v>1</v>
      </c>
      <c r="B455" s="188" t="str">
        <f>IF(AND(MONTH(E455)='IN-NX'!$J$5,'IN-NX'!$D$7=(D455&amp;"/"&amp;C455)),"x","")</f>
        <v/>
      </c>
      <c r="C455" s="185" t="s">
        <v>155</v>
      </c>
      <c r="D455" s="185" t="s">
        <v>143</v>
      </c>
      <c r="E455" s="69">
        <v>41276</v>
      </c>
      <c r="F455" s="61" t="s">
        <v>275</v>
      </c>
      <c r="G455" s="19" t="s">
        <v>134</v>
      </c>
      <c r="H455" s="216" t="s">
        <v>160</v>
      </c>
      <c r="I455" s="56" t="s">
        <v>93</v>
      </c>
      <c r="J455" s="15">
        <v>20000</v>
      </c>
      <c r="K455" s="15">
        <v>4630</v>
      </c>
      <c r="L455" s="15">
        <v>92600000</v>
      </c>
      <c r="M455" s="15">
        <v>0</v>
      </c>
      <c r="N455" s="15">
        <v>0</v>
      </c>
      <c r="O455" s="15" t="str">
        <f>IF(AND(A455='BANG KE NL'!$M$11,TH!C455="NL",LEFT(D455,1)="N"),"x","")</f>
        <v/>
      </c>
    </row>
    <row r="456" spans="1:15" hidden="1">
      <c r="A456" s="24">
        <f t="shared" si="10"/>
        <v>1</v>
      </c>
      <c r="B456" s="188" t="str">
        <f>IF(AND(MONTH(E456)='IN-NX'!$J$5,'IN-NX'!$D$7=(D456&amp;"/"&amp;C456)),"x","")</f>
        <v/>
      </c>
      <c r="C456" s="185" t="s">
        <v>155</v>
      </c>
      <c r="D456" s="185" t="s">
        <v>144</v>
      </c>
      <c r="E456" s="69">
        <v>41276</v>
      </c>
      <c r="F456" s="61" t="s">
        <v>275</v>
      </c>
      <c r="G456" s="19" t="s">
        <v>135</v>
      </c>
      <c r="H456" s="216" t="s">
        <v>160</v>
      </c>
      <c r="I456" s="56" t="s">
        <v>93</v>
      </c>
      <c r="J456" s="15">
        <v>20000</v>
      </c>
      <c r="K456" s="15">
        <v>4960</v>
      </c>
      <c r="L456" s="15">
        <v>99200000</v>
      </c>
      <c r="M456" s="15">
        <v>0</v>
      </c>
      <c r="N456" s="15">
        <v>0</v>
      </c>
      <c r="O456" s="15" t="str">
        <f>IF(AND(A456='BANG KE NL'!$M$11,TH!C456="NL",LEFT(D456,1)="N"),"x","")</f>
        <v/>
      </c>
    </row>
    <row r="457" spans="1:15" hidden="1">
      <c r="A457" s="24">
        <f t="shared" si="10"/>
        <v>1</v>
      </c>
      <c r="B457" s="188" t="str">
        <f>IF(AND(MONTH(E457)='IN-NX'!$J$5,'IN-NX'!$D$7=(D457&amp;"/"&amp;C457)),"x","")</f>
        <v/>
      </c>
      <c r="C457" s="185" t="s">
        <v>155</v>
      </c>
      <c r="D457" s="185" t="s">
        <v>145</v>
      </c>
      <c r="E457" s="69">
        <v>41276</v>
      </c>
      <c r="F457" s="61" t="s">
        <v>275</v>
      </c>
      <c r="G457" s="19" t="s">
        <v>132</v>
      </c>
      <c r="H457" s="216" t="s">
        <v>160</v>
      </c>
      <c r="I457" s="56" t="s">
        <v>93</v>
      </c>
      <c r="J457" s="15">
        <v>20000</v>
      </c>
      <c r="K457" s="15">
        <v>4300</v>
      </c>
      <c r="L457" s="15">
        <v>86000000</v>
      </c>
      <c r="M457" s="15">
        <v>0</v>
      </c>
      <c r="N457" s="15">
        <v>0</v>
      </c>
      <c r="O457" s="15" t="str">
        <f>IF(AND(A457='BANG KE NL'!$M$11,TH!C457="NL",LEFT(D457,1)="N"),"x","")</f>
        <v/>
      </c>
    </row>
    <row r="458" spans="1:15" hidden="1">
      <c r="A458" s="24">
        <f t="shared" si="10"/>
        <v>1</v>
      </c>
      <c r="B458" s="188" t="str">
        <f>IF(AND(MONTH(E458)='IN-NX'!$J$5,'IN-NX'!$D$7=(D458&amp;"/"&amp;C458)),"x","")</f>
        <v/>
      </c>
      <c r="C458" s="185" t="s">
        <v>155</v>
      </c>
      <c r="D458" s="185" t="s">
        <v>146</v>
      </c>
      <c r="E458" s="69">
        <v>41276</v>
      </c>
      <c r="F458" s="61" t="s">
        <v>275</v>
      </c>
      <c r="G458" s="19" t="s">
        <v>131</v>
      </c>
      <c r="H458" s="216" t="s">
        <v>160</v>
      </c>
      <c r="I458" s="56" t="s">
        <v>93</v>
      </c>
      <c r="J458" s="15">
        <v>20000</v>
      </c>
      <c r="K458" s="15">
        <v>4510</v>
      </c>
      <c r="L458" s="15">
        <v>90200000</v>
      </c>
      <c r="M458" s="15">
        <v>0</v>
      </c>
      <c r="N458" s="15">
        <v>0</v>
      </c>
      <c r="O458" s="15" t="str">
        <f>IF(AND(A458='BANG KE NL'!$M$11,TH!C458="NL",LEFT(D458,1)="N"),"x","")</f>
        <v/>
      </c>
    </row>
    <row r="459" spans="1:15" hidden="1">
      <c r="A459" s="24">
        <f t="shared" si="10"/>
        <v>1</v>
      </c>
      <c r="B459" s="188" t="str">
        <f>IF(AND(MONTH(E459)='IN-NX'!$J$5,'IN-NX'!$D$7=(D459&amp;"/"&amp;C459)),"x","")</f>
        <v/>
      </c>
      <c r="C459" s="185" t="s">
        <v>155</v>
      </c>
      <c r="D459" s="185" t="s">
        <v>149</v>
      </c>
      <c r="E459" s="69">
        <v>41276</v>
      </c>
      <c r="F459" s="61" t="s">
        <v>275</v>
      </c>
      <c r="G459" s="460" t="s">
        <v>158</v>
      </c>
      <c r="H459" s="216" t="s">
        <v>90</v>
      </c>
      <c r="I459" s="56" t="s">
        <v>160</v>
      </c>
      <c r="J459" s="15">
        <v>20000</v>
      </c>
      <c r="K459" s="15">
        <v>0</v>
      </c>
      <c r="L459" s="15">
        <v>0</v>
      </c>
      <c r="M459" s="15">
        <v>18400</v>
      </c>
      <c r="N459" s="15">
        <v>368000000</v>
      </c>
      <c r="O459" s="15" t="str">
        <f>IF(AND(A459='BANG KE NL'!$M$11,TH!C459="NL",LEFT(D459,1)="N"),"x","")</f>
        <v/>
      </c>
    </row>
    <row r="460" spans="1:15" hidden="1">
      <c r="A460" s="24">
        <f t="shared" si="10"/>
        <v>1</v>
      </c>
      <c r="B460" s="188" t="str">
        <f>IF(AND(MONTH(E460)='IN-NX'!$J$5,'IN-NX'!$D$7=(D460&amp;"/"&amp;C460)),"x","")</f>
        <v/>
      </c>
      <c r="C460" s="185" t="s">
        <v>155</v>
      </c>
      <c r="D460" s="185" t="s">
        <v>147</v>
      </c>
      <c r="E460" s="69">
        <v>41277</v>
      </c>
      <c r="F460" s="61" t="s">
        <v>275</v>
      </c>
      <c r="G460" s="19" t="s">
        <v>130</v>
      </c>
      <c r="H460" s="216" t="s">
        <v>160</v>
      </c>
      <c r="I460" s="56" t="s">
        <v>93</v>
      </c>
      <c r="J460" s="15">
        <v>23000</v>
      </c>
      <c r="K460" s="15">
        <v>5452</v>
      </c>
      <c r="L460" s="15">
        <v>125396000</v>
      </c>
      <c r="M460" s="15">
        <v>0</v>
      </c>
      <c r="N460" s="15">
        <v>0</v>
      </c>
      <c r="O460" s="15" t="str">
        <f>IF(AND(A460='BANG KE NL'!$M$11,TH!C460="NL",LEFT(D460,1)="N"),"x","")</f>
        <v/>
      </c>
    </row>
    <row r="461" spans="1:15" hidden="1">
      <c r="A461" s="24">
        <f t="shared" si="10"/>
        <v>1</v>
      </c>
      <c r="B461" s="188" t="str">
        <f>IF(AND(MONTH(E461)='IN-NX'!$J$5,'IN-NX'!$D$7=(D461&amp;"/"&amp;C461)),"x","")</f>
        <v/>
      </c>
      <c r="C461" s="185" t="s">
        <v>155</v>
      </c>
      <c r="D461" s="185" t="s">
        <v>148</v>
      </c>
      <c r="E461" s="69">
        <v>41277</v>
      </c>
      <c r="F461" s="61" t="s">
        <v>275</v>
      </c>
      <c r="G461" s="19" t="s">
        <v>129</v>
      </c>
      <c r="H461" s="216" t="s">
        <v>160</v>
      </c>
      <c r="I461" s="56" t="s">
        <v>93</v>
      </c>
      <c r="J461" s="15">
        <v>23000</v>
      </c>
      <c r="K461" s="15">
        <v>5850</v>
      </c>
      <c r="L461" s="15">
        <v>134550000</v>
      </c>
      <c r="M461" s="15">
        <v>0</v>
      </c>
      <c r="N461" s="15">
        <v>0</v>
      </c>
      <c r="O461" s="15" t="str">
        <f>IF(AND(A461='BANG KE NL'!$M$11,TH!C461="NL",LEFT(D461,1)="N"),"x","")</f>
        <v/>
      </c>
    </row>
    <row r="462" spans="1:15" hidden="1">
      <c r="A462" s="24">
        <f t="shared" si="10"/>
        <v>1</v>
      </c>
      <c r="B462" s="188" t="str">
        <f>IF(AND(MONTH(E462)='IN-NX'!$J$5,'IN-NX'!$D$7=(D462&amp;"/"&amp;C462)),"x","")</f>
        <v/>
      </c>
      <c r="C462" s="185" t="s">
        <v>155</v>
      </c>
      <c r="D462" s="185" t="s">
        <v>161</v>
      </c>
      <c r="E462" s="69">
        <v>41277</v>
      </c>
      <c r="F462" s="61" t="s">
        <v>275</v>
      </c>
      <c r="G462" s="19" t="s">
        <v>302</v>
      </c>
      <c r="H462" s="216" t="s">
        <v>160</v>
      </c>
      <c r="I462" s="56" t="s">
        <v>93</v>
      </c>
      <c r="J462" s="15">
        <v>23000</v>
      </c>
      <c r="K462" s="15">
        <v>5625</v>
      </c>
      <c r="L462" s="15">
        <v>129375000</v>
      </c>
      <c r="M462" s="15">
        <v>0</v>
      </c>
      <c r="N462" s="15">
        <v>0</v>
      </c>
      <c r="O462" s="15" t="str">
        <f>IF(AND(A462='BANG KE NL'!$M$11,TH!C462="NL",LEFT(D462,1)="N"),"x","")</f>
        <v/>
      </c>
    </row>
    <row r="463" spans="1:15" hidden="1">
      <c r="A463" s="24">
        <f t="shared" si="10"/>
        <v>1</v>
      </c>
      <c r="B463" s="188" t="str">
        <f>IF(AND(MONTH(E463)='IN-NX'!$J$5,'IN-NX'!$D$7=(D463&amp;"/"&amp;C463)),"x","")</f>
        <v/>
      </c>
      <c r="C463" s="185" t="s">
        <v>155</v>
      </c>
      <c r="D463" s="185" t="s">
        <v>163</v>
      </c>
      <c r="E463" s="69">
        <v>41277</v>
      </c>
      <c r="F463" s="61" t="s">
        <v>275</v>
      </c>
      <c r="G463" s="19" t="s">
        <v>131</v>
      </c>
      <c r="H463" s="216" t="s">
        <v>160</v>
      </c>
      <c r="I463" s="56" t="s">
        <v>93</v>
      </c>
      <c r="J463" s="15">
        <v>23000</v>
      </c>
      <c r="K463" s="15">
        <v>5695</v>
      </c>
      <c r="L463" s="15">
        <v>130985000</v>
      </c>
      <c r="M463" s="15">
        <v>0</v>
      </c>
      <c r="N463" s="15">
        <v>0</v>
      </c>
      <c r="O463" s="15" t="str">
        <f>IF(AND(A463='BANG KE NL'!$M$11,TH!C463="NL",LEFT(D463,1)="N"),"x","")</f>
        <v/>
      </c>
    </row>
    <row r="464" spans="1:15" hidden="1">
      <c r="A464" s="24">
        <f t="shared" si="10"/>
        <v>1</v>
      </c>
      <c r="B464" s="188" t="str">
        <f>IF(AND(MONTH(E464)='IN-NX'!$J$5,'IN-NX'!$D$7=(D464&amp;"/"&amp;C464)),"x","")</f>
        <v/>
      </c>
      <c r="C464" s="185" t="s">
        <v>155</v>
      </c>
      <c r="D464" s="185" t="s">
        <v>150</v>
      </c>
      <c r="E464" s="69">
        <v>41277</v>
      </c>
      <c r="F464" s="61" t="s">
        <v>275</v>
      </c>
      <c r="G464" s="460" t="s">
        <v>158</v>
      </c>
      <c r="H464" s="216" t="s">
        <v>90</v>
      </c>
      <c r="I464" s="56" t="s">
        <v>160</v>
      </c>
      <c r="J464" s="15">
        <v>4000</v>
      </c>
      <c r="K464" s="15">
        <v>0</v>
      </c>
      <c r="L464" s="15">
        <v>0</v>
      </c>
      <c r="M464" s="15">
        <v>17330</v>
      </c>
      <c r="N464" s="15">
        <v>69320000</v>
      </c>
      <c r="O464" s="15" t="str">
        <f>IF(AND(A464='BANG KE NL'!$M$11,TH!C464="NL",LEFT(D464,1)="N"),"x","")</f>
        <v/>
      </c>
    </row>
    <row r="465" spans="1:15" hidden="1">
      <c r="A465" s="24">
        <f t="shared" si="10"/>
        <v>1</v>
      </c>
      <c r="B465" s="188" t="str">
        <f>IF(AND(MONTH(E465)='IN-NX'!$J$5,'IN-NX'!$D$7=(D465&amp;"/"&amp;C465)),"x","")</f>
        <v/>
      </c>
      <c r="C465" s="185" t="s">
        <v>155</v>
      </c>
      <c r="D465" s="185" t="s">
        <v>152</v>
      </c>
      <c r="E465" s="69">
        <v>41279</v>
      </c>
      <c r="F465" s="61" t="s">
        <v>275</v>
      </c>
      <c r="G465" s="460" t="s">
        <v>158</v>
      </c>
      <c r="H465" s="216" t="s">
        <v>90</v>
      </c>
      <c r="I465" s="56" t="s">
        <v>160</v>
      </c>
      <c r="J465" s="15">
        <v>23000</v>
      </c>
      <c r="K465" s="15">
        <v>0</v>
      </c>
      <c r="L465" s="15">
        <v>0</v>
      </c>
      <c r="M465" s="15">
        <v>22622</v>
      </c>
      <c r="N465" s="15">
        <v>520306000</v>
      </c>
      <c r="O465" s="15" t="str">
        <f>IF(AND(A465='BANG KE NL'!$M$11,TH!C465="NL",LEFT(D465,1)="N"),"x","")</f>
        <v/>
      </c>
    </row>
    <row r="466" spans="1:15" hidden="1">
      <c r="A466" s="24">
        <f t="shared" si="10"/>
        <v>1</v>
      </c>
      <c r="B466" s="188" t="str">
        <f>IF(AND(MONTH(E466)='IN-NX'!$J$5,'IN-NX'!$D$7=(D466&amp;"/"&amp;C466)),"x","")</f>
        <v/>
      </c>
      <c r="C466" s="185" t="s">
        <v>155</v>
      </c>
      <c r="D466" s="185" t="s">
        <v>165</v>
      </c>
      <c r="E466" s="69">
        <v>41288</v>
      </c>
      <c r="F466" s="61" t="s">
        <v>275</v>
      </c>
      <c r="G466" s="19" t="s">
        <v>129</v>
      </c>
      <c r="H466" s="216" t="s">
        <v>160</v>
      </c>
      <c r="I466" s="56" t="s">
        <v>93</v>
      </c>
      <c r="J466" s="15">
        <v>23000</v>
      </c>
      <c r="K466" s="15">
        <v>5428</v>
      </c>
      <c r="L466" s="15">
        <v>124844000</v>
      </c>
      <c r="M466" s="15">
        <v>0</v>
      </c>
      <c r="N466" s="15">
        <v>0</v>
      </c>
      <c r="O466" s="15" t="str">
        <f>IF(AND(A466='BANG KE NL'!$M$11,TH!C466="NL",LEFT(D466,1)="N"),"x","")</f>
        <v/>
      </c>
    </row>
    <row r="467" spans="1:15" hidden="1">
      <c r="A467" s="24">
        <f t="shared" si="10"/>
        <v>1</v>
      </c>
      <c r="B467" s="188" t="str">
        <f>IF(AND(MONTH(E467)='IN-NX'!$J$5,'IN-NX'!$D$7=(D467&amp;"/"&amp;C467)),"x","")</f>
        <v/>
      </c>
      <c r="C467" s="185" t="s">
        <v>155</v>
      </c>
      <c r="D467" s="185" t="s">
        <v>159</v>
      </c>
      <c r="E467" s="69">
        <v>41289</v>
      </c>
      <c r="F467" s="61" t="s">
        <v>275</v>
      </c>
      <c r="G467" s="460" t="s">
        <v>158</v>
      </c>
      <c r="H467" s="216" t="s">
        <v>90</v>
      </c>
      <c r="I467" s="56" t="s">
        <v>160</v>
      </c>
      <c r="J467" s="15">
        <v>23000</v>
      </c>
      <c r="K467" s="15">
        <v>0</v>
      </c>
      <c r="L467" s="15">
        <v>0</v>
      </c>
      <c r="M467" s="15">
        <v>5428</v>
      </c>
      <c r="N467" s="15">
        <v>124844000</v>
      </c>
      <c r="O467" s="15" t="str">
        <f>IF(AND(A467='BANG KE NL'!$M$11,TH!C467="NL",LEFT(D467,1)="N"),"x","")</f>
        <v/>
      </c>
    </row>
    <row r="468" spans="1:15" hidden="1">
      <c r="A468" s="24">
        <f t="shared" si="10"/>
        <v>5</v>
      </c>
      <c r="B468" s="188" t="str">
        <f>IF(AND(MONTH(E468)='IN-NX'!$J$5,'IN-NX'!$D$7=(D468&amp;"/"&amp;C468)),"x","")</f>
        <v/>
      </c>
      <c r="C468" s="185" t="s">
        <v>155</v>
      </c>
      <c r="D468" s="185" t="s">
        <v>174</v>
      </c>
      <c r="E468" s="69">
        <v>41406</v>
      </c>
      <c r="F468" s="61" t="s">
        <v>275</v>
      </c>
      <c r="G468" s="19" t="s">
        <v>134</v>
      </c>
      <c r="H468" s="216" t="s">
        <v>160</v>
      </c>
      <c r="I468" s="56" t="s">
        <v>93</v>
      </c>
      <c r="J468" s="15">
        <v>22000</v>
      </c>
      <c r="K468" s="15">
        <v>5761</v>
      </c>
      <c r="L468" s="15">
        <v>126742000</v>
      </c>
      <c r="M468" s="15">
        <v>0</v>
      </c>
      <c r="N468" s="15">
        <v>0</v>
      </c>
      <c r="O468" s="15" t="str">
        <f>IF(AND(A468='BANG KE NL'!$M$11,TH!C468="NL",LEFT(D468,1)="N"),"x","")</f>
        <v/>
      </c>
    </row>
    <row r="469" spans="1:15" hidden="1">
      <c r="A469" s="24">
        <f t="shared" si="10"/>
        <v>5</v>
      </c>
      <c r="B469" s="188" t="str">
        <f>IF(AND(MONTH(E469)='IN-NX'!$J$5,'IN-NX'!$D$7=(D469&amp;"/"&amp;C469)),"x","")</f>
        <v/>
      </c>
      <c r="C469" s="185" t="s">
        <v>155</v>
      </c>
      <c r="D469" s="185" t="s">
        <v>175</v>
      </c>
      <c r="E469" s="69">
        <v>41406</v>
      </c>
      <c r="F469" s="61" t="s">
        <v>275</v>
      </c>
      <c r="G469" s="19" t="s">
        <v>135</v>
      </c>
      <c r="H469" s="216" t="s">
        <v>160</v>
      </c>
      <c r="I469" s="56" t="s">
        <v>93</v>
      </c>
      <c r="J469" s="15">
        <v>22000</v>
      </c>
      <c r="K469" s="15">
        <v>4921</v>
      </c>
      <c r="L469" s="15">
        <v>108262000</v>
      </c>
      <c r="M469" s="15">
        <v>0</v>
      </c>
      <c r="N469" s="15">
        <v>0</v>
      </c>
      <c r="O469" s="15" t="str">
        <f>IF(AND(A469='BANG KE NL'!$M$11,TH!C469="NL",LEFT(D469,1)="N"),"x","")</f>
        <v/>
      </c>
    </row>
    <row r="470" spans="1:15" hidden="1">
      <c r="A470" s="24">
        <f t="shared" si="10"/>
        <v>5</v>
      </c>
      <c r="B470" s="188" t="str">
        <f>IF(AND(MONTH(E470)='IN-NX'!$J$5,'IN-NX'!$D$7=(D470&amp;"/"&amp;C470)),"x","")</f>
        <v/>
      </c>
      <c r="C470" s="185" t="s">
        <v>155</v>
      </c>
      <c r="D470" s="185" t="s">
        <v>176</v>
      </c>
      <c r="E470" s="69">
        <v>41407</v>
      </c>
      <c r="F470" s="61" t="s">
        <v>275</v>
      </c>
      <c r="G470" s="19" t="s">
        <v>130</v>
      </c>
      <c r="H470" s="216" t="s">
        <v>160</v>
      </c>
      <c r="I470" s="56" t="s">
        <v>93</v>
      </c>
      <c r="J470" s="15">
        <v>22000</v>
      </c>
      <c r="K470" s="15">
        <v>5913</v>
      </c>
      <c r="L470" s="15">
        <v>130086000</v>
      </c>
      <c r="M470" s="15">
        <v>0</v>
      </c>
      <c r="N470" s="15">
        <v>0</v>
      </c>
      <c r="O470" s="15" t="str">
        <f>IF(AND(A470='BANG KE NL'!$M$11,TH!C470="NL",LEFT(D470,1)="N"),"x","")</f>
        <v/>
      </c>
    </row>
    <row r="471" spans="1:15" hidden="1">
      <c r="A471" s="24">
        <f t="shared" si="10"/>
        <v>5</v>
      </c>
      <c r="B471" s="188" t="str">
        <f>IF(AND(MONTH(E471)='IN-NX'!$J$5,'IN-NX'!$D$7=(D471&amp;"/"&amp;C471)),"x","")</f>
        <v/>
      </c>
      <c r="C471" s="185" t="s">
        <v>155</v>
      </c>
      <c r="D471" s="185" t="s">
        <v>177</v>
      </c>
      <c r="E471" s="69">
        <v>41407</v>
      </c>
      <c r="F471" s="61" t="s">
        <v>275</v>
      </c>
      <c r="G471" s="19" t="s">
        <v>129</v>
      </c>
      <c r="H471" s="216" t="s">
        <v>160</v>
      </c>
      <c r="I471" s="56" t="s">
        <v>93</v>
      </c>
      <c r="J471" s="15">
        <v>22000</v>
      </c>
      <c r="K471" s="15">
        <v>5941</v>
      </c>
      <c r="L471" s="15">
        <v>130702000</v>
      </c>
      <c r="M471" s="15">
        <v>0</v>
      </c>
      <c r="N471" s="15">
        <v>0</v>
      </c>
      <c r="O471" s="15" t="str">
        <f>IF(AND(A471='BANG KE NL'!$M$11,TH!C471="NL",LEFT(D471,1)="N"),"x","")</f>
        <v/>
      </c>
    </row>
    <row r="472" spans="1:15" hidden="1">
      <c r="A472" s="24">
        <f t="shared" si="10"/>
        <v>5</v>
      </c>
      <c r="B472" s="188" t="str">
        <f>IF(AND(MONTH(E472)='IN-NX'!$J$5,'IN-NX'!$D$7=(D472&amp;"/"&amp;C472)),"x","")</f>
        <v/>
      </c>
      <c r="C472" s="185" t="s">
        <v>155</v>
      </c>
      <c r="D472" s="185" t="s">
        <v>198</v>
      </c>
      <c r="E472" s="69">
        <v>41407</v>
      </c>
      <c r="F472" s="61" t="s">
        <v>275</v>
      </c>
      <c r="G472" s="460" t="s">
        <v>158</v>
      </c>
      <c r="H472" s="216" t="s">
        <v>90</v>
      </c>
      <c r="I472" s="56" t="s">
        <v>160</v>
      </c>
      <c r="J472" s="15">
        <v>22000</v>
      </c>
      <c r="K472" s="15">
        <v>0</v>
      </c>
      <c r="L472" s="15">
        <v>0</v>
      </c>
      <c r="M472" s="15">
        <v>10682</v>
      </c>
      <c r="N472" s="15">
        <v>235004000</v>
      </c>
      <c r="O472" s="15" t="str">
        <f>IF(AND(A472='BANG KE NL'!$M$11,TH!C472="NL",LEFT(D472,1)="N"),"x","")</f>
        <v/>
      </c>
    </row>
    <row r="473" spans="1:15" hidden="1">
      <c r="A473" s="24">
        <f t="shared" si="10"/>
        <v>5</v>
      </c>
      <c r="B473" s="188" t="str">
        <f>IF(AND(MONTH(E473)='IN-NX'!$J$5,'IN-NX'!$D$7=(D473&amp;"/"&amp;C473)),"x","")</f>
        <v/>
      </c>
      <c r="C473" s="185" t="s">
        <v>155</v>
      </c>
      <c r="D473" s="185" t="s">
        <v>199</v>
      </c>
      <c r="E473" s="69">
        <v>41408</v>
      </c>
      <c r="F473" s="61" t="s">
        <v>275</v>
      </c>
      <c r="G473" s="460" t="s">
        <v>158</v>
      </c>
      <c r="H473" s="216" t="s">
        <v>90</v>
      </c>
      <c r="I473" s="56" t="s">
        <v>160</v>
      </c>
      <c r="J473" s="15">
        <v>22000</v>
      </c>
      <c r="K473" s="15">
        <v>0</v>
      </c>
      <c r="L473" s="15">
        <v>0</v>
      </c>
      <c r="M473" s="15">
        <v>11854</v>
      </c>
      <c r="N473" s="15">
        <v>260788000</v>
      </c>
      <c r="O473" s="15" t="str">
        <f>IF(AND(A473='BANG KE NL'!$M$11,TH!C473="NL",LEFT(D473,1)="N"),"x","")</f>
        <v/>
      </c>
    </row>
    <row r="474" spans="1:15" hidden="1">
      <c r="A474" s="24">
        <f t="shared" si="10"/>
        <v>5</v>
      </c>
      <c r="B474" s="188" t="str">
        <f>IF(AND(MONTH(E474)='IN-NX'!$J$5,'IN-NX'!$D$7=(D474&amp;"/"&amp;C474)),"x","")</f>
        <v/>
      </c>
      <c r="C474" s="185" t="s">
        <v>155</v>
      </c>
      <c r="D474" s="185" t="s">
        <v>178</v>
      </c>
      <c r="E474" s="69">
        <v>41409</v>
      </c>
      <c r="F474" s="61" t="s">
        <v>275</v>
      </c>
      <c r="G474" s="19" t="s">
        <v>302</v>
      </c>
      <c r="H474" s="216" t="s">
        <v>160</v>
      </c>
      <c r="I474" s="56" t="s">
        <v>93</v>
      </c>
      <c r="J474" s="15">
        <v>22000</v>
      </c>
      <c r="K474" s="15">
        <v>5430</v>
      </c>
      <c r="L474" s="15">
        <v>119460000</v>
      </c>
      <c r="M474" s="15">
        <v>0</v>
      </c>
      <c r="N474" s="15">
        <v>0</v>
      </c>
      <c r="O474" s="15" t="str">
        <f>IF(AND(A474='BANG KE NL'!$M$11,TH!C474="NL",LEFT(D474,1)="N"),"x","")</f>
        <v/>
      </c>
    </row>
    <row r="475" spans="1:15" hidden="1">
      <c r="A475" s="24">
        <f t="shared" si="10"/>
        <v>5</v>
      </c>
      <c r="B475" s="188" t="str">
        <f>IF(AND(MONTH(E475)='IN-NX'!$J$5,'IN-NX'!$D$7=(D475&amp;"/"&amp;C475)),"x","")</f>
        <v/>
      </c>
      <c r="C475" s="185" t="s">
        <v>155</v>
      </c>
      <c r="D475" s="185" t="s">
        <v>179</v>
      </c>
      <c r="E475" s="69">
        <v>41409</v>
      </c>
      <c r="F475" s="61" t="s">
        <v>275</v>
      </c>
      <c r="G475" s="19" t="s">
        <v>408</v>
      </c>
      <c r="H475" s="216" t="s">
        <v>160</v>
      </c>
      <c r="I475" s="56" t="s">
        <v>93</v>
      </c>
      <c r="J475" s="15">
        <v>22000</v>
      </c>
      <c r="K475" s="15">
        <v>5634</v>
      </c>
      <c r="L475" s="15">
        <v>123948000</v>
      </c>
      <c r="M475" s="15">
        <v>0</v>
      </c>
      <c r="N475" s="15">
        <v>0</v>
      </c>
      <c r="O475" s="15" t="str">
        <f>IF(AND(A475='BANG KE NL'!$M$11,TH!C475="NL",LEFT(D475,1)="N"),"x","")</f>
        <v/>
      </c>
    </row>
    <row r="476" spans="1:15" hidden="1">
      <c r="A476" s="24">
        <f t="shared" si="10"/>
        <v>5</v>
      </c>
      <c r="B476" s="188" t="str">
        <f>IF(AND(MONTH(E476)='IN-NX'!$J$5,'IN-NX'!$D$7=(D476&amp;"/"&amp;C476)),"x","")</f>
        <v/>
      </c>
      <c r="C476" s="185" t="s">
        <v>155</v>
      </c>
      <c r="D476" s="185" t="s">
        <v>200</v>
      </c>
      <c r="E476" s="69">
        <v>41409</v>
      </c>
      <c r="F476" s="61" t="s">
        <v>275</v>
      </c>
      <c r="G476" s="460" t="s">
        <v>158</v>
      </c>
      <c r="H476" s="216" t="s">
        <v>90</v>
      </c>
      <c r="I476" s="56" t="s">
        <v>160</v>
      </c>
      <c r="J476" s="15">
        <v>22000</v>
      </c>
      <c r="K476" s="15">
        <v>0</v>
      </c>
      <c r="L476" s="15">
        <v>0</v>
      </c>
      <c r="M476" s="15">
        <v>11064</v>
      </c>
      <c r="N476" s="15">
        <v>243408000</v>
      </c>
      <c r="O476" s="15" t="str">
        <f>IF(AND(A476='BANG KE NL'!$M$11,TH!C476="NL",LEFT(D476,1)="N"),"x","")</f>
        <v/>
      </c>
    </row>
    <row r="477" spans="1:15" hidden="1">
      <c r="A477" s="24">
        <f t="shared" si="10"/>
        <v>9</v>
      </c>
      <c r="B477" s="188" t="str">
        <f>IF(AND(MONTH(E477)='IN-NX'!$J$5,'IN-NX'!$D$7=(D477&amp;"/"&amp;C477)),"x","")</f>
        <v/>
      </c>
      <c r="C477" s="185" t="s">
        <v>155</v>
      </c>
      <c r="D477" s="185" t="s">
        <v>145</v>
      </c>
      <c r="E477" s="69">
        <v>41520</v>
      </c>
      <c r="F477" s="61" t="s">
        <v>275</v>
      </c>
      <c r="G477" s="19" t="s">
        <v>430</v>
      </c>
      <c r="H477" s="216" t="s">
        <v>160</v>
      </c>
      <c r="I477" s="56" t="s">
        <v>93</v>
      </c>
      <c r="J477" s="15">
        <v>22000</v>
      </c>
      <c r="K477" s="15">
        <v>5795</v>
      </c>
      <c r="L477" s="15">
        <v>127490000</v>
      </c>
      <c r="M477" s="15">
        <v>0</v>
      </c>
      <c r="N477" s="15">
        <v>0</v>
      </c>
      <c r="O477" s="15" t="str">
        <f>IF(AND(A477='BANG KE NL'!$M$11,TH!C477="NL",LEFT(D477,1)="N"),"x","")</f>
        <v/>
      </c>
    </row>
    <row r="478" spans="1:15" hidden="1">
      <c r="A478" s="24">
        <f t="shared" si="10"/>
        <v>9</v>
      </c>
      <c r="B478" s="188" t="str">
        <f>IF(AND(MONTH(E478)='IN-NX'!$J$5,'IN-NX'!$D$7=(D478&amp;"/"&amp;C478)),"x","")</f>
        <v/>
      </c>
      <c r="C478" s="185" t="s">
        <v>155</v>
      </c>
      <c r="D478" s="185" t="s">
        <v>146</v>
      </c>
      <c r="E478" s="69">
        <v>41520</v>
      </c>
      <c r="F478" s="61" t="s">
        <v>275</v>
      </c>
      <c r="G478" s="19" t="s">
        <v>419</v>
      </c>
      <c r="H478" s="216" t="s">
        <v>160</v>
      </c>
      <c r="I478" s="56" t="s">
        <v>93</v>
      </c>
      <c r="J478" s="15">
        <v>22000</v>
      </c>
      <c r="K478" s="15">
        <v>5740</v>
      </c>
      <c r="L478" s="15">
        <v>126280000</v>
      </c>
      <c r="M478" s="15">
        <v>0</v>
      </c>
      <c r="N478" s="15">
        <v>0</v>
      </c>
      <c r="O478" s="15" t="str">
        <f>IF(AND(A478='BANG KE NL'!$M$11,TH!C478="NL",LEFT(D478,1)="N"),"x","")</f>
        <v/>
      </c>
    </row>
    <row r="479" spans="1:15" hidden="1">
      <c r="A479" s="24">
        <f t="shared" si="10"/>
        <v>9</v>
      </c>
      <c r="B479" s="188" t="str">
        <f>IF(AND(MONTH(E479)='IN-NX'!$J$5,'IN-NX'!$D$7=(D479&amp;"/"&amp;C479)),"x","")</f>
        <v/>
      </c>
      <c r="C479" s="185" t="s">
        <v>155</v>
      </c>
      <c r="D479" s="185" t="s">
        <v>147</v>
      </c>
      <c r="E479" s="69">
        <v>41520</v>
      </c>
      <c r="F479" s="61" t="s">
        <v>275</v>
      </c>
      <c r="G479" s="19" t="s">
        <v>417</v>
      </c>
      <c r="H479" s="216" t="s">
        <v>160</v>
      </c>
      <c r="I479" s="56" t="s">
        <v>93</v>
      </c>
      <c r="J479" s="15">
        <v>22000</v>
      </c>
      <c r="K479" s="15">
        <v>5439</v>
      </c>
      <c r="L479" s="15">
        <v>119658000</v>
      </c>
      <c r="M479" s="15">
        <v>0</v>
      </c>
      <c r="N479" s="15">
        <v>0</v>
      </c>
      <c r="O479" s="15" t="str">
        <f>IF(AND(A479='BANG KE NL'!$M$11,TH!C479="NL",LEFT(D479,1)="N"),"x","")</f>
        <v/>
      </c>
    </row>
    <row r="480" spans="1:15" hidden="1">
      <c r="A480" s="24">
        <f t="shared" si="10"/>
        <v>9</v>
      </c>
      <c r="B480" s="188" t="str">
        <f>IF(AND(MONTH(E480)='IN-NX'!$J$5,'IN-NX'!$D$7=(D480&amp;"/"&amp;C480)),"x","")</f>
        <v/>
      </c>
      <c r="C480" s="185" t="s">
        <v>155</v>
      </c>
      <c r="D480" s="185" t="s">
        <v>148</v>
      </c>
      <c r="E480" s="69">
        <v>41520</v>
      </c>
      <c r="F480" s="61" t="s">
        <v>275</v>
      </c>
      <c r="G480" s="19" t="s">
        <v>121</v>
      </c>
      <c r="H480" s="216" t="s">
        <v>160</v>
      </c>
      <c r="I480" s="56" t="s">
        <v>93</v>
      </c>
      <c r="J480" s="15">
        <v>22000</v>
      </c>
      <c r="K480" s="15">
        <v>5420</v>
      </c>
      <c r="L480" s="15">
        <v>119240000</v>
      </c>
      <c r="M480" s="15">
        <v>0</v>
      </c>
      <c r="N480" s="15">
        <v>0</v>
      </c>
      <c r="O480" s="15" t="str">
        <f>IF(AND(A480='BANG KE NL'!$M$11,TH!C480="NL",LEFT(D480,1)="N"),"x","")</f>
        <v/>
      </c>
    </row>
    <row r="481" spans="1:15" hidden="1">
      <c r="A481" s="24">
        <f t="shared" si="10"/>
        <v>9</v>
      </c>
      <c r="B481" s="188" t="str">
        <f>IF(AND(MONTH(E481)='IN-NX'!$J$5,'IN-NX'!$D$7=(D481&amp;"/"&amp;C481)),"x","")</f>
        <v/>
      </c>
      <c r="C481" s="185" t="s">
        <v>155</v>
      </c>
      <c r="D481" s="185" t="s">
        <v>150</v>
      </c>
      <c r="E481" s="69">
        <v>41521</v>
      </c>
      <c r="F481" s="61" t="s">
        <v>275</v>
      </c>
      <c r="G481" s="460" t="s">
        <v>158</v>
      </c>
      <c r="H481" s="216" t="s">
        <v>90</v>
      </c>
      <c r="I481" s="56" t="s">
        <v>160</v>
      </c>
      <c r="J481" s="15">
        <v>22000</v>
      </c>
      <c r="K481" s="15">
        <v>0</v>
      </c>
      <c r="L481" s="15">
        <v>0</v>
      </c>
      <c r="M481" s="15">
        <v>11535</v>
      </c>
      <c r="N481" s="15">
        <v>253770000</v>
      </c>
      <c r="O481" s="15" t="str">
        <f>IF(AND(A481='BANG KE NL'!$M$11,TH!C481="NL",LEFT(D481,1)="N"),"x","")</f>
        <v/>
      </c>
    </row>
    <row r="482" spans="1:15" hidden="1">
      <c r="A482" s="24">
        <f t="shared" si="10"/>
        <v>9</v>
      </c>
      <c r="B482" s="188" t="str">
        <f>IF(AND(MONTH(E482)='IN-NX'!$J$5,'IN-NX'!$D$7=(D482&amp;"/"&amp;C482)),"x","")</f>
        <v/>
      </c>
      <c r="C482" s="185" t="s">
        <v>155</v>
      </c>
      <c r="D482" s="185" t="s">
        <v>152</v>
      </c>
      <c r="E482" s="69">
        <v>41523</v>
      </c>
      <c r="F482" s="61" t="s">
        <v>275</v>
      </c>
      <c r="G482" s="460" t="s">
        <v>158</v>
      </c>
      <c r="H482" s="216" t="s">
        <v>90</v>
      </c>
      <c r="I482" s="56" t="s">
        <v>160</v>
      </c>
      <c r="J482" s="15">
        <v>22000</v>
      </c>
      <c r="K482" s="15">
        <v>0</v>
      </c>
      <c r="L482" s="15">
        <v>0</v>
      </c>
      <c r="M482" s="15">
        <v>10859</v>
      </c>
      <c r="N482" s="15">
        <v>238898000</v>
      </c>
      <c r="O482" s="15" t="str">
        <f>IF(AND(A482='BANG KE NL'!$M$11,TH!C482="NL",LEFT(D482,1)="N"),"x","")</f>
        <v/>
      </c>
    </row>
    <row r="483" spans="1:15" hidden="1">
      <c r="A483" s="24">
        <f t="shared" si="10"/>
        <v>9</v>
      </c>
      <c r="B483" s="188" t="str">
        <f>IF(AND(MONTH(E483)='IN-NX'!$J$5,'IN-NX'!$D$7=(D483&amp;"/"&amp;C483)),"x","")</f>
        <v/>
      </c>
      <c r="C483" s="185" t="s">
        <v>155</v>
      </c>
      <c r="D483" s="185" t="s">
        <v>164</v>
      </c>
      <c r="E483" s="69">
        <v>41524</v>
      </c>
      <c r="F483" s="61" t="s">
        <v>275</v>
      </c>
      <c r="G483" s="19" t="s">
        <v>128</v>
      </c>
      <c r="H483" s="216" t="s">
        <v>160</v>
      </c>
      <c r="I483" s="56" t="s">
        <v>93</v>
      </c>
      <c r="J483" s="15">
        <v>22000</v>
      </c>
      <c r="K483" s="15">
        <v>5720</v>
      </c>
      <c r="L483" s="15">
        <v>125840000</v>
      </c>
      <c r="M483" s="15">
        <v>0</v>
      </c>
      <c r="N483" s="15">
        <v>0</v>
      </c>
      <c r="O483" s="15" t="str">
        <f>IF(AND(A483='BANG KE NL'!$M$11,TH!C483="NL",LEFT(D483,1)="N"),"x","")</f>
        <v/>
      </c>
    </row>
    <row r="484" spans="1:15" hidden="1">
      <c r="A484" s="24">
        <f t="shared" si="10"/>
        <v>9</v>
      </c>
      <c r="B484" s="188" t="str">
        <f>IF(AND(MONTH(E484)='IN-NX'!$J$5,'IN-NX'!$D$7=(D484&amp;"/"&amp;C484)),"x","")</f>
        <v/>
      </c>
      <c r="C484" s="185" t="s">
        <v>155</v>
      </c>
      <c r="D484" s="185" t="s">
        <v>165</v>
      </c>
      <c r="E484" s="69">
        <v>41524</v>
      </c>
      <c r="F484" s="61" t="s">
        <v>275</v>
      </c>
      <c r="G484" s="19" t="s">
        <v>307</v>
      </c>
      <c r="H484" s="216" t="s">
        <v>160</v>
      </c>
      <c r="I484" s="56" t="s">
        <v>93</v>
      </c>
      <c r="J484" s="15">
        <v>22000</v>
      </c>
      <c r="K484" s="15">
        <v>5540</v>
      </c>
      <c r="L484" s="15">
        <v>121880000</v>
      </c>
      <c r="M484" s="15">
        <v>0</v>
      </c>
      <c r="N484" s="15">
        <v>0</v>
      </c>
      <c r="O484" s="15" t="str">
        <f>IF(AND(A484='BANG KE NL'!$M$11,TH!C484="NL",LEFT(D484,1)="N"),"x","")</f>
        <v/>
      </c>
    </row>
    <row r="485" spans="1:15" hidden="1">
      <c r="A485" s="24">
        <f t="shared" si="10"/>
        <v>9</v>
      </c>
      <c r="B485" s="188" t="str">
        <f>IF(AND(MONTH(E485)='IN-NX'!$J$5,'IN-NX'!$D$7=(D485&amp;"/"&amp;C485)),"x","")</f>
        <v/>
      </c>
      <c r="C485" s="185" t="s">
        <v>155</v>
      </c>
      <c r="D485" s="185" t="s">
        <v>166</v>
      </c>
      <c r="E485" s="69">
        <v>41524</v>
      </c>
      <c r="F485" s="61" t="s">
        <v>275</v>
      </c>
      <c r="G485" s="19" t="s">
        <v>308</v>
      </c>
      <c r="H485" s="216" t="s">
        <v>160</v>
      </c>
      <c r="I485" s="56" t="s">
        <v>93</v>
      </c>
      <c r="J485" s="15">
        <v>22000</v>
      </c>
      <c r="K485" s="15">
        <v>5436</v>
      </c>
      <c r="L485" s="15">
        <v>119592000</v>
      </c>
      <c r="M485" s="15">
        <v>0</v>
      </c>
      <c r="N485" s="15">
        <v>0</v>
      </c>
      <c r="O485" s="15" t="str">
        <f>IF(AND(A485='BANG KE NL'!$M$11,TH!C485="NL",LEFT(D485,1)="N"),"x","")</f>
        <v/>
      </c>
    </row>
    <row r="486" spans="1:15" hidden="1">
      <c r="A486" s="24">
        <f t="shared" si="10"/>
        <v>9</v>
      </c>
      <c r="B486" s="188" t="str">
        <f>IF(AND(MONTH(E486)='IN-NX'!$J$5,'IN-NX'!$D$7=(D486&amp;"/"&amp;C486)),"x","")</f>
        <v/>
      </c>
      <c r="C486" s="185" t="s">
        <v>155</v>
      </c>
      <c r="D486" s="185" t="s">
        <v>167</v>
      </c>
      <c r="E486" s="69">
        <v>41524</v>
      </c>
      <c r="F486" s="61" t="s">
        <v>275</v>
      </c>
      <c r="G486" s="19" t="s">
        <v>309</v>
      </c>
      <c r="H486" s="216" t="s">
        <v>160</v>
      </c>
      <c r="I486" s="56" t="s">
        <v>93</v>
      </c>
      <c r="J486" s="15">
        <v>22000</v>
      </c>
      <c r="K486" s="15">
        <v>5630</v>
      </c>
      <c r="L486" s="15">
        <v>123860000</v>
      </c>
      <c r="M486" s="15">
        <v>0</v>
      </c>
      <c r="N486" s="15">
        <v>0</v>
      </c>
      <c r="O486" s="15" t="str">
        <f>IF(AND(A486='BANG KE NL'!$M$11,TH!C486="NL",LEFT(D486,1)="N"),"x","")</f>
        <v/>
      </c>
    </row>
    <row r="487" spans="1:15" hidden="1">
      <c r="A487" s="24">
        <f t="shared" si="10"/>
        <v>9</v>
      </c>
      <c r="B487" s="188" t="str">
        <f>IF(AND(MONTH(E487)='IN-NX'!$J$5,'IN-NX'!$D$7=(D487&amp;"/"&amp;C487)),"x","")</f>
        <v/>
      </c>
      <c r="C487" s="185" t="s">
        <v>155</v>
      </c>
      <c r="D487" s="185" t="s">
        <v>159</v>
      </c>
      <c r="E487" s="69">
        <v>41525</v>
      </c>
      <c r="F487" s="61" t="s">
        <v>275</v>
      </c>
      <c r="G487" s="460" t="s">
        <v>158</v>
      </c>
      <c r="H487" s="216" t="s">
        <v>90</v>
      </c>
      <c r="I487" s="56" t="s">
        <v>160</v>
      </c>
      <c r="J487" s="15">
        <v>22000</v>
      </c>
      <c r="K487" s="15">
        <v>0</v>
      </c>
      <c r="L487" s="15">
        <v>0</v>
      </c>
      <c r="M487" s="15">
        <v>11260</v>
      </c>
      <c r="N487" s="15">
        <v>247720000</v>
      </c>
      <c r="O487" s="15" t="str">
        <f>IF(AND(A487='BANG KE NL'!$M$11,TH!C487="NL",LEFT(D487,1)="N"),"x","")</f>
        <v/>
      </c>
    </row>
    <row r="488" spans="1:15" hidden="1">
      <c r="A488" s="24">
        <f t="shared" si="10"/>
        <v>9</v>
      </c>
      <c r="B488" s="188" t="str">
        <f>IF(AND(MONTH(E488)='IN-NX'!$J$5,'IN-NX'!$D$7=(D488&amp;"/"&amp;C488)),"x","")</f>
        <v/>
      </c>
      <c r="C488" s="185" t="s">
        <v>155</v>
      </c>
      <c r="D488" s="185" t="s">
        <v>198</v>
      </c>
      <c r="E488" s="69">
        <v>41528</v>
      </c>
      <c r="F488" s="61" t="s">
        <v>275</v>
      </c>
      <c r="G488" s="460" t="s">
        <v>158</v>
      </c>
      <c r="H488" s="216" t="s">
        <v>90</v>
      </c>
      <c r="I488" s="56" t="s">
        <v>160</v>
      </c>
      <c r="J488" s="15">
        <v>22000</v>
      </c>
      <c r="K488" s="15">
        <v>0</v>
      </c>
      <c r="L488" s="15">
        <v>0</v>
      </c>
      <c r="M488" s="15">
        <v>11066</v>
      </c>
      <c r="N488" s="15">
        <v>243452000</v>
      </c>
      <c r="O488" s="15" t="str">
        <f>IF(AND(A488='BANG KE NL'!$M$11,TH!C488="NL",LEFT(D488,1)="N"),"x","")</f>
        <v/>
      </c>
    </row>
    <row r="489" spans="1:15" hidden="1">
      <c r="A489" s="24">
        <f t="shared" si="10"/>
        <v>9</v>
      </c>
      <c r="B489" s="188" t="str">
        <f>IF(AND(MONTH(E489)='IN-NX'!$J$5,'IN-NX'!$D$7=(D489&amp;"/"&amp;C489)),"x","")</f>
        <v/>
      </c>
      <c r="C489" s="185" t="s">
        <v>155</v>
      </c>
      <c r="D489" s="185" t="s">
        <v>175</v>
      </c>
      <c r="E489" s="69">
        <v>41532</v>
      </c>
      <c r="F489" s="61" t="s">
        <v>275</v>
      </c>
      <c r="G489" s="19" t="s">
        <v>430</v>
      </c>
      <c r="H489" s="216" t="s">
        <v>160</v>
      </c>
      <c r="I489" s="56" t="s">
        <v>93</v>
      </c>
      <c r="J489" s="15">
        <v>22000</v>
      </c>
      <c r="K489" s="15">
        <v>5349</v>
      </c>
      <c r="L489" s="15">
        <v>117678000</v>
      </c>
      <c r="M489" s="15">
        <v>0</v>
      </c>
      <c r="N489" s="15">
        <v>0</v>
      </c>
      <c r="O489" s="15" t="str">
        <f>IF(AND(A489='BANG KE NL'!$M$11,TH!C489="NL",LEFT(D489,1)="N"),"x","")</f>
        <v/>
      </c>
    </row>
    <row r="490" spans="1:15" hidden="1">
      <c r="A490" s="24">
        <f t="shared" si="10"/>
        <v>9</v>
      </c>
      <c r="B490" s="188" t="str">
        <f>IF(AND(MONTH(E490)='IN-NX'!$J$5,'IN-NX'!$D$7=(D490&amp;"/"&amp;C490)),"x","")</f>
        <v/>
      </c>
      <c r="C490" s="185" t="s">
        <v>155</v>
      </c>
      <c r="D490" s="185" t="s">
        <v>176</v>
      </c>
      <c r="E490" s="69">
        <v>41532</v>
      </c>
      <c r="F490" s="61" t="s">
        <v>275</v>
      </c>
      <c r="G490" s="19" t="s">
        <v>122</v>
      </c>
      <c r="H490" s="216" t="s">
        <v>160</v>
      </c>
      <c r="I490" s="56" t="s">
        <v>93</v>
      </c>
      <c r="J490" s="15">
        <v>22000</v>
      </c>
      <c r="K490" s="15">
        <v>5831</v>
      </c>
      <c r="L490" s="15">
        <v>128282000</v>
      </c>
      <c r="M490" s="15">
        <v>0</v>
      </c>
      <c r="N490" s="15">
        <v>0</v>
      </c>
      <c r="O490" s="15" t="str">
        <f>IF(AND(A490='BANG KE NL'!$M$11,TH!C490="NL",LEFT(D490,1)="N"),"x","")</f>
        <v/>
      </c>
    </row>
    <row r="491" spans="1:15" hidden="1">
      <c r="A491" s="24">
        <f t="shared" si="10"/>
        <v>9</v>
      </c>
      <c r="B491" s="188" t="str">
        <f>IF(AND(MONTH(E491)='IN-NX'!$J$5,'IN-NX'!$D$7=(D491&amp;"/"&amp;C491)),"x","")</f>
        <v/>
      </c>
      <c r="C491" s="185" t="s">
        <v>155</v>
      </c>
      <c r="D491" s="185" t="s">
        <v>177</v>
      </c>
      <c r="E491" s="69">
        <v>41532</v>
      </c>
      <c r="F491" s="61" t="s">
        <v>275</v>
      </c>
      <c r="G491" s="19" t="s">
        <v>134</v>
      </c>
      <c r="H491" s="216" t="s">
        <v>160</v>
      </c>
      <c r="I491" s="56" t="s">
        <v>93</v>
      </c>
      <c r="J491" s="15">
        <v>22000</v>
      </c>
      <c r="K491" s="15">
        <v>4100</v>
      </c>
      <c r="L491" s="15">
        <v>90200000</v>
      </c>
      <c r="M491" s="15">
        <v>0</v>
      </c>
      <c r="N491" s="15">
        <v>0</v>
      </c>
      <c r="O491" s="15" t="str">
        <f>IF(AND(A491='BANG KE NL'!$M$11,TH!C491="NL",LEFT(D491,1)="N"),"x","")</f>
        <v/>
      </c>
    </row>
    <row r="492" spans="1:15" hidden="1">
      <c r="A492" s="24">
        <f t="shared" si="10"/>
        <v>9</v>
      </c>
      <c r="B492" s="188" t="str">
        <f>IF(AND(MONTH(E492)='IN-NX'!$J$5,'IN-NX'!$D$7=(D492&amp;"/"&amp;C492)),"x","")</f>
        <v/>
      </c>
      <c r="C492" s="185" t="s">
        <v>155</v>
      </c>
      <c r="D492" s="185" t="s">
        <v>200</v>
      </c>
      <c r="E492" s="69">
        <v>41533</v>
      </c>
      <c r="F492" s="61" t="s">
        <v>275</v>
      </c>
      <c r="G492" s="460" t="s">
        <v>158</v>
      </c>
      <c r="H492" s="216" t="s">
        <v>90</v>
      </c>
      <c r="I492" s="56" t="s">
        <v>160</v>
      </c>
      <c r="J492" s="15">
        <v>22000</v>
      </c>
      <c r="K492" s="15">
        <v>0</v>
      </c>
      <c r="L492" s="15">
        <v>0</v>
      </c>
      <c r="M492" s="15">
        <v>15280</v>
      </c>
      <c r="N492" s="15">
        <v>336160000</v>
      </c>
      <c r="O492" s="15" t="str">
        <f>IF(AND(A492='BANG KE NL'!$M$11,TH!C492="NL",LEFT(D492,1)="N"),"x","")</f>
        <v/>
      </c>
    </row>
    <row r="493" spans="1:15" hidden="1">
      <c r="A493" s="24">
        <f t="shared" si="10"/>
        <v>10</v>
      </c>
      <c r="B493" s="188" t="str">
        <f>IF(AND(MONTH(E493)='IN-NX'!$J$5,'IN-NX'!$D$7=(D493&amp;"/"&amp;C493)),"x","")</f>
        <v/>
      </c>
      <c r="C493" s="185" t="s">
        <v>155</v>
      </c>
      <c r="D493" s="185" t="s">
        <v>143</v>
      </c>
      <c r="E493" s="69">
        <v>41548</v>
      </c>
      <c r="F493" s="61" t="s">
        <v>275</v>
      </c>
      <c r="G493" s="19" t="s">
        <v>421</v>
      </c>
      <c r="H493" s="216" t="s">
        <v>160</v>
      </c>
      <c r="I493" s="56" t="s">
        <v>93</v>
      </c>
      <c r="J493" s="15">
        <v>23000</v>
      </c>
      <c r="K493" s="15">
        <v>4013</v>
      </c>
      <c r="L493" s="15">
        <v>92299000</v>
      </c>
      <c r="M493" s="15">
        <v>0</v>
      </c>
      <c r="N493" s="15">
        <v>0</v>
      </c>
      <c r="O493" s="15" t="str">
        <f>IF(AND(A493='BANG KE NL'!$M$11,TH!C493="NL",LEFT(D493,1)="N"),"x","")</f>
        <v/>
      </c>
    </row>
    <row r="494" spans="1:15" hidden="1">
      <c r="A494" s="24">
        <f t="shared" si="10"/>
        <v>10</v>
      </c>
      <c r="B494" s="188" t="str">
        <f>IF(AND(MONTH(E494)='IN-NX'!$J$5,'IN-NX'!$D$7=(D494&amp;"/"&amp;C494)),"x","")</f>
        <v/>
      </c>
      <c r="C494" s="185" t="s">
        <v>155</v>
      </c>
      <c r="D494" s="185" t="s">
        <v>144</v>
      </c>
      <c r="E494" s="69">
        <v>41548</v>
      </c>
      <c r="F494" s="61" t="s">
        <v>275</v>
      </c>
      <c r="G494" s="19" t="s">
        <v>420</v>
      </c>
      <c r="H494" s="216" t="s">
        <v>160</v>
      </c>
      <c r="I494" s="56" t="s">
        <v>93</v>
      </c>
      <c r="J494" s="15">
        <v>23000</v>
      </c>
      <c r="K494" s="15">
        <v>3560</v>
      </c>
      <c r="L494" s="15">
        <v>81880000</v>
      </c>
      <c r="M494" s="15">
        <v>0</v>
      </c>
      <c r="N494" s="15">
        <v>0</v>
      </c>
      <c r="O494" s="15" t="str">
        <f>IF(AND(A494='BANG KE NL'!$M$11,TH!C494="NL",LEFT(D494,1)="N"),"x","")</f>
        <v/>
      </c>
    </row>
    <row r="495" spans="1:15" hidden="1">
      <c r="A495" s="24">
        <f t="shared" si="10"/>
        <v>10</v>
      </c>
      <c r="B495" s="188" t="str">
        <f>IF(AND(MONTH(E495)='IN-NX'!$J$5,'IN-NX'!$D$7=(D495&amp;"/"&amp;C495)),"x","")</f>
        <v/>
      </c>
      <c r="C495" s="185" t="s">
        <v>155</v>
      </c>
      <c r="D495" s="185" t="s">
        <v>149</v>
      </c>
      <c r="E495" s="69">
        <v>41548</v>
      </c>
      <c r="F495" s="61" t="s">
        <v>275</v>
      </c>
      <c r="G495" s="460" t="s">
        <v>158</v>
      </c>
      <c r="H495" s="216" t="s">
        <v>90</v>
      </c>
      <c r="I495" s="56" t="s">
        <v>160</v>
      </c>
      <c r="J495" s="15">
        <v>23000</v>
      </c>
      <c r="K495" s="15">
        <v>0</v>
      </c>
      <c r="L495" s="15">
        <v>0</v>
      </c>
      <c r="M495" s="15">
        <v>7573</v>
      </c>
      <c r="N495" s="15">
        <v>174179000</v>
      </c>
      <c r="O495" s="15" t="str">
        <f>IF(AND(A495='BANG KE NL'!$M$11,TH!C495="NL",LEFT(D495,1)="N"),"x","")</f>
        <v/>
      </c>
    </row>
    <row r="496" spans="1:15" hidden="1">
      <c r="A496" s="24">
        <f t="shared" si="10"/>
        <v>10</v>
      </c>
      <c r="B496" s="188" t="str">
        <f>IF(AND(MONTH(E496)='IN-NX'!$J$5,'IN-NX'!$D$7=(D496&amp;"/"&amp;C496)),"x","")</f>
        <v/>
      </c>
      <c r="C496" s="185" t="s">
        <v>155</v>
      </c>
      <c r="D496" s="185" t="s">
        <v>145</v>
      </c>
      <c r="E496" s="69">
        <v>41550</v>
      </c>
      <c r="F496" s="61" t="s">
        <v>275</v>
      </c>
      <c r="G496" s="19" t="s">
        <v>421</v>
      </c>
      <c r="H496" s="216" t="s">
        <v>160</v>
      </c>
      <c r="I496" s="56" t="s">
        <v>93</v>
      </c>
      <c r="J496" s="15">
        <v>23000</v>
      </c>
      <c r="K496" s="15">
        <v>2880</v>
      </c>
      <c r="L496" s="15">
        <v>66240000</v>
      </c>
      <c r="M496" s="15">
        <v>0</v>
      </c>
      <c r="N496" s="15">
        <v>0</v>
      </c>
      <c r="O496" s="15" t="str">
        <f>IF(AND(A496='BANG KE NL'!$M$11,TH!C496="NL",LEFT(D496,1)="N"),"x","")</f>
        <v/>
      </c>
    </row>
    <row r="497" spans="1:15" hidden="1">
      <c r="A497" s="24">
        <f t="shared" si="10"/>
        <v>10</v>
      </c>
      <c r="B497" s="188" t="str">
        <f>IF(AND(MONTH(E497)='IN-NX'!$J$5,'IN-NX'!$D$7=(D497&amp;"/"&amp;C497)),"x","")</f>
        <v/>
      </c>
      <c r="C497" s="185" t="s">
        <v>155</v>
      </c>
      <c r="D497" s="185" t="s">
        <v>146</v>
      </c>
      <c r="E497" s="69">
        <v>41550</v>
      </c>
      <c r="F497" s="61" t="s">
        <v>275</v>
      </c>
      <c r="G497" s="19" t="s">
        <v>307</v>
      </c>
      <c r="H497" s="216" t="s">
        <v>160</v>
      </c>
      <c r="I497" s="56" t="s">
        <v>93</v>
      </c>
      <c r="J497" s="15">
        <v>23000</v>
      </c>
      <c r="K497" s="15">
        <v>4093</v>
      </c>
      <c r="L497" s="15">
        <v>94139000</v>
      </c>
      <c r="M497" s="15">
        <v>0</v>
      </c>
      <c r="N497" s="15">
        <v>0</v>
      </c>
      <c r="O497" s="15" t="str">
        <f>IF(AND(A497='BANG KE NL'!$M$11,TH!C497="NL",LEFT(D497,1)="N"),"x","")</f>
        <v/>
      </c>
    </row>
    <row r="498" spans="1:15" hidden="1">
      <c r="A498" s="24">
        <f t="shared" si="10"/>
        <v>10</v>
      </c>
      <c r="B498" s="188" t="str">
        <f>IF(AND(MONTH(E498)='IN-NX'!$J$5,'IN-NX'!$D$7=(D498&amp;"/"&amp;C498)),"x","")</f>
        <v/>
      </c>
      <c r="C498" s="185" t="s">
        <v>155</v>
      </c>
      <c r="D498" s="185" t="s">
        <v>147</v>
      </c>
      <c r="E498" s="69">
        <v>41550</v>
      </c>
      <c r="F498" s="61" t="s">
        <v>275</v>
      </c>
      <c r="G498" s="19" t="s">
        <v>420</v>
      </c>
      <c r="H498" s="216" t="s">
        <v>160</v>
      </c>
      <c r="I498" s="56" t="s">
        <v>93</v>
      </c>
      <c r="J498" s="15">
        <v>23000</v>
      </c>
      <c r="K498" s="15">
        <v>2734</v>
      </c>
      <c r="L498" s="15">
        <v>62882000</v>
      </c>
      <c r="M498" s="15">
        <v>0</v>
      </c>
      <c r="N498" s="15">
        <v>0</v>
      </c>
      <c r="O498" s="15" t="str">
        <f>IF(AND(A498='BANG KE NL'!$M$11,TH!C498="NL",LEFT(D498,1)="N"),"x","")</f>
        <v/>
      </c>
    </row>
    <row r="499" spans="1:15" hidden="1">
      <c r="A499" s="24">
        <f t="shared" si="10"/>
        <v>10</v>
      </c>
      <c r="B499" s="188" t="str">
        <f>IF(AND(MONTH(E499)='IN-NX'!$J$5,'IN-NX'!$D$7=(D499&amp;"/"&amp;C499)),"x","")</f>
        <v/>
      </c>
      <c r="C499" s="185" t="s">
        <v>155</v>
      </c>
      <c r="D499" s="185" t="s">
        <v>152</v>
      </c>
      <c r="E499" s="69">
        <v>41550</v>
      </c>
      <c r="F499" s="61" t="s">
        <v>275</v>
      </c>
      <c r="G499" s="460" t="s">
        <v>158</v>
      </c>
      <c r="H499" s="216" t="s">
        <v>90</v>
      </c>
      <c r="I499" s="56" t="s">
        <v>160</v>
      </c>
      <c r="J499" s="15">
        <v>23000</v>
      </c>
      <c r="K499" s="15">
        <v>0</v>
      </c>
      <c r="L499" s="15">
        <v>0</v>
      </c>
      <c r="M499" s="15">
        <v>9707</v>
      </c>
      <c r="N499" s="15">
        <v>223261000</v>
      </c>
      <c r="O499" s="15" t="str">
        <f>IF(AND(A499='BANG KE NL'!$M$11,TH!C499="NL",LEFT(D499,1)="N"),"x","")</f>
        <v/>
      </c>
    </row>
    <row r="500" spans="1:15" hidden="1">
      <c r="A500" s="24">
        <f t="shared" si="10"/>
        <v>10</v>
      </c>
      <c r="B500" s="188" t="str">
        <f>IF(AND(MONTH(E500)='IN-NX'!$J$5,'IN-NX'!$D$7=(D500&amp;"/"&amp;C500)),"x","")</f>
        <v/>
      </c>
      <c r="C500" s="185" t="s">
        <v>155</v>
      </c>
      <c r="D500" s="185" t="s">
        <v>170</v>
      </c>
      <c r="E500" s="69">
        <v>41562</v>
      </c>
      <c r="F500" s="61" t="s">
        <v>275</v>
      </c>
      <c r="G500" s="19" t="s">
        <v>134</v>
      </c>
      <c r="H500" s="216" t="s">
        <v>160</v>
      </c>
      <c r="I500" s="56" t="s">
        <v>93</v>
      </c>
      <c r="J500" s="15">
        <v>23000</v>
      </c>
      <c r="K500" s="15">
        <v>5795</v>
      </c>
      <c r="L500" s="15">
        <v>133285000</v>
      </c>
      <c r="M500" s="15">
        <v>0</v>
      </c>
      <c r="N500" s="15">
        <v>0</v>
      </c>
      <c r="O500" s="15" t="str">
        <f>IF(AND(A500='BANG KE NL'!$M$11,TH!C500="NL",LEFT(D500,1)="N"),"x","")</f>
        <v/>
      </c>
    </row>
    <row r="501" spans="1:15" hidden="1">
      <c r="A501" s="24">
        <f t="shared" si="10"/>
        <v>10</v>
      </c>
      <c r="B501" s="188" t="str">
        <f>IF(AND(MONTH(E501)='IN-NX'!$J$5,'IN-NX'!$D$7=(D501&amp;"/"&amp;C501)),"x","")</f>
        <v/>
      </c>
      <c r="C501" s="185" t="s">
        <v>155</v>
      </c>
      <c r="D501" s="185" t="s">
        <v>171</v>
      </c>
      <c r="E501" s="69">
        <v>41562</v>
      </c>
      <c r="F501" s="61" t="s">
        <v>275</v>
      </c>
      <c r="G501" s="19" t="s">
        <v>409</v>
      </c>
      <c r="H501" s="216" t="s">
        <v>160</v>
      </c>
      <c r="I501" s="56" t="s">
        <v>93</v>
      </c>
      <c r="J501" s="15">
        <v>23000</v>
      </c>
      <c r="K501" s="15">
        <v>5740</v>
      </c>
      <c r="L501" s="15">
        <v>132020000</v>
      </c>
      <c r="M501" s="15">
        <v>0</v>
      </c>
      <c r="N501" s="15">
        <v>0</v>
      </c>
      <c r="O501" s="15" t="str">
        <f>IF(AND(A501='BANG KE NL'!$M$11,TH!C501="NL",LEFT(D501,1)="N"),"x","")</f>
        <v/>
      </c>
    </row>
    <row r="502" spans="1:15" hidden="1">
      <c r="A502" s="24">
        <f t="shared" si="10"/>
        <v>10</v>
      </c>
      <c r="B502" s="188" t="str">
        <f>IF(AND(MONTH(E502)='IN-NX'!$J$5,'IN-NX'!$D$7=(D502&amp;"/"&amp;C502)),"x","")</f>
        <v/>
      </c>
      <c r="C502" s="185" t="s">
        <v>155</v>
      </c>
      <c r="D502" s="185" t="s">
        <v>172</v>
      </c>
      <c r="E502" s="69">
        <v>41562</v>
      </c>
      <c r="F502" s="61" t="s">
        <v>275</v>
      </c>
      <c r="G502" s="19" t="s">
        <v>317</v>
      </c>
      <c r="H502" s="216" t="s">
        <v>160</v>
      </c>
      <c r="I502" s="56" t="s">
        <v>93</v>
      </c>
      <c r="J502" s="15">
        <v>23000</v>
      </c>
      <c r="K502" s="15">
        <v>5439</v>
      </c>
      <c r="L502" s="15">
        <v>125097000</v>
      </c>
      <c r="M502" s="15">
        <v>0</v>
      </c>
      <c r="N502" s="15">
        <v>0</v>
      </c>
      <c r="O502" s="15" t="str">
        <f>IF(AND(A502='BANG KE NL'!$M$11,TH!C502="NL",LEFT(D502,1)="N"),"x","")</f>
        <v/>
      </c>
    </row>
    <row r="503" spans="1:15" hidden="1">
      <c r="A503" s="24">
        <f t="shared" si="10"/>
        <v>10</v>
      </c>
      <c r="B503" s="188" t="str">
        <f>IF(AND(MONTH(E503)='IN-NX'!$J$5,'IN-NX'!$D$7=(D503&amp;"/"&amp;C503)),"x","")</f>
        <v/>
      </c>
      <c r="C503" s="185" t="s">
        <v>155</v>
      </c>
      <c r="D503" s="185" t="s">
        <v>173</v>
      </c>
      <c r="E503" s="69">
        <v>41562</v>
      </c>
      <c r="F503" s="61" t="s">
        <v>275</v>
      </c>
      <c r="G503" s="19" t="s">
        <v>430</v>
      </c>
      <c r="H503" s="216" t="s">
        <v>160</v>
      </c>
      <c r="I503" s="56" t="s">
        <v>93</v>
      </c>
      <c r="J503" s="15">
        <v>23000</v>
      </c>
      <c r="K503" s="15">
        <v>5420</v>
      </c>
      <c r="L503" s="15">
        <v>124660000</v>
      </c>
      <c r="M503" s="15">
        <v>0</v>
      </c>
      <c r="N503" s="15">
        <v>0</v>
      </c>
      <c r="O503" s="15" t="str">
        <f>IF(AND(A503='BANG KE NL'!$M$11,TH!C503="NL",LEFT(D503,1)="N"),"x","")</f>
        <v/>
      </c>
    </row>
    <row r="504" spans="1:15" hidden="1">
      <c r="A504" s="24">
        <f t="shared" si="10"/>
        <v>10</v>
      </c>
      <c r="B504" s="188" t="str">
        <f>IF(AND(MONTH(E504)='IN-NX'!$J$5,'IN-NX'!$D$7=(D504&amp;"/"&amp;C504)),"x","")</f>
        <v/>
      </c>
      <c r="C504" s="185" t="s">
        <v>155</v>
      </c>
      <c r="D504" s="185" t="s">
        <v>174</v>
      </c>
      <c r="E504" s="69">
        <v>41564</v>
      </c>
      <c r="F504" s="61" t="s">
        <v>275</v>
      </c>
      <c r="G504" s="19" t="s">
        <v>129</v>
      </c>
      <c r="H504" s="216" t="s">
        <v>160</v>
      </c>
      <c r="I504" s="56" t="s">
        <v>93</v>
      </c>
      <c r="J504" s="15">
        <v>23000</v>
      </c>
      <c r="K504" s="15">
        <v>5720</v>
      </c>
      <c r="L504" s="15">
        <v>131560000</v>
      </c>
      <c r="M504" s="15">
        <v>0</v>
      </c>
      <c r="N504" s="15">
        <v>0</v>
      </c>
      <c r="O504" s="15" t="str">
        <f>IF(AND(A504='BANG KE NL'!$M$11,TH!C504="NL",LEFT(D504,1)="N"),"x","")</f>
        <v/>
      </c>
    </row>
    <row r="505" spans="1:15" hidden="1">
      <c r="A505" s="24">
        <f t="shared" si="10"/>
        <v>10</v>
      </c>
      <c r="B505" s="188" t="str">
        <f>IF(AND(MONTH(E505)='IN-NX'!$J$5,'IN-NX'!$D$7=(D505&amp;"/"&amp;C505)),"x","")</f>
        <v/>
      </c>
      <c r="C505" s="185" t="s">
        <v>155</v>
      </c>
      <c r="D505" s="185" t="s">
        <v>175</v>
      </c>
      <c r="E505" s="69">
        <v>41564</v>
      </c>
      <c r="F505" s="61" t="s">
        <v>275</v>
      </c>
      <c r="G505" s="19" t="s">
        <v>130</v>
      </c>
      <c r="H505" s="216" t="s">
        <v>160</v>
      </c>
      <c r="I505" s="56" t="s">
        <v>93</v>
      </c>
      <c r="J505" s="15">
        <v>23000</v>
      </c>
      <c r="K505" s="15">
        <v>5540</v>
      </c>
      <c r="L505" s="15">
        <v>127420000</v>
      </c>
      <c r="M505" s="15">
        <v>0</v>
      </c>
      <c r="N505" s="15">
        <v>0</v>
      </c>
      <c r="O505" s="15" t="str">
        <f>IF(AND(A505='BANG KE NL'!$M$11,TH!C505="NL",LEFT(D505,1)="N"),"x","")</f>
        <v/>
      </c>
    </row>
    <row r="506" spans="1:15" hidden="1">
      <c r="A506" s="24">
        <f t="shared" si="10"/>
        <v>10</v>
      </c>
      <c r="B506" s="188" t="str">
        <f>IF(AND(MONTH(E506)='IN-NX'!$J$5,'IN-NX'!$D$7=(D506&amp;"/"&amp;C506)),"x","")</f>
        <v/>
      </c>
      <c r="C506" s="185" t="s">
        <v>155</v>
      </c>
      <c r="D506" s="185" t="s">
        <v>176</v>
      </c>
      <c r="E506" s="69">
        <v>41564</v>
      </c>
      <c r="F506" s="61" t="s">
        <v>275</v>
      </c>
      <c r="G506" s="19" t="s">
        <v>131</v>
      </c>
      <c r="H506" s="216" t="s">
        <v>160</v>
      </c>
      <c r="I506" s="56" t="s">
        <v>93</v>
      </c>
      <c r="J506" s="15">
        <v>23000</v>
      </c>
      <c r="K506" s="15">
        <v>5436</v>
      </c>
      <c r="L506" s="15">
        <v>125028000</v>
      </c>
      <c r="M506" s="15">
        <v>0</v>
      </c>
      <c r="N506" s="15">
        <v>0</v>
      </c>
      <c r="O506" s="15" t="str">
        <f>IF(AND(A506='BANG KE NL'!$M$11,TH!C506="NL",LEFT(D506,1)="N"),"x","")</f>
        <v/>
      </c>
    </row>
    <row r="507" spans="1:15" hidden="1">
      <c r="A507" s="24">
        <f t="shared" si="10"/>
        <v>10</v>
      </c>
      <c r="B507" s="188" t="str">
        <f>IF(AND(MONTH(E507)='IN-NX'!$J$5,'IN-NX'!$D$7=(D507&amp;"/"&amp;C507)),"x","")</f>
        <v/>
      </c>
      <c r="C507" s="185" t="s">
        <v>155</v>
      </c>
      <c r="D507" s="185" t="s">
        <v>177</v>
      </c>
      <c r="E507" s="69">
        <v>41564</v>
      </c>
      <c r="F507" s="61" t="s">
        <v>275</v>
      </c>
      <c r="G507" s="19" t="s">
        <v>128</v>
      </c>
      <c r="H507" s="216" t="s">
        <v>160</v>
      </c>
      <c r="I507" s="56" t="s">
        <v>93</v>
      </c>
      <c r="J507" s="15">
        <v>23000</v>
      </c>
      <c r="K507" s="15">
        <v>5310</v>
      </c>
      <c r="L507" s="15">
        <v>122130000</v>
      </c>
      <c r="M507" s="15">
        <v>0</v>
      </c>
      <c r="N507" s="15">
        <v>0</v>
      </c>
      <c r="O507" s="15" t="str">
        <f>IF(AND(A507='BANG KE NL'!$M$11,TH!C507="NL",LEFT(D507,1)="N"),"x","")</f>
        <v/>
      </c>
    </row>
    <row r="508" spans="1:15" hidden="1">
      <c r="A508" s="24">
        <f t="shared" si="10"/>
        <v>10</v>
      </c>
      <c r="B508" s="188" t="str">
        <f>IF(AND(MONTH(E508)='IN-NX'!$J$5,'IN-NX'!$D$7=(D508&amp;"/"&amp;C508)),"x","")</f>
        <v/>
      </c>
      <c r="C508" s="185" t="s">
        <v>155</v>
      </c>
      <c r="D508" s="185" t="s">
        <v>201</v>
      </c>
      <c r="E508" s="69">
        <v>41564</v>
      </c>
      <c r="F508" s="61" t="s">
        <v>275</v>
      </c>
      <c r="G508" s="460" t="s">
        <v>158</v>
      </c>
      <c r="H508" s="216" t="s">
        <v>90</v>
      </c>
      <c r="I508" s="56" t="s">
        <v>160</v>
      </c>
      <c r="J508" s="15">
        <v>23000</v>
      </c>
      <c r="K508" s="15">
        <v>0</v>
      </c>
      <c r="L508" s="15">
        <v>0</v>
      </c>
      <c r="M508" s="15">
        <v>11535</v>
      </c>
      <c r="N508" s="15">
        <v>265305000</v>
      </c>
      <c r="O508" s="15" t="str">
        <f>IF(AND(A508='BANG KE NL'!$M$11,TH!C508="NL",LEFT(D508,1)="N"),"x","")</f>
        <v/>
      </c>
    </row>
    <row r="509" spans="1:15" hidden="1">
      <c r="A509" s="24">
        <f t="shared" si="10"/>
        <v>10</v>
      </c>
      <c r="B509" s="188" t="str">
        <f>IF(AND(MONTH(E509)='IN-NX'!$J$5,'IN-NX'!$D$7=(D509&amp;"/"&amp;C509)),"x","")</f>
        <v/>
      </c>
      <c r="C509" s="185" t="s">
        <v>155</v>
      </c>
      <c r="D509" s="185" t="s">
        <v>203</v>
      </c>
      <c r="E509" s="69">
        <v>41566</v>
      </c>
      <c r="F509" s="61" t="s">
        <v>275</v>
      </c>
      <c r="G509" s="460" t="s">
        <v>158</v>
      </c>
      <c r="H509" s="216" t="s">
        <v>90</v>
      </c>
      <c r="I509" s="56" t="s">
        <v>160</v>
      </c>
      <c r="J509" s="15">
        <v>23000</v>
      </c>
      <c r="K509" s="15">
        <v>0</v>
      </c>
      <c r="L509" s="15">
        <v>0</v>
      </c>
      <c r="M509" s="15">
        <v>10859</v>
      </c>
      <c r="N509" s="15">
        <v>249757000</v>
      </c>
      <c r="O509" s="15" t="str">
        <f>IF(AND(A509='BANG KE NL'!$M$11,TH!C509="NL",LEFT(D509,1)="N"),"x","")</f>
        <v/>
      </c>
    </row>
    <row r="510" spans="1:15" hidden="1">
      <c r="A510" s="24">
        <f t="shared" si="10"/>
        <v>10</v>
      </c>
      <c r="B510" s="188" t="str">
        <f>IF(AND(MONTH(E510)='IN-NX'!$J$5,'IN-NX'!$D$7=(D510&amp;"/"&amp;C510)),"x","")</f>
        <v/>
      </c>
      <c r="C510" s="185" t="s">
        <v>155</v>
      </c>
      <c r="D510" s="185" t="s">
        <v>439</v>
      </c>
      <c r="E510" s="69">
        <v>41568</v>
      </c>
      <c r="F510" s="61" t="s">
        <v>275</v>
      </c>
      <c r="G510" s="460" t="s">
        <v>158</v>
      </c>
      <c r="H510" s="216" t="s">
        <v>90</v>
      </c>
      <c r="I510" s="56" t="s">
        <v>160</v>
      </c>
      <c r="J510" s="15">
        <v>23000</v>
      </c>
      <c r="K510" s="15">
        <v>0</v>
      </c>
      <c r="L510" s="15">
        <v>0</v>
      </c>
      <c r="M510" s="15">
        <v>11260</v>
      </c>
      <c r="N510" s="15">
        <v>258980000</v>
      </c>
      <c r="O510" s="15" t="str">
        <f>IF(AND(A510='BANG KE NL'!$M$11,TH!C510="NL",LEFT(D510,1)="N"),"x","")</f>
        <v/>
      </c>
    </row>
    <row r="511" spans="1:15" hidden="1">
      <c r="A511" s="24">
        <f t="shared" si="10"/>
        <v>10</v>
      </c>
      <c r="B511" s="188" t="str">
        <f>IF(AND(MONTH(E511)='IN-NX'!$J$5,'IN-NX'!$D$7=(D511&amp;"/"&amp;C511)),"x","")</f>
        <v/>
      </c>
      <c r="C511" s="185" t="s">
        <v>155</v>
      </c>
      <c r="D511" s="185" t="s">
        <v>434</v>
      </c>
      <c r="E511" s="69">
        <v>41569</v>
      </c>
      <c r="F511" s="61" t="s">
        <v>275</v>
      </c>
      <c r="G511" s="460" t="s">
        <v>158</v>
      </c>
      <c r="H511" s="216" t="s">
        <v>90</v>
      </c>
      <c r="I511" s="56" t="s">
        <v>160</v>
      </c>
      <c r="J511" s="15">
        <v>23000</v>
      </c>
      <c r="K511" s="15">
        <v>0</v>
      </c>
      <c r="L511" s="15">
        <v>0</v>
      </c>
      <c r="M511" s="15">
        <v>10746</v>
      </c>
      <c r="N511" s="15">
        <v>247158000</v>
      </c>
      <c r="O511" s="15" t="str">
        <f>IF(AND(A511='BANG KE NL'!$M$11,TH!C511="NL",LEFT(D511,1)="N"),"x","")</f>
        <v/>
      </c>
    </row>
    <row r="512" spans="1:15" hidden="1">
      <c r="A512" s="24">
        <f t="shared" si="10"/>
        <v>12</v>
      </c>
      <c r="B512" s="188" t="str">
        <f>IF(AND(MONTH(E512)='IN-NX'!$J$5,'IN-NX'!$D$7=(D512&amp;"/"&amp;C512)),"x","")</f>
        <v/>
      </c>
      <c r="C512" s="185" t="s">
        <v>155</v>
      </c>
      <c r="D512" s="185" t="s">
        <v>168</v>
      </c>
      <c r="E512" s="69">
        <v>41610</v>
      </c>
      <c r="F512" s="61" t="s">
        <v>275</v>
      </c>
      <c r="G512" s="19" t="s">
        <v>128</v>
      </c>
      <c r="H512" s="216" t="s">
        <v>160</v>
      </c>
      <c r="I512" s="56" t="s">
        <v>93</v>
      </c>
      <c r="J512" s="15">
        <v>22000</v>
      </c>
      <c r="K512" s="15">
        <v>1220</v>
      </c>
      <c r="L512" s="15">
        <v>26840000</v>
      </c>
      <c r="M512" s="15">
        <v>0</v>
      </c>
      <c r="N512" s="15">
        <v>0</v>
      </c>
      <c r="O512" s="15" t="str">
        <f>IF(AND(A512='BANG KE NL'!$M$11,TH!C512="NL",LEFT(D512,1)="N"),"x","")</f>
        <v>x</v>
      </c>
    </row>
    <row r="513" spans="1:15" hidden="1">
      <c r="A513" s="24">
        <f t="shared" si="10"/>
        <v>12</v>
      </c>
      <c r="B513" s="188" t="str">
        <f>IF(AND(MONTH(E513)='IN-NX'!$J$5,'IN-NX'!$D$7=(D513&amp;"/"&amp;C513)),"x","")</f>
        <v/>
      </c>
      <c r="C513" s="185" t="s">
        <v>155</v>
      </c>
      <c r="D513" s="185" t="s">
        <v>150</v>
      </c>
      <c r="E513" s="69">
        <v>41610</v>
      </c>
      <c r="F513" s="61" t="s">
        <v>275</v>
      </c>
      <c r="G513" s="460" t="s">
        <v>158</v>
      </c>
      <c r="H513" s="216" t="s">
        <v>90</v>
      </c>
      <c r="I513" s="56" t="s">
        <v>160</v>
      </c>
      <c r="J513" s="15">
        <v>22000</v>
      </c>
      <c r="K513" s="15">
        <v>0</v>
      </c>
      <c r="L513" s="15">
        <v>0</v>
      </c>
      <c r="M513" s="15">
        <v>1220</v>
      </c>
      <c r="N513" s="15">
        <v>26840000</v>
      </c>
      <c r="O513" s="15" t="str">
        <f>IF(AND(A513='BANG KE NL'!$M$11,TH!C513="NL",LEFT(D513,1)="N"),"x","")</f>
        <v/>
      </c>
    </row>
    <row r="514" spans="1:15" hidden="1">
      <c r="A514" s="24">
        <f t="shared" si="10"/>
        <v>8</v>
      </c>
      <c r="B514" s="188" t="str">
        <f>IF(AND(MONTH(E514)='IN-NX'!$J$5,'IN-NX'!$D$7=(D514&amp;"/"&amp;C514)),"x","")</f>
        <v/>
      </c>
      <c r="C514" s="185" t="s">
        <v>155</v>
      </c>
      <c r="D514" s="185" t="s">
        <v>143</v>
      </c>
      <c r="E514" s="69">
        <v>41487</v>
      </c>
      <c r="F514" s="61" t="s">
        <v>357</v>
      </c>
      <c r="G514" s="19" t="s">
        <v>410</v>
      </c>
      <c r="H514" s="216" t="s">
        <v>160</v>
      </c>
      <c r="I514" s="56" t="s">
        <v>93</v>
      </c>
      <c r="J514" s="15">
        <v>18000</v>
      </c>
      <c r="K514" s="15">
        <v>5795</v>
      </c>
      <c r="L514" s="15">
        <v>104310000</v>
      </c>
      <c r="M514" s="15">
        <v>0</v>
      </c>
      <c r="N514" s="15">
        <v>0</v>
      </c>
      <c r="O514" s="15" t="str">
        <f>IF(AND(A514='BANG KE NL'!$M$11,TH!C514="NL",LEFT(D514,1)="N"),"x","")</f>
        <v/>
      </c>
    </row>
    <row r="515" spans="1:15" hidden="1">
      <c r="A515" s="24">
        <f t="shared" si="10"/>
        <v>8</v>
      </c>
      <c r="B515" s="188" t="str">
        <f>IF(AND(MONTH(E515)='IN-NX'!$J$5,'IN-NX'!$D$7=(D515&amp;"/"&amp;C515)),"x","")</f>
        <v/>
      </c>
      <c r="C515" s="185" t="s">
        <v>155</v>
      </c>
      <c r="D515" s="185" t="s">
        <v>144</v>
      </c>
      <c r="E515" s="69">
        <v>41487</v>
      </c>
      <c r="F515" s="61" t="s">
        <v>357</v>
      </c>
      <c r="G515" s="19" t="s">
        <v>123</v>
      </c>
      <c r="H515" s="216" t="s">
        <v>160</v>
      </c>
      <c r="I515" s="56" t="s">
        <v>93</v>
      </c>
      <c r="J515" s="15">
        <v>18000</v>
      </c>
      <c r="K515" s="15">
        <v>5836</v>
      </c>
      <c r="L515" s="15">
        <v>105048000</v>
      </c>
      <c r="M515" s="15">
        <v>0</v>
      </c>
      <c r="N515" s="15">
        <v>0</v>
      </c>
      <c r="O515" s="15" t="str">
        <f>IF(AND(A515='BANG KE NL'!$M$11,TH!C515="NL",LEFT(D515,1)="N"),"x","")</f>
        <v/>
      </c>
    </row>
    <row r="516" spans="1:15" hidden="1">
      <c r="A516" s="24">
        <f t="shared" si="10"/>
        <v>8</v>
      </c>
      <c r="B516" s="188" t="str">
        <f>IF(AND(MONTH(E516)='IN-NX'!$J$5,'IN-NX'!$D$7=(D516&amp;"/"&amp;C516)),"x","")</f>
        <v/>
      </c>
      <c r="C516" s="185" t="s">
        <v>155</v>
      </c>
      <c r="D516" s="185" t="s">
        <v>145</v>
      </c>
      <c r="E516" s="69">
        <v>41487</v>
      </c>
      <c r="F516" s="61" t="s">
        <v>357</v>
      </c>
      <c r="G516" s="19" t="s">
        <v>425</v>
      </c>
      <c r="H516" s="216" t="s">
        <v>160</v>
      </c>
      <c r="I516" s="56" t="s">
        <v>93</v>
      </c>
      <c r="J516" s="15">
        <v>18000</v>
      </c>
      <c r="K516" s="15">
        <v>5596</v>
      </c>
      <c r="L516" s="15">
        <v>100728000</v>
      </c>
      <c r="M516" s="15">
        <v>0</v>
      </c>
      <c r="N516" s="15">
        <v>0</v>
      </c>
      <c r="O516" s="15" t="str">
        <f>IF(AND(A516='BANG KE NL'!$M$11,TH!C516="NL",LEFT(D516,1)="N"),"x","")</f>
        <v/>
      </c>
    </row>
    <row r="517" spans="1:15" hidden="1">
      <c r="A517" s="24">
        <f t="shared" si="10"/>
        <v>8</v>
      </c>
      <c r="B517" s="188" t="str">
        <f>IF(AND(MONTH(E517)='IN-NX'!$J$5,'IN-NX'!$D$7=(D517&amp;"/"&amp;C517)),"x","")</f>
        <v/>
      </c>
      <c r="C517" s="185" t="s">
        <v>155</v>
      </c>
      <c r="D517" s="185" t="s">
        <v>150</v>
      </c>
      <c r="E517" s="69">
        <v>41488</v>
      </c>
      <c r="F517" s="61" t="s">
        <v>357</v>
      </c>
      <c r="G517" s="460" t="s">
        <v>158</v>
      </c>
      <c r="H517" s="216" t="s">
        <v>90</v>
      </c>
      <c r="I517" s="56" t="s">
        <v>160</v>
      </c>
      <c r="J517" s="15">
        <v>18000</v>
      </c>
      <c r="K517" s="15">
        <v>0</v>
      </c>
      <c r="L517" s="15">
        <v>0</v>
      </c>
      <c r="M517" s="15">
        <v>17227</v>
      </c>
      <c r="N517" s="15">
        <v>310086000</v>
      </c>
      <c r="O517" s="15" t="str">
        <f>IF(AND(A517='BANG KE NL'!$M$11,TH!C517="NL",LEFT(D517,1)="N"),"x","")</f>
        <v/>
      </c>
    </row>
    <row r="518" spans="1:15" hidden="1">
      <c r="A518" s="24">
        <f t="shared" ref="A518:A581" si="11">IF(E518&lt;&gt;"",MONTH(E518),"")</f>
        <v>8</v>
      </c>
      <c r="B518" s="188" t="str">
        <f>IF(AND(MONTH(E518)='IN-NX'!$J$5,'IN-NX'!$D$7=(D518&amp;"/"&amp;C518)),"x","")</f>
        <v/>
      </c>
      <c r="C518" s="185" t="s">
        <v>155</v>
      </c>
      <c r="D518" s="185" t="s">
        <v>148</v>
      </c>
      <c r="E518" s="69">
        <v>41489</v>
      </c>
      <c r="F518" s="61" t="s">
        <v>357</v>
      </c>
      <c r="G518" s="19" t="s">
        <v>137</v>
      </c>
      <c r="H518" s="216" t="s">
        <v>160</v>
      </c>
      <c r="I518" s="56" t="s">
        <v>93</v>
      </c>
      <c r="J518" s="15">
        <v>18000</v>
      </c>
      <c r="K518" s="15">
        <v>5961</v>
      </c>
      <c r="L518" s="15">
        <v>107298000</v>
      </c>
      <c r="M518" s="15">
        <v>0</v>
      </c>
      <c r="N518" s="15">
        <v>0</v>
      </c>
      <c r="O518" s="15" t="str">
        <f>IF(AND(A518='BANG KE NL'!$M$11,TH!C518="NL",LEFT(D518,1)="N"),"x","")</f>
        <v/>
      </c>
    </row>
    <row r="519" spans="1:15" hidden="1">
      <c r="A519" s="24">
        <f t="shared" si="11"/>
        <v>8</v>
      </c>
      <c r="B519" s="188" t="str">
        <f>IF(AND(MONTH(E519)='IN-NX'!$J$5,'IN-NX'!$D$7=(D519&amp;"/"&amp;C519)),"x","")</f>
        <v/>
      </c>
      <c r="C519" s="185" t="s">
        <v>155</v>
      </c>
      <c r="D519" s="185" t="s">
        <v>161</v>
      </c>
      <c r="E519" s="69">
        <v>41489</v>
      </c>
      <c r="F519" s="61" t="s">
        <v>357</v>
      </c>
      <c r="G519" s="19" t="s">
        <v>429</v>
      </c>
      <c r="H519" s="216" t="s">
        <v>160</v>
      </c>
      <c r="I519" s="56" t="s">
        <v>93</v>
      </c>
      <c r="J519" s="15">
        <v>18000</v>
      </c>
      <c r="K519" s="15">
        <v>5887</v>
      </c>
      <c r="L519" s="15">
        <v>105966000</v>
      </c>
      <c r="M519" s="15">
        <v>0</v>
      </c>
      <c r="N519" s="15">
        <v>0</v>
      </c>
      <c r="O519" s="15" t="str">
        <f>IF(AND(A519='BANG KE NL'!$M$11,TH!C519="NL",LEFT(D519,1)="N"),"x","")</f>
        <v/>
      </c>
    </row>
    <row r="520" spans="1:15" hidden="1">
      <c r="A520" s="24">
        <f t="shared" si="11"/>
        <v>8</v>
      </c>
      <c r="B520" s="188" t="str">
        <f>IF(AND(MONTH(E520)='IN-NX'!$J$5,'IN-NX'!$D$7=(D520&amp;"/"&amp;C520)),"x","")</f>
        <v/>
      </c>
      <c r="C520" s="185" t="s">
        <v>155</v>
      </c>
      <c r="D520" s="185" t="s">
        <v>163</v>
      </c>
      <c r="E520" s="69">
        <v>41489</v>
      </c>
      <c r="F520" s="61" t="s">
        <v>357</v>
      </c>
      <c r="G520" s="19" t="s">
        <v>138</v>
      </c>
      <c r="H520" s="216" t="s">
        <v>160</v>
      </c>
      <c r="I520" s="56" t="s">
        <v>93</v>
      </c>
      <c r="J520" s="15">
        <v>18000</v>
      </c>
      <c r="K520" s="15">
        <v>5929</v>
      </c>
      <c r="L520" s="15">
        <v>106722000</v>
      </c>
      <c r="M520" s="15">
        <v>0</v>
      </c>
      <c r="N520" s="15">
        <v>0</v>
      </c>
      <c r="O520" s="15" t="str">
        <f>IF(AND(A520='BANG KE NL'!$M$11,TH!C520="NL",LEFT(D520,1)="N"),"x","")</f>
        <v/>
      </c>
    </row>
    <row r="521" spans="1:15" hidden="1">
      <c r="A521" s="24">
        <f t="shared" si="11"/>
        <v>8</v>
      </c>
      <c r="B521" s="188" t="str">
        <f>IF(AND(MONTH(E521)='IN-NX'!$J$5,'IN-NX'!$D$7=(D521&amp;"/"&amp;C521)),"x","")</f>
        <v/>
      </c>
      <c r="C521" s="185" t="s">
        <v>155</v>
      </c>
      <c r="D521" s="185" t="s">
        <v>151</v>
      </c>
      <c r="E521" s="69">
        <v>41490</v>
      </c>
      <c r="F521" s="61" t="s">
        <v>357</v>
      </c>
      <c r="G521" s="460" t="s">
        <v>158</v>
      </c>
      <c r="H521" s="216" t="s">
        <v>90</v>
      </c>
      <c r="I521" s="56" t="s">
        <v>160</v>
      </c>
      <c r="J521" s="15">
        <v>18000</v>
      </c>
      <c r="K521" s="15">
        <v>0</v>
      </c>
      <c r="L521" s="15">
        <v>0</v>
      </c>
      <c r="M521" s="15">
        <v>17777</v>
      </c>
      <c r="N521" s="15">
        <v>319986000</v>
      </c>
      <c r="O521" s="15" t="str">
        <f>IF(AND(A521='BANG KE NL'!$M$11,TH!C521="NL",LEFT(D521,1)="N"),"x","")</f>
        <v/>
      </c>
    </row>
    <row r="522" spans="1:15" hidden="1">
      <c r="A522" s="24">
        <f t="shared" si="11"/>
        <v>8</v>
      </c>
      <c r="B522" s="188" t="str">
        <f>IF(AND(MONTH(E522)='IN-NX'!$J$5,'IN-NX'!$D$7=(D522&amp;"/"&amp;C522)),"x","")</f>
        <v/>
      </c>
      <c r="C522" s="185" t="s">
        <v>155</v>
      </c>
      <c r="D522" s="185" t="s">
        <v>164</v>
      </c>
      <c r="E522" s="69">
        <v>41492</v>
      </c>
      <c r="F522" s="61" t="s">
        <v>357</v>
      </c>
      <c r="G522" s="19" t="s">
        <v>125</v>
      </c>
      <c r="H522" s="216" t="s">
        <v>160</v>
      </c>
      <c r="I522" s="56" t="s">
        <v>93</v>
      </c>
      <c r="J522" s="15">
        <v>18000</v>
      </c>
      <c r="K522" s="15">
        <v>5982</v>
      </c>
      <c r="L522" s="15">
        <v>107676000</v>
      </c>
      <c r="M522" s="15">
        <v>0</v>
      </c>
      <c r="N522" s="15">
        <v>0</v>
      </c>
      <c r="O522" s="15" t="str">
        <f>IF(AND(A522='BANG KE NL'!$M$11,TH!C522="NL",LEFT(D522,1)="N"),"x","")</f>
        <v/>
      </c>
    </row>
    <row r="523" spans="1:15" hidden="1">
      <c r="A523" s="24">
        <f t="shared" si="11"/>
        <v>8</v>
      </c>
      <c r="B523" s="188" t="str">
        <f>IF(AND(MONTH(E523)='IN-NX'!$J$5,'IN-NX'!$D$7=(D523&amp;"/"&amp;C523)),"x","")</f>
        <v/>
      </c>
      <c r="C523" s="185" t="s">
        <v>155</v>
      </c>
      <c r="D523" s="185" t="s">
        <v>165</v>
      </c>
      <c r="E523" s="69">
        <v>41492</v>
      </c>
      <c r="F523" s="61" t="s">
        <v>357</v>
      </c>
      <c r="G523" s="19" t="s">
        <v>126</v>
      </c>
      <c r="H523" s="216" t="s">
        <v>160</v>
      </c>
      <c r="I523" s="56" t="s">
        <v>93</v>
      </c>
      <c r="J523" s="15">
        <v>18000</v>
      </c>
      <c r="K523" s="15">
        <v>5631</v>
      </c>
      <c r="L523" s="15">
        <v>101358000</v>
      </c>
      <c r="M523" s="15">
        <v>0</v>
      </c>
      <c r="N523" s="15">
        <v>0</v>
      </c>
      <c r="O523" s="15" t="str">
        <f>IF(AND(A523='BANG KE NL'!$M$11,TH!C523="NL",LEFT(D523,1)="N"),"x","")</f>
        <v/>
      </c>
    </row>
    <row r="524" spans="1:15" hidden="1">
      <c r="A524" s="24">
        <f t="shared" si="11"/>
        <v>8</v>
      </c>
      <c r="B524" s="188" t="str">
        <f>IF(AND(MONTH(E524)='IN-NX'!$J$5,'IN-NX'!$D$7=(D524&amp;"/"&amp;C524)),"x","")</f>
        <v/>
      </c>
      <c r="C524" s="185" t="s">
        <v>155</v>
      </c>
      <c r="D524" s="185" t="s">
        <v>166</v>
      </c>
      <c r="E524" s="69">
        <v>41492</v>
      </c>
      <c r="F524" s="61" t="s">
        <v>357</v>
      </c>
      <c r="G524" s="19" t="s">
        <v>425</v>
      </c>
      <c r="H524" s="216" t="s">
        <v>160</v>
      </c>
      <c r="I524" s="56" t="s">
        <v>93</v>
      </c>
      <c r="J524" s="15">
        <v>18000</v>
      </c>
      <c r="K524" s="15">
        <v>5789</v>
      </c>
      <c r="L524" s="15">
        <v>104202000</v>
      </c>
      <c r="M524" s="15">
        <v>0</v>
      </c>
      <c r="N524" s="15">
        <v>0</v>
      </c>
      <c r="O524" s="15" t="str">
        <f>IF(AND(A524='BANG KE NL'!$M$11,TH!C524="NL",LEFT(D524,1)="N"),"x","")</f>
        <v/>
      </c>
    </row>
    <row r="525" spans="1:15" hidden="1">
      <c r="A525" s="24">
        <f t="shared" si="11"/>
        <v>8</v>
      </c>
      <c r="B525" s="188" t="str">
        <f>IF(AND(MONTH(E525)='IN-NX'!$J$5,'IN-NX'!$D$7=(D525&amp;"/"&amp;C525)),"x","")</f>
        <v/>
      </c>
      <c r="C525" s="185" t="s">
        <v>155</v>
      </c>
      <c r="D525" s="185" t="s">
        <v>152</v>
      </c>
      <c r="E525" s="69">
        <v>41493</v>
      </c>
      <c r="F525" s="61" t="s">
        <v>357</v>
      </c>
      <c r="G525" s="460" t="s">
        <v>158</v>
      </c>
      <c r="H525" s="216" t="s">
        <v>90</v>
      </c>
      <c r="I525" s="56" t="s">
        <v>160</v>
      </c>
      <c r="J525" s="15">
        <v>18000</v>
      </c>
      <c r="K525" s="15">
        <v>0</v>
      </c>
      <c r="L525" s="15">
        <v>0</v>
      </c>
      <c r="M525" s="15">
        <v>17402</v>
      </c>
      <c r="N525" s="15">
        <v>313236000</v>
      </c>
      <c r="O525" s="15" t="str">
        <f>IF(AND(A525='BANG KE NL'!$M$11,TH!C525="NL",LEFT(D525,1)="N"),"x","")</f>
        <v/>
      </c>
    </row>
    <row r="526" spans="1:15" hidden="1">
      <c r="A526" s="24">
        <f t="shared" si="11"/>
        <v>8</v>
      </c>
      <c r="B526" s="188" t="str">
        <f>IF(AND(MONTH(E526)='IN-NX'!$J$5,'IN-NX'!$D$7=(D526&amp;"/"&amp;C526)),"x","")</f>
        <v/>
      </c>
      <c r="C526" s="185" t="s">
        <v>155</v>
      </c>
      <c r="D526" s="185" t="s">
        <v>167</v>
      </c>
      <c r="E526" s="69">
        <v>41495</v>
      </c>
      <c r="F526" s="61" t="s">
        <v>357</v>
      </c>
      <c r="G526" s="19" t="s">
        <v>416</v>
      </c>
      <c r="H526" s="216" t="s">
        <v>160</v>
      </c>
      <c r="I526" s="56" t="s">
        <v>93</v>
      </c>
      <c r="J526" s="15">
        <v>18000</v>
      </c>
      <c r="K526" s="15">
        <v>5126</v>
      </c>
      <c r="L526" s="15">
        <v>92268000</v>
      </c>
      <c r="M526" s="15">
        <v>0</v>
      </c>
      <c r="N526" s="15">
        <v>0</v>
      </c>
      <c r="O526" s="15" t="str">
        <f>IF(AND(A526='BANG KE NL'!$M$11,TH!C526="NL",LEFT(D526,1)="N"),"x","")</f>
        <v/>
      </c>
    </row>
    <row r="527" spans="1:15" hidden="1">
      <c r="A527" s="24">
        <f t="shared" si="11"/>
        <v>8</v>
      </c>
      <c r="B527" s="188" t="str">
        <f>IF(AND(MONTH(E527)='IN-NX'!$J$5,'IN-NX'!$D$7=(D527&amp;"/"&amp;C527)),"x","")</f>
        <v/>
      </c>
      <c r="C527" s="185" t="s">
        <v>155</v>
      </c>
      <c r="D527" s="185" t="s">
        <v>168</v>
      </c>
      <c r="E527" s="69">
        <v>41495</v>
      </c>
      <c r="F527" s="61" t="s">
        <v>357</v>
      </c>
      <c r="G527" s="19" t="s">
        <v>140</v>
      </c>
      <c r="H527" s="216" t="s">
        <v>160</v>
      </c>
      <c r="I527" s="56" t="s">
        <v>93</v>
      </c>
      <c r="J527" s="15">
        <v>18000</v>
      </c>
      <c r="K527" s="15">
        <v>5596</v>
      </c>
      <c r="L527" s="15">
        <v>100728000</v>
      </c>
      <c r="M527" s="15">
        <v>0</v>
      </c>
      <c r="N527" s="15">
        <v>0</v>
      </c>
      <c r="O527" s="15" t="str">
        <f>IF(AND(A527='BANG KE NL'!$M$11,TH!C527="NL",LEFT(D527,1)="N"),"x","")</f>
        <v/>
      </c>
    </row>
    <row r="528" spans="1:15" hidden="1">
      <c r="A528" s="24">
        <f t="shared" si="11"/>
        <v>8</v>
      </c>
      <c r="B528" s="188" t="str">
        <f>IF(AND(MONTH(E528)='IN-NX'!$J$5,'IN-NX'!$D$7=(D528&amp;"/"&amp;C528)),"x","")</f>
        <v/>
      </c>
      <c r="C528" s="185" t="s">
        <v>155</v>
      </c>
      <c r="D528" s="185" t="s">
        <v>169</v>
      </c>
      <c r="E528" s="69">
        <v>41495</v>
      </c>
      <c r="F528" s="61" t="s">
        <v>357</v>
      </c>
      <c r="G528" s="19" t="s">
        <v>413</v>
      </c>
      <c r="H528" s="216" t="s">
        <v>160</v>
      </c>
      <c r="I528" s="56" t="s">
        <v>93</v>
      </c>
      <c r="J528" s="15">
        <v>18000</v>
      </c>
      <c r="K528" s="15">
        <v>5872</v>
      </c>
      <c r="L528" s="15">
        <v>105696000</v>
      </c>
      <c r="M528" s="15">
        <v>0</v>
      </c>
      <c r="N528" s="15">
        <v>0</v>
      </c>
      <c r="O528" s="15" t="str">
        <f>IF(AND(A528='BANG KE NL'!$M$11,TH!C528="NL",LEFT(D528,1)="N"),"x","")</f>
        <v/>
      </c>
    </row>
    <row r="529" spans="1:15" hidden="1">
      <c r="A529" s="24">
        <f t="shared" si="11"/>
        <v>8</v>
      </c>
      <c r="B529" s="188" t="str">
        <f>IF(AND(MONTH(E529)='IN-NX'!$J$5,'IN-NX'!$D$7=(D529&amp;"/"&amp;C529)),"x","")</f>
        <v/>
      </c>
      <c r="C529" s="185" t="s">
        <v>155</v>
      </c>
      <c r="D529" s="185" t="s">
        <v>159</v>
      </c>
      <c r="E529" s="69">
        <v>41496</v>
      </c>
      <c r="F529" s="61" t="s">
        <v>357</v>
      </c>
      <c r="G529" s="460" t="s">
        <v>158</v>
      </c>
      <c r="H529" s="216" t="s">
        <v>90</v>
      </c>
      <c r="I529" s="56" t="s">
        <v>160</v>
      </c>
      <c r="J529" s="15">
        <v>18000</v>
      </c>
      <c r="K529" s="15">
        <v>0</v>
      </c>
      <c r="L529" s="15">
        <v>0</v>
      </c>
      <c r="M529" s="15">
        <v>16594</v>
      </c>
      <c r="N529" s="15">
        <v>298692000</v>
      </c>
      <c r="O529" s="15" t="str">
        <f>IF(AND(A529='BANG KE NL'!$M$11,TH!C529="NL",LEFT(D529,1)="N"),"x","")</f>
        <v/>
      </c>
    </row>
    <row r="530" spans="1:15" hidden="1">
      <c r="A530" s="24">
        <f t="shared" si="11"/>
        <v>9</v>
      </c>
      <c r="B530" s="188" t="str">
        <f>IF(AND(MONTH(E530)='IN-NX'!$J$5,'IN-NX'!$D$7=(D530&amp;"/"&amp;C530)),"x","")</f>
        <v/>
      </c>
      <c r="C530" s="185" t="s">
        <v>155</v>
      </c>
      <c r="D530" s="185" t="s">
        <v>182</v>
      </c>
      <c r="E530" s="69">
        <v>41537</v>
      </c>
      <c r="F530" s="61" t="s">
        <v>357</v>
      </c>
      <c r="G530" s="19" t="s">
        <v>411</v>
      </c>
      <c r="H530" s="216" t="s">
        <v>160</v>
      </c>
      <c r="I530" s="56" t="s">
        <v>93</v>
      </c>
      <c r="J530" s="15">
        <v>18000</v>
      </c>
      <c r="K530" s="15">
        <v>5762</v>
      </c>
      <c r="L530" s="15">
        <v>103716000</v>
      </c>
      <c r="M530" s="15">
        <v>0</v>
      </c>
      <c r="N530" s="15">
        <v>0</v>
      </c>
      <c r="O530" s="15" t="str">
        <f>IF(AND(A530='BANG KE NL'!$M$11,TH!C530="NL",LEFT(D530,1)="N"),"x","")</f>
        <v/>
      </c>
    </row>
    <row r="531" spans="1:15" hidden="1">
      <c r="A531" s="24">
        <f t="shared" si="11"/>
        <v>9</v>
      </c>
      <c r="B531" s="188" t="str">
        <f>IF(AND(MONTH(E531)='IN-NX'!$J$5,'IN-NX'!$D$7=(D531&amp;"/"&amp;C531)),"x","")</f>
        <v/>
      </c>
      <c r="C531" s="185" t="s">
        <v>155</v>
      </c>
      <c r="D531" s="185" t="s">
        <v>183</v>
      </c>
      <c r="E531" s="69">
        <v>41537</v>
      </c>
      <c r="F531" s="61" t="s">
        <v>357</v>
      </c>
      <c r="G531" s="19" t="s">
        <v>412</v>
      </c>
      <c r="H531" s="216" t="s">
        <v>160</v>
      </c>
      <c r="I531" s="56" t="s">
        <v>93</v>
      </c>
      <c r="J531" s="15">
        <v>18000</v>
      </c>
      <c r="K531" s="15">
        <v>5521</v>
      </c>
      <c r="L531" s="15">
        <v>99378000</v>
      </c>
      <c r="M531" s="15">
        <v>0</v>
      </c>
      <c r="N531" s="15">
        <v>0</v>
      </c>
      <c r="O531" s="15" t="str">
        <f>IF(AND(A531='BANG KE NL'!$M$11,TH!C531="NL",LEFT(D531,1)="N"),"x","")</f>
        <v/>
      </c>
    </row>
    <row r="532" spans="1:15" hidden="1">
      <c r="A532" s="24">
        <f t="shared" si="11"/>
        <v>9</v>
      </c>
      <c r="B532" s="188" t="str">
        <f>IF(AND(MONTH(E532)='IN-NX'!$J$5,'IN-NX'!$D$7=(D532&amp;"/"&amp;C532)),"x","")</f>
        <v/>
      </c>
      <c r="C532" s="185" t="s">
        <v>155</v>
      </c>
      <c r="D532" s="185" t="s">
        <v>184</v>
      </c>
      <c r="E532" s="69">
        <v>41537</v>
      </c>
      <c r="F532" s="61" t="s">
        <v>357</v>
      </c>
      <c r="G532" s="19" t="s">
        <v>440</v>
      </c>
      <c r="H532" s="216" t="s">
        <v>160</v>
      </c>
      <c r="I532" s="56" t="s">
        <v>93</v>
      </c>
      <c r="J532" s="15">
        <v>18000</v>
      </c>
      <c r="K532" s="15">
        <v>5789</v>
      </c>
      <c r="L532" s="15">
        <v>104202000</v>
      </c>
      <c r="M532" s="15">
        <v>0</v>
      </c>
      <c r="N532" s="15">
        <v>0</v>
      </c>
      <c r="O532" s="15" t="str">
        <f>IF(AND(A532='BANG KE NL'!$M$11,TH!C532="NL",LEFT(D532,1)="N"),"x","")</f>
        <v/>
      </c>
    </row>
    <row r="533" spans="1:15" hidden="1">
      <c r="A533" s="24">
        <f t="shared" si="11"/>
        <v>9</v>
      </c>
      <c r="B533" s="188" t="str">
        <f>IF(AND(MONTH(E533)='IN-NX'!$J$5,'IN-NX'!$D$7=(D533&amp;"/"&amp;C533)),"x","")</f>
        <v/>
      </c>
      <c r="C533" s="185" t="s">
        <v>155</v>
      </c>
      <c r="D533" s="185" t="s">
        <v>185</v>
      </c>
      <c r="E533" s="69">
        <v>41537</v>
      </c>
      <c r="F533" s="61" t="s">
        <v>357</v>
      </c>
      <c r="G533" s="19" t="s">
        <v>319</v>
      </c>
      <c r="H533" s="216" t="s">
        <v>160</v>
      </c>
      <c r="I533" s="56" t="s">
        <v>93</v>
      </c>
      <c r="J533" s="15">
        <v>18000</v>
      </c>
      <c r="K533" s="15">
        <v>5353</v>
      </c>
      <c r="L533" s="15">
        <v>96354000</v>
      </c>
      <c r="M533" s="15">
        <v>0</v>
      </c>
      <c r="N533" s="15">
        <v>0</v>
      </c>
      <c r="O533" s="15" t="str">
        <f>IF(AND(A533='BANG KE NL'!$M$11,TH!C533="NL",LEFT(D533,1)="N"),"x","")</f>
        <v/>
      </c>
    </row>
    <row r="534" spans="1:15" hidden="1">
      <c r="A534" s="24">
        <f t="shared" si="11"/>
        <v>9</v>
      </c>
      <c r="B534" s="188" t="str">
        <f>IF(AND(MONTH(E534)='IN-NX'!$J$5,'IN-NX'!$D$7=(D534&amp;"/"&amp;C534)),"x","")</f>
        <v/>
      </c>
      <c r="C534" s="185" t="s">
        <v>155</v>
      </c>
      <c r="D534" s="185" t="s">
        <v>201</v>
      </c>
      <c r="E534" s="69">
        <v>41537</v>
      </c>
      <c r="F534" s="61" t="s">
        <v>357</v>
      </c>
      <c r="G534" s="460" t="s">
        <v>158</v>
      </c>
      <c r="H534" s="216" t="s">
        <v>90</v>
      </c>
      <c r="I534" s="56" t="s">
        <v>160</v>
      </c>
      <c r="J534" s="15">
        <v>18000</v>
      </c>
      <c r="K534" s="15">
        <v>0</v>
      </c>
      <c r="L534" s="15">
        <v>0</v>
      </c>
      <c r="M534" s="15">
        <v>11283</v>
      </c>
      <c r="N534" s="15">
        <v>203094000</v>
      </c>
      <c r="O534" s="15" t="str">
        <f>IF(AND(A534='BANG KE NL'!$M$11,TH!C534="NL",LEFT(D534,1)="N"),"x","")</f>
        <v/>
      </c>
    </row>
    <row r="535" spans="1:15" hidden="1">
      <c r="A535" s="24">
        <f t="shared" si="11"/>
        <v>9</v>
      </c>
      <c r="B535" s="188" t="str">
        <f>IF(AND(MONTH(E535)='IN-NX'!$J$5,'IN-NX'!$D$7=(D535&amp;"/"&amp;C535)),"x","")</f>
        <v/>
      </c>
      <c r="C535" s="185" t="s">
        <v>155</v>
      </c>
      <c r="D535" s="185" t="s">
        <v>202</v>
      </c>
      <c r="E535" s="69">
        <v>41538</v>
      </c>
      <c r="F535" s="61" t="s">
        <v>357</v>
      </c>
      <c r="G535" s="460" t="s">
        <v>158</v>
      </c>
      <c r="H535" s="216" t="s">
        <v>90</v>
      </c>
      <c r="I535" s="56" t="s">
        <v>160</v>
      </c>
      <c r="J535" s="15">
        <v>18000</v>
      </c>
      <c r="K535" s="15">
        <v>0</v>
      </c>
      <c r="L535" s="15">
        <v>0</v>
      </c>
      <c r="M535" s="15">
        <v>11142</v>
      </c>
      <c r="N535" s="15">
        <v>200556000</v>
      </c>
      <c r="O535" s="15" t="str">
        <f>IF(AND(A535='BANG KE NL'!$M$11,TH!C535="NL",LEFT(D535,1)="N"),"x","")</f>
        <v/>
      </c>
    </row>
    <row r="536" spans="1:15" hidden="1">
      <c r="A536" s="24">
        <f t="shared" si="11"/>
        <v>9</v>
      </c>
      <c r="B536" s="188" t="str">
        <f>IF(AND(MONTH(E536)='IN-NX'!$J$5,'IN-NX'!$D$7=(D536&amp;"/"&amp;C536)),"x","")</f>
        <v/>
      </c>
      <c r="C536" s="185" t="s">
        <v>155</v>
      </c>
      <c r="D536" s="185" t="s">
        <v>186</v>
      </c>
      <c r="E536" s="69">
        <v>41542</v>
      </c>
      <c r="F536" s="61" t="s">
        <v>357</v>
      </c>
      <c r="G536" s="19" t="s">
        <v>318</v>
      </c>
      <c r="H536" s="216" t="s">
        <v>160</v>
      </c>
      <c r="I536" s="56" t="s">
        <v>93</v>
      </c>
      <c r="J536" s="15">
        <v>18000</v>
      </c>
      <c r="K536" s="15">
        <v>5811</v>
      </c>
      <c r="L536" s="15">
        <v>104598000</v>
      </c>
      <c r="M536" s="15">
        <v>0</v>
      </c>
      <c r="N536" s="15">
        <v>0</v>
      </c>
      <c r="O536" s="15" t="str">
        <f>IF(AND(A536='BANG KE NL'!$M$11,TH!C536="NL",LEFT(D536,1)="N"),"x","")</f>
        <v/>
      </c>
    </row>
    <row r="537" spans="1:15" hidden="1">
      <c r="A537" s="24">
        <f t="shared" si="11"/>
        <v>9</v>
      </c>
      <c r="B537" s="188" t="str">
        <f>IF(AND(MONTH(E537)='IN-NX'!$J$5,'IN-NX'!$D$7=(D537&amp;"/"&amp;C537)),"x","")</f>
        <v/>
      </c>
      <c r="C537" s="185" t="s">
        <v>155</v>
      </c>
      <c r="D537" s="185" t="s">
        <v>187</v>
      </c>
      <c r="E537" s="69">
        <v>41542</v>
      </c>
      <c r="F537" s="61" t="s">
        <v>357</v>
      </c>
      <c r="G537" s="19" t="s">
        <v>137</v>
      </c>
      <c r="H537" s="216" t="s">
        <v>160</v>
      </c>
      <c r="I537" s="56" t="s">
        <v>93</v>
      </c>
      <c r="J537" s="15">
        <v>18000</v>
      </c>
      <c r="K537" s="15">
        <v>5857</v>
      </c>
      <c r="L537" s="15">
        <v>105426000</v>
      </c>
      <c r="M537" s="15">
        <v>0</v>
      </c>
      <c r="N537" s="15">
        <v>0</v>
      </c>
      <c r="O537" s="15" t="str">
        <f>IF(AND(A537='BANG KE NL'!$M$11,TH!C537="NL",LEFT(D537,1)="N"),"x","")</f>
        <v/>
      </c>
    </row>
    <row r="538" spans="1:15" hidden="1">
      <c r="A538" s="24">
        <f t="shared" si="11"/>
        <v>9</v>
      </c>
      <c r="B538" s="188" t="str">
        <f>IF(AND(MONTH(E538)='IN-NX'!$J$5,'IN-NX'!$D$7=(D538&amp;"/"&amp;C538)),"x","")</f>
        <v/>
      </c>
      <c r="C538" s="185" t="s">
        <v>155</v>
      </c>
      <c r="D538" s="185" t="s">
        <v>188</v>
      </c>
      <c r="E538" s="69">
        <v>41542</v>
      </c>
      <c r="F538" s="61" t="s">
        <v>357</v>
      </c>
      <c r="G538" s="19" t="s">
        <v>429</v>
      </c>
      <c r="H538" s="216" t="s">
        <v>160</v>
      </c>
      <c r="I538" s="56" t="s">
        <v>93</v>
      </c>
      <c r="J538" s="15">
        <v>18000</v>
      </c>
      <c r="K538" s="15">
        <v>5897</v>
      </c>
      <c r="L538" s="15">
        <v>106146000</v>
      </c>
      <c r="M538" s="15">
        <v>0</v>
      </c>
      <c r="N538" s="15">
        <v>0</v>
      </c>
      <c r="O538" s="15" t="str">
        <f>IF(AND(A538='BANG KE NL'!$M$11,TH!C538="NL",LEFT(D538,1)="N"),"x","")</f>
        <v/>
      </c>
    </row>
    <row r="539" spans="1:15" hidden="1">
      <c r="A539" s="24">
        <f t="shared" si="11"/>
        <v>9</v>
      </c>
      <c r="B539" s="188" t="str">
        <f>IF(AND(MONTH(E539)='IN-NX'!$J$5,'IN-NX'!$D$7=(D539&amp;"/"&amp;C539)),"x","")</f>
        <v/>
      </c>
      <c r="C539" s="185" t="s">
        <v>155</v>
      </c>
      <c r="D539" s="185" t="s">
        <v>189</v>
      </c>
      <c r="E539" s="69">
        <v>41542</v>
      </c>
      <c r="F539" s="61" t="s">
        <v>357</v>
      </c>
      <c r="G539" s="19" t="s">
        <v>138</v>
      </c>
      <c r="H539" s="216" t="s">
        <v>160</v>
      </c>
      <c r="I539" s="56" t="s">
        <v>93</v>
      </c>
      <c r="J539" s="15">
        <v>18000</v>
      </c>
      <c r="K539" s="15">
        <v>5875</v>
      </c>
      <c r="L539" s="15">
        <v>105750000</v>
      </c>
      <c r="M539" s="15">
        <v>0</v>
      </c>
      <c r="N539" s="15">
        <v>0</v>
      </c>
      <c r="O539" s="15" t="str">
        <f>IF(AND(A539='BANG KE NL'!$M$11,TH!C539="NL",LEFT(D539,1)="N"),"x","")</f>
        <v/>
      </c>
    </row>
    <row r="540" spans="1:15" hidden="1">
      <c r="A540" s="24">
        <f t="shared" si="11"/>
        <v>9</v>
      </c>
      <c r="B540" s="188" t="str">
        <f>IF(AND(MONTH(E540)='IN-NX'!$J$5,'IN-NX'!$D$7=(D540&amp;"/"&amp;C540)),"x","")</f>
        <v/>
      </c>
      <c r="C540" s="185" t="s">
        <v>155</v>
      </c>
      <c r="D540" s="185" t="s">
        <v>190</v>
      </c>
      <c r="E540" s="69">
        <v>41542</v>
      </c>
      <c r="F540" s="61" t="s">
        <v>357</v>
      </c>
      <c r="G540" s="19" t="s">
        <v>139</v>
      </c>
      <c r="H540" s="216" t="s">
        <v>160</v>
      </c>
      <c r="I540" s="56" t="s">
        <v>93</v>
      </c>
      <c r="J540" s="15">
        <v>18000</v>
      </c>
      <c r="K540" s="15">
        <v>5621</v>
      </c>
      <c r="L540" s="15">
        <v>101178000</v>
      </c>
      <c r="M540" s="15">
        <v>0</v>
      </c>
      <c r="N540" s="15">
        <v>0</v>
      </c>
      <c r="O540" s="15" t="str">
        <f>IF(AND(A540='BANG KE NL'!$M$11,TH!C540="NL",LEFT(D540,1)="N"),"x","")</f>
        <v/>
      </c>
    </row>
    <row r="541" spans="1:15" hidden="1">
      <c r="A541" s="24">
        <f t="shared" si="11"/>
        <v>9</v>
      </c>
      <c r="B541" s="188" t="str">
        <f>IF(AND(MONTH(E541)='IN-NX'!$J$5,'IN-NX'!$D$7=(D541&amp;"/"&amp;C541)),"x","")</f>
        <v/>
      </c>
      <c r="C541" s="185" t="s">
        <v>155</v>
      </c>
      <c r="D541" s="185" t="s">
        <v>191</v>
      </c>
      <c r="E541" s="69">
        <v>41542</v>
      </c>
      <c r="F541" s="61" t="s">
        <v>357</v>
      </c>
      <c r="G541" s="19" t="s">
        <v>416</v>
      </c>
      <c r="H541" s="216" t="s">
        <v>160</v>
      </c>
      <c r="I541" s="56" t="s">
        <v>93</v>
      </c>
      <c r="J541" s="15">
        <v>18000</v>
      </c>
      <c r="K541" s="15">
        <v>5800</v>
      </c>
      <c r="L541" s="15">
        <v>104400000</v>
      </c>
      <c r="M541" s="15">
        <v>0</v>
      </c>
      <c r="N541" s="15">
        <v>0</v>
      </c>
      <c r="O541" s="15" t="str">
        <f>IF(AND(A541='BANG KE NL'!$M$11,TH!C541="NL",LEFT(D541,1)="N"),"x","")</f>
        <v/>
      </c>
    </row>
    <row r="542" spans="1:15" hidden="1">
      <c r="A542" s="24">
        <f t="shared" si="11"/>
        <v>9</v>
      </c>
      <c r="B542" s="188" t="str">
        <f>IF(AND(MONTH(E542)='IN-NX'!$J$5,'IN-NX'!$D$7=(D542&amp;"/"&amp;C542)),"x","")</f>
        <v/>
      </c>
      <c r="C542" s="185" t="s">
        <v>155</v>
      </c>
      <c r="D542" s="185" t="s">
        <v>203</v>
      </c>
      <c r="E542" s="69">
        <v>41542</v>
      </c>
      <c r="F542" s="61" t="s">
        <v>357</v>
      </c>
      <c r="G542" s="460" t="s">
        <v>158</v>
      </c>
      <c r="H542" s="216" t="s">
        <v>90</v>
      </c>
      <c r="I542" s="56" t="s">
        <v>160</v>
      </c>
      <c r="J542" s="15">
        <v>18000</v>
      </c>
      <c r="K542" s="15">
        <v>0</v>
      </c>
      <c r="L542" s="15">
        <v>0</v>
      </c>
      <c r="M542" s="15">
        <v>17565</v>
      </c>
      <c r="N542" s="15">
        <v>316170000</v>
      </c>
      <c r="O542" s="15" t="str">
        <f>IF(AND(A542='BANG KE NL'!$M$11,TH!C542="NL",LEFT(D542,1)="N"),"x","")</f>
        <v/>
      </c>
    </row>
    <row r="543" spans="1:15" hidden="1">
      <c r="A543" s="24">
        <f t="shared" si="11"/>
        <v>9</v>
      </c>
      <c r="B543" s="188" t="str">
        <f>IF(AND(MONTH(E543)='IN-NX'!$J$5,'IN-NX'!$D$7=(D543&amp;"/"&amp;C543)),"x","")</f>
        <v/>
      </c>
      <c r="C543" s="185" t="s">
        <v>155</v>
      </c>
      <c r="D543" s="185" t="s">
        <v>433</v>
      </c>
      <c r="E543" s="69">
        <v>41543</v>
      </c>
      <c r="F543" s="61" t="s">
        <v>357</v>
      </c>
      <c r="G543" s="460" t="s">
        <v>158</v>
      </c>
      <c r="H543" s="216" t="s">
        <v>90</v>
      </c>
      <c r="I543" s="56" t="s">
        <v>160</v>
      </c>
      <c r="J543" s="15">
        <v>18000</v>
      </c>
      <c r="K543" s="15">
        <v>0</v>
      </c>
      <c r="L543" s="15">
        <v>0</v>
      </c>
      <c r="M543" s="15">
        <v>11496</v>
      </c>
      <c r="N543" s="15">
        <v>206928000</v>
      </c>
      <c r="O543" s="15" t="str">
        <f>IF(AND(A543='BANG KE NL'!$M$11,TH!C543="NL",LEFT(D543,1)="N"),"x","")</f>
        <v/>
      </c>
    </row>
    <row r="544" spans="1:15" hidden="1">
      <c r="A544" s="24">
        <f t="shared" si="11"/>
        <v>9</v>
      </c>
      <c r="B544" s="188" t="str">
        <f>IF(AND(MONTH(E544)='IN-NX'!$J$5,'IN-NX'!$D$7=(D544&amp;"/"&amp;C544)),"x","")</f>
        <v/>
      </c>
      <c r="C544" s="185" t="s">
        <v>155</v>
      </c>
      <c r="D544" s="185" t="s">
        <v>192</v>
      </c>
      <c r="E544" s="69">
        <v>41547</v>
      </c>
      <c r="F544" s="61" t="s">
        <v>357</v>
      </c>
      <c r="G544" s="19" t="s">
        <v>319</v>
      </c>
      <c r="H544" s="216" t="s">
        <v>160</v>
      </c>
      <c r="I544" s="56" t="s">
        <v>93</v>
      </c>
      <c r="J544" s="15">
        <v>18000</v>
      </c>
      <c r="K544" s="15">
        <v>5360</v>
      </c>
      <c r="L544" s="15">
        <v>96480000</v>
      </c>
      <c r="M544" s="15">
        <v>0</v>
      </c>
      <c r="N544" s="15">
        <v>0</v>
      </c>
      <c r="O544" s="15" t="str">
        <f>IF(AND(A544='BANG KE NL'!$M$11,TH!C544="NL",LEFT(D544,1)="N"),"x","")</f>
        <v/>
      </c>
    </row>
    <row r="545" spans="1:15" hidden="1">
      <c r="A545" s="24">
        <f t="shared" si="11"/>
        <v>9</v>
      </c>
      <c r="B545" s="188" t="str">
        <f>IF(AND(MONTH(E545)='IN-NX'!$J$5,'IN-NX'!$D$7=(D545&amp;"/"&amp;C545)),"x","")</f>
        <v/>
      </c>
      <c r="C545" s="185" t="s">
        <v>155</v>
      </c>
      <c r="D545" s="185" t="s">
        <v>193</v>
      </c>
      <c r="E545" s="69">
        <v>41547</v>
      </c>
      <c r="F545" s="61" t="s">
        <v>357</v>
      </c>
      <c r="G545" s="19" t="s">
        <v>416</v>
      </c>
      <c r="H545" s="216" t="s">
        <v>160</v>
      </c>
      <c r="I545" s="56" t="s">
        <v>93</v>
      </c>
      <c r="J545" s="15">
        <v>18000</v>
      </c>
      <c r="K545" s="15">
        <v>5265</v>
      </c>
      <c r="L545" s="15">
        <v>94770000</v>
      </c>
      <c r="M545" s="15">
        <v>0</v>
      </c>
      <c r="N545" s="15">
        <v>0</v>
      </c>
      <c r="O545" s="15" t="str">
        <f>IF(AND(A545='BANG KE NL'!$M$11,TH!C545="NL",LEFT(D545,1)="N"),"x","")</f>
        <v/>
      </c>
    </row>
    <row r="546" spans="1:15" hidden="1">
      <c r="A546" s="24">
        <f t="shared" si="11"/>
        <v>9</v>
      </c>
      <c r="B546" s="188" t="str">
        <f>IF(AND(MONTH(E546)='IN-NX'!$J$5,'IN-NX'!$D$7=(D546&amp;"/"&amp;C546)),"x","")</f>
        <v/>
      </c>
      <c r="C546" s="185" t="s">
        <v>155</v>
      </c>
      <c r="D546" s="185" t="s">
        <v>194</v>
      </c>
      <c r="E546" s="69">
        <v>41547</v>
      </c>
      <c r="F546" s="61" t="s">
        <v>357</v>
      </c>
      <c r="G546" s="19" t="s">
        <v>318</v>
      </c>
      <c r="H546" s="216" t="s">
        <v>160</v>
      </c>
      <c r="I546" s="56" t="s">
        <v>93</v>
      </c>
      <c r="J546" s="15">
        <v>18000</v>
      </c>
      <c r="K546" s="15">
        <v>4089</v>
      </c>
      <c r="L546" s="15">
        <v>73602000</v>
      </c>
      <c r="M546" s="15">
        <v>0</v>
      </c>
      <c r="N546" s="15">
        <v>0</v>
      </c>
      <c r="O546" s="15" t="str">
        <f>IF(AND(A546='BANG KE NL'!$M$11,TH!C546="NL",LEFT(D546,1)="N"),"x","")</f>
        <v/>
      </c>
    </row>
    <row r="547" spans="1:15" hidden="1">
      <c r="A547" s="24">
        <f t="shared" si="11"/>
        <v>10</v>
      </c>
      <c r="B547" s="188" t="str">
        <f>IF(AND(MONTH(E547)='IN-NX'!$J$5,'IN-NX'!$D$7=(D547&amp;"/"&amp;C547)),"x","")</f>
        <v/>
      </c>
      <c r="C547" s="185" t="s">
        <v>155</v>
      </c>
      <c r="D547" s="185" t="s">
        <v>150</v>
      </c>
      <c r="E547" s="69">
        <v>41548</v>
      </c>
      <c r="F547" s="61" t="s">
        <v>357</v>
      </c>
      <c r="G547" s="460" t="s">
        <v>158</v>
      </c>
      <c r="H547" s="216" t="s">
        <v>90</v>
      </c>
      <c r="I547" s="56" t="s">
        <v>160</v>
      </c>
      <c r="J547" s="15">
        <v>18000</v>
      </c>
      <c r="K547" s="15">
        <v>0</v>
      </c>
      <c r="L547" s="15">
        <v>0</v>
      </c>
      <c r="M547" s="15">
        <v>11160</v>
      </c>
      <c r="N547" s="15">
        <v>200880000</v>
      </c>
      <c r="O547" s="15" t="str">
        <f>IF(AND(A547='BANG KE NL'!$M$11,TH!C547="NL",LEFT(D547,1)="N"),"x","")</f>
        <v/>
      </c>
    </row>
    <row r="548" spans="1:15" hidden="1">
      <c r="A548" s="24">
        <f t="shared" si="11"/>
        <v>10</v>
      </c>
      <c r="B548" s="188" t="str">
        <f>IF(AND(MONTH(E548)='IN-NX'!$J$5,'IN-NX'!$D$7=(D548&amp;"/"&amp;C548)),"x","")</f>
        <v/>
      </c>
      <c r="C548" s="185" t="s">
        <v>155</v>
      </c>
      <c r="D548" s="185" t="s">
        <v>151</v>
      </c>
      <c r="E548" s="69">
        <v>41550</v>
      </c>
      <c r="F548" s="61" t="s">
        <v>357</v>
      </c>
      <c r="G548" s="460" t="s">
        <v>158</v>
      </c>
      <c r="H548" s="216" t="s">
        <v>90</v>
      </c>
      <c r="I548" s="56" t="s">
        <v>160</v>
      </c>
      <c r="J548" s="15">
        <v>18000</v>
      </c>
      <c r="K548" s="15">
        <v>0</v>
      </c>
      <c r="L548" s="15">
        <v>0</v>
      </c>
      <c r="M548" s="15">
        <v>9354</v>
      </c>
      <c r="N548" s="15">
        <v>168372000</v>
      </c>
      <c r="O548" s="15" t="str">
        <f>IF(AND(A548='BANG KE NL'!$M$11,TH!C548="NL",LEFT(D548,1)="N"),"x","")</f>
        <v/>
      </c>
    </row>
    <row r="549" spans="1:15" hidden="1">
      <c r="A549" s="24">
        <f t="shared" si="11"/>
        <v>10</v>
      </c>
      <c r="B549" s="188" t="str">
        <f>IF(AND(MONTH(E549)='IN-NX'!$J$5,'IN-NX'!$D$7=(D549&amp;"/"&amp;C549)),"x","")</f>
        <v/>
      </c>
      <c r="C549" s="185" t="s">
        <v>155</v>
      </c>
      <c r="D549" s="185" t="s">
        <v>148</v>
      </c>
      <c r="E549" s="69">
        <v>41557</v>
      </c>
      <c r="F549" s="61" t="s">
        <v>357</v>
      </c>
      <c r="G549" s="19" t="s">
        <v>318</v>
      </c>
      <c r="H549" s="216" t="s">
        <v>160</v>
      </c>
      <c r="I549" s="56" t="s">
        <v>93</v>
      </c>
      <c r="J549" s="15">
        <v>19000</v>
      </c>
      <c r="K549" s="15">
        <v>5762</v>
      </c>
      <c r="L549" s="15">
        <v>109478000</v>
      </c>
      <c r="M549" s="15">
        <v>0</v>
      </c>
      <c r="N549" s="15">
        <v>0</v>
      </c>
      <c r="O549" s="15" t="str">
        <f>IF(AND(A549='BANG KE NL'!$M$11,TH!C549="NL",LEFT(D549,1)="N"),"x","")</f>
        <v/>
      </c>
    </row>
    <row r="550" spans="1:15" hidden="1">
      <c r="A550" s="24">
        <f t="shared" si="11"/>
        <v>10</v>
      </c>
      <c r="B550" s="188" t="str">
        <f>IF(AND(MONTH(E550)='IN-NX'!$J$5,'IN-NX'!$D$7=(D550&amp;"/"&amp;C550)),"x","")</f>
        <v/>
      </c>
      <c r="C550" s="185" t="s">
        <v>155</v>
      </c>
      <c r="D550" s="185" t="s">
        <v>161</v>
      </c>
      <c r="E550" s="69">
        <v>41557</v>
      </c>
      <c r="F550" s="61" t="s">
        <v>357</v>
      </c>
      <c r="G550" s="19" t="s">
        <v>137</v>
      </c>
      <c r="H550" s="216" t="s">
        <v>160</v>
      </c>
      <c r="I550" s="56" t="s">
        <v>93</v>
      </c>
      <c r="J550" s="15">
        <v>19000</v>
      </c>
      <c r="K550" s="15">
        <v>5521</v>
      </c>
      <c r="L550" s="15">
        <v>104899000</v>
      </c>
      <c r="M550" s="15">
        <v>0</v>
      </c>
      <c r="N550" s="15">
        <v>0</v>
      </c>
      <c r="O550" s="15" t="str">
        <f>IF(AND(A550='BANG KE NL'!$M$11,TH!C550="NL",LEFT(D550,1)="N"),"x","")</f>
        <v/>
      </c>
    </row>
    <row r="551" spans="1:15" hidden="1">
      <c r="A551" s="24">
        <f t="shared" si="11"/>
        <v>10</v>
      </c>
      <c r="B551" s="188" t="str">
        <f>IF(AND(MONTH(E551)='IN-NX'!$J$5,'IN-NX'!$D$7=(D551&amp;"/"&amp;C551)),"x","")</f>
        <v/>
      </c>
      <c r="C551" s="185" t="s">
        <v>155</v>
      </c>
      <c r="D551" s="185" t="s">
        <v>163</v>
      </c>
      <c r="E551" s="69">
        <v>41557</v>
      </c>
      <c r="F551" s="61" t="s">
        <v>357</v>
      </c>
      <c r="G551" s="19" t="s">
        <v>429</v>
      </c>
      <c r="H551" s="216" t="s">
        <v>160</v>
      </c>
      <c r="I551" s="56" t="s">
        <v>93</v>
      </c>
      <c r="J551" s="15">
        <v>19000</v>
      </c>
      <c r="K551" s="15">
        <v>5789</v>
      </c>
      <c r="L551" s="15">
        <v>109991000</v>
      </c>
      <c r="M551" s="15">
        <v>0</v>
      </c>
      <c r="N551" s="15">
        <v>0</v>
      </c>
      <c r="O551" s="15" t="str">
        <f>IF(AND(A551='BANG KE NL'!$M$11,TH!C551="NL",LEFT(D551,1)="N"),"x","")</f>
        <v/>
      </c>
    </row>
    <row r="552" spans="1:15" hidden="1">
      <c r="A552" s="24">
        <f t="shared" si="11"/>
        <v>10</v>
      </c>
      <c r="B552" s="188" t="str">
        <f>IF(AND(MONTH(E552)='IN-NX'!$J$5,'IN-NX'!$D$7=(D552&amp;"/"&amp;C552)),"x","")</f>
        <v/>
      </c>
      <c r="C552" s="185" t="s">
        <v>155</v>
      </c>
      <c r="D552" s="185" t="s">
        <v>164</v>
      </c>
      <c r="E552" s="69">
        <v>41557</v>
      </c>
      <c r="F552" s="61" t="s">
        <v>357</v>
      </c>
      <c r="G552" s="19" t="s">
        <v>138</v>
      </c>
      <c r="H552" s="216" t="s">
        <v>160</v>
      </c>
      <c r="I552" s="56" t="s">
        <v>93</v>
      </c>
      <c r="J552" s="15">
        <v>19000</v>
      </c>
      <c r="K552" s="15">
        <v>5353</v>
      </c>
      <c r="L552" s="15">
        <v>101707000</v>
      </c>
      <c r="M552" s="15">
        <v>0</v>
      </c>
      <c r="N552" s="15">
        <v>0</v>
      </c>
      <c r="O552" s="15" t="str">
        <f>IF(AND(A552='BANG KE NL'!$M$11,TH!C552="NL",LEFT(D552,1)="N"),"x","")</f>
        <v/>
      </c>
    </row>
    <row r="553" spans="1:15" hidden="1">
      <c r="A553" s="24">
        <f t="shared" si="11"/>
        <v>10</v>
      </c>
      <c r="B553" s="188" t="str">
        <f>IF(AND(MONTH(E553)='IN-NX'!$J$5,'IN-NX'!$D$7=(D553&amp;"/"&amp;C553)),"x","")</f>
        <v/>
      </c>
      <c r="C553" s="185" t="s">
        <v>155</v>
      </c>
      <c r="D553" s="185" t="s">
        <v>197</v>
      </c>
      <c r="E553" s="69">
        <v>41557</v>
      </c>
      <c r="F553" s="61" t="s">
        <v>357</v>
      </c>
      <c r="G553" s="460" t="s">
        <v>158</v>
      </c>
      <c r="H553" s="216" t="s">
        <v>90</v>
      </c>
      <c r="I553" s="56" t="s">
        <v>160</v>
      </c>
      <c r="J553" s="15">
        <v>19000</v>
      </c>
      <c r="K553" s="15">
        <v>0</v>
      </c>
      <c r="L553" s="15">
        <v>0</v>
      </c>
      <c r="M553" s="15">
        <v>11283</v>
      </c>
      <c r="N553" s="15">
        <v>214377000</v>
      </c>
      <c r="O553" s="15" t="str">
        <f>IF(AND(A553='BANG KE NL'!$M$11,TH!C553="NL",LEFT(D553,1)="N"),"x","")</f>
        <v/>
      </c>
    </row>
    <row r="554" spans="1:15" hidden="1">
      <c r="A554" s="24">
        <f t="shared" si="11"/>
        <v>10</v>
      </c>
      <c r="B554" s="188" t="str">
        <f>IF(AND(MONTH(E554)='IN-NX'!$J$5,'IN-NX'!$D$7=(D554&amp;"/"&amp;C554)),"x","")</f>
        <v/>
      </c>
      <c r="C554" s="185" t="s">
        <v>155</v>
      </c>
      <c r="D554" s="185" t="s">
        <v>198</v>
      </c>
      <c r="E554" s="69">
        <v>41558</v>
      </c>
      <c r="F554" s="61" t="s">
        <v>357</v>
      </c>
      <c r="G554" s="460" t="s">
        <v>158</v>
      </c>
      <c r="H554" s="216" t="s">
        <v>90</v>
      </c>
      <c r="I554" s="56" t="s">
        <v>160</v>
      </c>
      <c r="J554" s="15">
        <v>19000</v>
      </c>
      <c r="K554" s="15">
        <v>0</v>
      </c>
      <c r="L554" s="15">
        <v>0</v>
      </c>
      <c r="M554" s="15">
        <v>11142</v>
      </c>
      <c r="N554" s="15">
        <v>211698000</v>
      </c>
      <c r="O554" s="15" t="str">
        <f>IF(AND(A554='BANG KE NL'!$M$11,TH!C554="NL",LEFT(D554,1)="N"),"x","")</f>
        <v/>
      </c>
    </row>
    <row r="555" spans="1:15" hidden="1">
      <c r="A555" s="24">
        <f t="shared" si="11"/>
        <v>10</v>
      </c>
      <c r="B555" s="188" t="str">
        <f>IF(AND(MONTH(E555)='IN-NX'!$J$5,'IN-NX'!$D$7=(D555&amp;"/"&amp;C555)),"x","")</f>
        <v/>
      </c>
      <c r="C555" s="185" t="s">
        <v>155</v>
      </c>
      <c r="D555" s="185" t="s">
        <v>165</v>
      </c>
      <c r="E555" s="69">
        <v>41562</v>
      </c>
      <c r="F555" s="61" t="s">
        <v>357</v>
      </c>
      <c r="G555" s="19" t="s">
        <v>139</v>
      </c>
      <c r="H555" s="216" t="s">
        <v>160</v>
      </c>
      <c r="I555" s="56" t="s">
        <v>93</v>
      </c>
      <c r="J555" s="15">
        <v>19000</v>
      </c>
      <c r="K555" s="15">
        <v>5811</v>
      </c>
      <c r="L555" s="15">
        <v>110409000</v>
      </c>
      <c r="M555" s="15">
        <v>0</v>
      </c>
      <c r="N555" s="15">
        <v>0</v>
      </c>
      <c r="O555" s="15" t="str">
        <f>IF(AND(A555='BANG KE NL'!$M$11,TH!C555="NL",LEFT(D555,1)="N"),"x","")</f>
        <v/>
      </c>
    </row>
    <row r="556" spans="1:15" hidden="1">
      <c r="A556" s="24">
        <f t="shared" si="11"/>
        <v>10</v>
      </c>
      <c r="B556" s="188" t="str">
        <f>IF(AND(MONTH(E556)='IN-NX'!$J$5,'IN-NX'!$D$7=(D556&amp;"/"&amp;C556)),"x","")</f>
        <v/>
      </c>
      <c r="C556" s="185" t="s">
        <v>155</v>
      </c>
      <c r="D556" s="185" t="s">
        <v>166</v>
      </c>
      <c r="E556" s="69">
        <v>41562</v>
      </c>
      <c r="F556" s="61" t="s">
        <v>357</v>
      </c>
      <c r="G556" s="19" t="s">
        <v>416</v>
      </c>
      <c r="H556" s="216" t="s">
        <v>160</v>
      </c>
      <c r="I556" s="56" t="s">
        <v>93</v>
      </c>
      <c r="J556" s="15">
        <v>19000</v>
      </c>
      <c r="K556" s="15">
        <v>5857</v>
      </c>
      <c r="L556" s="15">
        <v>111283000</v>
      </c>
      <c r="M556" s="15">
        <v>0</v>
      </c>
      <c r="N556" s="15">
        <v>0</v>
      </c>
      <c r="O556" s="15" t="str">
        <f>IF(AND(A556='BANG KE NL'!$M$11,TH!C556="NL",LEFT(D556,1)="N"),"x","")</f>
        <v/>
      </c>
    </row>
    <row r="557" spans="1:15" hidden="1">
      <c r="A557" s="24">
        <f t="shared" si="11"/>
        <v>10</v>
      </c>
      <c r="B557" s="188" t="str">
        <f>IF(AND(MONTH(E557)='IN-NX'!$J$5,'IN-NX'!$D$7=(D557&amp;"/"&amp;C557)),"x","")</f>
        <v/>
      </c>
      <c r="C557" s="185" t="s">
        <v>155</v>
      </c>
      <c r="D557" s="185" t="s">
        <v>167</v>
      </c>
      <c r="E557" s="69">
        <v>41562</v>
      </c>
      <c r="F557" s="61" t="s">
        <v>357</v>
      </c>
      <c r="G557" s="19" t="s">
        <v>140</v>
      </c>
      <c r="H557" s="216" t="s">
        <v>160</v>
      </c>
      <c r="I557" s="56" t="s">
        <v>93</v>
      </c>
      <c r="J557" s="15">
        <v>19000</v>
      </c>
      <c r="K557" s="15">
        <v>5897</v>
      </c>
      <c r="L557" s="15">
        <v>112043000</v>
      </c>
      <c r="M557" s="15">
        <v>0</v>
      </c>
      <c r="N557" s="15">
        <v>0</v>
      </c>
      <c r="O557" s="15" t="str">
        <f>IF(AND(A557='BANG KE NL'!$M$11,TH!C557="NL",LEFT(D557,1)="N"),"x","")</f>
        <v/>
      </c>
    </row>
    <row r="558" spans="1:15" hidden="1">
      <c r="A558" s="24">
        <f t="shared" si="11"/>
        <v>10</v>
      </c>
      <c r="B558" s="188" t="str">
        <f>IF(AND(MONTH(E558)='IN-NX'!$J$5,'IN-NX'!$D$7=(D558&amp;"/"&amp;C558)),"x","")</f>
        <v/>
      </c>
      <c r="C558" s="185" t="s">
        <v>155</v>
      </c>
      <c r="D558" s="185" t="s">
        <v>168</v>
      </c>
      <c r="E558" s="69">
        <v>41562</v>
      </c>
      <c r="F558" s="61" t="s">
        <v>357</v>
      </c>
      <c r="G558" s="19" t="s">
        <v>413</v>
      </c>
      <c r="H558" s="216" t="s">
        <v>160</v>
      </c>
      <c r="I558" s="56" t="s">
        <v>93</v>
      </c>
      <c r="J558" s="15">
        <v>19000</v>
      </c>
      <c r="K558" s="15">
        <v>5875</v>
      </c>
      <c r="L558" s="15">
        <v>111625000</v>
      </c>
      <c r="M558" s="15">
        <v>0</v>
      </c>
      <c r="N558" s="15">
        <v>0</v>
      </c>
      <c r="O558" s="15" t="str">
        <f>IF(AND(A558='BANG KE NL'!$M$11,TH!C558="NL",LEFT(D558,1)="N"),"x","")</f>
        <v/>
      </c>
    </row>
    <row r="559" spans="1:15" hidden="1">
      <c r="A559" s="24">
        <f t="shared" si="11"/>
        <v>10</v>
      </c>
      <c r="B559" s="188" t="str">
        <f>IF(AND(MONTH(E559)='IN-NX'!$J$5,'IN-NX'!$D$7=(D559&amp;"/"&amp;C559)),"x","")</f>
        <v/>
      </c>
      <c r="C559" s="185" t="s">
        <v>155</v>
      </c>
      <c r="D559" s="185" t="s">
        <v>169</v>
      </c>
      <c r="E559" s="69">
        <v>41562</v>
      </c>
      <c r="F559" s="61" t="s">
        <v>357</v>
      </c>
      <c r="G559" s="19" t="s">
        <v>137</v>
      </c>
      <c r="H559" s="216" t="s">
        <v>160</v>
      </c>
      <c r="I559" s="56" t="s">
        <v>93</v>
      </c>
      <c r="J559" s="15">
        <v>19000</v>
      </c>
      <c r="K559" s="15">
        <v>5621</v>
      </c>
      <c r="L559" s="15">
        <v>106799000</v>
      </c>
      <c r="M559" s="15">
        <v>0</v>
      </c>
      <c r="N559" s="15">
        <v>0</v>
      </c>
      <c r="O559" s="15" t="str">
        <f>IF(AND(A559='BANG KE NL'!$M$11,TH!C559="NL",LEFT(D559,1)="N"),"x","")</f>
        <v/>
      </c>
    </row>
    <row r="560" spans="1:15" hidden="1">
      <c r="A560" s="24">
        <f t="shared" si="11"/>
        <v>10</v>
      </c>
      <c r="B560" s="188" t="str">
        <f>IF(AND(MONTH(E560)='IN-NX'!$J$5,'IN-NX'!$D$7=(D560&amp;"/"&amp;C560)),"x","")</f>
        <v/>
      </c>
      <c r="C560" s="185" t="s">
        <v>155</v>
      </c>
      <c r="D560" s="185" t="s">
        <v>199</v>
      </c>
      <c r="E560" s="69">
        <v>41562</v>
      </c>
      <c r="F560" s="61" t="s">
        <v>357</v>
      </c>
      <c r="G560" s="460" t="s">
        <v>158</v>
      </c>
      <c r="H560" s="216" t="s">
        <v>90</v>
      </c>
      <c r="I560" s="56" t="s">
        <v>160</v>
      </c>
      <c r="J560" s="15">
        <v>19000</v>
      </c>
      <c r="K560" s="15">
        <v>0</v>
      </c>
      <c r="L560" s="15">
        <v>0</v>
      </c>
      <c r="M560" s="15">
        <v>11668</v>
      </c>
      <c r="N560" s="15">
        <v>221692000</v>
      </c>
      <c r="O560" s="15" t="str">
        <f>IF(AND(A560='BANG KE NL'!$M$11,TH!C560="NL",LEFT(D560,1)="N"),"x","")</f>
        <v/>
      </c>
    </row>
    <row r="561" spans="1:15" hidden="1">
      <c r="A561" s="24">
        <f t="shared" si="11"/>
        <v>10</v>
      </c>
      <c r="B561" s="188" t="str">
        <f>IF(AND(MONTH(E561)='IN-NX'!$J$5,'IN-NX'!$D$7=(D561&amp;"/"&amp;C561)),"x","")</f>
        <v/>
      </c>
      <c r="C561" s="185" t="s">
        <v>155</v>
      </c>
      <c r="D561" s="185" t="s">
        <v>200</v>
      </c>
      <c r="E561" s="69">
        <v>41563</v>
      </c>
      <c r="F561" s="61" t="s">
        <v>357</v>
      </c>
      <c r="G561" s="460" t="s">
        <v>158</v>
      </c>
      <c r="H561" s="216" t="s">
        <v>90</v>
      </c>
      <c r="I561" s="56" t="s">
        <v>160</v>
      </c>
      <c r="J561" s="15">
        <v>19000</v>
      </c>
      <c r="K561" s="15">
        <v>0</v>
      </c>
      <c r="L561" s="15">
        <v>0</v>
      </c>
      <c r="M561" s="15">
        <v>17393</v>
      </c>
      <c r="N561" s="15">
        <v>330467000</v>
      </c>
      <c r="O561" s="15" t="str">
        <f>IF(AND(A561='BANG KE NL'!$M$11,TH!C561="NL",LEFT(D561,1)="N"),"x","")</f>
        <v/>
      </c>
    </row>
    <row r="562" spans="1:15" hidden="1">
      <c r="A562" s="24">
        <f t="shared" si="11"/>
        <v>10</v>
      </c>
      <c r="B562" s="188" t="str">
        <f>IF(AND(MONTH(E562)='IN-NX'!$J$5,'IN-NX'!$D$7=(D562&amp;"/"&amp;C562)),"x","")</f>
        <v/>
      </c>
      <c r="C562" s="185" t="s">
        <v>155</v>
      </c>
      <c r="D562" s="185" t="s">
        <v>178</v>
      </c>
      <c r="E562" s="69">
        <v>41565</v>
      </c>
      <c r="F562" s="61" t="s">
        <v>357</v>
      </c>
      <c r="G562" s="19" t="s">
        <v>429</v>
      </c>
      <c r="H562" s="216" t="s">
        <v>160</v>
      </c>
      <c r="I562" s="56" t="s">
        <v>93</v>
      </c>
      <c r="J562" s="15">
        <v>19000</v>
      </c>
      <c r="K562" s="15">
        <v>5800</v>
      </c>
      <c r="L562" s="15">
        <v>110200000</v>
      </c>
      <c r="M562" s="15">
        <v>0</v>
      </c>
      <c r="N562" s="15">
        <v>0</v>
      </c>
      <c r="O562" s="15" t="str">
        <f>IF(AND(A562='BANG KE NL'!$M$11,TH!C562="NL",LEFT(D562,1)="N"),"x","")</f>
        <v/>
      </c>
    </row>
    <row r="563" spans="1:15" hidden="1">
      <c r="A563" s="24">
        <f t="shared" si="11"/>
        <v>10</v>
      </c>
      <c r="B563" s="188" t="str">
        <f>IF(AND(MONTH(E563)='IN-NX'!$J$5,'IN-NX'!$D$7=(D563&amp;"/"&amp;C563)),"x","")</f>
        <v/>
      </c>
      <c r="C563" s="185" t="s">
        <v>155</v>
      </c>
      <c r="D563" s="185" t="s">
        <v>179</v>
      </c>
      <c r="E563" s="69">
        <v>41565</v>
      </c>
      <c r="F563" s="61" t="s">
        <v>357</v>
      </c>
      <c r="G563" s="19" t="s">
        <v>138</v>
      </c>
      <c r="H563" s="216" t="s">
        <v>160</v>
      </c>
      <c r="I563" s="56" t="s">
        <v>93</v>
      </c>
      <c r="J563" s="15">
        <v>19000</v>
      </c>
      <c r="K563" s="15">
        <v>5360</v>
      </c>
      <c r="L563" s="15">
        <v>101840000</v>
      </c>
      <c r="M563" s="15">
        <v>0</v>
      </c>
      <c r="N563" s="15">
        <v>0</v>
      </c>
      <c r="O563" s="15" t="str">
        <f>IF(AND(A563='BANG KE NL'!$M$11,TH!C563="NL",LEFT(D563,1)="N"),"x","")</f>
        <v/>
      </c>
    </row>
    <row r="564" spans="1:15" hidden="1">
      <c r="A564" s="24">
        <f t="shared" si="11"/>
        <v>10</v>
      </c>
      <c r="B564" s="188" t="str">
        <f>IF(AND(MONTH(E564)='IN-NX'!$J$5,'IN-NX'!$D$7=(D564&amp;"/"&amp;C564)),"x","")</f>
        <v/>
      </c>
      <c r="C564" s="185" t="s">
        <v>155</v>
      </c>
      <c r="D564" s="185" t="s">
        <v>180</v>
      </c>
      <c r="E564" s="69">
        <v>41565</v>
      </c>
      <c r="F564" s="61" t="s">
        <v>357</v>
      </c>
      <c r="G564" s="19" t="s">
        <v>139</v>
      </c>
      <c r="H564" s="216" t="s">
        <v>160</v>
      </c>
      <c r="I564" s="56" t="s">
        <v>93</v>
      </c>
      <c r="J564" s="15">
        <v>19000</v>
      </c>
      <c r="K564" s="15">
        <v>5265</v>
      </c>
      <c r="L564" s="15">
        <v>100035000</v>
      </c>
      <c r="M564" s="15">
        <v>0</v>
      </c>
      <c r="N564" s="15">
        <v>0</v>
      </c>
      <c r="O564" s="15" t="str">
        <f>IF(AND(A564='BANG KE NL'!$M$11,TH!C564="NL",LEFT(D564,1)="N"),"x","")</f>
        <v/>
      </c>
    </row>
    <row r="565" spans="1:15" hidden="1">
      <c r="A565" s="24">
        <f t="shared" si="11"/>
        <v>10</v>
      </c>
      <c r="B565" s="188" t="str">
        <f>IF(AND(MONTH(E565)='IN-NX'!$J$5,'IN-NX'!$D$7=(D565&amp;"/"&amp;C565)),"x","")</f>
        <v/>
      </c>
      <c r="C565" s="185" t="s">
        <v>155</v>
      </c>
      <c r="D565" s="185" t="s">
        <v>181</v>
      </c>
      <c r="E565" s="69">
        <v>41565</v>
      </c>
      <c r="F565" s="61" t="s">
        <v>357</v>
      </c>
      <c r="G565" s="19" t="s">
        <v>416</v>
      </c>
      <c r="H565" s="216" t="s">
        <v>160</v>
      </c>
      <c r="I565" s="56" t="s">
        <v>93</v>
      </c>
      <c r="J565" s="15">
        <v>19000</v>
      </c>
      <c r="K565" s="15">
        <v>4089</v>
      </c>
      <c r="L565" s="15">
        <v>77691000</v>
      </c>
      <c r="M565" s="15">
        <v>0</v>
      </c>
      <c r="N565" s="15">
        <v>0</v>
      </c>
      <c r="O565" s="15" t="str">
        <f>IF(AND(A565='BANG KE NL'!$M$11,TH!C565="NL",LEFT(D565,1)="N"),"x","")</f>
        <v/>
      </c>
    </row>
    <row r="566" spans="1:15" hidden="1">
      <c r="A566" s="24">
        <f t="shared" si="11"/>
        <v>10</v>
      </c>
      <c r="B566" s="188" t="str">
        <f>IF(AND(MONTH(E566)='IN-NX'!$J$5,'IN-NX'!$D$7=(D566&amp;"/"&amp;C566)),"x","")</f>
        <v/>
      </c>
      <c r="C566" s="185" t="s">
        <v>155</v>
      </c>
      <c r="D566" s="185" t="s">
        <v>202</v>
      </c>
      <c r="E566" s="69">
        <v>41565</v>
      </c>
      <c r="F566" s="61" t="s">
        <v>357</v>
      </c>
      <c r="G566" s="460" t="s">
        <v>158</v>
      </c>
      <c r="H566" s="216" t="s">
        <v>90</v>
      </c>
      <c r="I566" s="56" t="s">
        <v>160</v>
      </c>
      <c r="J566" s="15">
        <v>19000</v>
      </c>
      <c r="K566" s="15">
        <v>0</v>
      </c>
      <c r="L566" s="15">
        <v>0</v>
      </c>
      <c r="M566" s="15">
        <v>11160</v>
      </c>
      <c r="N566" s="15">
        <v>212040000</v>
      </c>
      <c r="O566" s="15" t="str">
        <f>IF(AND(A566='BANG KE NL'!$M$11,TH!C566="NL",LEFT(D566,1)="N"),"x","")</f>
        <v/>
      </c>
    </row>
    <row r="567" spans="1:15" hidden="1">
      <c r="A567" s="24">
        <f t="shared" si="11"/>
        <v>10</v>
      </c>
      <c r="B567" s="188" t="str">
        <f>IF(AND(MONTH(E567)='IN-NX'!$J$5,'IN-NX'!$D$7=(D567&amp;"/"&amp;C567)),"x","")</f>
        <v/>
      </c>
      <c r="C567" s="185" t="s">
        <v>155</v>
      </c>
      <c r="D567" s="185" t="s">
        <v>433</v>
      </c>
      <c r="E567" s="69">
        <v>41567</v>
      </c>
      <c r="F567" s="61" t="s">
        <v>357</v>
      </c>
      <c r="G567" s="460" t="s">
        <v>158</v>
      </c>
      <c r="H567" s="216" t="s">
        <v>90</v>
      </c>
      <c r="I567" s="56" t="s">
        <v>160</v>
      </c>
      <c r="J567" s="15">
        <v>19000</v>
      </c>
      <c r="K567" s="15">
        <v>0</v>
      </c>
      <c r="L567" s="15">
        <v>0</v>
      </c>
      <c r="M567" s="15">
        <v>9354</v>
      </c>
      <c r="N567" s="15">
        <v>177726000</v>
      </c>
      <c r="O567" s="15" t="str">
        <f>IF(AND(A567='BANG KE NL'!$M$11,TH!C567="NL",LEFT(D567,1)="N"),"x","")</f>
        <v/>
      </c>
    </row>
    <row r="568" spans="1:15" hidden="1">
      <c r="A568" s="24">
        <f t="shared" si="11"/>
        <v>12</v>
      </c>
      <c r="B568" s="188" t="str">
        <f>IF(AND(MONTH(E568)='IN-NX'!$J$5,'IN-NX'!$D$7=(D568&amp;"/"&amp;C568)),"x","")</f>
        <v/>
      </c>
      <c r="C568" s="185" t="s">
        <v>155</v>
      </c>
      <c r="D568" s="185" t="s">
        <v>145</v>
      </c>
      <c r="E568" s="69">
        <v>41609</v>
      </c>
      <c r="F568" s="61" t="s">
        <v>357</v>
      </c>
      <c r="G568" s="19" t="s">
        <v>139</v>
      </c>
      <c r="H568" s="216" t="s">
        <v>160</v>
      </c>
      <c r="I568" s="56" t="s">
        <v>93</v>
      </c>
      <c r="J568" s="15">
        <v>20000</v>
      </c>
      <c r="K568" s="15">
        <v>4387</v>
      </c>
      <c r="L568" s="15">
        <v>87740000</v>
      </c>
      <c r="M568" s="15">
        <v>0</v>
      </c>
      <c r="N568" s="15">
        <v>0</v>
      </c>
      <c r="O568" s="15" t="str">
        <f>IF(AND(A568='BANG KE NL'!$M$11,TH!C568="NL",LEFT(D568,1)="N"),"x","")</f>
        <v>x</v>
      </c>
    </row>
    <row r="569" spans="1:15" hidden="1">
      <c r="A569" s="24">
        <f t="shared" si="11"/>
        <v>12</v>
      </c>
      <c r="B569" s="188" t="str">
        <f>IF(AND(MONTH(E569)='IN-NX'!$J$5,'IN-NX'!$D$7=(D569&amp;"/"&amp;C569)),"x","")</f>
        <v/>
      </c>
      <c r="C569" s="185" t="s">
        <v>155</v>
      </c>
      <c r="D569" s="185" t="s">
        <v>148</v>
      </c>
      <c r="E569" s="69">
        <v>41609</v>
      </c>
      <c r="F569" s="61" t="s">
        <v>357</v>
      </c>
      <c r="G569" s="19" t="s">
        <v>416</v>
      </c>
      <c r="H569" s="216" t="s">
        <v>160</v>
      </c>
      <c r="I569" s="56" t="s">
        <v>93</v>
      </c>
      <c r="J569" s="15">
        <v>20000</v>
      </c>
      <c r="K569" s="15">
        <v>5780</v>
      </c>
      <c r="L569" s="15">
        <v>115600000</v>
      </c>
      <c r="M569" s="15">
        <v>0</v>
      </c>
      <c r="N569" s="15">
        <v>0</v>
      </c>
      <c r="O569" s="15" t="str">
        <f>IF(AND(A569='BANG KE NL'!$M$11,TH!C569="NL",LEFT(D569,1)="N"),"x","")</f>
        <v>x</v>
      </c>
    </row>
    <row r="570" spans="1:15" hidden="1">
      <c r="A570" s="24">
        <f t="shared" si="11"/>
        <v>12</v>
      </c>
      <c r="B570" s="188" t="str">
        <f>IF(AND(MONTH(E570)='IN-NX'!$J$5,'IN-NX'!$D$7=(D570&amp;"/"&amp;C570)),"x","")</f>
        <v/>
      </c>
      <c r="C570" s="185" t="s">
        <v>155</v>
      </c>
      <c r="D570" s="185" t="s">
        <v>161</v>
      </c>
      <c r="E570" s="69">
        <v>41609</v>
      </c>
      <c r="F570" s="61" t="s">
        <v>357</v>
      </c>
      <c r="G570" s="19" t="s">
        <v>140</v>
      </c>
      <c r="H570" s="216" t="s">
        <v>160</v>
      </c>
      <c r="I570" s="56" t="s">
        <v>93</v>
      </c>
      <c r="J570" s="15">
        <v>20000</v>
      </c>
      <c r="K570" s="15">
        <v>6780</v>
      </c>
      <c r="L570" s="15">
        <v>135600000</v>
      </c>
      <c r="M570" s="15">
        <v>0</v>
      </c>
      <c r="N570" s="15">
        <v>0</v>
      </c>
      <c r="O570" s="15" t="str">
        <f>IF(AND(A570='BANG KE NL'!$M$11,TH!C570="NL",LEFT(D570,1)="N"),"x","")</f>
        <v>x</v>
      </c>
    </row>
    <row r="571" spans="1:15" hidden="1">
      <c r="A571" s="24">
        <f t="shared" si="11"/>
        <v>12</v>
      </c>
      <c r="B571" s="188" t="str">
        <f>IF(AND(MONTH(E571)='IN-NX'!$J$5,'IN-NX'!$D$7=(D571&amp;"/"&amp;C571)),"x","")</f>
        <v/>
      </c>
      <c r="C571" s="185" t="s">
        <v>155</v>
      </c>
      <c r="D571" s="185" t="s">
        <v>163</v>
      </c>
      <c r="E571" s="69">
        <v>41609</v>
      </c>
      <c r="F571" s="61" t="s">
        <v>357</v>
      </c>
      <c r="G571" s="19" t="s">
        <v>318</v>
      </c>
      <c r="H571" s="216" t="s">
        <v>160</v>
      </c>
      <c r="I571" s="56" t="s">
        <v>93</v>
      </c>
      <c r="J571" s="15">
        <v>20000</v>
      </c>
      <c r="K571" s="15">
        <v>5870</v>
      </c>
      <c r="L571" s="15">
        <v>117400000</v>
      </c>
      <c r="M571" s="15">
        <v>0</v>
      </c>
      <c r="N571" s="15">
        <v>0</v>
      </c>
      <c r="O571" s="15" t="str">
        <f>IF(AND(A571='BANG KE NL'!$M$11,TH!C571="NL",LEFT(D571,1)="N"),"x","")</f>
        <v>x</v>
      </c>
    </row>
    <row r="572" spans="1:15" hidden="1">
      <c r="A572" s="24">
        <f t="shared" si="11"/>
        <v>12</v>
      </c>
      <c r="B572" s="188" t="str">
        <f>IF(AND(MONTH(E572)='IN-NX'!$J$5,'IN-NX'!$D$7=(D572&amp;"/"&amp;C572)),"x","")</f>
        <v/>
      </c>
      <c r="C572" s="185" t="s">
        <v>155</v>
      </c>
      <c r="D572" s="185" t="s">
        <v>183</v>
      </c>
      <c r="E572" s="69">
        <v>41613</v>
      </c>
      <c r="F572" s="61" t="s">
        <v>357</v>
      </c>
      <c r="G572" s="19" t="s">
        <v>413</v>
      </c>
      <c r="H572" s="216" t="s">
        <v>160</v>
      </c>
      <c r="I572" s="56" t="s">
        <v>93</v>
      </c>
      <c r="J572" s="15">
        <v>20000</v>
      </c>
      <c r="K572" s="15">
        <v>5931</v>
      </c>
      <c r="L572" s="15">
        <v>118620000</v>
      </c>
      <c r="M572" s="15">
        <v>0</v>
      </c>
      <c r="N572" s="15">
        <v>0</v>
      </c>
      <c r="O572" s="15" t="str">
        <f>IF(AND(A572='BANG KE NL'!$M$11,TH!C572="NL",LEFT(D572,1)="N"),"x","")</f>
        <v>x</v>
      </c>
    </row>
    <row r="573" spans="1:15" hidden="1">
      <c r="A573" s="24">
        <f t="shared" si="11"/>
        <v>12</v>
      </c>
      <c r="B573" s="188" t="str">
        <f>IF(AND(MONTH(E573)='IN-NX'!$J$5,'IN-NX'!$D$7=(D573&amp;"/"&amp;C573)),"x","")</f>
        <v/>
      </c>
      <c r="C573" s="185" t="s">
        <v>155</v>
      </c>
      <c r="D573" s="185" t="s">
        <v>184</v>
      </c>
      <c r="E573" s="69">
        <v>41613</v>
      </c>
      <c r="F573" s="61" t="s">
        <v>357</v>
      </c>
      <c r="G573" s="19" t="s">
        <v>137</v>
      </c>
      <c r="H573" s="216" t="s">
        <v>160</v>
      </c>
      <c r="I573" s="56" t="s">
        <v>93</v>
      </c>
      <c r="J573" s="15">
        <v>20000</v>
      </c>
      <c r="K573" s="15">
        <v>4320</v>
      </c>
      <c r="L573" s="15">
        <v>86400000</v>
      </c>
      <c r="M573" s="15">
        <v>0</v>
      </c>
      <c r="N573" s="15">
        <v>0</v>
      </c>
      <c r="O573" s="15" t="str">
        <f>IF(AND(A573='BANG KE NL'!$M$11,TH!C573="NL",LEFT(D573,1)="N"),"x","")</f>
        <v>x</v>
      </c>
    </row>
    <row r="574" spans="1:15" hidden="1">
      <c r="A574" s="24">
        <f t="shared" si="11"/>
        <v>12</v>
      </c>
      <c r="B574" s="188" t="str">
        <f>IF(AND(MONTH(E574)='IN-NX'!$J$5,'IN-NX'!$D$7=(D574&amp;"/"&amp;C574)),"x","")</f>
        <v/>
      </c>
      <c r="C574" s="185" t="s">
        <v>155</v>
      </c>
      <c r="D574" s="185" t="s">
        <v>185</v>
      </c>
      <c r="E574" s="69">
        <v>41613</v>
      </c>
      <c r="F574" s="61" t="s">
        <v>357</v>
      </c>
      <c r="G574" s="19" t="s">
        <v>139</v>
      </c>
      <c r="H574" s="216" t="s">
        <v>160</v>
      </c>
      <c r="I574" s="56" t="s">
        <v>93</v>
      </c>
      <c r="J574" s="15">
        <v>20000</v>
      </c>
      <c r="K574" s="15">
        <v>4028</v>
      </c>
      <c r="L574" s="15">
        <v>80560000</v>
      </c>
      <c r="M574" s="15">
        <v>0</v>
      </c>
      <c r="N574" s="15">
        <v>0</v>
      </c>
      <c r="O574" s="15" t="str">
        <f>IF(AND(A574='BANG KE NL'!$M$11,TH!C574="NL",LEFT(D574,1)="N"),"x","")</f>
        <v>x</v>
      </c>
    </row>
    <row r="575" spans="1:15" hidden="1">
      <c r="A575" s="24">
        <f t="shared" si="11"/>
        <v>12</v>
      </c>
      <c r="B575" s="188" t="str">
        <f>IF(AND(MONTH(E575)='IN-NX'!$J$5,'IN-NX'!$D$7=(D575&amp;"/"&amp;C575)),"x","")</f>
        <v/>
      </c>
      <c r="C575" s="185" t="s">
        <v>155</v>
      </c>
      <c r="D575" s="185" t="s">
        <v>159</v>
      </c>
      <c r="E575" s="69">
        <v>41613</v>
      </c>
      <c r="F575" s="61" t="s">
        <v>357</v>
      </c>
      <c r="G575" s="460" t="s">
        <v>158</v>
      </c>
      <c r="H575" s="216" t="s">
        <v>90</v>
      </c>
      <c r="I575" s="56" t="s">
        <v>160</v>
      </c>
      <c r="J575" s="15">
        <v>20000</v>
      </c>
      <c r="K575" s="15">
        <v>0</v>
      </c>
      <c r="L575" s="15">
        <v>0</v>
      </c>
      <c r="M575" s="15">
        <v>16947</v>
      </c>
      <c r="N575" s="15">
        <v>338940000</v>
      </c>
      <c r="O575" s="15" t="str">
        <f>IF(AND(A575='BANG KE NL'!$M$11,TH!C575="NL",LEFT(D575,1)="N"),"x","")</f>
        <v/>
      </c>
    </row>
    <row r="576" spans="1:15" hidden="1">
      <c r="A576" s="24">
        <f t="shared" si="11"/>
        <v>12</v>
      </c>
      <c r="B576" s="188" t="str">
        <f>IF(AND(MONTH(E576)='IN-NX'!$J$5,'IN-NX'!$D$7=(D576&amp;"/"&amp;C576)),"x","")</f>
        <v/>
      </c>
      <c r="C576" s="185" t="s">
        <v>155</v>
      </c>
      <c r="D576" s="185" t="s">
        <v>194</v>
      </c>
      <c r="E576" s="69">
        <v>41614</v>
      </c>
      <c r="F576" s="61" t="s">
        <v>357</v>
      </c>
      <c r="G576" s="19" t="s">
        <v>137</v>
      </c>
      <c r="H576" s="216" t="s">
        <v>160</v>
      </c>
      <c r="I576" s="56" t="s">
        <v>93</v>
      </c>
      <c r="J576" s="15">
        <v>20000</v>
      </c>
      <c r="K576" s="15">
        <v>6810</v>
      </c>
      <c r="L576" s="15">
        <v>136200000</v>
      </c>
      <c r="M576" s="15">
        <v>0</v>
      </c>
      <c r="N576" s="15">
        <v>0</v>
      </c>
      <c r="O576" s="15" t="str">
        <f>IF(AND(A576='BANG KE NL'!$M$11,TH!C576="NL",LEFT(D576,1)="N"),"x","")</f>
        <v>x</v>
      </c>
    </row>
    <row r="577" spans="1:15" hidden="1">
      <c r="A577" s="24">
        <f t="shared" si="11"/>
        <v>12</v>
      </c>
      <c r="B577" s="188" t="str">
        <f>IF(AND(MONTH(E577)='IN-NX'!$J$5,'IN-NX'!$D$7=(D577&amp;"/"&amp;C577)),"x","")</f>
        <v/>
      </c>
      <c r="C577" s="185" t="s">
        <v>155</v>
      </c>
      <c r="D577" s="185" t="s">
        <v>195</v>
      </c>
      <c r="E577" s="69">
        <v>41614</v>
      </c>
      <c r="F577" s="61" t="s">
        <v>357</v>
      </c>
      <c r="G577" s="19" t="s">
        <v>429</v>
      </c>
      <c r="H577" s="216" t="s">
        <v>160</v>
      </c>
      <c r="I577" s="56" t="s">
        <v>93</v>
      </c>
      <c r="J577" s="15">
        <v>20000</v>
      </c>
      <c r="K577" s="15">
        <v>5949</v>
      </c>
      <c r="L577" s="15">
        <v>118980000</v>
      </c>
      <c r="M577" s="15">
        <v>0</v>
      </c>
      <c r="N577" s="15">
        <v>0</v>
      </c>
      <c r="O577" s="15" t="str">
        <f>IF(AND(A577='BANG KE NL'!$M$11,TH!C577="NL",LEFT(D577,1)="N"),"x","")</f>
        <v>x</v>
      </c>
    </row>
    <row r="578" spans="1:15" hidden="1">
      <c r="A578" s="24">
        <f t="shared" si="11"/>
        <v>12</v>
      </c>
      <c r="B578" s="188" t="str">
        <f>IF(AND(MONTH(E578)='IN-NX'!$J$5,'IN-NX'!$D$7=(D578&amp;"/"&amp;C578)),"x","")</f>
        <v/>
      </c>
      <c r="C578" s="185" t="s">
        <v>155</v>
      </c>
      <c r="D578" s="185" t="s">
        <v>196</v>
      </c>
      <c r="E578" s="69">
        <v>41614</v>
      </c>
      <c r="F578" s="61" t="s">
        <v>357</v>
      </c>
      <c r="G578" s="19" t="s">
        <v>138</v>
      </c>
      <c r="H578" s="216" t="s">
        <v>160</v>
      </c>
      <c r="I578" s="56" t="s">
        <v>93</v>
      </c>
      <c r="J578" s="15">
        <v>20000</v>
      </c>
      <c r="K578" s="15">
        <v>6241</v>
      </c>
      <c r="L578" s="15">
        <v>124820000</v>
      </c>
      <c r="M578" s="15">
        <v>0</v>
      </c>
      <c r="N578" s="15">
        <v>0</v>
      </c>
      <c r="O578" s="15" t="str">
        <f>IF(AND(A578='BANG KE NL'!$M$11,TH!C578="NL",LEFT(D578,1)="N"),"x","")</f>
        <v>x</v>
      </c>
    </row>
    <row r="579" spans="1:15" hidden="1">
      <c r="A579" s="24">
        <f t="shared" si="11"/>
        <v>12</v>
      </c>
      <c r="B579" s="188" t="str">
        <f>IF(AND(MONTH(E579)='IN-NX'!$J$5,'IN-NX'!$D$7=(D579&amp;"/"&amp;C579)),"x","")</f>
        <v/>
      </c>
      <c r="C579" s="185" t="s">
        <v>155</v>
      </c>
      <c r="D579" s="185" t="s">
        <v>197</v>
      </c>
      <c r="E579" s="69">
        <v>41614</v>
      </c>
      <c r="F579" s="61" t="s">
        <v>357</v>
      </c>
      <c r="G579" s="460" t="s">
        <v>158</v>
      </c>
      <c r="H579" s="216" t="s">
        <v>90</v>
      </c>
      <c r="I579" s="56" t="s">
        <v>160</v>
      </c>
      <c r="J579" s="15">
        <v>20000</v>
      </c>
      <c r="K579" s="15">
        <v>0</v>
      </c>
      <c r="L579" s="15">
        <v>0</v>
      </c>
      <c r="M579" s="15">
        <v>16121</v>
      </c>
      <c r="N579" s="15">
        <v>322420000</v>
      </c>
      <c r="O579" s="15" t="str">
        <f>IF(AND(A579='BANG KE NL'!$M$11,TH!C579="NL",LEFT(D579,1)="N"),"x","")</f>
        <v/>
      </c>
    </row>
    <row r="580" spans="1:15" hidden="1">
      <c r="A580" s="24">
        <f t="shared" si="11"/>
        <v>12</v>
      </c>
      <c r="B580" s="188" t="str">
        <f>IF(AND(MONTH(E580)='IN-NX'!$J$5,'IN-NX'!$D$7=(D580&amp;"/"&amp;C580)),"x","")</f>
        <v/>
      </c>
      <c r="C580" s="185" t="s">
        <v>155</v>
      </c>
      <c r="D580" s="185" t="s">
        <v>306</v>
      </c>
      <c r="E580" s="69">
        <v>41615</v>
      </c>
      <c r="F580" s="61" t="s">
        <v>357</v>
      </c>
      <c r="G580" s="19" t="s">
        <v>139</v>
      </c>
      <c r="H580" s="216" t="s">
        <v>160</v>
      </c>
      <c r="I580" s="56" t="s">
        <v>93</v>
      </c>
      <c r="J580" s="15">
        <v>20000</v>
      </c>
      <c r="K580" s="15">
        <v>5353</v>
      </c>
      <c r="L580" s="15">
        <v>107060000</v>
      </c>
      <c r="M580" s="15">
        <v>0</v>
      </c>
      <c r="N580" s="15">
        <v>0</v>
      </c>
      <c r="O580" s="15" t="str">
        <f>IF(AND(A580='BANG KE NL'!$M$11,TH!C580="NL",LEFT(D580,1)="N"),"x","")</f>
        <v>x</v>
      </c>
    </row>
    <row r="581" spans="1:15" hidden="1">
      <c r="A581" s="24">
        <f t="shared" si="11"/>
        <v>12</v>
      </c>
      <c r="B581" s="188" t="str">
        <f>IF(AND(MONTH(E581)='IN-NX'!$J$5,'IN-NX'!$D$7=(D581&amp;"/"&amp;C581)),"x","")</f>
        <v/>
      </c>
      <c r="C581" s="185" t="s">
        <v>155</v>
      </c>
      <c r="D581" s="185" t="s">
        <v>316</v>
      </c>
      <c r="E581" s="69">
        <v>41615</v>
      </c>
      <c r="F581" s="61" t="s">
        <v>357</v>
      </c>
      <c r="G581" s="19" t="s">
        <v>416</v>
      </c>
      <c r="H581" s="216" t="s">
        <v>160</v>
      </c>
      <c r="I581" s="56" t="s">
        <v>93</v>
      </c>
      <c r="J581" s="15">
        <v>20000</v>
      </c>
      <c r="K581" s="15">
        <v>4647</v>
      </c>
      <c r="L581" s="15">
        <v>92940000</v>
      </c>
      <c r="M581" s="15">
        <v>0</v>
      </c>
      <c r="N581" s="15">
        <v>0</v>
      </c>
      <c r="O581" s="15" t="str">
        <f>IF(AND(A581='BANG KE NL'!$M$11,TH!C581="NL",LEFT(D581,1)="N"),"x","")</f>
        <v>x</v>
      </c>
    </row>
    <row r="582" spans="1:15" hidden="1">
      <c r="A582" s="24">
        <f t="shared" ref="A582:A645" si="12">IF(E582&lt;&gt;"",MONTH(E582),"")</f>
        <v>12</v>
      </c>
      <c r="B582" s="188" t="str">
        <f>IF(AND(MONTH(E582)='IN-NX'!$J$5,'IN-NX'!$D$7=(D582&amp;"/"&amp;C582)),"x","")</f>
        <v/>
      </c>
      <c r="C582" s="185" t="s">
        <v>155</v>
      </c>
      <c r="D582" s="185" t="s">
        <v>310</v>
      </c>
      <c r="E582" s="69">
        <v>41615</v>
      </c>
      <c r="F582" s="61" t="s">
        <v>357</v>
      </c>
      <c r="G582" s="19" t="s">
        <v>412</v>
      </c>
      <c r="H582" s="216" t="s">
        <v>160</v>
      </c>
      <c r="I582" s="56" t="s">
        <v>93</v>
      </c>
      <c r="J582" s="15">
        <v>20000</v>
      </c>
      <c r="K582" s="15">
        <v>5904</v>
      </c>
      <c r="L582" s="15">
        <v>118080000</v>
      </c>
      <c r="M582" s="15">
        <v>0</v>
      </c>
      <c r="N582" s="15">
        <v>0</v>
      </c>
      <c r="O582" s="15" t="str">
        <f>IF(AND(A582='BANG KE NL'!$M$11,TH!C582="NL",LEFT(D582,1)="N"),"x","")</f>
        <v>x</v>
      </c>
    </row>
    <row r="583" spans="1:15" hidden="1">
      <c r="A583" s="24">
        <f t="shared" si="12"/>
        <v>12</v>
      </c>
      <c r="B583" s="188" t="str">
        <f>IF(AND(MONTH(E583)='IN-NX'!$J$5,'IN-NX'!$D$7=(D583&amp;"/"&amp;C583)),"x","")</f>
        <v/>
      </c>
      <c r="C583" s="185" t="s">
        <v>155</v>
      </c>
      <c r="D583" s="185" t="s">
        <v>198</v>
      </c>
      <c r="E583" s="69">
        <v>41615</v>
      </c>
      <c r="F583" s="61" t="s">
        <v>357</v>
      </c>
      <c r="G583" s="460" t="s">
        <v>158</v>
      </c>
      <c r="H583" s="216" t="s">
        <v>90</v>
      </c>
      <c r="I583" s="56" t="s">
        <v>160</v>
      </c>
      <c r="J583" s="15">
        <v>20000</v>
      </c>
      <c r="K583" s="15">
        <v>0</v>
      </c>
      <c r="L583" s="15">
        <v>0</v>
      </c>
      <c r="M583" s="15">
        <v>16787</v>
      </c>
      <c r="N583" s="15">
        <v>335740000</v>
      </c>
      <c r="O583" s="15" t="str">
        <f>IF(AND(A583='BANG KE NL'!$M$11,TH!C583="NL",LEFT(D583,1)="N"),"x","")</f>
        <v/>
      </c>
    </row>
    <row r="584" spans="1:15" hidden="1">
      <c r="A584" s="24">
        <f t="shared" si="12"/>
        <v>12</v>
      </c>
      <c r="B584" s="188" t="str">
        <f>IF(AND(MONTH(E584)='IN-NX'!$J$5,'IN-NX'!$D$7=(D584&amp;"/"&amp;C584)),"x","")</f>
        <v/>
      </c>
      <c r="C584" s="185" t="s">
        <v>155</v>
      </c>
      <c r="D584" s="185" t="s">
        <v>199</v>
      </c>
      <c r="E584" s="69">
        <v>41616</v>
      </c>
      <c r="F584" s="61" t="s">
        <v>357</v>
      </c>
      <c r="G584" s="460" t="s">
        <v>158</v>
      </c>
      <c r="H584" s="216" t="s">
        <v>90</v>
      </c>
      <c r="I584" s="56" t="s">
        <v>160</v>
      </c>
      <c r="J584" s="15">
        <v>20000</v>
      </c>
      <c r="K584" s="15">
        <v>0</v>
      </c>
      <c r="L584" s="15">
        <v>0</v>
      </c>
      <c r="M584" s="15">
        <v>11594</v>
      </c>
      <c r="N584" s="15">
        <v>231880000</v>
      </c>
      <c r="O584" s="15" t="str">
        <f>IF(AND(A584='BANG KE NL'!$M$11,TH!C584="NL",LEFT(D584,1)="N"),"x","")</f>
        <v/>
      </c>
    </row>
    <row r="585" spans="1:15" hidden="1">
      <c r="A585" s="24">
        <f t="shared" si="12"/>
        <v>12</v>
      </c>
      <c r="B585" s="188" t="str">
        <f>IF(AND(MONTH(E585)='IN-NX'!$J$5,'IN-NX'!$D$7=(D585&amp;"/"&amp;C585)),"x","")</f>
        <v/>
      </c>
      <c r="C585" s="185" t="s">
        <v>155</v>
      </c>
      <c r="D585" s="185" t="s">
        <v>200</v>
      </c>
      <c r="E585" s="69">
        <v>41617</v>
      </c>
      <c r="F585" s="61" t="s">
        <v>357</v>
      </c>
      <c r="G585" s="460" t="s">
        <v>158</v>
      </c>
      <c r="H585" s="216" t="s">
        <v>90</v>
      </c>
      <c r="I585" s="56" t="s">
        <v>160</v>
      </c>
      <c r="J585" s="15">
        <v>20000</v>
      </c>
      <c r="K585" s="15">
        <v>0</v>
      </c>
      <c r="L585" s="15">
        <v>0</v>
      </c>
      <c r="M585" s="15">
        <v>10551</v>
      </c>
      <c r="N585" s="15">
        <v>211020000</v>
      </c>
      <c r="O585" s="15" t="str">
        <f>IF(AND(A585='BANG KE NL'!$M$11,TH!C585="NL",LEFT(D585,1)="N"),"x","")</f>
        <v/>
      </c>
    </row>
    <row r="586" spans="1:15" hidden="1">
      <c r="A586" s="24">
        <f t="shared" si="12"/>
        <v>4</v>
      </c>
      <c r="B586" s="188" t="str">
        <f>IF(AND(MONTH(E586)='IN-NX'!$J$5,'IN-NX'!$D$7=(D586&amp;"/"&amp;C586)),"x","")</f>
        <v/>
      </c>
      <c r="C586" s="185" t="s">
        <v>155</v>
      </c>
      <c r="D586" s="185" t="s">
        <v>165</v>
      </c>
      <c r="E586" s="69">
        <v>41370</v>
      </c>
      <c r="F586" s="61" t="s">
        <v>162</v>
      </c>
      <c r="G586" s="19" t="s">
        <v>130</v>
      </c>
      <c r="H586" s="216" t="s">
        <v>160</v>
      </c>
      <c r="I586" s="56" t="s">
        <v>93</v>
      </c>
      <c r="J586" s="15">
        <v>24000</v>
      </c>
      <c r="K586" s="15">
        <v>4582</v>
      </c>
      <c r="L586" s="15">
        <v>109968000</v>
      </c>
      <c r="M586" s="15">
        <v>0</v>
      </c>
      <c r="N586" s="15">
        <v>0</v>
      </c>
      <c r="O586" s="15" t="str">
        <f>IF(AND(A586='BANG KE NL'!$M$11,TH!C586="NL",LEFT(D586,1)="N"),"x","")</f>
        <v/>
      </c>
    </row>
    <row r="587" spans="1:15" hidden="1">
      <c r="A587" s="24">
        <f t="shared" si="12"/>
        <v>4</v>
      </c>
      <c r="B587" s="188" t="str">
        <f>IF(AND(MONTH(E587)='IN-NX'!$J$5,'IN-NX'!$D$7=(D587&amp;"/"&amp;C587)),"x","")</f>
        <v/>
      </c>
      <c r="C587" s="185" t="s">
        <v>155</v>
      </c>
      <c r="D587" s="185" t="s">
        <v>166</v>
      </c>
      <c r="E587" s="69">
        <v>41370</v>
      </c>
      <c r="F587" s="61" t="s">
        <v>162</v>
      </c>
      <c r="G587" s="19" t="s">
        <v>129</v>
      </c>
      <c r="H587" s="216" t="s">
        <v>160</v>
      </c>
      <c r="I587" s="56" t="s">
        <v>93</v>
      </c>
      <c r="J587" s="15">
        <v>24000</v>
      </c>
      <c r="K587" s="15">
        <v>5798</v>
      </c>
      <c r="L587" s="15">
        <v>139152000</v>
      </c>
      <c r="M587" s="15">
        <v>0</v>
      </c>
      <c r="N587" s="15">
        <v>0</v>
      </c>
      <c r="O587" s="15" t="str">
        <f>IF(AND(A587='BANG KE NL'!$M$11,TH!C587="NL",LEFT(D587,1)="N"),"x","")</f>
        <v/>
      </c>
    </row>
    <row r="588" spans="1:15" hidden="1">
      <c r="A588" s="24">
        <f t="shared" si="12"/>
        <v>4</v>
      </c>
      <c r="B588" s="188" t="str">
        <f>IF(AND(MONTH(E588)='IN-NX'!$J$5,'IN-NX'!$D$7=(D588&amp;"/"&amp;C588)),"x","")</f>
        <v/>
      </c>
      <c r="C588" s="185" t="s">
        <v>155</v>
      </c>
      <c r="D588" s="185" t="s">
        <v>167</v>
      </c>
      <c r="E588" s="69">
        <v>41370</v>
      </c>
      <c r="F588" s="61" t="s">
        <v>162</v>
      </c>
      <c r="G588" s="19" t="s">
        <v>131</v>
      </c>
      <c r="H588" s="216" t="s">
        <v>160</v>
      </c>
      <c r="I588" s="56" t="s">
        <v>93</v>
      </c>
      <c r="J588" s="15">
        <v>24000</v>
      </c>
      <c r="K588" s="15">
        <v>5892</v>
      </c>
      <c r="L588" s="15">
        <v>141408000</v>
      </c>
      <c r="M588" s="15">
        <v>0</v>
      </c>
      <c r="N588" s="15">
        <v>0</v>
      </c>
      <c r="O588" s="15" t="str">
        <f>IF(AND(A588='BANG KE NL'!$M$11,TH!C588="NL",LEFT(D588,1)="N"),"x","")</f>
        <v/>
      </c>
    </row>
    <row r="589" spans="1:15" hidden="1">
      <c r="A589" s="24">
        <f t="shared" si="12"/>
        <v>4</v>
      </c>
      <c r="B589" s="188" t="str">
        <f>IF(AND(MONTH(E589)='IN-NX'!$J$5,'IN-NX'!$D$7=(D589&amp;"/"&amp;C589)),"x","")</f>
        <v/>
      </c>
      <c r="C589" s="185" t="s">
        <v>155</v>
      </c>
      <c r="D589" s="185" t="s">
        <v>168</v>
      </c>
      <c r="E589" s="69">
        <v>41370</v>
      </c>
      <c r="F589" s="61" t="s">
        <v>162</v>
      </c>
      <c r="G589" s="19" t="s">
        <v>132</v>
      </c>
      <c r="H589" s="216" t="s">
        <v>160</v>
      </c>
      <c r="I589" s="56" t="s">
        <v>93</v>
      </c>
      <c r="J589" s="15">
        <v>24000</v>
      </c>
      <c r="K589" s="15">
        <v>5834</v>
      </c>
      <c r="L589" s="15">
        <v>140016000</v>
      </c>
      <c r="M589" s="15">
        <v>0</v>
      </c>
      <c r="N589" s="15">
        <v>0</v>
      </c>
      <c r="O589" s="15" t="str">
        <f>IF(AND(A589='BANG KE NL'!$M$11,TH!C589="NL",LEFT(D589,1)="N"),"x","")</f>
        <v/>
      </c>
    </row>
    <row r="590" spans="1:15" hidden="1">
      <c r="A590" s="24">
        <f t="shared" si="12"/>
        <v>4</v>
      </c>
      <c r="B590" s="188" t="str">
        <f>IF(AND(MONTH(E590)='IN-NX'!$J$5,'IN-NX'!$D$7=(D590&amp;"/"&amp;C590)),"x","")</f>
        <v/>
      </c>
      <c r="C590" s="185" t="s">
        <v>155</v>
      </c>
      <c r="D590" s="185" t="s">
        <v>169</v>
      </c>
      <c r="E590" s="69">
        <v>41370</v>
      </c>
      <c r="F590" s="61" t="s">
        <v>162</v>
      </c>
      <c r="G590" s="19" t="s">
        <v>133</v>
      </c>
      <c r="H590" s="216" t="s">
        <v>160</v>
      </c>
      <c r="I590" s="56" t="s">
        <v>93</v>
      </c>
      <c r="J590" s="15">
        <v>24000</v>
      </c>
      <c r="K590" s="15">
        <v>2894</v>
      </c>
      <c r="L590" s="15">
        <v>69456000</v>
      </c>
      <c r="M590" s="15">
        <v>0</v>
      </c>
      <c r="N590" s="15">
        <v>0</v>
      </c>
      <c r="O590" s="15" t="str">
        <f>IF(AND(A590='BANG KE NL'!$M$11,TH!C590="NL",LEFT(D590,1)="N"),"x","")</f>
        <v/>
      </c>
    </row>
    <row r="591" spans="1:15" hidden="1">
      <c r="A591" s="24">
        <f t="shared" si="12"/>
        <v>4</v>
      </c>
      <c r="B591" s="188" t="str">
        <f>IF(AND(MONTH(E591)='IN-NX'!$J$5,'IN-NX'!$D$7=(D591&amp;"/"&amp;C591)),"x","")</f>
        <v/>
      </c>
      <c r="C591" s="185" t="s">
        <v>155</v>
      </c>
      <c r="D591" s="185" t="s">
        <v>159</v>
      </c>
      <c r="E591" s="69">
        <v>41371</v>
      </c>
      <c r="F591" s="61" t="s">
        <v>162</v>
      </c>
      <c r="G591" s="460" t="s">
        <v>158</v>
      </c>
      <c r="H591" s="216" t="s">
        <v>90</v>
      </c>
      <c r="I591" s="56" t="s">
        <v>160</v>
      </c>
      <c r="J591" s="15">
        <v>24000</v>
      </c>
      <c r="K591" s="15">
        <v>0</v>
      </c>
      <c r="L591" s="15">
        <v>0</v>
      </c>
      <c r="M591" s="15">
        <v>10380</v>
      </c>
      <c r="N591" s="15">
        <v>249120000</v>
      </c>
      <c r="O591" s="15" t="str">
        <f>IF(AND(A591='BANG KE NL'!$M$11,TH!C591="NL",LEFT(D591,1)="N"),"x","")</f>
        <v/>
      </c>
    </row>
    <row r="592" spans="1:15" hidden="1">
      <c r="A592" s="24">
        <f t="shared" si="12"/>
        <v>4</v>
      </c>
      <c r="B592" s="188" t="str">
        <f>IF(AND(MONTH(E592)='IN-NX'!$J$5,'IN-NX'!$D$7=(D592&amp;"/"&amp;C592)),"x","")</f>
        <v/>
      </c>
      <c r="C592" s="185" t="s">
        <v>155</v>
      </c>
      <c r="D592" s="185" t="s">
        <v>197</v>
      </c>
      <c r="E592" s="69">
        <v>41372</v>
      </c>
      <c r="F592" s="61" t="s">
        <v>162</v>
      </c>
      <c r="G592" s="460" t="s">
        <v>158</v>
      </c>
      <c r="H592" s="216" t="s">
        <v>90</v>
      </c>
      <c r="I592" s="56" t="s">
        <v>160</v>
      </c>
      <c r="J592" s="15">
        <v>24000</v>
      </c>
      <c r="K592" s="15">
        <v>0</v>
      </c>
      <c r="L592" s="15">
        <v>0</v>
      </c>
      <c r="M592" s="15">
        <v>14620</v>
      </c>
      <c r="N592" s="15">
        <v>350880000</v>
      </c>
      <c r="O592" s="15" t="str">
        <f>IF(AND(A592='BANG KE NL'!$M$11,TH!C592="NL",LEFT(D592,1)="N"),"x","")</f>
        <v/>
      </c>
    </row>
    <row r="593" spans="1:15" hidden="1">
      <c r="A593" s="24">
        <f t="shared" si="12"/>
        <v>11</v>
      </c>
      <c r="B593" s="188" t="str">
        <f>IF(AND(MONTH(E593)='IN-NX'!$J$5,'IN-NX'!$D$7=(D593&amp;"/"&amp;C593)),"x","")</f>
        <v/>
      </c>
      <c r="C593" s="185" t="s">
        <v>155</v>
      </c>
      <c r="D593" s="185" t="s">
        <v>166</v>
      </c>
      <c r="E593" s="69">
        <v>41600</v>
      </c>
      <c r="F593" s="61" t="s">
        <v>162</v>
      </c>
      <c r="G593" s="19" t="s">
        <v>430</v>
      </c>
      <c r="H593" s="216" t="s">
        <v>160</v>
      </c>
      <c r="I593" s="56" t="s">
        <v>93</v>
      </c>
      <c r="J593" s="15">
        <v>24500</v>
      </c>
      <c r="K593" s="15">
        <v>5987</v>
      </c>
      <c r="L593" s="15">
        <v>146681500</v>
      </c>
      <c r="M593" s="15">
        <v>0</v>
      </c>
      <c r="N593" s="15">
        <v>0</v>
      </c>
      <c r="O593" s="15" t="str">
        <f>IF(AND(A593='BANG KE NL'!$M$11,TH!C593="NL",LEFT(D593,1)="N"),"x","")</f>
        <v/>
      </c>
    </row>
    <row r="594" spans="1:15" hidden="1">
      <c r="A594" s="24">
        <f t="shared" si="12"/>
        <v>11</v>
      </c>
      <c r="B594" s="188" t="str">
        <f>IF(AND(MONTH(E594)='IN-NX'!$J$5,'IN-NX'!$D$7=(D594&amp;"/"&amp;C594)),"x","")</f>
        <v/>
      </c>
      <c r="C594" s="185" t="s">
        <v>155</v>
      </c>
      <c r="D594" s="185" t="s">
        <v>167</v>
      </c>
      <c r="E594" s="69">
        <v>41600</v>
      </c>
      <c r="F594" s="61" t="s">
        <v>162</v>
      </c>
      <c r="G594" s="19" t="s">
        <v>127</v>
      </c>
      <c r="H594" s="216" t="s">
        <v>160</v>
      </c>
      <c r="I594" s="56" t="s">
        <v>93</v>
      </c>
      <c r="J594" s="15">
        <v>24500</v>
      </c>
      <c r="K594" s="15">
        <v>6413</v>
      </c>
      <c r="L594" s="15">
        <v>157118500</v>
      </c>
      <c r="M594" s="15">
        <v>0</v>
      </c>
      <c r="N594" s="15">
        <v>0</v>
      </c>
      <c r="O594" s="15" t="str">
        <f>IF(AND(A594='BANG KE NL'!$M$11,TH!C594="NL",LEFT(D594,1)="N"),"x","")</f>
        <v/>
      </c>
    </row>
    <row r="595" spans="1:15" hidden="1">
      <c r="A595" s="24">
        <f t="shared" si="12"/>
        <v>11</v>
      </c>
      <c r="B595" s="188" t="str">
        <f>IF(AND(MONTH(E595)='IN-NX'!$J$5,'IN-NX'!$D$7=(D595&amp;"/"&amp;C595)),"x","")</f>
        <v/>
      </c>
      <c r="C595" s="185" t="s">
        <v>155</v>
      </c>
      <c r="D595" s="185" t="s">
        <v>168</v>
      </c>
      <c r="E595" s="69">
        <v>41600</v>
      </c>
      <c r="F595" s="61" t="s">
        <v>162</v>
      </c>
      <c r="G595" s="19" t="s">
        <v>300</v>
      </c>
      <c r="H595" s="216" t="s">
        <v>160</v>
      </c>
      <c r="I595" s="56" t="s">
        <v>93</v>
      </c>
      <c r="J595" s="15">
        <v>24500</v>
      </c>
      <c r="K595" s="15">
        <v>6283</v>
      </c>
      <c r="L595" s="15">
        <v>153933500</v>
      </c>
      <c r="M595" s="15">
        <v>0</v>
      </c>
      <c r="N595" s="15">
        <v>0</v>
      </c>
      <c r="O595" s="15" t="str">
        <f>IF(AND(A595='BANG KE NL'!$M$11,TH!C595="NL",LEFT(D595,1)="N"),"x","")</f>
        <v/>
      </c>
    </row>
    <row r="596" spans="1:15" hidden="1">
      <c r="A596" s="24">
        <f t="shared" si="12"/>
        <v>11</v>
      </c>
      <c r="B596" s="188" t="str">
        <f>IF(AND(MONTH(E596)='IN-NX'!$J$5,'IN-NX'!$D$7=(D596&amp;"/"&amp;C596)),"x","")</f>
        <v/>
      </c>
      <c r="C596" s="185" t="s">
        <v>155</v>
      </c>
      <c r="D596" s="185" t="s">
        <v>152</v>
      </c>
      <c r="E596" s="69">
        <v>41601</v>
      </c>
      <c r="F596" s="61" t="s">
        <v>162</v>
      </c>
      <c r="G596" s="460" t="s">
        <v>158</v>
      </c>
      <c r="H596" s="216" t="s">
        <v>90</v>
      </c>
      <c r="I596" s="56" t="s">
        <v>160</v>
      </c>
      <c r="J596" s="15">
        <v>24500</v>
      </c>
      <c r="K596" s="15">
        <v>0</v>
      </c>
      <c r="L596" s="15">
        <v>0</v>
      </c>
      <c r="M596" s="15">
        <v>12400</v>
      </c>
      <c r="N596" s="15">
        <v>303800000</v>
      </c>
      <c r="O596" s="15" t="str">
        <f>IF(AND(A596='BANG KE NL'!$M$11,TH!C596="NL",LEFT(D596,1)="N"),"x","")</f>
        <v/>
      </c>
    </row>
    <row r="597" spans="1:15" hidden="1">
      <c r="A597" s="24">
        <f t="shared" si="12"/>
        <v>11</v>
      </c>
      <c r="B597" s="188" t="str">
        <f>IF(AND(MONTH(E597)='IN-NX'!$J$5,'IN-NX'!$D$7=(D597&amp;"/"&amp;C597)),"x","")</f>
        <v/>
      </c>
      <c r="C597" s="185" t="s">
        <v>155</v>
      </c>
      <c r="D597" s="185" t="s">
        <v>169</v>
      </c>
      <c r="E597" s="69">
        <v>41603</v>
      </c>
      <c r="F597" s="61" t="s">
        <v>162</v>
      </c>
      <c r="G597" s="19" t="s">
        <v>308</v>
      </c>
      <c r="H597" s="216" t="s">
        <v>160</v>
      </c>
      <c r="I597" s="56" t="s">
        <v>93</v>
      </c>
      <c r="J597" s="15">
        <v>24500</v>
      </c>
      <c r="K597" s="15">
        <v>5986</v>
      </c>
      <c r="L597" s="15">
        <v>146657000</v>
      </c>
      <c r="M597" s="15">
        <v>0</v>
      </c>
      <c r="N597" s="15">
        <v>0</v>
      </c>
      <c r="O597" s="15" t="str">
        <f>IF(AND(A597='BANG KE NL'!$M$11,TH!C597="NL",LEFT(D597,1)="N"),"x","")</f>
        <v/>
      </c>
    </row>
    <row r="598" spans="1:15" hidden="1">
      <c r="A598" s="24">
        <f t="shared" si="12"/>
        <v>11</v>
      </c>
      <c r="B598" s="188" t="str">
        <f>IF(AND(MONTH(E598)='IN-NX'!$J$5,'IN-NX'!$D$7=(D598&amp;"/"&amp;C598)),"x","")</f>
        <v/>
      </c>
      <c r="C598" s="185" t="s">
        <v>155</v>
      </c>
      <c r="D598" s="185" t="s">
        <v>170</v>
      </c>
      <c r="E598" s="69">
        <v>41603</v>
      </c>
      <c r="F598" s="61" t="s">
        <v>162</v>
      </c>
      <c r="G598" s="19" t="s">
        <v>309</v>
      </c>
      <c r="H598" s="216" t="s">
        <v>160</v>
      </c>
      <c r="I598" s="56" t="s">
        <v>93</v>
      </c>
      <c r="J598" s="15">
        <v>24500</v>
      </c>
      <c r="K598" s="15">
        <v>6813</v>
      </c>
      <c r="L598" s="15">
        <v>166918500</v>
      </c>
      <c r="M598" s="15">
        <v>0</v>
      </c>
      <c r="N598" s="15">
        <v>0</v>
      </c>
      <c r="O598" s="15" t="str">
        <f>IF(AND(A598='BANG KE NL'!$M$11,TH!C598="NL",LEFT(D598,1)="N"),"x","")</f>
        <v/>
      </c>
    </row>
    <row r="599" spans="1:15" hidden="1">
      <c r="A599" s="24">
        <f t="shared" si="12"/>
        <v>11</v>
      </c>
      <c r="B599" s="188" t="str">
        <f>IF(AND(MONTH(E599)='IN-NX'!$J$5,'IN-NX'!$D$7=(D599&amp;"/"&amp;C599)),"x","")</f>
        <v/>
      </c>
      <c r="C599" s="185" t="s">
        <v>155</v>
      </c>
      <c r="D599" s="185" t="s">
        <v>171</v>
      </c>
      <c r="E599" s="69">
        <v>41603</v>
      </c>
      <c r="F599" s="61" t="s">
        <v>162</v>
      </c>
      <c r="G599" s="19" t="s">
        <v>307</v>
      </c>
      <c r="H599" s="216" t="s">
        <v>160</v>
      </c>
      <c r="I599" s="56" t="s">
        <v>93</v>
      </c>
      <c r="J599" s="15">
        <v>24500</v>
      </c>
      <c r="K599" s="15">
        <v>6468</v>
      </c>
      <c r="L599" s="15">
        <v>158466000</v>
      </c>
      <c r="M599" s="15">
        <v>0</v>
      </c>
      <c r="N599" s="15">
        <v>0</v>
      </c>
      <c r="O599" s="15" t="str">
        <f>IF(AND(A599='BANG KE NL'!$M$11,TH!C599="NL",LEFT(D599,1)="N"),"x","")</f>
        <v/>
      </c>
    </row>
    <row r="600" spans="1:15" hidden="1">
      <c r="A600" s="24">
        <f t="shared" si="12"/>
        <v>11</v>
      </c>
      <c r="B600" s="188" t="str">
        <f>IF(AND(MONTH(E600)='IN-NX'!$J$5,'IN-NX'!$D$7=(D600&amp;"/"&amp;C600)),"x","")</f>
        <v/>
      </c>
      <c r="C600" s="185" t="s">
        <v>155</v>
      </c>
      <c r="D600" s="185" t="s">
        <v>159</v>
      </c>
      <c r="E600" s="69">
        <v>41603</v>
      </c>
      <c r="F600" s="61" t="s">
        <v>162</v>
      </c>
      <c r="G600" s="460" t="s">
        <v>158</v>
      </c>
      <c r="H600" s="216" t="s">
        <v>90</v>
      </c>
      <c r="I600" s="56" t="s">
        <v>160</v>
      </c>
      <c r="J600" s="15">
        <v>24500</v>
      </c>
      <c r="K600" s="15">
        <v>0</v>
      </c>
      <c r="L600" s="15">
        <v>0</v>
      </c>
      <c r="M600" s="15">
        <v>12269</v>
      </c>
      <c r="N600" s="15">
        <v>300590500</v>
      </c>
      <c r="O600" s="15" t="str">
        <f>IF(AND(A600='BANG KE NL'!$M$11,TH!C600="NL",LEFT(D600,1)="N"),"x","")</f>
        <v/>
      </c>
    </row>
    <row r="601" spans="1:15" hidden="1">
      <c r="A601" s="24">
        <f t="shared" si="12"/>
        <v>11</v>
      </c>
      <c r="B601" s="188" t="str">
        <f>IF(AND(MONTH(E601)='IN-NX'!$J$5,'IN-NX'!$D$7=(D601&amp;"/"&amp;C601)),"x","")</f>
        <v/>
      </c>
      <c r="C601" s="185" t="s">
        <v>155</v>
      </c>
      <c r="D601" s="185" t="s">
        <v>197</v>
      </c>
      <c r="E601" s="69">
        <v>41604</v>
      </c>
      <c r="F601" s="61" t="s">
        <v>162</v>
      </c>
      <c r="G601" s="460" t="s">
        <v>158</v>
      </c>
      <c r="H601" s="216" t="s">
        <v>90</v>
      </c>
      <c r="I601" s="56" t="s">
        <v>160</v>
      </c>
      <c r="J601" s="15">
        <v>24500</v>
      </c>
      <c r="K601" s="15">
        <v>0</v>
      </c>
      <c r="L601" s="15">
        <v>0</v>
      </c>
      <c r="M601" s="15">
        <v>13281</v>
      </c>
      <c r="N601" s="15">
        <v>325384500</v>
      </c>
      <c r="O601" s="15" t="str">
        <f>IF(AND(A601='BANG KE NL'!$M$11,TH!C601="NL",LEFT(D601,1)="N"),"x","")</f>
        <v/>
      </c>
    </row>
    <row r="602" spans="1:15" hidden="1">
      <c r="A602" s="24">
        <f t="shared" si="12"/>
        <v>12</v>
      </c>
      <c r="B602" s="188" t="str">
        <f>IF(AND(MONTH(E602)='IN-NX'!$J$5,'IN-NX'!$D$7=(D602&amp;"/"&amp;C602)),"x","")</f>
        <v/>
      </c>
      <c r="C602" s="185" t="s">
        <v>155</v>
      </c>
      <c r="D602" s="185" t="s">
        <v>311</v>
      </c>
      <c r="E602" s="69">
        <v>41615</v>
      </c>
      <c r="F602" s="61" t="s">
        <v>162</v>
      </c>
      <c r="G602" s="19" t="s">
        <v>441</v>
      </c>
      <c r="H602" s="216" t="s">
        <v>160</v>
      </c>
      <c r="I602" s="56" t="s">
        <v>93</v>
      </c>
      <c r="J602" s="15">
        <v>25000</v>
      </c>
      <c r="K602" s="15">
        <v>5862</v>
      </c>
      <c r="L602" s="15">
        <v>146550000</v>
      </c>
      <c r="M602" s="15">
        <v>0</v>
      </c>
      <c r="N602" s="15">
        <v>0</v>
      </c>
      <c r="O602" s="15" t="str">
        <f>IF(AND(A602='BANG KE NL'!$M$11,TH!C602="NL",LEFT(D602,1)="N"),"x","")</f>
        <v>x</v>
      </c>
    </row>
    <row r="603" spans="1:15" hidden="1">
      <c r="A603" s="24">
        <f t="shared" si="12"/>
        <v>12</v>
      </c>
      <c r="B603" s="188" t="str">
        <f>IF(AND(MONTH(E603)='IN-NX'!$J$5,'IN-NX'!$D$7=(D603&amp;"/"&amp;C603)),"x","")</f>
        <v/>
      </c>
      <c r="C603" s="185" t="s">
        <v>155</v>
      </c>
      <c r="D603" s="185" t="s">
        <v>312</v>
      </c>
      <c r="E603" s="69">
        <v>41615</v>
      </c>
      <c r="F603" s="61" t="s">
        <v>162</v>
      </c>
      <c r="G603" s="19" t="s">
        <v>135</v>
      </c>
      <c r="H603" s="216" t="s">
        <v>160</v>
      </c>
      <c r="I603" s="56" t="s">
        <v>93</v>
      </c>
      <c r="J603" s="15">
        <v>25000</v>
      </c>
      <c r="K603" s="15">
        <v>6832</v>
      </c>
      <c r="L603" s="15">
        <v>170800000</v>
      </c>
      <c r="M603" s="15">
        <v>0</v>
      </c>
      <c r="N603" s="15">
        <v>0</v>
      </c>
      <c r="O603" s="15" t="str">
        <f>IF(AND(A603='BANG KE NL'!$M$11,TH!C603="NL",LEFT(D603,1)="N"),"x","")</f>
        <v>x</v>
      </c>
    </row>
    <row r="604" spans="1:15" hidden="1">
      <c r="A604" s="24">
        <f t="shared" si="12"/>
        <v>12</v>
      </c>
      <c r="B604" s="188" t="str">
        <f>IF(AND(MONTH(E604)='IN-NX'!$J$5,'IN-NX'!$D$7=(D604&amp;"/"&amp;C604)),"x","")</f>
        <v/>
      </c>
      <c r="C604" s="185" t="s">
        <v>155</v>
      </c>
      <c r="D604" s="185" t="s">
        <v>313</v>
      </c>
      <c r="E604" s="69">
        <v>41616</v>
      </c>
      <c r="F604" s="61" t="s">
        <v>162</v>
      </c>
      <c r="G604" s="19" t="s">
        <v>136</v>
      </c>
      <c r="H604" s="216" t="s">
        <v>160</v>
      </c>
      <c r="I604" s="56" t="s">
        <v>93</v>
      </c>
      <c r="J604" s="15">
        <v>25000</v>
      </c>
      <c r="K604" s="15">
        <v>5982</v>
      </c>
      <c r="L604" s="15">
        <v>149550000</v>
      </c>
      <c r="M604" s="15">
        <v>0</v>
      </c>
      <c r="N604" s="15">
        <v>0</v>
      </c>
      <c r="O604" s="15" t="str">
        <f>IF(AND(A604='BANG KE NL'!$M$11,TH!C604="NL",LEFT(D604,1)="N"),"x","")</f>
        <v>x</v>
      </c>
    </row>
    <row r="605" spans="1:15" hidden="1">
      <c r="A605" s="24">
        <f t="shared" si="12"/>
        <v>12</v>
      </c>
      <c r="B605" s="188" t="str">
        <f>IF(AND(MONTH(E605)='IN-NX'!$J$5,'IN-NX'!$D$7=(D605&amp;"/"&amp;C605)),"x","")</f>
        <v/>
      </c>
      <c r="C605" s="185" t="s">
        <v>155</v>
      </c>
      <c r="D605" s="185" t="s">
        <v>314</v>
      </c>
      <c r="E605" s="69">
        <v>41616</v>
      </c>
      <c r="F605" s="61" t="s">
        <v>162</v>
      </c>
      <c r="G605" s="19" t="s">
        <v>317</v>
      </c>
      <c r="H605" s="216" t="s">
        <v>160</v>
      </c>
      <c r="I605" s="56" t="s">
        <v>93</v>
      </c>
      <c r="J605" s="15">
        <v>25000</v>
      </c>
      <c r="K605" s="15">
        <v>6673</v>
      </c>
      <c r="L605" s="15">
        <v>166825000</v>
      </c>
      <c r="M605" s="15">
        <v>0</v>
      </c>
      <c r="N605" s="15">
        <v>0</v>
      </c>
      <c r="O605" s="15" t="str">
        <f>IF(AND(A605='BANG KE NL'!$M$11,TH!C605="NL",LEFT(D605,1)="N"),"x","")</f>
        <v>x</v>
      </c>
    </row>
    <row r="606" spans="1:15" hidden="1">
      <c r="A606" s="24">
        <f t="shared" si="12"/>
        <v>12</v>
      </c>
      <c r="B606" s="188" t="str">
        <f>IF(AND(MONTH(E606)='IN-NX'!$J$5,'IN-NX'!$D$7=(D606&amp;"/"&amp;C606)),"x","")</f>
        <v/>
      </c>
      <c r="C606" s="185" t="s">
        <v>155</v>
      </c>
      <c r="D606" s="185" t="s">
        <v>315</v>
      </c>
      <c r="E606" s="69">
        <v>41616</v>
      </c>
      <c r="F606" s="61" t="s">
        <v>162</v>
      </c>
      <c r="G606" s="19" t="s">
        <v>430</v>
      </c>
      <c r="H606" s="216" t="s">
        <v>160</v>
      </c>
      <c r="I606" s="56" t="s">
        <v>93</v>
      </c>
      <c r="J606" s="15">
        <v>25000</v>
      </c>
      <c r="K606" s="15">
        <v>5701</v>
      </c>
      <c r="L606" s="15">
        <v>142525000</v>
      </c>
      <c r="M606" s="15">
        <v>0</v>
      </c>
      <c r="N606" s="15">
        <v>0</v>
      </c>
      <c r="O606" s="15" t="str">
        <f>IF(AND(A606='BANG KE NL'!$M$11,TH!C606="NL",LEFT(D606,1)="N"),"x","")</f>
        <v>x</v>
      </c>
    </row>
    <row r="607" spans="1:15" hidden="1">
      <c r="A607" s="24">
        <f t="shared" si="12"/>
        <v>12</v>
      </c>
      <c r="B607" s="188" t="str">
        <f>IF(AND(MONTH(E607)='IN-NX'!$J$5,'IN-NX'!$D$7=(D607&amp;"/"&amp;C607)),"x","")</f>
        <v/>
      </c>
      <c r="C607" s="185" t="s">
        <v>155</v>
      </c>
      <c r="D607" s="185" t="s">
        <v>202</v>
      </c>
      <c r="E607" s="69">
        <v>41620</v>
      </c>
      <c r="F607" s="61" t="s">
        <v>162</v>
      </c>
      <c r="G607" s="460" t="s">
        <v>158</v>
      </c>
      <c r="H607" s="216" t="s">
        <v>90</v>
      </c>
      <c r="I607" s="56" t="s">
        <v>160</v>
      </c>
      <c r="J607" s="15">
        <v>25000</v>
      </c>
      <c r="K607" s="15">
        <v>0</v>
      </c>
      <c r="L607" s="15">
        <v>0</v>
      </c>
      <c r="M607" s="15">
        <v>18676</v>
      </c>
      <c r="N607" s="15">
        <v>466900000</v>
      </c>
      <c r="O607" s="15" t="str">
        <f>IF(AND(A607='BANG KE NL'!$M$11,TH!C607="NL",LEFT(D607,1)="N"),"x","")</f>
        <v/>
      </c>
    </row>
    <row r="608" spans="1:15" hidden="1">
      <c r="A608" s="24">
        <f t="shared" si="12"/>
        <v>12</v>
      </c>
      <c r="B608" s="188" t="str">
        <f>IF(AND(MONTH(E608)='IN-NX'!$J$5,'IN-NX'!$D$7=(D608&amp;"/"&amp;C608)),"x","")</f>
        <v/>
      </c>
      <c r="C608" s="185" t="s">
        <v>155</v>
      </c>
      <c r="D608" s="185" t="s">
        <v>433</v>
      </c>
      <c r="E608" s="69">
        <v>41622</v>
      </c>
      <c r="F608" s="61" t="s">
        <v>162</v>
      </c>
      <c r="G608" s="460" t="s">
        <v>158</v>
      </c>
      <c r="H608" s="216" t="s">
        <v>90</v>
      </c>
      <c r="I608" s="56" t="s">
        <v>160</v>
      </c>
      <c r="J608" s="15">
        <v>25000</v>
      </c>
      <c r="K608" s="15">
        <v>0</v>
      </c>
      <c r="L608" s="15">
        <v>0</v>
      </c>
      <c r="M608" s="15">
        <v>12374</v>
      </c>
      <c r="N608" s="15">
        <v>309350000</v>
      </c>
      <c r="O608" s="15" t="str">
        <f>IF(AND(A608='BANG KE NL'!$M$11,TH!C608="NL",LEFT(D608,1)="N"),"x","")</f>
        <v/>
      </c>
    </row>
    <row r="609" spans="1:15" hidden="1">
      <c r="A609" s="24">
        <f t="shared" si="12"/>
        <v>5</v>
      </c>
      <c r="B609" s="188" t="str">
        <f>IF(AND(MONTH(E609)='IN-NX'!$J$5,'IN-NX'!$D$7=(D609&amp;"/"&amp;C609)),"x","")</f>
        <v/>
      </c>
      <c r="C609" s="185" t="s">
        <v>155</v>
      </c>
      <c r="D609" s="185" t="s">
        <v>181</v>
      </c>
      <c r="E609" s="69">
        <v>41411</v>
      </c>
      <c r="F609" s="61" t="s">
        <v>297</v>
      </c>
      <c r="G609" s="19" t="s">
        <v>128</v>
      </c>
      <c r="H609" s="216" t="s">
        <v>160</v>
      </c>
      <c r="I609" s="56" t="s">
        <v>93</v>
      </c>
      <c r="J609" s="15">
        <v>25000</v>
      </c>
      <c r="K609" s="15">
        <v>3250</v>
      </c>
      <c r="L609" s="15">
        <v>81250000</v>
      </c>
      <c r="M609" s="15">
        <v>0</v>
      </c>
      <c r="N609" s="15">
        <v>0</v>
      </c>
      <c r="O609" s="15" t="str">
        <f>IF(AND(A609='BANG KE NL'!$M$11,TH!C609="NL",LEFT(D609,1)="N"),"x","")</f>
        <v/>
      </c>
    </row>
    <row r="610" spans="1:15" hidden="1">
      <c r="A610" s="24">
        <f t="shared" si="12"/>
        <v>5</v>
      </c>
      <c r="B610" s="188" t="str">
        <f>IF(AND(MONTH(E610)='IN-NX'!$J$5,'IN-NX'!$D$7=(D610&amp;"/"&amp;C610)),"x","")</f>
        <v/>
      </c>
      <c r="C610" s="185" t="s">
        <v>155</v>
      </c>
      <c r="D610" s="185" t="s">
        <v>201</v>
      </c>
      <c r="E610" s="69">
        <v>41412</v>
      </c>
      <c r="F610" s="61" t="s">
        <v>297</v>
      </c>
      <c r="G610" s="460" t="s">
        <v>158</v>
      </c>
      <c r="H610" s="216" t="s">
        <v>90</v>
      </c>
      <c r="I610" s="56" t="s">
        <v>160</v>
      </c>
      <c r="J610" s="15">
        <v>25000</v>
      </c>
      <c r="K610" s="15">
        <v>0</v>
      </c>
      <c r="L610" s="15">
        <v>0</v>
      </c>
      <c r="M610" s="15">
        <v>3250</v>
      </c>
      <c r="N610" s="15">
        <v>81250000</v>
      </c>
      <c r="O610" s="15" t="str">
        <f>IF(AND(A610='BANG KE NL'!$M$11,TH!C610="NL",LEFT(D610,1)="N"),"x","")</f>
        <v/>
      </c>
    </row>
    <row r="611" spans="1:15" hidden="1">
      <c r="A611" s="24">
        <f t="shared" si="12"/>
        <v>8</v>
      </c>
      <c r="B611" s="188" t="str">
        <f>IF(AND(MONTH(E611)='IN-NX'!$J$5,'IN-NX'!$D$7=(D611&amp;"/"&amp;C611)),"x","")</f>
        <v/>
      </c>
      <c r="C611" s="185" t="s">
        <v>155</v>
      </c>
      <c r="D611" s="185" t="s">
        <v>184</v>
      </c>
      <c r="E611" s="69">
        <v>41501</v>
      </c>
      <c r="F611" s="61" t="s">
        <v>297</v>
      </c>
      <c r="G611" s="19" t="s">
        <v>430</v>
      </c>
      <c r="H611" s="216" t="s">
        <v>160</v>
      </c>
      <c r="I611" s="56" t="s">
        <v>93</v>
      </c>
      <c r="J611" s="15">
        <v>25000</v>
      </c>
      <c r="K611" s="15">
        <v>3440</v>
      </c>
      <c r="L611" s="15">
        <v>86000000</v>
      </c>
      <c r="M611" s="15">
        <v>0</v>
      </c>
      <c r="N611" s="15">
        <v>0</v>
      </c>
      <c r="O611" s="15" t="str">
        <f>IF(AND(A611='BANG KE NL'!$M$11,TH!C611="NL",LEFT(D611,1)="N"),"x","")</f>
        <v/>
      </c>
    </row>
    <row r="612" spans="1:15" hidden="1">
      <c r="A612" s="24">
        <f t="shared" si="12"/>
        <v>8</v>
      </c>
      <c r="B612" s="188" t="str">
        <f>IF(AND(MONTH(E612)='IN-NX'!$J$5,'IN-NX'!$D$7=(D612&amp;"/"&amp;C612)),"x","")</f>
        <v/>
      </c>
      <c r="C612" s="185" t="s">
        <v>155</v>
      </c>
      <c r="D612" s="185" t="s">
        <v>186</v>
      </c>
      <c r="E612" s="69">
        <v>41501</v>
      </c>
      <c r="F612" s="61" t="s">
        <v>297</v>
      </c>
      <c r="G612" s="19" t="s">
        <v>408</v>
      </c>
      <c r="H612" s="216" t="s">
        <v>160</v>
      </c>
      <c r="I612" s="56" t="s">
        <v>93</v>
      </c>
      <c r="J612" s="15">
        <v>25000</v>
      </c>
      <c r="K612" s="15">
        <v>5929</v>
      </c>
      <c r="L612" s="15">
        <v>148225000</v>
      </c>
      <c r="M612" s="15">
        <v>0</v>
      </c>
      <c r="N612" s="15">
        <v>0</v>
      </c>
      <c r="O612" s="15" t="str">
        <f>IF(AND(A612='BANG KE NL'!$M$11,TH!C612="NL",LEFT(D612,1)="N"),"x","")</f>
        <v/>
      </c>
    </row>
    <row r="613" spans="1:15" hidden="1">
      <c r="A613" s="24">
        <f t="shared" si="12"/>
        <v>8</v>
      </c>
      <c r="B613" s="188" t="str">
        <f>IF(AND(MONTH(E613)='IN-NX'!$J$5,'IN-NX'!$D$7=(D613&amp;"/"&amp;C613)),"x","")</f>
        <v/>
      </c>
      <c r="C613" s="185" t="s">
        <v>155</v>
      </c>
      <c r="D613" s="185" t="s">
        <v>187</v>
      </c>
      <c r="E613" s="69">
        <v>41501</v>
      </c>
      <c r="F613" s="61" t="s">
        <v>297</v>
      </c>
      <c r="G613" s="19" t="s">
        <v>127</v>
      </c>
      <c r="H613" s="216" t="s">
        <v>160</v>
      </c>
      <c r="I613" s="56" t="s">
        <v>93</v>
      </c>
      <c r="J613" s="15">
        <v>25000</v>
      </c>
      <c r="K613" s="15">
        <v>4118</v>
      </c>
      <c r="L613" s="15">
        <v>102950000</v>
      </c>
      <c r="M613" s="15">
        <v>0</v>
      </c>
      <c r="N613" s="15">
        <v>0</v>
      </c>
      <c r="O613" s="15" t="str">
        <f>IF(AND(A613='BANG KE NL'!$M$11,TH!C613="NL",LEFT(D613,1)="N"),"x","")</f>
        <v/>
      </c>
    </row>
    <row r="614" spans="1:15" hidden="1">
      <c r="A614" s="24">
        <f t="shared" si="12"/>
        <v>8</v>
      </c>
      <c r="B614" s="188" t="str">
        <f>IF(AND(MONTH(E614)='IN-NX'!$J$5,'IN-NX'!$D$7=(D614&amp;"/"&amp;C614)),"x","")</f>
        <v/>
      </c>
      <c r="C614" s="185" t="s">
        <v>155</v>
      </c>
      <c r="D614" s="185" t="s">
        <v>201</v>
      </c>
      <c r="E614" s="69">
        <v>41501</v>
      </c>
      <c r="F614" s="61" t="s">
        <v>297</v>
      </c>
      <c r="G614" s="460" t="s">
        <v>158</v>
      </c>
      <c r="H614" s="216" t="s">
        <v>90</v>
      </c>
      <c r="I614" s="56" t="s">
        <v>160</v>
      </c>
      <c r="J614" s="15">
        <v>25000</v>
      </c>
      <c r="K614" s="15">
        <v>0</v>
      </c>
      <c r="L614" s="15">
        <v>0</v>
      </c>
      <c r="M614" s="15">
        <v>13487</v>
      </c>
      <c r="N614" s="15">
        <v>337175000</v>
      </c>
      <c r="O614" s="15" t="str">
        <f>IF(AND(A614='BANG KE NL'!$M$11,TH!C614="NL",LEFT(D614,1)="N"),"x","")</f>
        <v/>
      </c>
    </row>
    <row r="615" spans="1:15" hidden="1">
      <c r="A615" s="24">
        <f t="shared" si="12"/>
        <v>12</v>
      </c>
      <c r="B615" s="188" t="str">
        <f>IF(AND(MONTH(E615)='IN-NX'!$J$5,'IN-NX'!$D$7=(D615&amp;"/"&amp;C615)),"x","")</f>
        <v/>
      </c>
      <c r="C615" s="185" t="s">
        <v>155</v>
      </c>
      <c r="D615" s="185" t="s">
        <v>175</v>
      </c>
      <c r="E615" s="69">
        <v>41611</v>
      </c>
      <c r="F615" s="61" t="s">
        <v>297</v>
      </c>
      <c r="G615" s="19" t="s">
        <v>134</v>
      </c>
      <c r="H615" s="216" t="s">
        <v>160</v>
      </c>
      <c r="I615" s="56" t="s">
        <v>93</v>
      </c>
      <c r="J615" s="15">
        <v>23500</v>
      </c>
      <c r="K615" s="15">
        <v>5250</v>
      </c>
      <c r="L615" s="15">
        <v>123375000</v>
      </c>
      <c r="M615" s="15">
        <v>0</v>
      </c>
      <c r="N615" s="15">
        <v>0</v>
      </c>
      <c r="O615" s="15" t="str">
        <f>IF(AND(A615='BANG KE NL'!$M$11,TH!C615="NL",LEFT(D615,1)="N"),"x","")</f>
        <v>x</v>
      </c>
    </row>
    <row r="616" spans="1:15" hidden="1">
      <c r="A616" s="24">
        <f t="shared" si="12"/>
        <v>12</v>
      </c>
      <c r="B616" s="188" t="str">
        <f>IF(AND(MONTH(E616)='IN-NX'!$J$5,'IN-NX'!$D$7=(D616&amp;"/"&amp;C616)),"x","")</f>
        <v/>
      </c>
      <c r="C616" s="185" t="s">
        <v>155</v>
      </c>
      <c r="D616" s="185" t="s">
        <v>198</v>
      </c>
      <c r="E616" s="69">
        <v>41615</v>
      </c>
      <c r="F616" s="61" t="s">
        <v>297</v>
      </c>
      <c r="G616" s="460" t="s">
        <v>158</v>
      </c>
      <c r="H616" s="216" t="s">
        <v>90</v>
      </c>
      <c r="I616" s="56" t="s">
        <v>160</v>
      </c>
      <c r="J616" s="15">
        <v>23500</v>
      </c>
      <c r="K616" s="15">
        <v>0</v>
      </c>
      <c r="L616" s="15">
        <v>0</v>
      </c>
      <c r="M616" s="15">
        <v>5250</v>
      </c>
      <c r="N616" s="15">
        <v>123375000</v>
      </c>
      <c r="O616" s="15" t="str">
        <f>IF(AND(A616='BANG KE NL'!$M$11,TH!C616="NL",LEFT(D616,1)="N"),"x","")</f>
        <v/>
      </c>
    </row>
    <row r="617" spans="1:15" hidden="1">
      <c r="A617" s="24">
        <f t="shared" si="12"/>
        <v>3</v>
      </c>
      <c r="B617" s="188" t="str">
        <f>IF(AND(MONTH(E617)='IN-NX'!$J$5,'IN-NX'!$D$7=(D617&amp;"/"&amp;C617)),"x","")</f>
        <v/>
      </c>
      <c r="C617" s="185" t="s">
        <v>155</v>
      </c>
      <c r="D617" s="185" t="s">
        <v>143</v>
      </c>
      <c r="E617" s="69">
        <v>41340</v>
      </c>
      <c r="F617" s="61" t="s">
        <v>64</v>
      </c>
      <c r="G617" s="19" t="s">
        <v>408</v>
      </c>
      <c r="H617" s="216" t="s">
        <v>160</v>
      </c>
      <c r="I617" s="56" t="s">
        <v>93</v>
      </c>
      <c r="J617" s="15">
        <v>17000</v>
      </c>
      <c r="K617" s="15">
        <v>4981</v>
      </c>
      <c r="L617" s="15">
        <v>84677000</v>
      </c>
      <c r="M617" s="15">
        <v>0</v>
      </c>
      <c r="N617" s="15">
        <v>0</v>
      </c>
      <c r="O617" s="15" t="str">
        <f>IF(AND(A617='BANG KE NL'!$M$11,TH!C617="NL",LEFT(D617,1)="N"),"x","")</f>
        <v/>
      </c>
    </row>
    <row r="618" spans="1:15" hidden="1">
      <c r="A618" s="24">
        <f t="shared" si="12"/>
        <v>3</v>
      </c>
      <c r="B618" s="188" t="str">
        <f>IF(AND(MONTH(E618)='IN-NX'!$J$5,'IN-NX'!$D$7=(D618&amp;"/"&amp;C618)),"x","")</f>
        <v/>
      </c>
      <c r="C618" s="185" t="s">
        <v>155</v>
      </c>
      <c r="D618" s="185" t="s">
        <v>144</v>
      </c>
      <c r="E618" s="69">
        <v>41340</v>
      </c>
      <c r="F618" s="61" t="s">
        <v>64</v>
      </c>
      <c r="G618" s="19" t="s">
        <v>128</v>
      </c>
      <c r="H618" s="216" t="s">
        <v>160</v>
      </c>
      <c r="I618" s="56" t="s">
        <v>93</v>
      </c>
      <c r="J618" s="15">
        <v>17000</v>
      </c>
      <c r="K618" s="15">
        <v>4530</v>
      </c>
      <c r="L618" s="15">
        <v>77010000</v>
      </c>
      <c r="M618" s="15">
        <v>0</v>
      </c>
      <c r="N618" s="15">
        <v>0</v>
      </c>
      <c r="O618" s="15" t="str">
        <f>IF(AND(A618='BANG KE NL'!$M$11,TH!C618="NL",LEFT(D618,1)="N"),"x","")</f>
        <v/>
      </c>
    </row>
    <row r="619" spans="1:15" hidden="1">
      <c r="A619" s="24">
        <f t="shared" si="12"/>
        <v>3</v>
      </c>
      <c r="B619" s="188" t="str">
        <f>IF(AND(MONTH(E619)='IN-NX'!$J$5,'IN-NX'!$D$7=(D619&amp;"/"&amp;C619)),"x","")</f>
        <v/>
      </c>
      <c r="C619" s="185" t="s">
        <v>155</v>
      </c>
      <c r="D619" s="185" t="s">
        <v>145</v>
      </c>
      <c r="E619" s="69">
        <v>41340</v>
      </c>
      <c r="F619" s="61" t="s">
        <v>64</v>
      </c>
      <c r="G619" s="19" t="s">
        <v>127</v>
      </c>
      <c r="H619" s="216" t="s">
        <v>160</v>
      </c>
      <c r="I619" s="56" t="s">
        <v>93</v>
      </c>
      <c r="J619" s="15">
        <v>17000</v>
      </c>
      <c r="K619" s="15">
        <v>4130</v>
      </c>
      <c r="L619" s="15">
        <v>70210000</v>
      </c>
      <c r="M619" s="15">
        <v>0</v>
      </c>
      <c r="N619" s="15">
        <v>0</v>
      </c>
      <c r="O619" s="15" t="str">
        <f>IF(AND(A619='BANG KE NL'!$M$11,TH!C619="NL",LEFT(D619,1)="N"),"x","")</f>
        <v/>
      </c>
    </row>
    <row r="620" spans="1:15" hidden="1">
      <c r="A620" s="24">
        <f t="shared" si="12"/>
        <v>3</v>
      </c>
      <c r="B620" s="188" t="str">
        <f>IF(AND(MONTH(E620)='IN-NX'!$J$5,'IN-NX'!$D$7=(D620&amp;"/"&amp;C620)),"x","")</f>
        <v/>
      </c>
      <c r="C620" s="185" t="s">
        <v>155</v>
      </c>
      <c r="D620" s="185" t="s">
        <v>149</v>
      </c>
      <c r="E620" s="69">
        <v>41340</v>
      </c>
      <c r="F620" s="61" t="s">
        <v>64</v>
      </c>
      <c r="G620" s="460" t="s">
        <v>158</v>
      </c>
      <c r="H620" s="216" t="s">
        <v>90</v>
      </c>
      <c r="I620" s="56" t="s">
        <v>160</v>
      </c>
      <c r="J620" s="15">
        <v>17000</v>
      </c>
      <c r="K620" s="15">
        <v>0</v>
      </c>
      <c r="L620" s="15">
        <v>0</v>
      </c>
      <c r="M620" s="15">
        <v>9511</v>
      </c>
      <c r="N620" s="15">
        <v>161687000</v>
      </c>
      <c r="O620" s="15" t="str">
        <f>IF(AND(A620='BANG KE NL'!$M$11,TH!C620="NL",LEFT(D620,1)="N"),"x","")</f>
        <v/>
      </c>
    </row>
    <row r="621" spans="1:15" hidden="1">
      <c r="A621" s="24">
        <f t="shared" si="12"/>
        <v>3</v>
      </c>
      <c r="B621" s="188" t="str">
        <f>IF(AND(MONTH(E621)='IN-NX'!$J$5,'IN-NX'!$D$7=(D621&amp;"/"&amp;C621)),"x","")</f>
        <v/>
      </c>
      <c r="C621" s="185" t="s">
        <v>155</v>
      </c>
      <c r="D621" s="185" t="s">
        <v>146</v>
      </c>
      <c r="E621" s="69">
        <v>41342</v>
      </c>
      <c r="F621" s="61" t="s">
        <v>64</v>
      </c>
      <c r="G621" s="19" t="s">
        <v>309</v>
      </c>
      <c r="H621" s="216" t="s">
        <v>160</v>
      </c>
      <c r="I621" s="56" t="s">
        <v>93</v>
      </c>
      <c r="J621" s="15">
        <v>17000</v>
      </c>
      <c r="K621" s="15">
        <v>4450</v>
      </c>
      <c r="L621" s="15">
        <v>75650000</v>
      </c>
      <c r="M621" s="15">
        <v>0</v>
      </c>
      <c r="N621" s="15">
        <v>0</v>
      </c>
      <c r="O621" s="15" t="str">
        <f>IF(AND(A621='BANG KE NL'!$M$11,TH!C621="NL",LEFT(D621,1)="N"),"x","")</f>
        <v/>
      </c>
    </row>
    <row r="622" spans="1:15" hidden="1">
      <c r="A622" s="24">
        <f t="shared" si="12"/>
        <v>3</v>
      </c>
      <c r="B622" s="188" t="str">
        <f>IF(AND(MONTH(E622)='IN-NX'!$J$5,'IN-NX'!$D$7=(D622&amp;"/"&amp;C622)),"x","")</f>
        <v/>
      </c>
      <c r="C622" s="185" t="s">
        <v>155</v>
      </c>
      <c r="D622" s="185" t="s">
        <v>147</v>
      </c>
      <c r="E622" s="69">
        <v>41342</v>
      </c>
      <c r="F622" s="61" t="s">
        <v>64</v>
      </c>
      <c r="G622" s="19" t="s">
        <v>302</v>
      </c>
      <c r="H622" s="216" t="s">
        <v>160</v>
      </c>
      <c r="I622" s="56" t="s">
        <v>93</v>
      </c>
      <c r="J622" s="15">
        <v>17000</v>
      </c>
      <c r="K622" s="15">
        <v>4509</v>
      </c>
      <c r="L622" s="15">
        <v>76653000</v>
      </c>
      <c r="M622" s="15">
        <v>0</v>
      </c>
      <c r="N622" s="15">
        <v>0</v>
      </c>
      <c r="O622" s="15" t="str">
        <f>IF(AND(A622='BANG KE NL'!$M$11,TH!C622="NL",LEFT(D622,1)="N"),"x","")</f>
        <v/>
      </c>
    </row>
    <row r="623" spans="1:15" hidden="1">
      <c r="A623" s="24">
        <f t="shared" si="12"/>
        <v>3</v>
      </c>
      <c r="B623" s="188" t="str">
        <f>IF(AND(MONTH(E623)='IN-NX'!$J$5,'IN-NX'!$D$7=(D623&amp;"/"&amp;C623)),"x","")</f>
        <v/>
      </c>
      <c r="C623" s="185" t="s">
        <v>155</v>
      </c>
      <c r="D623" s="185" t="s">
        <v>148</v>
      </c>
      <c r="E623" s="69">
        <v>41342</v>
      </c>
      <c r="F623" s="61" t="s">
        <v>64</v>
      </c>
      <c r="G623" s="19" t="s">
        <v>308</v>
      </c>
      <c r="H623" s="216" t="s">
        <v>160</v>
      </c>
      <c r="I623" s="56" t="s">
        <v>93</v>
      </c>
      <c r="J623" s="15">
        <v>17000</v>
      </c>
      <c r="K623" s="15">
        <v>4920</v>
      </c>
      <c r="L623" s="15">
        <v>83640000</v>
      </c>
      <c r="M623" s="15">
        <v>0</v>
      </c>
      <c r="N623" s="15">
        <v>0</v>
      </c>
      <c r="O623" s="15" t="str">
        <f>IF(AND(A623='BANG KE NL'!$M$11,TH!C623="NL",LEFT(D623,1)="N"),"x","")</f>
        <v/>
      </c>
    </row>
    <row r="624" spans="1:15" hidden="1">
      <c r="A624" s="24">
        <f t="shared" si="12"/>
        <v>3</v>
      </c>
      <c r="B624" s="188" t="str">
        <f>IF(AND(MONTH(E624)='IN-NX'!$J$5,'IN-NX'!$D$7=(D624&amp;"/"&amp;C624)),"x","")</f>
        <v/>
      </c>
      <c r="C624" s="185" t="s">
        <v>155</v>
      </c>
      <c r="D624" s="185" t="s">
        <v>150</v>
      </c>
      <c r="E624" s="69">
        <v>41342</v>
      </c>
      <c r="F624" s="61" t="s">
        <v>64</v>
      </c>
      <c r="G624" s="460" t="s">
        <v>158</v>
      </c>
      <c r="H624" s="216" t="s">
        <v>90</v>
      </c>
      <c r="I624" s="56" t="s">
        <v>160</v>
      </c>
      <c r="J624" s="15">
        <v>17000</v>
      </c>
      <c r="K624" s="15">
        <v>0</v>
      </c>
      <c r="L624" s="15">
        <v>0</v>
      </c>
      <c r="M624" s="15">
        <v>8580</v>
      </c>
      <c r="N624" s="15">
        <v>145860000</v>
      </c>
      <c r="O624" s="15" t="str">
        <f>IF(AND(A624='BANG KE NL'!$M$11,TH!C624="NL",LEFT(D624,1)="N"),"x","")</f>
        <v/>
      </c>
    </row>
    <row r="625" spans="1:15" hidden="1">
      <c r="A625" s="24">
        <f t="shared" si="12"/>
        <v>3</v>
      </c>
      <c r="B625" s="188" t="str">
        <f>IF(AND(MONTH(E625)='IN-NX'!$J$5,'IN-NX'!$D$7=(D625&amp;"/"&amp;C625)),"x","")</f>
        <v/>
      </c>
      <c r="C625" s="185" t="s">
        <v>155</v>
      </c>
      <c r="D625" s="185" t="s">
        <v>161</v>
      </c>
      <c r="E625" s="69">
        <v>41343</v>
      </c>
      <c r="F625" s="61" t="s">
        <v>64</v>
      </c>
      <c r="G625" s="19" t="s">
        <v>303</v>
      </c>
      <c r="H625" s="216" t="s">
        <v>160</v>
      </c>
      <c r="I625" s="56" t="s">
        <v>93</v>
      </c>
      <c r="J625" s="15">
        <v>17000</v>
      </c>
      <c r="K625" s="15">
        <v>3970</v>
      </c>
      <c r="L625" s="15">
        <v>67490000</v>
      </c>
      <c r="M625" s="15">
        <v>0</v>
      </c>
      <c r="N625" s="15">
        <v>0</v>
      </c>
      <c r="O625" s="15" t="str">
        <f>IF(AND(A625='BANG KE NL'!$M$11,TH!C625="NL",LEFT(D625,1)="N"),"x","")</f>
        <v/>
      </c>
    </row>
    <row r="626" spans="1:15" hidden="1">
      <c r="A626" s="24">
        <f t="shared" si="12"/>
        <v>3</v>
      </c>
      <c r="B626" s="188" t="str">
        <f>IF(AND(MONTH(E626)='IN-NX'!$J$5,'IN-NX'!$D$7=(D626&amp;"/"&amp;C626)),"x","")</f>
        <v/>
      </c>
      <c r="C626" s="185" t="s">
        <v>155</v>
      </c>
      <c r="D626" s="185" t="s">
        <v>163</v>
      </c>
      <c r="E626" s="69">
        <v>41343</v>
      </c>
      <c r="F626" s="61" t="s">
        <v>64</v>
      </c>
      <c r="G626" s="19" t="s">
        <v>415</v>
      </c>
      <c r="H626" s="216" t="s">
        <v>160</v>
      </c>
      <c r="I626" s="56" t="s">
        <v>93</v>
      </c>
      <c r="J626" s="15">
        <v>17000</v>
      </c>
      <c r="K626" s="15">
        <v>3960</v>
      </c>
      <c r="L626" s="15">
        <v>67320000</v>
      </c>
      <c r="M626" s="15">
        <v>0</v>
      </c>
      <c r="N626" s="15">
        <v>0</v>
      </c>
      <c r="O626" s="15" t="str">
        <f>IF(AND(A626='BANG KE NL'!$M$11,TH!C626="NL",LEFT(D626,1)="N"),"x","")</f>
        <v/>
      </c>
    </row>
    <row r="627" spans="1:15" hidden="1">
      <c r="A627" s="24">
        <f t="shared" si="12"/>
        <v>3</v>
      </c>
      <c r="B627" s="188" t="str">
        <f>IF(AND(MONTH(E627)='IN-NX'!$J$5,'IN-NX'!$D$7=(D627&amp;"/"&amp;C627)),"x","")</f>
        <v/>
      </c>
      <c r="C627" s="185" t="s">
        <v>155</v>
      </c>
      <c r="D627" s="185" t="s">
        <v>151</v>
      </c>
      <c r="E627" s="69">
        <v>41343</v>
      </c>
      <c r="F627" s="61" t="s">
        <v>64</v>
      </c>
      <c r="G627" s="460" t="s">
        <v>158</v>
      </c>
      <c r="H627" s="216" t="s">
        <v>90</v>
      </c>
      <c r="I627" s="56" t="s">
        <v>160</v>
      </c>
      <c r="J627" s="15">
        <v>17000</v>
      </c>
      <c r="K627" s="15">
        <v>0</v>
      </c>
      <c r="L627" s="15">
        <v>0</v>
      </c>
      <c r="M627" s="15">
        <v>9429</v>
      </c>
      <c r="N627" s="15">
        <v>160293000</v>
      </c>
      <c r="O627" s="15" t="str">
        <f>IF(AND(A627='BANG KE NL'!$M$11,TH!C627="NL",LEFT(D627,1)="N"),"x","")</f>
        <v/>
      </c>
    </row>
    <row r="628" spans="1:15" hidden="1">
      <c r="A628" s="24">
        <f t="shared" si="12"/>
        <v>3</v>
      </c>
      <c r="B628" s="188" t="str">
        <f>IF(AND(MONTH(E628)='IN-NX'!$J$5,'IN-NX'!$D$7=(D628&amp;"/"&amp;C628)),"x","")</f>
        <v/>
      </c>
      <c r="C628" s="185" t="s">
        <v>155</v>
      </c>
      <c r="D628" s="185" t="s">
        <v>152</v>
      </c>
      <c r="E628" s="69">
        <v>41344</v>
      </c>
      <c r="F628" s="61" t="s">
        <v>64</v>
      </c>
      <c r="G628" s="460" t="s">
        <v>158</v>
      </c>
      <c r="H628" s="216" t="s">
        <v>90</v>
      </c>
      <c r="I628" s="56" t="s">
        <v>160</v>
      </c>
      <c r="J628" s="15">
        <v>17000</v>
      </c>
      <c r="K628" s="15">
        <v>0</v>
      </c>
      <c r="L628" s="15">
        <v>0</v>
      </c>
      <c r="M628" s="15">
        <v>7930</v>
      </c>
      <c r="N628" s="15">
        <v>134810000</v>
      </c>
      <c r="O628" s="15" t="str">
        <f>IF(AND(A628='BANG KE NL'!$M$11,TH!C628="NL",LEFT(D628,1)="N"),"x","")</f>
        <v/>
      </c>
    </row>
    <row r="629" spans="1:15" hidden="1">
      <c r="A629" s="24">
        <f t="shared" si="12"/>
        <v>6</v>
      </c>
      <c r="B629" s="188" t="str">
        <f>IF(AND(MONTH(E629)='IN-NX'!$J$5,'IN-NX'!$D$7=(D629&amp;"/"&amp;C629)),"x","")</f>
        <v/>
      </c>
      <c r="C629" s="185" t="s">
        <v>155</v>
      </c>
      <c r="D629" s="185" t="s">
        <v>143</v>
      </c>
      <c r="E629" s="69">
        <v>41430</v>
      </c>
      <c r="F629" s="61" t="s">
        <v>64</v>
      </c>
      <c r="G629" s="19" t="s">
        <v>303</v>
      </c>
      <c r="H629" s="216" t="s">
        <v>160</v>
      </c>
      <c r="I629" s="56" t="s">
        <v>93</v>
      </c>
      <c r="J629" s="15">
        <v>18500</v>
      </c>
      <c r="K629" s="15">
        <v>5761</v>
      </c>
      <c r="L629" s="15">
        <v>106578500</v>
      </c>
      <c r="M629" s="15">
        <v>0</v>
      </c>
      <c r="N629" s="15">
        <v>0</v>
      </c>
      <c r="O629" s="15" t="str">
        <f>IF(AND(A629='BANG KE NL'!$M$11,TH!C629="NL",LEFT(D629,1)="N"),"x","")</f>
        <v/>
      </c>
    </row>
    <row r="630" spans="1:15" hidden="1">
      <c r="A630" s="24">
        <f t="shared" si="12"/>
        <v>6</v>
      </c>
      <c r="B630" s="188" t="str">
        <f>IF(AND(MONTH(E630)='IN-NX'!$J$5,'IN-NX'!$D$7=(D630&amp;"/"&amp;C630)),"x","")</f>
        <v/>
      </c>
      <c r="C630" s="185" t="s">
        <v>155</v>
      </c>
      <c r="D630" s="185" t="s">
        <v>144</v>
      </c>
      <c r="E630" s="69">
        <v>41430</v>
      </c>
      <c r="F630" s="61" t="s">
        <v>64</v>
      </c>
      <c r="G630" s="19" t="s">
        <v>415</v>
      </c>
      <c r="H630" s="216" t="s">
        <v>160</v>
      </c>
      <c r="I630" s="56" t="s">
        <v>93</v>
      </c>
      <c r="J630" s="15">
        <v>18500</v>
      </c>
      <c r="K630" s="15">
        <v>5980</v>
      </c>
      <c r="L630" s="15">
        <v>110630000</v>
      </c>
      <c r="M630" s="15">
        <v>0</v>
      </c>
      <c r="N630" s="15">
        <v>0</v>
      </c>
      <c r="O630" s="15" t="str">
        <f>IF(AND(A630='BANG KE NL'!$M$11,TH!C630="NL",LEFT(D630,1)="N"),"x","")</f>
        <v/>
      </c>
    </row>
    <row r="631" spans="1:15" hidden="1">
      <c r="A631" s="24">
        <f t="shared" si="12"/>
        <v>6</v>
      </c>
      <c r="B631" s="188" t="str">
        <f>IF(AND(MONTH(E631)='IN-NX'!$J$5,'IN-NX'!$D$7=(D631&amp;"/"&amp;C631)),"x","")</f>
        <v/>
      </c>
      <c r="C631" s="185" t="s">
        <v>155</v>
      </c>
      <c r="D631" s="185" t="s">
        <v>145</v>
      </c>
      <c r="E631" s="69">
        <v>41430</v>
      </c>
      <c r="F631" s="61" t="s">
        <v>64</v>
      </c>
      <c r="G631" s="19" t="s">
        <v>301</v>
      </c>
      <c r="H631" s="216" t="s">
        <v>160</v>
      </c>
      <c r="I631" s="56" t="s">
        <v>93</v>
      </c>
      <c r="J631" s="15">
        <v>18500</v>
      </c>
      <c r="K631" s="15">
        <v>5831</v>
      </c>
      <c r="L631" s="15">
        <v>107873500</v>
      </c>
      <c r="M631" s="15">
        <v>0</v>
      </c>
      <c r="N631" s="15">
        <v>0</v>
      </c>
      <c r="O631" s="15" t="str">
        <f>IF(AND(A631='BANG KE NL'!$M$11,TH!C631="NL",LEFT(D631,1)="N"),"x","")</f>
        <v/>
      </c>
    </row>
    <row r="632" spans="1:15" hidden="1">
      <c r="A632" s="24">
        <f t="shared" si="12"/>
        <v>6</v>
      </c>
      <c r="B632" s="188" t="str">
        <f>IF(AND(MONTH(E632)='IN-NX'!$J$5,'IN-NX'!$D$7=(D632&amp;"/"&amp;C632)),"x","")</f>
        <v/>
      </c>
      <c r="C632" s="185" t="s">
        <v>155</v>
      </c>
      <c r="D632" s="185" t="s">
        <v>149</v>
      </c>
      <c r="E632" s="69">
        <v>41430</v>
      </c>
      <c r="F632" s="61" t="s">
        <v>64</v>
      </c>
      <c r="G632" s="460" t="s">
        <v>158</v>
      </c>
      <c r="H632" s="216" t="s">
        <v>90</v>
      </c>
      <c r="I632" s="56" t="s">
        <v>160</v>
      </c>
      <c r="J632" s="15">
        <v>18500</v>
      </c>
      <c r="K632" s="15">
        <v>0</v>
      </c>
      <c r="L632" s="15">
        <v>0</v>
      </c>
      <c r="M632" s="15">
        <v>17572</v>
      </c>
      <c r="N632" s="15">
        <v>325082000</v>
      </c>
      <c r="O632" s="15" t="str">
        <f>IF(AND(A632='BANG KE NL'!$M$11,TH!C632="NL",LEFT(D632,1)="N"),"x","")</f>
        <v/>
      </c>
    </row>
    <row r="633" spans="1:15" hidden="1">
      <c r="A633" s="24">
        <f t="shared" si="12"/>
        <v>6</v>
      </c>
      <c r="B633" s="188" t="str">
        <f>IF(AND(MONTH(E633)='IN-NX'!$J$5,'IN-NX'!$D$7=(D633&amp;"/"&amp;C633)),"x","")</f>
        <v/>
      </c>
      <c r="C633" s="185" t="s">
        <v>155</v>
      </c>
      <c r="D633" s="185" t="s">
        <v>146</v>
      </c>
      <c r="E633" s="69">
        <v>41432</v>
      </c>
      <c r="F633" s="61" t="s">
        <v>64</v>
      </c>
      <c r="G633" s="19" t="s">
        <v>300</v>
      </c>
      <c r="H633" s="216" t="s">
        <v>160</v>
      </c>
      <c r="I633" s="56" t="s">
        <v>93</v>
      </c>
      <c r="J633" s="15">
        <v>18500</v>
      </c>
      <c r="K633" s="15">
        <v>5941</v>
      </c>
      <c r="L633" s="15">
        <v>109908500</v>
      </c>
      <c r="M633" s="15">
        <v>0</v>
      </c>
      <c r="N633" s="15">
        <v>0</v>
      </c>
      <c r="O633" s="15" t="str">
        <f>IF(AND(A633='BANG KE NL'!$M$11,TH!C633="NL",LEFT(D633,1)="N"),"x","")</f>
        <v/>
      </c>
    </row>
    <row r="634" spans="1:15" hidden="1">
      <c r="A634" s="24">
        <f t="shared" si="12"/>
        <v>6</v>
      </c>
      <c r="B634" s="188" t="str">
        <f>IF(AND(MONTH(E634)='IN-NX'!$J$5,'IN-NX'!$D$7=(D634&amp;"/"&amp;C634)),"x","")</f>
        <v/>
      </c>
      <c r="C634" s="185" t="s">
        <v>155</v>
      </c>
      <c r="D634" s="185" t="s">
        <v>147</v>
      </c>
      <c r="E634" s="69">
        <v>41432</v>
      </c>
      <c r="F634" s="61" t="s">
        <v>64</v>
      </c>
      <c r="G634" s="19" t="s">
        <v>301</v>
      </c>
      <c r="H634" s="216" t="s">
        <v>160</v>
      </c>
      <c r="I634" s="56" t="s">
        <v>93</v>
      </c>
      <c r="J634" s="15">
        <v>17359.058389261743</v>
      </c>
      <c r="K634" s="15">
        <v>5960</v>
      </c>
      <c r="L634" s="15">
        <v>103459988</v>
      </c>
      <c r="M634" s="15">
        <v>0</v>
      </c>
      <c r="N634" s="15">
        <v>0</v>
      </c>
      <c r="O634" s="15" t="str">
        <f>IF(AND(A634='BANG KE NL'!$M$11,TH!C634="NL",LEFT(D634,1)="N"),"x","")</f>
        <v/>
      </c>
    </row>
    <row r="635" spans="1:15" hidden="1">
      <c r="A635" s="24">
        <f t="shared" si="12"/>
        <v>6</v>
      </c>
      <c r="B635" s="188" t="str">
        <f>IF(AND(MONTH(E635)='IN-NX'!$J$5,'IN-NX'!$D$7=(D635&amp;"/"&amp;C635)),"x","")</f>
        <v/>
      </c>
      <c r="C635" s="185" t="s">
        <v>155</v>
      </c>
      <c r="D635" s="185" t="s">
        <v>148</v>
      </c>
      <c r="E635" s="69">
        <v>41432</v>
      </c>
      <c r="F635" s="61" t="s">
        <v>64</v>
      </c>
      <c r="G635" s="19" t="s">
        <v>303</v>
      </c>
      <c r="H635" s="216" t="s">
        <v>160</v>
      </c>
      <c r="I635" s="56" t="s">
        <v>93</v>
      </c>
      <c r="J635" s="15">
        <v>18500</v>
      </c>
      <c r="K635" s="15">
        <v>5951</v>
      </c>
      <c r="L635" s="15">
        <v>110093500</v>
      </c>
      <c r="M635" s="15">
        <v>0</v>
      </c>
      <c r="N635" s="15">
        <v>0</v>
      </c>
      <c r="O635" s="15" t="str">
        <f>IF(AND(A635='BANG KE NL'!$M$11,TH!C635="NL",LEFT(D635,1)="N"),"x","")</f>
        <v/>
      </c>
    </row>
    <row r="636" spans="1:15" hidden="1">
      <c r="A636" s="24">
        <f t="shared" si="12"/>
        <v>6</v>
      </c>
      <c r="B636" s="188" t="str">
        <f>IF(AND(MONTH(E636)='IN-NX'!$J$5,'IN-NX'!$D$7=(D636&amp;"/"&amp;C636)),"x","")</f>
        <v/>
      </c>
      <c r="C636" s="185" t="s">
        <v>155</v>
      </c>
      <c r="D636" s="185" t="s">
        <v>150</v>
      </c>
      <c r="E636" s="69">
        <v>41432</v>
      </c>
      <c r="F636" s="61" t="s">
        <v>64</v>
      </c>
      <c r="G636" s="460" t="s">
        <v>158</v>
      </c>
      <c r="H636" s="216" t="s">
        <v>90</v>
      </c>
      <c r="I636" s="56" t="s">
        <v>160</v>
      </c>
      <c r="J636" s="15">
        <v>18119.089625812234</v>
      </c>
      <c r="K636" s="15">
        <v>0</v>
      </c>
      <c r="L636" s="15">
        <v>0</v>
      </c>
      <c r="M636" s="15">
        <v>17852</v>
      </c>
      <c r="N636" s="15">
        <v>323461988</v>
      </c>
      <c r="O636" s="15" t="str">
        <f>IF(AND(A636='BANG KE NL'!$M$11,TH!C636="NL",LEFT(D636,1)="N"),"x","")</f>
        <v/>
      </c>
    </row>
    <row r="637" spans="1:15" hidden="1">
      <c r="A637" s="24">
        <f t="shared" si="12"/>
        <v>6</v>
      </c>
      <c r="B637" s="188" t="str">
        <f>IF(AND(MONTH(E637)='IN-NX'!$J$5,'IN-NX'!$D$7=(D637&amp;"/"&amp;C637)),"x","")</f>
        <v/>
      </c>
      <c r="C637" s="185" t="s">
        <v>155</v>
      </c>
      <c r="D637" s="185" t="s">
        <v>161</v>
      </c>
      <c r="E637" s="69">
        <v>41443</v>
      </c>
      <c r="F637" s="61" t="s">
        <v>64</v>
      </c>
      <c r="G637" s="19" t="s">
        <v>303</v>
      </c>
      <c r="H637" s="216" t="s">
        <v>160</v>
      </c>
      <c r="I637" s="56" t="s">
        <v>93</v>
      </c>
      <c r="J637" s="15">
        <v>17396.979691025863</v>
      </c>
      <c r="K637" s="15">
        <v>5761</v>
      </c>
      <c r="L637" s="15">
        <v>100224000</v>
      </c>
      <c r="M637" s="15">
        <v>0</v>
      </c>
      <c r="N637" s="15">
        <v>0</v>
      </c>
      <c r="O637" s="15" t="str">
        <f>IF(AND(A637='BANG KE NL'!$M$11,TH!C637="NL",LEFT(D637,1)="N"),"x","")</f>
        <v/>
      </c>
    </row>
    <row r="638" spans="1:15" hidden="1">
      <c r="A638" s="24">
        <f t="shared" si="12"/>
        <v>6</v>
      </c>
      <c r="B638" s="188" t="str">
        <f>IF(AND(MONTH(E638)='IN-NX'!$J$5,'IN-NX'!$D$7=(D638&amp;"/"&amp;C638)),"x","")</f>
        <v/>
      </c>
      <c r="C638" s="185" t="s">
        <v>155</v>
      </c>
      <c r="D638" s="185" t="s">
        <v>163</v>
      </c>
      <c r="E638" s="69">
        <v>41445</v>
      </c>
      <c r="F638" s="61" t="s">
        <v>64</v>
      </c>
      <c r="G638" s="19" t="s">
        <v>415</v>
      </c>
      <c r="H638" s="216" t="s">
        <v>160</v>
      </c>
      <c r="I638" s="56" t="s">
        <v>93</v>
      </c>
      <c r="J638" s="15">
        <v>17397.004228718513</v>
      </c>
      <c r="K638" s="15">
        <v>5439</v>
      </c>
      <c r="L638" s="15">
        <v>94622306</v>
      </c>
      <c r="M638" s="15">
        <v>0</v>
      </c>
      <c r="N638" s="15">
        <v>0</v>
      </c>
      <c r="O638" s="15" t="str">
        <f>IF(AND(A638='BANG KE NL'!$M$11,TH!C638="NL",LEFT(D638,1)="N"),"x","")</f>
        <v/>
      </c>
    </row>
    <row r="639" spans="1:15" hidden="1">
      <c r="A639" s="24">
        <f t="shared" si="12"/>
        <v>6</v>
      </c>
      <c r="B639" s="188" t="str">
        <f>IF(AND(MONTH(E639)='IN-NX'!$J$5,'IN-NX'!$D$7=(D639&amp;"/"&amp;C639)),"x","")</f>
        <v/>
      </c>
      <c r="C639" s="185" t="s">
        <v>155</v>
      </c>
      <c r="D639" s="185" t="s">
        <v>151</v>
      </c>
      <c r="E639" s="69">
        <v>41445</v>
      </c>
      <c r="F639" s="61" t="s">
        <v>64</v>
      </c>
      <c r="G639" s="460" t="s">
        <v>158</v>
      </c>
      <c r="H639" s="216" t="s">
        <v>90</v>
      </c>
      <c r="I639" s="56" t="s">
        <v>160</v>
      </c>
      <c r="J639" s="15">
        <v>17396.991607142856</v>
      </c>
      <c r="K639" s="15">
        <v>0</v>
      </c>
      <c r="L639" s="15">
        <v>0</v>
      </c>
      <c r="M639" s="15">
        <v>11200</v>
      </c>
      <c r="N639" s="15">
        <v>194846306</v>
      </c>
      <c r="O639" s="15" t="str">
        <f>IF(AND(A639='BANG KE NL'!$M$11,TH!C639="NL",LEFT(D639,1)="N"),"x","")</f>
        <v/>
      </c>
    </row>
    <row r="640" spans="1:15" hidden="1">
      <c r="A640" s="24">
        <f t="shared" si="12"/>
        <v>7</v>
      </c>
      <c r="B640" s="188" t="str">
        <f>IF(AND(MONTH(E640)='IN-NX'!$J$5,'IN-NX'!$D$7=(D640&amp;"/"&amp;C640)),"x","")</f>
        <v/>
      </c>
      <c r="C640" s="185" t="s">
        <v>155</v>
      </c>
      <c r="D640" s="185" t="s">
        <v>143</v>
      </c>
      <c r="E640" s="69">
        <v>41456</v>
      </c>
      <c r="F640" s="61" t="s">
        <v>64</v>
      </c>
      <c r="G640" s="19" t="s">
        <v>303</v>
      </c>
      <c r="H640" s="216" t="s">
        <v>160</v>
      </c>
      <c r="I640" s="56" t="s">
        <v>93</v>
      </c>
      <c r="J640" s="15">
        <v>16000</v>
      </c>
      <c r="K640" s="15">
        <v>5761</v>
      </c>
      <c r="L640" s="15">
        <v>92176000</v>
      </c>
      <c r="M640" s="15">
        <v>0</v>
      </c>
      <c r="N640" s="15">
        <v>0</v>
      </c>
      <c r="O640" s="15" t="str">
        <f>IF(AND(A640='BANG KE NL'!$M$11,TH!C640="NL",LEFT(D640,1)="N"),"x","")</f>
        <v/>
      </c>
    </row>
    <row r="641" spans="1:15" hidden="1">
      <c r="A641" s="24">
        <f t="shared" si="12"/>
        <v>7</v>
      </c>
      <c r="B641" s="188" t="str">
        <f>IF(AND(MONTH(E641)='IN-NX'!$J$5,'IN-NX'!$D$7=(D641&amp;"/"&amp;C641)),"x","")</f>
        <v/>
      </c>
      <c r="C641" s="185" t="s">
        <v>155</v>
      </c>
      <c r="D641" s="185" t="s">
        <v>144</v>
      </c>
      <c r="E641" s="69">
        <v>41456</v>
      </c>
      <c r="F641" s="61" t="s">
        <v>64</v>
      </c>
      <c r="G641" s="19" t="s">
        <v>415</v>
      </c>
      <c r="H641" s="216" t="s">
        <v>160</v>
      </c>
      <c r="I641" s="56" t="s">
        <v>93</v>
      </c>
      <c r="J641" s="15">
        <v>16000</v>
      </c>
      <c r="K641" s="15">
        <v>5980</v>
      </c>
      <c r="L641" s="15">
        <v>95680000</v>
      </c>
      <c r="M641" s="15">
        <v>0</v>
      </c>
      <c r="N641" s="15">
        <v>0</v>
      </c>
      <c r="O641" s="15" t="str">
        <f>IF(AND(A641='BANG KE NL'!$M$11,TH!C641="NL",LEFT(D641,1)="N"),"x","")</f>
        <v/>
      </c>
    </row>
    <row r="642" spans="1:15" hidden="1">
      <c r="A642" s="24">
        <f t="shared" si="12"/>
        <v>7</v>
      </c>
      <c r="B642" s="188" t="str">
        <f>IF(AND(MONTH(E642)='IN-NX'!$J$5,'IN-NX'!$D$7=(D642&amp;"/"&amp;C642)),"x","")</f>
        <v/>
      </c>
      <c r="C642" s="185" t="s">
        <v>155</v>
      </c>
      <c r="D642" s="185" t="s">
        <v>145</v>
      </c>
      <c r="E642" s="69">
        <v>41456</v>
      </c>
      <c r="F642" s="61" t="s">
        <v>64</v>
      </c>
      <c r="G642" s="19" t="s">
        <v>301</v>
      </c>
      <c r="H642" s="216" t="s">
        <v>160</v>
      </c>
      <c r="I642" s="56" t="s">
        <v>93</v>
      </c>
      <c r="J642" s="15">
        <v>16000</v>
      </c>
      <c r="K642" s="15">
        <v>5831</v>
      </c>
      <c r="L642" s="15">
        <v>93296000</v>
      </c>
      <c r="M642" s="15">
        <v>0</v>
      </c>
      <c r="N642" s="15">
        <v>0</v>
      </c>
      <c r="O642" s="15" t="str">
        <f>IF(AND(A642='BANG KE NL'!$M$11,TH!C642="NL",LEFT(D642,1)="N"),"x","")</f>
        <v/>
      </c>
    </row>
    <row r="643" spans="1:15" hidden="1">
      <c r="A643" s="24">
        <f t="shared" si="12"/>
        <v>7</v>
      </c>
      <c r="B643" s="188" t="str">
        <f>IF(AND(MONTH(E643)='IN-NX'!$J$5,'IN-NX'!$D$7=(D643&amp;"/"&amp;C643)),"x","")</f>
        <v/>
      </c>
      <c r="C643" s="185" t="s">
        <v>155</v>
      </c>
      <c r="D643" s="185" t="s">
        <v>149</v>
      </c>
      <c r="E643" s="69">
        <v>41457</v>
      </c>
      <c r="F643" s="61" t="s">
        <v>64</v>
      </c>
      <c r="G643" s="460" t="s">
        <v>158</v>
      </c>
      <c r="H643" s="216" t="s">
        <v>90</v>
      </c>
      <c r="I643" s="56" t="s">
        <v>160</v>
      </c>
      <c r="J643" s="15">
        <v>16000</v>
      </c>
      <c r="K643" s="15">
        <v>0</v>
      </c>
      <c r="L643" s="15">
        <v>0</v>
      </c>
      <c r="M643" s="15">
        <v>17572</v>
      </c>
      <c r="N643" s="15">
        <v>281152000</v>
      </c>
      <c r="O643" s="15" t="str">
        <f>IF(AND(A643='BANG KE NL'!$M$11,TH!C643="NL",LEFT(D643,1)="N"),"x","")</f>
        <v/>
      </c>
    </row>
    <row r="644" spans="1:15" hidden="1">
      <c r="A644" s="24">
        <f t="shared" si="12"/>
        <v>7</v>
      </c>
      <c r="B644" s="188" t="str">
        <f>IF(AND(MONTH(E644)='IN-NX'!$J$5,'IN-NX'!$D$7=(D644&amp;"/"&amp;C644)),"x","")</f>
        <v/>
      </c>
      <c r="C644" s="185" t="s">
        <v>155</v>
      </c>
      <c r="D644" s="185" t="s">
        <v>146</v>
      </c>
      <c r="E644" s="69">
        <v>41460</v>
      </c>
      <c r="F644" s="61" t="s">
        <v>64</v>
      </c>
      <c r="G644" s="19" t="s">
        <v>300</v>
      </c>
      <c r="H644" s="216" t="s">
        <v>160</v>
      </c>
      <c r="I644" s="56" t="s">
        <v>93</v>
      </c>
      <c r="J644" s="15">
        <v>16000</v>
      </c>
      <c r="K644" s="15">
        <v>5941</v>
      </c>
      <c r="L644" s="15">
        <v>95056000</v>
      </c>
      <c r="M644" s="15">
        <v>0</v>
      </c>
      <c r="N644" s="15">
        <v>0</v>
      </c>
      <c r="O644" s="15" t="str">
        <f>IF(AND(A644='BANG KE NL'!$M$11,TH!C644="NL",LEFT(D644,1)="N"),"x","")</f>
        <v/>
      </c>
    </row>
    <row r="645" spans="1:15" hidden="1">
      <c r="A645" s="24">
        <f t="shared" si="12"/>
        <v>7</v>
      </c>
      <c r="B645" s="188" t="str">
        <f>IF(AND(MONTH(E645)='IN-NX'!$J$5,'IN-NX'!$D$7=(D645&amp;"/"&amp;C645)),"x","")</f>
        <v/>
      </c>
      <c r="C645" s="185" t="s">
        <v>155</v>
      </c>
      <c r="D645" s="185" t="s">
        <v>147</v>
      </c>
      <c r="E645" s="69">
        <v>41460</v>
      </c>
      <c r="F645" s="61" t="s">
        <v>64</v>
      </c>
      <c r="G645" s="19" t="s">
        <v>301</v>
      </c>
      <c r="H645" s="216" t="s">
        <v>160</v>
      </c>
      <c r="I645" s="56" t="s">
        <v>93</v>
      </c>
      <c r="J645" s="15">
        <v>16000</v>
      </c>
      <c r="K645" s="15">
        <v>5960</v>
      </c>
      <c r="L645" s="15">
        <v>95360000</v>
      </c>
      <c r="M645" s="15">
        <v>0</v>
      </c>
      <c r="N645" s="15">
        <v>0</v>
      </c>
      <c r="O645" s="15" t="str">
        <f>IF(AND(A645='BANG KE NL'!$M$11,TH!C645="NL",LEFT(D645,1)="N"),"x","")</f>
        <v/>
      </c>
    </row>
    <row r="646" spans="1:15" hidden="1">
      <c r="A646" s="24">
        <f t="shared" ref="A646:A709" si="13">IF(E646&lt;&gt;"",MONTH(E646),"")</f>
        <v>7</v>
      </c>
      <c r="B646" s="188" t="str">
        <f>IF(AND(MONTH(E646)='IN-NX'!$J$5,'IN-NX'!$D$7=(D646&amp;"/"&amp;C646)),"x","")</f>
        <v/>
      </c>
      <c r="C646" s="185" t="s">
        <v>155</v>
      </c>
      <c r="D646" s="185" t="s">
        <v>148</v>
      </c>
      <c r="E646" s="69">
        <v>41460</v>
      </c>
      <c r="F646" s="61" t="s">
        <v>64</v>
      </c>
      <c r="G646" s="19" t="s">
        <v>303</v>
      </c>
      <c r="H646" s="216" t="s">
        <v>160</v>
      </c>
      <c r="I646" s="56" t="s">
        <v>93</v>
      </c>
      <c r="J646" s="15">
        <v>16000</v>
      </c>
      <c r="K646" s="15">
        <v>5663</v>
      </c>
      <c r="L646" s="15">
        <v>90608000</v>
      </c>
      <c r="M646" s="15">
        <v>0</v>
      </c>
      <c r="N646" s="15">
        <v>0</v>
      </c>
      <c r="O646" s="15" t="str">
        <f>IF(AND(A646='BANG KE NL'!$M$11,TH!C646="NL",LEFT(D646,1)="N"),"x","")</f>
        <v/>
      </c>
    </row>
    <row r="647" spans="1:15" hidden="1">
      <c r="A647" s="24">
        <f t="shared" si="13"/>
        <v>7</v>
      </c>
      <c r="B647" s="188" t="str">
        <f>IF(AND(MONTH(E647)='IN-NX'!$J$5,'IN-NX'!$D$7=(D647&amp;"/"&amp;C647)),"x","")</f>
        <v/>
      </c>
      <c r="C647" s="185" t="s">
        <v>155</v>
      </c>
      <c r="D647" s="185" t="s">
        <v>150</v>
      </c>
      <c r="E647" s="69">
        <v>41460</v>
      </c>
      <c r="F647" s="61" t="s">
        <v>64</v>
      </c>
      <c r="G647" s="460" t="s">
        <v>158</v>
      </c>
      <c r="H647" s="216" t="s">
        <v>90</v>
      </c>
      <c r="I647" s="56" t="s">
        <v>160</v>
      </c>
      <c r="J647" s="15">
        <v>16000</v>
      </c>
      <c r="K647" s="15">
        <v>0</v>
      </c>
      <c r="L647" s="15">
        <v>0</v>
      </c>
      <c r="M647" s="15">
        <v>17564</v>
      </c>
      <c r="N647" s="15">
        <v>281024000</v>
      </c>
      <c r="O647" s="15" t="str">
        <f>IF(AND(A647='BANG KE NL'!$M$11,TH!C647="NL",LEFT(D647,1)="N"),"x","")</f>
        <v/>
      </c>
    </row>
    <row r="648" spans="1:15" hidden="1">
      <c r="A648" s="24">
        <f t="shared" si="13"/>
        <v>7</v>
      </c>
      <c r="B648" s="188" t="str">
        <f>IF(AND(MONTH(E648)='IN-NX'!$J$5,'IN-NX'!$D$7=(D648&amp;"/"&amp;C648)),"x","")</f>
        <v/>
      </c>
      <c r="C648" s="185" t="s">
        <v>155</v>
      </c>
      <c r="D648" s="185" t="s">
        <v>161</v>
      </c>
      <c r="E648" s="69">
        <v>41475</v>
      </c>
      <c r="F648" s="61" t="s">
        <v>64</v>
      </c>
      <c r="G648" s="19" t="s">
        <v>303</v>
      </c>
      <c r="H648" s="216" t="s">
        <v>160</v>
      </c>
      <c r="I648" s="56" t="s">
        <v>93</v>
      </c>
      <c r="J648" s="15">
        <v>16000</v>
      </c>
      <c r="K648" s="15">
        <v>3015</v>
      </c>
      <c r="L648" s="15">
        <v>48240000</v>
      </c>
      <c r="M648" s="15">
        <v>0</v>
      </c>
      <c r="N648" s="15">
        <v>0</v>
      </c>
      <c r="O648" s="15" t="str">
        <f>IF(AND(A648='BANG KE NL'!$M$11,TH!C648="NL",LEFT(D648,1)="N"),"x","")</f>
        <v/>
      </c>
    </row>
    <row r="649" spans="1:15" hidden="1">
      <c r="A649" s="24">
        <f t="shared" si="13"/>
        <v>7</v>
      </c>
      <c r="B649" s="188" t="str">
        <f>IF(AND(MONTH(E649)='IN-NX'!$J$5,'IN-NX'!$D$7=(D649&amp;"/"&amp;C649)),"x","")</f>
        <v/>
      </c>
      <c r="C649" s="185" t="s">
        <v>155</v>
      </c>
      <c r="D649" s="185" t="s">
        <v>163</v>
      </c>
      <c r="E649" s="69">
        <v>41475</v>
      </c>
      <c r="F649" s="61" t="s">
        <v>64</v>
      </c>
      <c r="G649" s="19" t="s">
        <v>300</v>
      </c>
      <c r="H649" s="216" t="s">
        <v>160</v>
      </c>
      <c r="I649" s="56" t="s">
        <v>93</v>
      </c>
      <c r="J649" s="15">
        <v>16000</v>
      </c>
      <c r="K649" s="15">
        <v>3824</v>
      </c>
      <c r="L649" s="15">
        <v>61184000</v>
      </c>
      <c r="M649" s="15">
        <v>0</v>
      </c>
      <c r="N649" s="15">
        <v>0</v>
      </c>
      <c r="O649" s="15" t="str">
        <f>IF(AND(A649='BANG KE NL'!$M$11,TH!C649="NL",LEFT(D649,1)="N"),"x","")</f>
        <v/>
      </c>
    </row>
    <row r="650" spans="1:15" hidden="1">
      <c r="A650" s="24">
        <f t="shared" si="13"/>
        <v>7</v>
      </c>
      <c r="B650" s="188" t="str">
        <f>IF(AND(MONTH(E650)='IN-NX'!$J$5,'IN-NX'!$D$7=(D650&amp;"/"&amp;C650)),"x","")</f>
        <v/>
      </c>
      <c r="C650" s="185" t="s">
        <v>155</v>
      </c>
      <c r="D650" s="185" t="s">
        <v>164</v>
      </c>
      <c r="E650" s="69">
        <v>41475</v>
      </c>
      <c r="F650" s="61" t="s">
        <v>64</v>
      </c>
      <c r="G650" s="19" t="s">
        <v>301</v>
      </c>
      <c r="H650" s="216" t="s">
        <v>160</v>
      </c>
      <c r="I650" s="56" t="s">
        <v>93</v>
      </c>
      <c r="J650" s="15">
        <v>16000</v>
      </c>
      <c r="K650" s="15">
        <v>3256</v>
      </c>
      <c r="L650" s="15">
        <v>52096000</v>
      </c>
      <c r="M650" s="15">
        <v>0</v>
      </c>
      <c r="N650" s="15">
        <v>0</v>
      </c>
      <c r="O650" s="15" t="str">
        <f>IF(AND(A650='BANG KE NL'!$M$11,TH!C650="NL",LEFT(D650,1)="N"),"x","")</f>
        <v/>
      </c>
    </row>
    <row r="651" spans="1:15" hidden="1">
      <c r="A651" s="24">
        <f t="shared" si="13"/>
        <v>7</v>
      </c>
      <c r="B651" s="188" t="str">
        <f>IF(AND(MONTH(E651)='IN-NX'!$J$5,'IN-NX'!$D$7=(D651&amp;"/"&amp;C651)),"x","")</f>
        <v/>
      </c>
      <c r="C651" s="185" t="s">
        <v>155</v>
      </c>
      <c r="D651" s="185" t="s">
        <v>151</v>
      </c>
      <c r="E651" s="69">
        <v>41475</v>
      </c>
      <c r="F651" s="61" t="s">
        <v>64</v>
      </c>
      <c r="G651" s="460" t="s">
        <v>158</v>
      </c>
      <c r="H651" s="216" t="s">
        <v>90</v>
      </c>
      <c r="I651" s="56" t="s">
        <v>160</v>
      </c>
      <c r="J651" s="15">
        <v>16000</v>
      </c>
      <c r="K651" s="15">
        <v>0</v>
      </c>
      <c r="L651" s="15">
        <v>0</v>
      </c>
      <c r="M651" s="15">
        <v>10095</v>
      </c>
      <c r="N651" s="15">
        <v>161520000</v>
      </c>
      <c r="O651" s="15" t="str">
        <f>IF(AND(A651='BANG KE NL'!$M$11,TH!C651="NL",LEFT(D651,1)="N"),"x","")</f>
        <v/>
      </c>
    </row>
    <row r="652" spans="1:15" hidden="1">
      <c r="A652" s="24">
        <f t="shared" si="13"/>
        <v>7</v>
      </c>
      <c r="B652" s="188" t="str">
        <f>IF(AND(MONTH(E652)='IN-NX'!$J$5,'IN-NX'!$D$7=(D652&amp;"/"&amp;C652)),"x","")</f>
        <v/>
      </c>
      <c r="C652" s="185" t="s">
        <v>155</v>
      </c>
      <c r="D652" s="185" t="s">
        <v>165</v>
      </c>
      <c r="E652" s="69">
        <v>41480</v>
      </c>
      <c r="F652" s="61" t="s">
        <v>64</v>
      </c>
      <c r="G652" s="19" t="s">
        <v>303</v>
      </c>
      <c r="H652" s="216" t="s">
        <v>160</v>
      </c>
      <c r="I652" s="56" t="s">
        <v>93</v>
      </c>
      <c r="J652" s="15">
        <v>16000</v>
      </c>
      <c r="K652" s="15">
        <v>3142</v>
      </c>
      <c r="L652" s="15">
        <v>50272000</v>
      </c>
      <c r="M652" s="15">
        <v>0</v>
      </c>
      <c r="N652" s="15">
        <v>0</v>
      </c>
      <c r="O652" s="15" t="str">
        <f>IF(AND(A652='BANG KE NL'!$M$11,TH!C652="NL",LEFT(D652,1)="N"),"x","")</f>
        <v/>
      </c>
    </row>
    <row r="653" spans="1:15" hidden="1">
      <c r="A653" s="24">
        <f t="shared" si="13"/>
        <v>7</v>
      </c>
      <c r="B653" s="188" t="str">
        <f>IF(AND(MONTH(E653)='IN-NX'!$J$5,'IN-NX'!$D$7=(D653&amp;"/"&amp;C653)),"x","")</f>
        <v/>
      </c>
      <c r="C653" s="185" t="s">
        <v>155</v>
      </c>
      <c r="D653" s="185" t="s">
        <v>166</v>
      </c>
      <c r="E653" s="69">
        <v>41480</v>
      </c>
      <c r="F653" s="61" t="s">
        <v>64</v>
      </c>
      <c r="G653" s="19" t="s">
        <v>300</v>
      </c>
      <c r="H653" s="216" t="s">
        <v>160</v>
      </c>
      <c r="I653" s="56" t="s">
        <v>93</v>
      </c>
      <c r="J653" s="15">
        <v>16000</v>
      </c>
      <c r="K653" s="15">
        <v>2015</v>
      </c>
      <c r="L653" s="15">
        <v>32240000</v>
      </c>
      <c r="M653" s="15">
        <v>0</v>
      </c>
      <c r="N653" s="15">
        <v>0</v>
      </c>
      <c r="O653" s="15" t="str">
        <f>IF(AND(A653='BANG KE NL'!$M$11,TH!C653="NL",LEFT(D653,1)="N"),"x","")</f>
        <v/>
      </c>
    </row>
    <row r="654" spans="1:15" hidden="1">
      <c r="A654" s="24">
        <f t="shared" si="13"/>
        <v>7</v>
      </c>
      <c r="B654" s="188" t="str">
        <f>IF(AND(MONTH(E654)='IN-NX'!$J$5,'IN-NX'!$D$7=(D654&amp;"/"&amp;C654)),"x","")</f>
        <v/>
      </c>
      <c r="C654" s="185" t="s">
        <v>155</v>
      </c>
      <c r="D654" s="185" t="s">
        <v>167</v>
      </c>
      <c r="E654" s="69">
        <v>41480</v>
      </c>
      <c r="F654" s="61" t="s">
        <v>64</v>
      </c>
      <c r="G654" s="19" t="s">
        <v>301</v>
      </c>
      <c r="H654" s="216" t="s">
        <v>160</v>
      </c>
      <c r="I654" s="56" t="s">
        <v>93</v>
      </c>
      <c r="J654" s="15">
        <v>16000</v>
      </c>
      <c r="K654" s="15">
        <v>3065</v>
      </c>
      <c r="L654" s="15">
        <v>49040000</v>
      </c>
      <c r="M654" s="15">
        <v>0</v>
      </c>
      <c r="N654" s="15">
        <v>0</v>
      </c>
      <c r="O654" s="15" t="str">
        <f>IF(AND(A654='BANG KE NL'!$M$11,TH!C654="NL",LEFT(D654,1)="N"),"x","")</f>
        <v/>
      </c>
    </row>
    <row r="655" spans="1:15" hidden="1">
      <c r="A655" s="24">
        <f t="shared" si="13"/>
        <v>7</v>
      </c>
      <c r="B655" s="188" t="str">
        <f>IF(AND(MONTH(E655)='IN-NX'!$J$5,'IN-NX'!$D$7=(D655&amp;"/"&amp;C655)),"x","")</f>
        <v/>
      </c>
      <c r="C655" s="185" t="s">
        <v>155</v>
      </c>
      <c r="D655" s="185" t="s">
        <v>152</v>
      </c>
      <c r="E655" s="69">
        <v>41480</v>
      </c>
      <c r="F655" s="61" t="s">
        <v>64</v>
      </c>
      <c r="G655" s="460" t="s">
        <v>158</v>
      </c>
      <c r="H655" s="216" t="s">
        <v>90</v>
      </c>
      <c r="I655" s="56" t="s">
        <v>160</v>
      </c>
      <c r="J655" s="15">
        <v>16000</v>
      </c>
      <c r="K655" s="15">
        <v>0</v>
      </c>
      <c r="L655" s="15">
        <v>0</v>
      </c>
      <c r="M655" s="15">
        <v>8222</v>
      </c>
      <c r="N655" s="15">
        <v>131552000</v>
      </c>
      <c r="O655" s="15" t="str">
        <f>IF(AND(A655='BANG KE NL'!$M$11,TH!C655="NL",LEFT(D655,1)="N"),"x","")</f>
        <v/>
      </c>
    </row>
    <row r="656" spans="1:15" hidden="1">
      <c r="A656" s="24">
        <f t="shared" si="13"/>
        <v>8</v>
      </c>
      <c r="B656" s="188" t="str">
        <f>IF(AND(MONTH(E656)='IN-NX'!$J$5,'IN-NX'!$D$7=(D656&amp;"/"&amp;C656)),"x","")</f>
        <v/>
      </c>
      <c r="C656" s="185" t="s">
        <v>155</v>
      </c>
      <c r="D656" s="185" t="s">
        <v>146</v>
      </c>
      <c r="E656" s="69">
        <v>41487</v>
      </c>
      <c r="F656" s="61" t="s">
        <v>64</v>
      </c>
      <c r="G656" s="19" t="s">
        <v>301</v>
      </c>
      <c r="H656" s="216" t="s">
        <v>160</v>
      </c>
      <c r="I656" s="56" t="s">
        <v>93</v>
      </c>
      <c r="J656" s="15">
        <v>18000</v>
      </c>
      <c r="K656" s="15">
        <v>3088</v>
      </c>
      <c r="L656" s="15">
        <v>55584000</v>
      </c>
      <c r="M656" s="15">
        <v>0</v>
      </c>
      <c r="N656" s="15">
        <v>0</v>
      </c>
      <c r="O656" s="15" t="str">
        <f>IF(AND(A656='BANG KE NL'!$M$11,TH!C656="NL",LEFT(D656,1)="N"),"x","")</f>
        <v/>
      </c>
    </row>
    <row r="657" spans="1:15" hidden="1">
      <c r="A657" s="24">
        <f t="shared" si="13"/>
        <v>8</v>
      </c>
      <c r="B657" s="188" t="str">
        <f>IF(AND(MONTH(E657)='IN-NX'!$J$5,'IN-NX'!$D$7=(D657&amp;"/"&amp;C657)),"x","")</f>
        <v/>
      </c>
      <c r="C657" s="185" t="s">
        <v>155</v>
      </c>
      <c r="D657" s="185" t="s">
        <v>147</v>
      </c>
      <c r="E657" s="69">
        <v>41487</v>
      </c>
      <c r="F657" s="61" t="s">
        <v>64</v>
      </c>
      <c r="G657" s="19" t="s">
        <v>415</v>
      </c>
      <c r="H657" s="216" t="s">
        <v>160</v>
      </c>
      <c r="I657" s="56" t="s">
        <v>93</v>
      </c>
      <c r="J657" s="15">
        <v>18000</v>
      </c>
      <c r="K657" s="15">
        <v>3824</v>
      </c>
      <c r="L657" s="15">
        <v>68832000</v>
      </c>
      <c r="M657" s="15">
        <v>0</v>
      </c>
      <c r="N657" s="15">
        <v>0</v>
      </c>
      <c r="O657" s="15" t="str">
        <f>IF(AND(A657='BANG KE NL'!$M$11,TH!C657="NL",LEFT(D657,1)="N"),"x","")</f>
        <v/>
      </c>
    </row>
    <row r="658" spans="1:15" hidden="1">
      <c r="A658" s="24">
        <f t="shared" si="13"/>
        <v>8</v>
      </c>
      <c r="B658" s="188" t="str">
        <f>IF(AND(MONTH(E658)='IN-NX'!$J$5,'IN-NX'!$D$7=(D658&amp;"/"&amp;C658)),"x","")</f>
        <v/>
      </c>
      <c r="C658" s="185" t="s">
        <v>155</v>
      </c>
      <c r="D658" s="185" t="s">
        <v>149</v>
      </c>
      <c r="E658" s="69">
        <v>41487</v>
      </c>
      <c r="F658" s="61" t="s">
        <v>64</v>
      </c>
      <c r="G658" s="460" t="s">
        <v>158</v>
      </c>
      <c r="H658" s="216" t="s">
        <v>90</v>
      </c>
      <c r="I658" s="56" t="s">
        <v>160</v>
      </c>
      <c r="J658" s="15">
        <v>18000</v>
      </c>
      <c r="K658" s="15">
        <v>0</v>
      </c>
      <c r="L658" s="15">
        <v>0</v>
      </c>
      <c r="M658" s="15">
        <v>6912</v>
      </c>
      <c r="N658" s="15">
        <v>124416000</v>
      </c>
      <c r="O658" s="15" t="str">
        <f>IF(AND(A658='BANG KE NL'!$M$11,TH!C658="NL",LEFT(D658,1)="N"),"x","")</f>
        <v/>
      </c>
    </row>
    <row r="659" spans="1:15" hidden="1">
      <c r="A659" s="24">
        <f t="shared" si="13"/>
        <v>8</v>
      </c>
      <c r="B659" s="188" t="str">
        <f>IF(AND(MONTH(E659)='IN-NX'!$J$5,'IN-NX'!$D$7=(D659&amp;"/"&amp;C659)),"x","")</f>
        <v/>
      </c>
      <c r="C659" s="185" t="s">
        <v>155</v>
      </c>
      <c r="D659" s="185" t="s">
        <v>191</v>
      </c>
      <c r="E659" s="69">
        <v>41502</v>
      </c>
      <c r="F659" s="61" t="s">
        <v>64</v>
      </c>
      <c r="G659" s="19" t="s">
        <v>421</v>
      </c>
      <c r="H659" s="216" t="s">
        <v>160</v>
      </c>
      <c r="I659" s="56" t="s">
        <v>93</v>
      </c>
      <c r="J659" s="15">
        <v>18000</v>
      </c>
      <c r="K659" s="15">
        <v>5531</v>
      </c>
      <c r="L659" s="15">
        <v>99558000</v>
      </c>
      <c r="M659" s="15">
        <v>0</v>
      </c>
      <c r="N659" s="15">
        <v>0</v>
      </c>
      <c r="O659" s="15" t="str">
        <f>IF(AND(A659='BANG KE NL'!$M$11,TH!C659="NL",LEFT(D659,1)="N"),"x","")</f>
        <v/>
      </c>
    </row>
    <row r="660" spans="1:15" hidden="1">
      <c r="A660" s="24">
        <f t="shared" si="13"/>
        <v>8</v>
      </c>
      <c r="B660" s="188" t="str">
        <f>IF(AND(MONTH(E660)='IN-NX'!$J$5,'IN-NX'!$D$7=(D660&amp;"/"&amp;C660)),"x","")</f>
        <v/>
      </c>
      <c r="C660" s="185" t="s">
        <v>155</v>
      </c>
      <c r="D660" s="185" t="s">
        <v>192</v>
      </c>
      <c r="E660" s="69">
        <v>41502</v>
      </c>
      <c r="F660" s="61" t="s">
        <v>64</v>
      </c>
      <c r="G660" s="19" t="s">
        <v>420</v>
      </c>
      <c r="H660" s="216" t="s">
        <v>160</v>
      </c>
      <c r="I660" s="56" t="s">
        <v>93</v>
      </c>
      <c r="J660" s="15">
        <v>18000</v>
      </c>
      <c r="K660" s="15">
        <v>5523</v>
      </c>
      <c r="L660" s="15">
        <v>99414000</v>
      </c>
      <c r="M660" s="15">
        <v>0</v>
      </c>
      <c r="N660" s="15">
        <v>0</v>
      </c>
      <c r="O660" s="15" t="str">
        <f>IF(AND(A660='BANG KE NL'!$M$11,TH!C660="NL",LEFT(D660,1)="N"),"x","")</f>
        <v/>
      </c>
    </row>
    <row r="661" spans="1:15" hidden="1">
      <c r="A661" s="24">
        <f t="shared" si="13"/>
        <v>8</v>
      </c>
      <c r="B661" s="188" t="str">
        <f>IF(AND(MONTH(E661)='IN-NX'!$J$5,'IN-NX'!$D$7=(D661&amp;"/"&amp;C661)),"x","")</f>
        <v/>
      </c>
      <c r="C661" s="185" t="s">
        <v>155</v>
      </c>
      <c r="D661" s="185" t="s">
        <v>196</v>
      </c>
      <c r="E661" s="69">
        <v>41504</v>
      </c>
      <c r="F661" s="61" t="s">
        <v>64</v>
      </c>
      <c r="G661" s="19" t="s">
        <v>122</v>
      </c>
      <c r="H661" s="216" t="s">
        <v>160</v>
      </c>
      <c r="I661" s="56" t="s">
        <v>93</v>
      </c>
      <c r="J661" s="15">
        <v>18000</v>
      </c>
      <c r="K661" s="15">
        <v>4284</v>
      </c>
      <c r="L661" s="15">
        <v>77112000</v>
      </c>
      <c r="M661" s="15">
        <v>0</v>
      </c>
      <c r="N661" s="15">
        <v>0</v>
      </c>
      <c r="O661" s="15" t="str">
        <f>IF(AND(A661='BANG KE NL'!$M$11,TH!C661="NL",LEFT(D661,1)="N"),"x","")</f>
        <v/>
      </c>
    </row>
    <row r="662" spans="1:15" hidden="1">
      <c r="A662" s="24">
        <f t="shared" si="13"/>
        <v>8</v>
      </c>
      <c r="B662" s="188" t="str">
        <f>IF(AND(MONTH(E662)='IN-NX'!$J$5,'IN-NX'!$D$7=(D662&amp;"/"&amp;C662)),"x","")</f>
        <v/>
      </c>
      <c r="C662" s="185" t="s">
        <v>155</v>
      </c>
      <c r="D662" s="185" t="s">
        <v>439</v>
      </c>
      <c r="E662" s="69">
        <v>41505</v>
      </c>
      <c r="F662" s="61" t="s">
        <v>64</v>
      </c>
      <c r="G662" s="460" t="s">
        <v>158</v>
      </c>
      <c r="H662" s="216" t="s">
        <v>90</v>
      </c>
      <c r="I662" s="56" t="s">
        <v>160</v>
      </c>
      <c r="J662" s="15">
        <v>18000</v>
      </c>
      <c r="K662" s="15">
        <v>0</v>
      </c>
      <c r="L662" s="15">
        <v>0</v>
      </c>
      <c r="M662" s="15">
        <v>15338</v>
      </c>
      <c r="N662" s="15">
        <v>276084000</v>
      </c>
      <c r="O662" s="15" t="str">
        <f>IF(AND(A662='BANG KE NL'!$M$11,TH!C662="NL",LEFT(D662,1)="N"),"x","")</f>
        <v/>
      </c>
    </row>
    <row r="663" spans="1:15" hidden="1">
      <c r="A663" s="24">
        <f t="shared" si="13"/>
        <v>9</v>
      </c>
      <c r="B663" s="188" t="str">
        <f>IF(AND(MONTH(E663)='IN-NX'!$J$5,'IN-NX'!$D$7=(D663&amp;"/"&amp;C663)),"x","")</f>
        <v/>
      </c>
      <c r="C663" s="185" t="s">
        <v>155</v>
      </c>
      <c r="D663" s="185" t="s">
        <v>168</v>
      </c>
      <c r="E663" s="69">
        <v>41525</v>
      </c>
      <c r="F663" s="61" t="s">
        <v>64</v>
      </c>
      <c r="G663" s="19" t="s">
        <v>421</v>
      </c>
      <c r="H663" s="216" t="s">
        <v>160</v>
      </c>
      <c r="I663" s="56" t="s">
        <v>93</v>
      </c>
      <c r="J663" s="15">
        <v>18000</v>
      </c>
      <c r="K663" s="15">
        <v>5531</v>
      </c>
      <c r="L663" s="15">
        <v>99558000</v>
      </c>
      <c r="M663" s="15">
        <v>0</v>
      </c>
      <c r="N663" s="15">
        <v>0</v>
      </c>
      <c r="O663" s="15" t="str">
        <f>IF(AND(A663='BANG KE NL'!$M$11,TH!C663="NL",LEFT(D663,1)="N"),"x","")</f>
        <v/>
      </c>
    </row>
    <row r="664" spans="1:15" hidden="1">
      <c r="A664" s="24">
        <f t="shared" si="13"/>
        <v>9</v>
      </c>
      <c r="B664" s="188" t="str">
        <f>IF(AND(MONTH(E664)='IN-NX'!$J$5,'IN-NX'!$D$7=(D664&amp;"/"&amp;C664)),"x","")</f>
        <v/>
      </c>
      <c r="C664" s="185" t="s">
        <v>155</v>
      </c>
      <c r="D664" s="185" t="s">
        <v>169</v>
      </c>
      <c r="E664" s="69">
        <v>41525</v>
      </c>
      <c r="F664" s="61" t="s">
        <v>64</v>
      </c>
      <c r="G664" s="19" t="s">
        <v>415</v>
      </c>
      <c r="H664" s="216" t="s">
        <v>160</v>
      </c>
      <c r="I664" s="56" t="s">
        <v>93</v>
      </c>
      <c r="J664" s="15">
        <v>18000</v>
      </c>
      <c r="K664" s="15">
        <v>4310</v>
      </c>
      <c r="L664" s="15">
        <v>77580000</v>
      </c>
      <c r="M664" s="15">
        <v>0</v>
      </c>
      <c r="N664" s="15">
        <v>0</v>
      </c>
      <c r="O664" s="15" t="str">
        <f>IF(AND(A664='BANG KE NL'!$M$11,TH!C664="NL",LEFT(D664,1)="N"),"x","")</f>
        <v/>
      </c>
    </row>
    <row r="665" spans="1:15" hidden="1">
      <c r="A665" s="24">
        <f t="shared" si="13"/>
        <v>9</v>
      </c>
      <c r="B665" s="188" t="str">
        <f>IF(AND(MONTH(E665)='IN-NX'!$J$5,'IN-NX'!$D$7=(D665&amp;"/"&amp;C665)),"x","")</f>
        <v/>
      </c>
      <c r="C665" s="185" t="s">
        <v>155</v>
      </c>
      <c r="D665" s="185" t="s">
        <v>172</v>
      </c>
      <c r="E665" s="69">
        <v>41529</v>
      </c>
      <c r="F665" s="61" t="s">
        <v>64</v>
      </c>
      <c r="G665" s="19" t="s">
        <v>420</v>
      </c>
      <c r="H665" s="216" t="s">
        <v>160</v>
      </c>
      <c r="I665" s="56" t="s">
        <v>93</v>
      </c>
      <c r="J665" s="15">
        <v>18000</v>
      </c>
      <c r="K665" s="15">
        <v>4120</v>
      </c>
      <c r="L665" s="15">
        <v>74160000</v>
      </c>
      <c r="M665" s="15">
        <v>0</v>
      </c>
      <c r="N665" s="15">
        <v>0</v>
      </c>
      <c r="O665" s="15" t="str">
        <f>IF(AND(A665='BANG KE NL'!$M$11,TH!C665="NL",LEFT(D665,1)="N"),"x","")</f>
        <v/>
      </c>
    </row>
    <row r="666" spans="1:15" hidden="1">
      <c r="A666" s="24">
        <f t="shared" si="13"/>
        <v>9</v>
      </c>
      <c r="B666" s="188" t="str">
        <f>IF(AND(MONTH(E666)='IN-NX'!$J$5,'IN-NX'!$D$7=(D666&amp;"/"&amp;C666)),"x","")</f>
        <v/>
      </c>
      <c r="C666" s="185" t="s">
        <v>155</v>
      </c>
      <c r="D666" s="185" t="s">
        <v>173</v>
      </c>
      <c r="E666" s="69">
        <v>41529</v>
      </c>
      <c r="F666" s="61" t="s">
        <v>64</v>
      </c>
      <c r="G666" s="19" t="s">
        <v>301</v>
      </c>
      <c r="H666" s="216" t="s">
        <v>160</v>
      </c>
      <c r="I666" s="56" t="s">
        <v>93</v>
      </c>
      <c r="J666" s="15">
        <v>18000</v>
      </c>
      <c r="K666" s="15">
        <v>4025</v>
      </c>
      <c r="L666" s="15">
        <v>72450000</v>
      </c>
      <c r="M666" s="15">
        <v>0</v>
      </c>
      <c r="N666" s="15">
        <v>0</v>
      </c>
      <c r="O666" s="15" t="str">
        <f>IF(AND(A666='BANG KE NL'!$M$11,TH!C666="NL",LEFT(D666,1)="N"),"x","")</f>
        <v/>
      </c>
    </row>
    <row r="667" spans="1:15" hidden="1">
      <c r="A667" s="24">
        <f t="shared" si="13"/>
        <v>9</v>
      </c>
      <c r="B667" s="188" t="str">
        <f>IF(AND(MONTH(E667)='IN-NX'!$J$5,'IN-NX'!$D$7=(D667&amp;"/"&amp;C667)),"x","")</f>
        <v/>
      </c>
      <c r="C667" s="185" t="s">
        <v>155</v>
      </c>
      <c r="D667" s="185" t="s">
        <v>199</v>
      </c>
      <c r="E667" s="69">
        <v>41530</v>
      </c>
      <c r="F667" s="61" t="s">
        <v>64</v>
      </c>
      <c r="G667" s="460" t="s">
        <v>158</v>
      </c>
      <c r="H667" s="216" t="s">
        <v>90</v>
      </c>
      <c r="I667" s="56" t="s">
        <v>160</v>
      </c>
      <c r="J667" s="15">
        <v>18000</v>
      </c>
      <c r="K667" s="15">
        <v>0</v>
      </c>
      <c r="L667" s="15">
        <v>0</v>
      </c>
      <c r="M667" s="15">
        <v>14250</v>
      </c>
      <c r="N667" s="15">
        <v>256500000</v>
      </c>
      <c r="O667" s="15" t="str">
        <f>IF(AND(A667='BANG KE NL'!$M$11,TH!C667="NL",LEFT(D667,1)="N"),"x","")</f>
        <v/>
      </c>
    </row>
    <row r="668" spans="1:15" hidden="1">
      <c r="A668" s="24">
        <f t="shared" si="13"/>
        <v>9</v>
      </c>
      <c r="B668" s="188" t="str">
        <f>IF(AND(MONTH(E668)='IN-NX'!$J$5,'IN-NX'!$D$7=(D668&amp;"/"&amp;C668)),"x","")</f>
        <v/>
      </c>
      <c r="C668" s="185" t="s">
        <v>155</v>
      </c>
      <c r="D668" s="185" t="s">
        <v>180</v>
      </c>
      <c r="E668" s="69">
        <v>41533</v>
      </c>
      <c r="F668" s="61" t="s">
        <v>64</v>
      </c>
      <c r="G668" s="19" t="s">
        <v>122</v>
      </c>
      <c r="H668" s="216" t="s">
        <v>160</v>
      </c>
      <c r="I668" s="56" t="s">
        <v>93</v>
      </c>
      <c r="J668" s="15">
        <v>18000</v>
      </c>
      <c r="K668" s="15">
        <v>4349</v>
      </c>
      <c r="L668" s="15">
        <v>78282000</v>
      </c>
      <c r="M668" s="15">
        <v>0</v>
      </c>
      <c r="N668" s="15">
        <v>0</v>
      </c>
      <c r="O668" s="15" t="str">
        <f>IF(AND(A668='BANG KE NL'!$M$11,TH!C668="NL",LEFT(D668,1)="N"),"x","")</f>
        <v/>
      </c>
    </row>
    <row r="669" spans="1:15" hidden="1">
      <c r="A669" s="24">
        <f t="shared" si="13"/>
        <v>9</v>
      </c>
      <c r="B669" s="188" t="str">
        <f>IF(AND(MONTH(E669)='IN-NX'!$J$5,'IN-NX'!$D$7=(D669&amp;"/"&amp;C669)),"x","")</f>
        <v/>
      </c>
      <c r="C669" s="185" t="s">
        <v>155</v>
      </c>
      <c r="D669" s="185" t="s">
        <v>181</v>
      </c>
      <c r="E669" s="69">
        <v>41533</v>
      </c>
      <c r="F669" s="61" t="s">
        <v>64</v>
      </c>
      <c r="G669" s="19" t="s">
        <v>300</v>
      </c>
      <c r="H669" s="216" t="s">
        <v>160</v>
      </c>
      <c r="I669" s="56" t="s">
        <v>93</v>
      </c>
      <c r="J669" s="15">
        <v>18000</v>
      </c>
      <c r="K669" s="15">
        <v>3915</v>
      </c>
      <c r="L669" s="15">
        <v>70470000</v>
      </c>
      <c r="M669" s="15">
        <v>0</v>
      </c>
      <c r="N669" s="15">
        <v>0</v>
      </c>
      <c r="O669" s="15" t="str">
        <f>IF(AND(A669='BANG KE NL'!$M$11,TH!C669="NL",LEFT(D669,1)="N"),"x","")</f>
        <v/>
      </c>
    </row>
    <row r="670" spans="1:15" hidden="1">
      <c r="A670" s="24">
        <f t="shared" si="13"/>
        <v>10</v>
      </c>
      <c r="B670" s="188" t="str">
        <f>IF(AND(MONTH(E670)='IN-NX'!$J$5,'IN-NX'!$D$7=(D670&amp;"/"&amp;C670)),"x","")</f>
        <v/>
      </c>
      <c r="C670" s="185" t="s">
        <v>155</v>
      </c>
      <c r="D670" s="185" t="s">
        <v>197</v>
      </c>
      <c r="E670" s="69">
        <v>41557</v>
      </c>
      <c r="F670" s="61" t="s">
        <v>64</v>
      </c>
      <c r="G670" s="460" t="s">
        <v>158</v>
      </c>
      <c r="H670" s="216" t="s">
        <v>90</v>
      </c>
      <c r="I670" s="56" t="s">
        <v>160</v>
      </c>
      <c r="J670" s="15">
        <v>18000</v>
      </c>
      <c r="K670" s="15">
        <v>0</v>
      </c>
      <c r="L670" s="15">
        <v>0</v>
      </c>
      <c r="M670" s="15">
        <v>12000</v>
      </c>
      <c r="N670" s="15">
        <v>216000000</v>
      </c>
      <c r="O670" s="15" t="str">
        <f>IF(AND(A670='BANG KE NL'!$M$11,TH!C670="NL",LEFT(D670,1)="N"),"x","")</f>
        <v/>
      </c>
    </row>
    <row r="671" spans="1:15" hidden="1">
      <c r="A671" s="24">
        <f t="shared" si="13"/>
        <v>12</v>
      </c>
      <c r="B671" s="188" t="str">
        <f>IF(AND(MONTH(E671)='IN-NX'!$J$5,'IN-NX'!$D$7=(D671&amp;"/"&amp;C671)),"x","")</f>
        <v/>
      </c>
      <c r="C671" s="185" t="s">
        <v>155</v>
      </c>
      <c r="D671" s="185" t="s">
        <v>442</v>
      </c>
      <c r="E671" s="69">
        <v>41624</v>
      </c>
      <c r="F671" s="61" t="s">
        <v>64</v>
      </c>
      <c r="G671" s="19" t="s">
        <v>421</v>
      </c>
      <c r="H671" s="216" t="s">
        <v>160</v>
      </c>
      <c r="I671" s="56" t="s">
        <v>93</v>
      </c>
      <c r="J671" s="15">
        <v>18000</v>
      </c>
      <c r="K671" s="15">
        <v>3142</v>
      </c>
      <c r="L671" s="15">
        <v>56556000</v>
      </c>
      <c r="M671" s="15">
        <v>0</v>
      </c>
      <c r="N671" s="15">
        <v>0</v>
      </c>
      <c r="O671" s="15" t="str">
        <f>IF(AND(A671='BANG KE NL'!$M$11,TH!C671="NL",LEFT(D671,1)="N"),"x","")</f>
        <v>x</v>
      </c>
    </row>
    <row r="672" spans="1:15" hidden="1">
      <c r="A672" s="24">
        <f t="shared" si="13"/>
        <v>12</v>
      </c>
      <c r="B672" s="188" t="str">
        <f>IF(AND(MONTH(E672)='IN-NX'!$J$5,'IN-NX'!$D$7=(D672&amp;"/"&amp;C672)),"x","")</f>
        <v/>
      </c>
      <c r="C672" s="185" t="s">
        <v>155</v>
      </c>
      <c r="D672" s="185" t="s">
        <v>443</v>
      </c>
      <c r="E672" s="69">
        <v>41626</v>
      </c>
      <c r="F672" s="61" t="s">
        <v>64</v>
      </c>
      <c r="G672" s="19" t="s">
        <v>421</v>
      </c>
      <c r="H672" s="216" t="s">
        <v>160</v>
      </c>
      <c r="I672" s="56" t="s">
        <v>93</v>
      </c>
      <c r="J672" s="15">
        <v>18000</v>
      </c>
      <c r="K672" s="15">
        <v>3258</v>
      </c>
      <c r="L672" s="15">
        <v>58644000</v>
      </c>
      <c r="M672" s="15">
        <v>0</v>
      </c>
      <c r="N672" s="15">
        <v>0</v>
      </c>
      <c r="O672" s="15" t="str">
        <f>IF(AND(A672='BANG KE NL'!$M$11,TH!C672="NL",LEFT(D672,1)="N"),"x","")</f>
        <v>x</v>
      </c>
    </row>
    <row r="673" spans="1:15" hidden="1">
      <c r="A673" s="24">
        <f t="shared" si="13"/>
        <v>12</v>
      </c>
      <c r="B673" s="188" t="str">
        <f>IF(AND(MONTH(E673)='IN-NX'!$J$5,'IN-NX'!$D$7=(D673&amp;"/"&amp;C673)),"x","")</f>
        <v/>
      </c>
      <c r="C673" s="185" t="s">
        <v>155</v>
      </c>
      <c r="D673" s="185" t="s">
        <v>444</v>
      </c>
      <c r="E673" s="69">
        <v>41626</v>
      </c>
      <c r="F673" s="61" t="s">
        <v>64</v>
      </c>
      <c r="G673" s="19" t="s">
        <v>127</v>
      </c>
      <c r="H673" s="216" t="s">
        <v>160</v>
      </c>
      <c r="I673" s="56" t="s">
        <v>93</v>
      </c>
      <c r="J673" s="15">
        <v>18000</v>
      </c>
      <c r="K673" s="15">
        <v>5136</v>
      </c>
      <c r="L673" s="15">
        <v>92448000</v>
      </c>
      <c r="M673" s="15">
        <v>0</v>
      </c>
      <c r="N673" s="15">
        <v>0</v>
      </c>
      <c r="O673" s="15" t="str">
        <f>IF(AND(A673='BANG KE NL'!$M$11,TH!C673="NL",LEFT(D673,1)="N"),"x","")</f>
        <v>x</v>
      </c>
    </row>
    <row r="674" spans="1:15" hidden="1">
      <c r="A674" s="24">
        <f t="shared" si="13"/>
        <v>12</v>
      </c>
      <c r="B674" s="188" t="str">
        <f>IF(AND(MONTH(E674)='IN-NX'!$J$5,'IN-NX'!$D$7=(D674&amp;"/"&amp;C674)),"x","")</f>
        <v/>
      </c>
      <c r="C674" s="185" t="s">
        <v>155</v>
      </c>
      <c r="D674" s="185" t="s">
        <v>439</v>
      </c>
      <c r="E674" s="69">
        <v>41626</v>
      </c>
      <c r="F674" s="61" t="s">
        <v>64</v>
      </c>
      <c r="G674" s="460" t="s">
        <v>158</v>
      </c>
      <c r="H674" s="216" t="s">
        <v>90</v>
      </c>
      <c r="I674" s="56" t="s">
        <v>160</v>
      </c>
      <c r="J674" s="15">
        <v>18000</v>
      </c>
      <c r="K674" s="15">
        <v>0</v>
      </c>
      <c r="L674" s="15">
        <v>0</v>
      </c>
      <c r="M674" s="15">
        <v>11536</v>
      </c>
      <c r="N674" s="15">
        <v>207648000</v>
      </c>
      <c r="O674" s="15" t="str">
        <f>IF(AND(A674='BANG KE NL'!$M$11,TH!C674="NL",LEFT(D674,1)="N"),"x","")</f>
        <v/>
      </c>
    </row>
    <row r="675" spans="1:15" hidden="1">
      <c r="A675" s="24">
        <f t="shared" si="13"/>
        <v>12</v>
      </c>
      <c r="B675" s="188" t="str">
        <f>IF(AND(MONTH(E675)='IN-NX'!$J$5,'IN-NX'!$D$7=(D675&amp;"/"&amp;C675)),"x","")</f>
        <v/>
      </c>
      <c r="C675" s="185" t="s">
        <v>155</v>
      </c>
      <c r="D675" s="185" t="s">
        <v>445</v>
      </c>
      <c r="E675" s="69">
        <v>41629</v>
      </c>
      <c r="F675" s="61" t="s">
        <v>64</v>
      </c>
      <c r="G675" s="19" t="s">
        <v>309</v>
      </c>
      <c r="H675" s="216" t="s">
        <v>160</v>
      </c>
      <c r="I675" s="56" t="s">
        <v>93</v>
      </c>
      <c r="J675" s="15">
        <v>18000</v>
      </c>
      <c r="K675" s="15">
        <v>4914</v>
      </c>
      <c r="L675" s="15">
        <v>88452000</v>
      </c>
      <c r="M675" s="15">
        <v>0</v>
      </c>
      <c r="N675" s="15">
        <v>0</v>
      </c>
      <c r="O675" s="15" t="str">
        <f>IF(AND(A675='BANG KE NL'!$M$11,TH!C675="NL",LEFT(D675,1)="N"),"x","")</f>
        <v>x</v>
      </c>
    </row>
    <row r="676" spans="1:15" hidden="1">
      <c r="A676" s="24">
        <f t="shared" si="13"/>
        <v>12</v>
      </c>
      <c r="B676" s="188" t="str">
        <f>IF(AND(MONTH(E676)='IN-NX'!$J$5,'IN-NX'!$D$7=(D676&amp;"/"&amp;C676)),"x","")</f>
        <v/>
      </c>
      <c r="C676" s="185" t="s">
        <v>155</v>
      </c>
      <c r="D676" s="185" t="s">
        <v>446</v>
      </c>
      <c r="E676" s="69">
        <v>41629</v>
      </c>
      <c r="F676" s="61" t="s">
        <v>64</v>
      </c>
      <c r="G676" s="19" t="s">
        <v>302</v>
      </c>
      <c r="H676" s="216" t="s">
        <v>160</v>
      </c>
      <c r="I676" s="56" t="s">
        <v>93</v>
      </c>
      <c r="J676" s="15">
        <v>18000</v>
      </c>
      <c r="K676" s="15">
        <v>3000</v>
      </c>
      <c r="L676" s="15">
        <v>54000000</v>
      </c>
      <c r="M676" s="15">
        <v>0</v>
      </c>
      <c r="N676" s="15">
        <v>0</v>
      </c>
      <c r="O676" s="15" t="str">
        <f>IF(AND(A676='BANG KE NL'!$M$11,TH!C676="NL",LEFT(D676,1)="N"),"x","")</f>
        <v>x</v>
      </c>
    </row>
    <row r="677" spans="1:15" hidden="1">
      <c r="A677" s="24">
        <f t="shared" si="13"/>
        <v>12</v>
      </c>
      <c r="B677" s="188" t="str">
        <f>IF(AND(MONTH(E677)='IN-NX'!$J$5,'IN-NX'!$D$7=(D677&amp;"/"&amp;C677)),"x","")</f>
        <v/>
      </c>
      <c r="C677" s="185" t="s">
        <v>155</v>
      </c>
      <c r="D677" s="185" t="s">
        <v>434</v>
      </c>
      <c r="E677" s="69">
        <v>41629</v>
      </c>
      <c r="F677" s="61" t="s">
        <v>64</v>
      </c>
      <c r="G677" s="460" t="s">
        <v>158</v>
      </c>
      <c r="H677" s="216" t="s">
        <v>90</v>
      </c>
      <c r="I677" s="56" t="s">
        <v>160</v>
      </c>
      <c r="J677" s="15">
        <v>18000</v>
      </c>
      <c r="K677" s="15">
        <v>0</v>
      </c>
      <c r="L677" s="15">
        <v>0</v>
      </c>
      <c r="M677" s="15">
        <v>7914</v>
      </c>
      <c r="N677" s="15">
        <v>142452000</v>
      </c>
      <c r="O677" s="15" t="str">
        <f>IF(AND(A677='BANG KE NL'!$M$11,TH!C677="NL",LEFT(D677,1)="N"),"x","")</f>
        <v/>
      </c>
    </row>
    <row r="678" spans="1:15" hidden="1">
      <c r="A678" s="24">
        <f t="shared" si="13"/>
        <v>12</v>
      </c>
      <c r="B678" s="188" t="str">
        <f>IF(AND(MONTH(E678)='IN-NX'!$J$5,'IN-NX'!$D$7=(D678&amp;"/"&amp;C678)),"x","")</f>
        <v/>
      </c>
      <c r="C678" s="185" t="s">
        <v>155</v>
      </c>
      <c r="D678" s="185" t="s">
        <v>186</v>
      </c>
      <c r="E678" s="69">
        <v>41613</v>
      </c>
      <c r="F678" s="61" t="s">
        <v>359</v>
      </c>
      <c r="G678" s="19" t="s">
        <v>410</v>
      </c>
      <c r="H678" s="216" t="s">
        <v>160</v>
      </c>
      <c r="I678" s="56" t="s">
        <v>93</v>
      </c>
      <c r="J678" s="15">
        <v>28000</v>
      </c>
      <c r="K678" s="15">
        <v>1564</v>
      </c>
      <c r="L678" s="15">
        <v>43792000</v>
      </c>
      <c r="M678" s="15">
        <v>0</v>
      </c>
      <c r="N678" s="15">
        <v>0</v>
      </c>
      <c r="O678" s="15" t="str">
        <f>IF(AND(A678='BANG KE NL'!$M$11,TH!C678="NL",LEFT(D678,1)="N"),"x","")</f>
        <v>x</v>
      </c>
    </row>
    <row r="679" spans="1:15" hidden="1">
      <c r="A679" s="24">
        <f t="shared" si="13"/>
        <v>12</v>
      </c>
      <c r="B679" s="188" t="str">
        <f>IF(AND(MONTH(E679)='IN-NX'!$J$5,'IN-NX'!$D$7=(D679&amp;"/"&amp;C679)),"x","")</f>
        <v/>
      </c>
      <c r="C679" s="185" t="s">
        <v>155</v>
      </c>
      <c r="D679" s="185" t="s">
        <v>197</v>
      </c>
      <c r="E679" s="69">
        <v>41614</v>
      </c>
      <c r="F679" s="61" t="s">
        <v>359</v>
      </c>
      <c r="G679" s="460" t="s">
        <v>158</v>
      </c>
      <c r="H679" s="216" t="s">
        <v>90</v>
      </c>
      <c r="I679" s="56" t="s">
        <v>160</v>
      </c>
      <c r="J679" s="15">
        <v>28000</v>
      </c>
      <c r="K679" s="15">
        <v>0</v>
      </c>
      <c r="L679" s="15">
        <v>0</v>
      </c>
      <c r="M679" s="15">
        <v>1564</v>
      </c>
      <c r="N679" s="15">
        <v>43792000</v>
      </c>
      <c r="O679" s="15" t="str">
        <f>IF(AND(A679='BANG KE NL'!$M$11,TH!C679="NL",LEFT(D679,1)="N"),"x","")</f>
        <v/>
      </c>
    </row>
    <row r="680" spans="1:15" hidden="1">
      <c r="A680" s="24">
        <f t="shared" si="13"/>
        <v>12</v>
      </c>
      <c r="B680" s="188" t="str">
        <f>IF(AND(MONTH(E680)='IN-NX'!$J$5,'IN-NX'!$D$7=(D680&amp;"/"&amp;C680)),"x","")</f>
        <v/>
      </c>
      <c r="C680" s="185" t="s">
        <v>155</v>
      </c>
      <c r="D680" s="185" t="s">
        <v>164</v>
      </c>
      <c r="E680" s="69">
        <v>41609</v>
      </c>
      <c r="F680" s="61" t="s">
        <v>294</v>
      </c>
      <c r="G680" s="19" t="s">
        <v>134</v>
      </c>
      <c r="H680" s="216" t="s">
        <v>160</v>
      </c>
      <c r="I680" s="56" t="s">
        <v>93</v>
      </c>
      <c r="J680" s="15">
        <v>34000</v>
      </c>
      <c r="K680" s="15">
        <v>2106</v>
      </c>
      <c r="L680" s="15">
        <v>71604000</v>
      </c>
      <c r="M680" s="15">
        <v>0</v>
      </c>
      <c r="N680" s="15">
        <v>0</v>
      </c>
      <c r="O680" s="15" t="str">
        <f>IF(AND(A680='BANG KE NL'!$M$11,TH!C680="NL",LEFT(D680,1)="N"),"x","")</f>
        <v>x</v>
      </c>
    </row>
    <row r="681" spans="1:15" hidden="1">
      <c r="A681" s="24">
        <f t="shared" si="13"/>
        <v>12</v>
      </c>
      <c r="B681" s="188" t="str">
        <f>IF(AND(MONTH(E681)='IN-NX'!$J$5,'IN-NX'!$D$7=(D681&amp;"/"&amp;C681)),"x","")</f>
        <v/>
      </c>
      <c r="C681" s="185" t="s">
        <v>155</v>
      </c>
      <c r="D681" s="185" t="s">
        <v>150</v>
      </c>
      <c r="E681" s="69">
        <v>41610</v>
      </c>
      <c r="F681" s="61" t="s">
        <v>294</v>
      </c>
      <c r="G681" s="460" t="s">
        <v>158</v>
      </c>
      <c r="H681" s="216" t="s">
        <v>90</v>
      </c>
      <c r="I681" s="56" t="s">
        <v>160</v>
      </c>
      <c r="J681" s="15">
        <v>34000</v>
      </c>
      <c r="K681" s="15">
        <v>0</v>
      </c>
      <c r="L681" s="15">
        <v>0</v>
      </c>
      <c r="M681" s="15">
        <v>2106</v>
      </c>
      <c r="N681" s="15">
        <v>71604000</v>
      </c>
      <c r="O681" s="15" t="str">
        <f>IF(AND(A681='BANG KE NL'!$M$11,TH!C681="NL",LEFT(D681,1)="N"),"x","")</f>
        <v/>
      </c>
    </row>
    <row r="682" spans="1:15" hidden="1">
      <c r="A682" s="24">
        <f t="shared" si="13"/>
        <v>11</v>
      </c>
      <c r="B682" s="188" t="str">
        <f>IF(AND(MONTH(E682)='IN-NX'!$J$5,'IN-NX'!$D$7=(D682&amp;"/"&amp;C682)),"x","")</f>
        <v/>
      </c>
      <c r="C682" s="185" t="s">
        <v>155</v>
      </c>
      <c r="D682" s="185" t="s">
        <v>145</v>
      </c>
      <c r="E682" s="69">
        <v>41579</v>
      </c>
      <c r="F682" s="61" t="s">
        <v>360</v>
      </c>
      <c r="G682" s="19" t="s">
        <v>298</v>
      </c>
      <c r="H682" s="216" t="s">
        <v>160</v>
      </c>
      <c r="I682" s="56" t="s">
        <v>93</v>
      </c>
      <c r="J682" s="15">
        <v>17500</v>
      </c>
      <c r="K682" s="15">
        <v>6810</v>
      </c>
      <c r="L682" s="15">
        <v>119175000</v>
      </c>
      <c r="M682" s="15">
        <v>0</v>
      </c>
      <c r="N682" s="15">
        <v>0</v>
      </c>
      <c r="O682" s="15" t="str">
        <f>IF(AND(A682='BANG KE NL'!$M$11,TH!C682="NL",LEFT(D682,1)="N"),"x","")</f>
        <v/>
      </c>
    </row>
    <row r="683" spans="1:15" hidden="1">
      <c r="A683" s="24">
        <f t="shared" si="13"/>
        <v>11</v>
      </c>
      <c r="B683" s="188" t="str">
        <f>IF(AND(MONTH(E683)='IN-NX'!$J$5,'IN-NX'!$D$7=(D683&amp;"/"&amp;C683)),"x","")</f>
        <v/>
      </c>
      <c r="C683" s="185" t="s">
        <v>155</v>
      </c>
      <c r="D683" s="185" t="s">
        <v>146</v>
      </c>
      <c r="E683" s="69">
        <v>41579</v>
      </c>
      <c r="F683" s="61" t="s">
        <v>360</v>
      </c>
      <c r="G683" s="19" t="s">
        <v>303</v>
      </c>
      <c r="H683" s="216" t="s">
        <v>160</v>
      </c>
      <c r="I683" s="56" t="s">
        <v>93</v>
      </c>
      <c r="J683" s="15">
        <v>17500</v>
      </c>
      <c r="K683" s="15">
        <v>5949</v>
      </c>
      <c r="L683" s="15">
        <v>104107500</v>
      </c>
      <c r="M683" s="15">
        <v>0</v>
      </c>
      <c r="N683" s="15">
        <v>0</v>
      </c>
      <c r="O683" s="15" t="str">
        <f>IF(AND(A683='BANG KE NL'!$M$11,TH!C683="NL",LEFT(D683,1)="N"),"x","")</f>
        <v/>
      </c>
    </row>
    <row r="684" spans="1:15" hidden="1">
      <c r="A684" s="24">
        <f t="shared" si="13"/>
        <v>11</v>
      </c>
      <c r="B684" s="188" t="str">
        <f>IF(AND(MONTH(E684)='IN-NX'!$J$5,'IN-NX'!$D$7=(D684&amp;"/"&amp;C684)),"x","")</f>
        <v/>
      </c>
      <c r="C684" s="185" t="s">
        <v>155</v>
      </c>
      <c r="D684" s="185" t="s">
        <v>147</v>
      </c>
      <c r="E684" s="69">
        <v>41579</v>
      </c>
      <c r="F684" s="61" t="s">
        <v>360</v>
      </c>
      <c r="G684" s="19" t="s">
        <v>414</v>
      </c>
      <c r="H684" s="216" t="s">
        <v>160</v>
      </c>
      <c r="I684" s="56" t="s">
        <v>93</v>
      </c>
      <c r="J684" s="15">
        <v>17500</v>
      </c>
      <c r="K684" s="15">
        <v>6241</v>
      </c>
      <c r="L684" s="15">
        <v>109217500</v>
      </c>
      <c r="M684" s="15">
        <v>0</v>
      </c>
      <c r="N684" s="15">
        <v>0</v>
      </c>
      <c r="O684" s="15" t="str">
        <f>IF(AND(A684='BANG KE NL'!$M$11,TH!C684="NL",LEFT(D684,1)="N"),"x","")</f>
        <v/>
      </c>
    </row>
    <row r="685" spans="1:15" hidden="1">
      <c r="A685" s="24">
        <f t="shared" si="13"/>
        <v>11</v>
      </c>
      <c r="B685" s="188" t="str">
        <f>IF(AND(MONTH(E685)='IN-NX'!$J$5,'IN-NX'!$D$7=(D685&amp;"/"&amp;C685)),"x","")</f>
        <v/>
      </c>
      <c r="C685" s="185" t="s">
        <v>155</v>
      </c>
      <c r="D685" s="185" t="s">
        <v>149</v>
      </c>
      <c r="E685" s="69">
        <v>41579</v>
      </c>
      <c r="F685" s="61" t="s">
        <v>360</v>
      </c>
      <c r="G685" s="460" t="s">
        <v>158</v>
      </c>
      <c r="H685" s="216" t="s">
        <v>90</v>
      </c>
      <c r="I685" s="56" t="s">
        <v>160</v>
      </c>
      <c r="J685" s="15">
        <v>17500</v>
      </c>
      <c r="K685" s="15">
        <v>0</v>
      </c>
      <c r="L685" s="15">
        <v>0</v>
      </c>
      <c r="M685" s="15">
        <v>19000</v>
      </c>
      <c r="N685" s="15">
        <v>332500000</v>
      </c>
      <c r="O685" s="15" t="str">
        <f>IF(AND(A685='BANG KE NL'!$M$11,TH!C685="NL",LEFT(D685,1)="N"),"x","")</f>
        <v/>
      </c>
    </row>
    <row r="686" spans="1:15" hidden="1">
      <c r="A686" s="24">
        <f t="shared" si="13"/>
        <v>3</v>
      </c>
      <c r="B686" s="188" t="str">
        <f>IF(AND(MONTH(E686)='IN-NX'!$J$5,'IN-NX'!$D$7=(D686&amp;"/"&amp;C686)),"x","")</f>
        <v/>
      </c>
      <c r="C686" s="185" t="s">
        <v>155</v>
      </c>
      <c r="D686" s="185" t="s">
        <v>173</v>
      </c>
      <c r="E686" s="69">
        <v>41344</v>
      </c>
      <c r="F686" s="61" t="s">
        <v>361</v>
      </c>
      <c r="G686" s="19" t="s">
        <v>440</v>
      </c>
      <c r="H686" s="216" t="s">
        <v>160</v>
      </c>
      <c r="I686" s="56" t="s">
        <v>93</v>
      </c>
      <c r="J686" s="15">
        <v>19000</v>
      </c>
      <c r="K686" s="15">
        <v>5682</v>
      </c>
      <c r="L686" s="15">
        <v>107958000</v>
      </c>
      <c r="M686" s="15">
        <v>0</v>
      </c>
      <c r="N686" s="15">
        <v>0</v>
      </c>
      <c r="O686" s="15" t="str">
        <f>IF(AND(A686='BANG KE NL'!$M$11,TH!C686="NL",LEFT(D686,1)="N"),"x","")</f>
        <v/>
      </c>
    </row>
    <row r="687" spans="1:15" hidden="1">
      <c r="A687" s="24">
        <f t="shared" si="13"/>
        <v>3</v>
      </c>
      <c r="B687" s="188" t="str">
        <f>IF(AND(MONTH(E687)='IN-NX'!$J$5,'IN-NX'!$D$7=(D687&amp;"/"&amp;C687)),"x","")</f>
        <v/>
      </c>
      <c r="C687" s="185" t="s">
        <v>155</v>
      </c>
      <c r="D687" s="185" t="s">
        <v>174</v>
      </c>
      <c r="E687" s="69">
        <v>41345</v>
      </c>
      <c r="F687" s="61" t="s">
        <v>361</v>
      </c>
      <c r="G687" s="19" t="s">
        <v>122</v>
      </c>
      <c r="H687" s="216" t="s">
        <v>160</v>
      </c>
      <c r="I687" s="56" t="s">
        <v>93</v>
      </c>
      <c r="J687" s="15">
        <v>19000</v>
      </c>
      <c r="K687" s="15">
        <v>5562</v>
      </c>
      <c r="L687" s="15">
        <v>105678000</v>
      </c>
      <c r="M687" s="15">
        <v>0</v>
      </c>
      <c r="N687" s="15">
        <v>0</v>
      </c>
      <c r="O687" s="15" t="str">
        <f>IF(AND(A687='BANG KE NL'!$M$11,TH!C687="NL",LEFT(D687,1)="N"),"x","")</f>
        <v/>
      </c>
    </row>
    <row r="688" spans="1:15" hidden="1">
      <c r="A688" s="24">
        <f t="shared" si="13"/>
        <v>3</v>
      </c>
      <c r="B688" s="188" t="str">
        <f>IF(AND(MONTH(E688)='IN-NX'!$J$5,'IN-NX'!$D$7=(D688&amp;"/"&amp;C688)),"x","")</f>
        <v/>
      </c>
      <c r="C688" s="185" t="s">
        <v>155</v>
      </c>
      <c r="D688" s="185" t="s">
        <v>175</v>
      </c>
      <c r="E688" s="69">
        <v>41345</v>
      </c>
      <c r="F688" s="61" t="s">
        <v>361</v>
      </c>
      <c r="G688" s="19" t="s">
        <v>140</v>
      </c>
      <c r="H688" s="216" t="s">
        <v>160</v>
      </c>
      <c r="I688" s="56" t="s">
        <v>93</v>
      </c>
      <c r="J688" s="15">
        <v>19000</v>
      </c>
      <c r="K688" s="15">
        <v>5563</v>
      </c>
      <c r="L688" s="15">
        <v>105697000</v>
      </c>
      <c r="M688" s="15">
        <v>0</v>
      </c>
      <c r="N688" s="15">
        <v>0</v>
      </c>
      <c r="O688" s="15" t="str">
        <f>IF(AND(A688='BANG KE NL'!$M$11,TH!C688="NL",LEFT(D688,1)="N"),"x","")</f>
        <v/>
      </c>
    </row>
    <row r="689" spans="1:15" hidden="1">
      <c r="A689" s="24">
        <f t="shared" si="13"/>
        <v>3</v>
      </c>
      <c r="B689" s="188" t="str">
        <f>IF(AND(MONTH(E689)='IN-NX'!$J$5,'IN-NX'!$D$7=(D689&amp;"/"&amp;C689)),"x","")</f>
        <v/>
      </c>
      <c r="C689" s="185" t="s">
        <v>155</v>
      </c>
      <c r="D689" s="185" t="s">
        <v>176</v>
      </c>
      <c r="E689" s="69">
        <v>41345</v>
      </c>
      <c r="F689" s="61" t="s">
        <v>361</v>
      </c>
      <c r="G689" s="19" t="s">
        <v>139</v>
      </c>
      <c r="H689" s="216" t="s">
        <v>160</v>
      </c>
      <c r="I689" s="56" t="s">
        <v>93</v>
      </c>
      <c r="J689" s="15">
        <v>19000</v>
      </c>
      <c r="K689" s="15">
        <v>4031</v>
      </c>
      <c r="L689" s="15">
        <v>76589000</v>
      </c>
      <c r="M689" s="15">
        <v>0</v>
      </c>
      <c r="N689" s="15">
        <v>0</v>
      </c>
      <c r="O689" s="15" t="str">
        <f>IF(AND(A689='BANG KE NL'!$M$11,TH!C689="NL",LEFT(D689,1)="N"),"x","")</f>
        <v/>
      </c>
    </row>
    <row r="690" spans="1:15" hidden="1">
      <c r="A690" s="24">
        <f t="shared" si="13"/>
        <v>3</v>
      </c>
      <c r="B690" s="188" t="str">
        <f>IF(AND(MONTH(E690)='IN-NX'!$J$5,'IN-NX'!$D$7=(D690&amp;"/"&amp;C690)),"x","")</f>
        <v/>
      </c>
      <c r="C690" s="185" t="s">
        <v>155</v>
      </c>
      <c r="D690" s="185" t="s">
        <v>177</v>
      </c>
      <c r="E690" s="69">
        <v>41345</v>
      </c>
      <c r="F690" s="61" t="s">
        <v>361</v>
      </c>
      <c r="G690" s="19" t="s">
        <v>413</v>
      </c>
      <c r="H690" s="216" t="s">
        <v>160</v>
      </c>
      <c r="I690" s="56" t="s">
        <v>93</v>
      </c>
      <c r="J690" s="15">
        <v>19000</v>
      </c>
      <c r="K690" s="15">
        <v>3212</v>
      </c>
      <c r="L690" s="15">
        <v>61028000</v>
      </c>
      <c r="M690" s="15">
        <v>0</v>
      </c>
      <c r="N690" s="15">
        <v>0</v>
      </c>
      <c r="O690" s="15" t="str">
        <f>IF(AND(A690='BANG KE NL'!$M$11,TH!C690="NL",LEFT(D690,1)="N"),"x","")</f>
        <v/>
      </c>
    </row>
    <row r="691" spans="1:15" hidden="1">
      <c r="A691" s="24">
        <f t="shared" si="13"/>
        <v>3</v>
      </c>
      <c r="B691" s="188" t="str">
        <f>IF(AND(MONTH(E691)='IN-NX'!$J$5,'IN-NX'!$D$7=(D691&amp;"/"&amp;C691)),"x","")</f>
        <v/>
      </c>
      <c r="C691" s="185" t="s">
        <v>155</v>
      </c>
      <c r="D691" s="185" t="s">
        <v>159</v>
      </c>
      <c r="E691" s="69">
        <v>41345</v>
      </c>
      <c r="F691" s="61" t="s">
        <v>361</v>
      </c>
      <c r="G691" s="460" t="s">
        <v>158</v>
      </c>
      <c r="H691" s="216" t="s">
        <v>90</v>
      </c>
      <c r="I691" s="56" t="s">
        <v>160</v>
      </c>
      <c r="J691" s="15">
        <v>19000</v>
      </c>
      <c r="K691" s="15">
        <v>0</v>
      </c>
      <c r="L691" s="15">
        <v>0</v>
      </c>
      <c r="M691" s="15">
        <v>11244</v>
      </c>
      <c r="N691" s="15">
        <v>213636000</v>
      </c>
      <c r="O691" s="15" t="str">
        <f>IF(AND(A691='BANG KE NL'!$M$11,TH!C691="NL",LEFT(D691,1)="N"),"x","")</f>
        <v/>
      </c>
    </row>
    <row r="692" spans="1:15" hidden="1">
      <c r="A692" s="24">
        <f t="shared" si="13"/>
        <v>3</v>
      </c>
      <c r="B692" s="188" t="str">
        <f>IF(AND(MONTH(E692)='IN-NX'!$J$5,'IN-NX'!$D$7=(D692&amp;"/"&amp;C692)),"x","")</f>
        <v/>
      </c>
      <c r="C692" s="185" t="s">
        <v>155</v>
      </c>
      <c r="D692" s="185" t="s">
        <v>197</v>
      </c>
      <c r="E692" s="69">
        <v>41346</v>
      </c>
      <c r="F692" s="61" t="s">
        <v>361</v>
      </c>
      <c r="G692" s="460" t="s">
        <v>158</v>
      </c>
      <c r="H692" s="216" t="s">
        <v>90</v>
      </c>
      <c r="I692" s="56" t="s">
        <v>160</v>
      </c>
      <c r="J692" s="15">
        <v>19000</v>
      </c>
      <c r="K692" s="15">
        <v>0</v>
      </c>
      <c r="L692" s="15">
        <v>0</v>
      </c>
      <c r="M692" s="15">
        <v>12806</v>
      </c>
      <c r="N692" s="15">
        <v>243314000</v>
      </c>
      <c r="O692" s="15" t="str">
        <f>IF(AND(A692='BANG KE NL'!$M$11,TH!C692="NL",LEFT(D692,1)="N"),"x","")</f>
        <v/>
      </c>
    </row>
    <row r="693" spans="1:15" hidden="1">
      <c r="A693" s="24">
        <f t="shared" si="13"/>
        <v>12</v>
      </c>
      <c r="B693" s="188" t="str">
        <f>IF(AND(MONTH(E693)='IN-NX'!$J$5,'IN-NX'!$D$7=(D693&amp;"/"&amp;C693)),"x","")</f>
        <v/>
      </c>
      <c r="C693" s="185" t="s">
        <v>155</v>
      </c>
      <c r="D693" s="185" t="s">
        <v>193</v>
      </c>
      <c r="E693" s="69">
        <v>41614</v>
      </c>
      <c r="F693" s="61" t="s">
        <v>295</v>
      </c>
      <c r="G693" s="19" t="s">
        <v>134</v>
      </c>
      <c r="H693" s="216" t="s">
        <v>160</v>
      </c>
      <c r="I693" s="56" t="s">
        <v>93</v>
      </c>
      <c r="J693" s="15">
        <v>34000</v>
      </c>
      <c r="K693" s="15">
        <v>764</v>
      </c>
      <c r="L693" s="15">
        <v>25976000</v>
      </c>
      <c r="M693" s="15">
        <v>0</v>
      </c>
      <c r="N693" s="15">
        <v>0</v>
      </c>
      <c r="O693" s="15" t="str">
        <f>IF(AND(A693='BANG KE NL'!$M$11,TH!C693="NL",LEFT(D693,1)="N"),"x","")</f>
        <v>x</v>
      </c>
    </row>
    <row r="694" spans="1:15" hidden="1">
      <c r="A694" s="24">
        <f t="shared" si="13"/>
        <v>12</v>
      </c>
      <c r="B694" s="188" t="str">
        <f>IF(AND(MONTH(E694)='IN-NX'!$J$5,'IN-NX'!$D$7=(D694&amp;"/"&amp;C694)),"x","")</f>
        <v/>
      </c>
      <c r="C694" s="185" t="s">
        <v>155</v>
      </c>
      <c r="D694" s="185" t="s">
        <v>198</v>
      </c>
      <c r="E694" s="69">
        <v>41615</v>
      </c>
      <c r="F694" s="61" t="s">
        <v>295</v>
      </c>
      <c r="G694" s="460" t="s">
        <v>158</v>
      </c>
      <c r="H694" s="216" t="s">
        <v>90</v>
      </c>
      <c r="I694" s="56" t="s">
        <v>160</v>
      </c>
      <c r="J694" s="15">
        <v>34000</v>
      </c>
      <c r="K694" s="15">
        <v>0</v>
      </c>
      <c r="L694" s="15">
        <v>0</v>
      </c>
      <c r="M694" s="15">
        <v>764</v>
      </c>
      <c r="N694" s="15">
        <v>25976000</v>
      </c>
      <c r="O694" s="15" t="str">
        <f>IF(AND(A694='BANG KE NL'!$M$11,TH!C694="NL",LEFT(D694,1)="N"),"x","")</f>
        <v/>
      </c>
    </row>
    <row r="695" spans="1:15" hidden="1">
      <c r="A695" s="24">
        <f t="shared" si="13"/>
        <v>12</v>
      </c>
      <c r="B695" s="188" t="str">
        <f>IF(AND(MONTH(E695)='IN-NX'!$J$5,'IN-NX'!$D$7=(D695&amp;"/"&amp;C695)),"x","")</f>
        <v/>
      </c>
      <c r="C695" s="185" t="s">
        <v>154</v>
      </c>
      <c r="D695" s="185" t="s">
        <v>145</v>
      </c>
      <c r="E695" s="69">
        <v>41619</v>
      </c>
      <c r="F695" s="61" t="s">
        <v>323</v>
      </c>
      <c r="G695" s="19" t="s">
        <v>120</v>
      </c>
      <c r="H695" s="216" t="s">
        <v>462</v>
      </c>
      <c r="I695" s="56" t="s">
        <v>90</v>
      </c>
      <c r="J695" s="15">
        <v>304559.8</v>
      </c>
      <c r="K695" s="15">
        <v>40</v>
      </c>
      <c r="L695" s="15">
        <v>12182392</v>
      </c>
      <c r="M695" s="15">
        <v>0</v>
      </c>
      <c r="N695" s="15">
        <v>0</v>
      </c>
      <c r="O695" s="15" t="str">
        <f>IF(AND(A695='BANG KE NL'!$M$11,TH!C695="NL",LEFT(D695,1)="N"),"x","")</f>
        <v/>
      </c>
    </row>
    <row r="696" spans="1:15" hidden="1">
      <c r="A696" s="24">
        <f t="shared" si="13"/>
        <v>12</v>
      </c>
      <c r="B696" s="188" t="str">
        <f>IF(AND(MONTH(E696)='IN-NX'!$J$5,'IN-NX'!$D$7=(D696&amp;"/"&amp;C696)),"x","")</f>
        <v/>
      </c>
      <c r="C696" s="185" t="s">
        <v>154</v>
      </c>
      <c r="D696" s="185" t="s">
        <v>151</v>
      </c>
      <c r="E696" s="69">
        <v>41620</v>
      </c>
      <c r="F696" s="61" t="s">
        <v>323</v>
      </c>
      <c r="G696" s="19" t="s">
        <v>326</v>
      </c>
      <c r="H696" s="216" t="s">
        <v>92</v>
      </c>
      <c r="I696" s="56" t="s">
        <v>462</v>
      </c>
      <c r="J696" s="15">
        <v>304559.8</v>
      </c>
      <c r="K696" s="15">
        <v>0</v>
      </c>
      <c r="L696" s="15">
        <v>0</v>
      </c>
      <c r="M696" s="15">
        <v>40</v>
      </c>
      <c r="N696" s="15">
        <v>12182392</v>
      </c>
      <c r="O696" s="15" t="str">
        <f>IF(AND(A696='BANG KE NL'!$M$11,TH!C696="NL",LEFT(D696,1)="N"),"x","")</f>
        <v/>
      </c>
    </row>
    <row r="697" spans="1:15" hidden="1">
      <c r="A697" s="24">
        <f t="shared" si="13"/>
        <v>12</v>
      </c>
      <c r="B697" s="188" t="str">
        <f>IF(AND(MONTH(E697)='IN-NX'!$J$5,'IN-NX'!$D$7=(D697&amp;"/"&amp;C697)),"x","")</f>
        <v/>
      </c>
      <c r="C697" s="185" t="s">
        <v>154</v>
      </c>
      <c r="D697" s="185" t="s">
        <v>145</v>
      </c>
      <c r="E697" s="69">
        <v>41619</v>
      </c>
      <c r="F697" s="61" t="s">
        <v>386</v>
      </c>
      <c r="G697" s="19" t="s">
        <v>120</v>
      </c>
      <c r="H697" s="216" t="s">
        <v>462</v>
      </c>
      <c r="I697" s="56" t="s">
        <v>90</v>
      </c>
      <c r="J697" s="15">
        <v>300481.41762452107</v>
      </c>
      <c r="K697" s="15">
        <v>52.2</v>
      </c>
      <c r="L697" s="15">
        <v>15685130</v>
      </c>
      <c r="M697" s="15">
        <v>0</v>
      </c>
      <c r="N697" s="15">
        <v>0</v>
      </c>
      <c r="O697" s="15" t="str">
        <f>IF(AND(A697='BANG KE NL'!$M$11,TH!C697="NL",LEFT(D697,1)="N"),"x","")</f>
        <v/>
      </c>
    </row>
    <row r="698" spans="1:15" hidden="1">
      <c r="A698" s="24">
        <f t="shared" si="13"/>
        <v>12</v>
      </c>
      <c r="B698" s="188" t="str">
        <f>IF(AND(MONTH(E698)='IN-NX'!$J$5,'IN-NX'!$D$7=(D698&amp;"/"&amp;C698)),"x","")</f>
        <v/>
      </c>
      <c r="C698" s="185" t="s">
        <v>154</v>
      </c>
      <c r="D698" s="185" t="s">
        <v>151</v>
      </c>
      <c r="E698" s="69">
        <v>41620</v>
      </c>
      <c r="F698" s="61" t="s">
        <v>386</v>
      </c>
      <c r="G698" s="19" t="s">
        <v>326</v>
      </c>
      <c r="H698" s="216" t="s">
        <v>92</v>
      </c>
      <c r="I698" s="56" t="s">
        <v>462</v>
      </c>
      <c r="J698" s="15">
        <v>300481.41762452107</v>
      </c>
      <c r="K698" s="15">
        <v>0</v>
      </c>
      <c r="L698" s="15">
        <v>0</v>
      </c>
      <c r="M698" s="15">
        <v>52.2</v>
      </c>
      <c r="N698" s="15">
        <v>15685130</v>
      </c>
      <c r="O698" s="15" t="str">
        <f>IF(AND(A698='BANG KE NL'!$M$11,TH!C698="NL",LEFT(D698,1)="N"),"x","")</f>
        <v/>
      </c>
    </row>
    <row r="699" spans="1:15" hidden="1">
      <c r="A699" s="24">
        <f t="shared" si="13"/>
        <v>1</v>
      </c>
      <c r="B699" s="188" t="str">
        <f>IF(AND(MONTH(E699)='IN-NX'!$J$5,'IN-NX'!$D$7=(D699&amp;"/"&amp;C699)),"x","")</f>
        <v/>
      </c>
      <c r="C699" s="185" t="s">
        <v>154</v>
      </c>
      <c r="D699" s="185" t="s">
        <v>144</v>
      </c>
      <c r="E699" s="69">
        <v>41290</v>
      </c>
      <c r="F699" s="61" t="s">
        <v>375</v>
      </c>
      <c r="G699" s="19" t="s">
        <v>447</v>
      </c>
      <c r="H699" s="216" t="s">
        <v>462</v>
      </c>
      <c r="I699" s="56" t="s">
        <v>93</v>
      </c>
      <c r="J699" s="15">
        <v>140000</v>
      </c>
      <c r="K699" s="15">
        <v>122</v>
      </c>
      <c r="L699" s="15">
        <v>17080000</v>
      </c>
      <c r="M699" s="15">
        <v>0</v>
      </c>
      <c r="N699" s="15">
        <v>0</v>
      </c>
      <c r="O699" s="15" t="str">
        <f>IF(AND(A699='BANG KE NL'!$M$11,TH!C699="NL",LEFT(D699,1)="N"),"x","")</f>
        <v/>
      </c>
    </row>
    <row r="700" spans="1:15" hidden="1">
      <c r="A700" s="24">
        <f t="shared" si="13"/>
        <v>3</v>
      </c>
      <c r="B700" s="188" t="str">
        <f>IF(AND(MONTH(E700)='IN-NX'!$J$5,'IN-NX'!$D$7=(D700&amp;"/"&amp;C700)),"x","")</f>
        <v/>
      </c>
      <c r="C700" s="185" t="s">
        <v>154</v>
      </c>
      <c r="D700" s="185" t="s">
        <v>145</v>
      </c>
      <c r="E700" s="69">
        <v>41358</v>
      </c>
      <c r="F700" s="61" t="s">
        <v>380</v>
      </c>
      <c r="G700" s="19" t="s">
        <v>120</v>
      </c>
      <c r="H700" s="216" t="s">
        <v>462</v>
      </c>
      <c r="I700" s="56" t="s">
        <v>90</v>
      </c>
      <c r="J700" s="15">
        <v>110772.59272349272</v>
      </c>
      <c r="K700" s="15">
        <v>4810</v>
      </c>
      <c r="L700" s="15">
        <v>532816171</v>
      </c>
      <c r="M700" s="15">
        <v>0</v>
      </c>
      <c r="N700" s="15">
        <v>0</v>
      </c>
      <c r="O700" s="15" t="str">
        <f>IF(AND(A700='BANG KE NL'!$M$11,TH!C700="NL",LEFT(D700,1)="N"),"x","")</f>
        <v/>
      </c>
    </row>
    <row r="701" spans="1:15" hidden="1">
      <c r="A701" s="24">
        <f t="shared" si="13"/>
        <v>3</v>
      </c>
      <c r="B701" s="188" t="str">
        <f>IF(AND(MONTH(E701)='IN-NX'!$J$5,'IN-NX'!$D$7=(D701&amp;"/"&amp;C701)),"x","")</f>
        <v/>
      </c>
      <c r="C701" s="185" t="s">
        <v>154</v>
      </c>
      <c r="D701" s="185" t="s">
        <v>150</v>
      </c>
      <c r="E701" s="69">
        <v>41359</v>
      </c>
      <c r="F701" s="61" t="s">
        <v>380</v>
      </c>
      <c r="G701" s="19" t="s">
        <v>448</v>
      </c>
      <c r="H701" s="216" t="s">
        <v>92</v>
      </c>
      <c r="I701" s="56" t="s">
        <v>462</v>
      </c>
      <c r="J701" s="15">
        <v>110772.59272349272</v>
      </c>
      <c r="K701" s="15">
        <v>0</v>
      </c>
      <c r="L701" s="15">
        <v>0</v>
      </c>
      <c r="M701" s="15">
        <v>4810</v>
      </c>
      <c r="N701" s="15">
        <v>532816171</v>
      </c>
      <c r="O701" s="15" t="str">
        <f>IF(AND(A701='BANG KE NL'!$M$11,TH!C701="NL",LEFT(D701,1)="N"),"x","")</f>
        <v/>
      </c>
    </row>
    <row r="702" spans="1:15" hidden="1">
      <c r="A702" s="24">
        <f t="shared" si="13"/>
        <v>12</v>
      </c>
      <c r="B702" s="188" t="str">
        <f>IF(AND(MONTH(E702)='IN-NX'!$J$5,'IN-NX'!$D$7=(D702&amp;"/"&amp;C702)),"x","")</f>
        <v/>
      </c>
      <c r="C702" s="185" t="s">
        <v>154</v>
      </c>
      <c r="D702" s="185" t="s">
        <v>143</v>
      </c>
      <c r="E702" s="69">
        <v>41612</v>
      </c>
      <c r="F702" s="61" t="s">
        <v>362</v>
      </c>
      <c r="G702" s="19" t="s">
        <v>120</v>
      </c>
      <c r="H702" s="216" t="s">
        <v>462</v>
      </c>
      <c r="I702" s="56" t="s">
        <v>90</v>
      </c>
      <c r="J702" s="15">
        <v>193949.41250000001</v>
      </c>
      <c r="K702" s="15">
        <v>80</v>
      </c>
      <c r="L702" s="15">
        <v>15515953</v>
      </c>
      <c r="M702" s="15">
        <v>0</v>
      </c>
      <c r="N702" s="15">
        <v>0</v>
      </c>
      <c r="O702" s="15" t="str">
        <f>IF(AND(A702='BANG KE NL'!$M$11,TH!C702="NL",LEFT(D702,1)="N"),"x","")</f>
        <v/>
      </c>
    </row>
    <row r="703" spans="1:15" hidden="1">
      <c r="A703" s="24">
        <f t="shared" si="13"/>
        <v>12</v>
      </c>
      <c r="B703" s="188" t="str">
        <f>IF(AND(MONTH(E703)='IN-NX'!$J$5,'IN-NX'!$D$7=(D703&amp;"/"&amp;C703)),"x","")</f>
        <v/>
      </c>
      <c r="C703" s="185" t="s">
        <v>154</v>
      </c>
      <c r="D703" s="185" t="s">
        <v>149</v>
      </c>
      <c r="E703" s="69">
        <v>41613</v>
      </c>
      <c r="F703" s="61" t="s">
        <v>362</v>
      </c>
      <c r="G703" s="19" t="s">
        <v>326</v>
      </c>
      <c r="H703" s="216" t="s">
        <v>92</v>
      </c>
      <c r="I703" s="56" t="s">
        <v>462</v>
      </c>
      <c r="J703" s="15">
        <v>193949.41250000001</v>
      </c>
      <c r="K703" s="15">
        <v>0</v>
      </c>
      <c r="L703" s="15">
        <v>0</v>
      </c>
      <c r="M703" s="15">
        <v>80</v>
      </c>
      <c r="N703" s="15">
        <v>15515953</v>
      </c>
      <c r="O703" s="15" t="str">
        <f>IF(AND(A703='BANG KE NL'!$M$11,TH!C703="NL",LEFT(D703,1)="N"),"x","")</f>
        <v/>
      </c>
    </row>
    <row r="704" spans="1:15" hidden="1">
      <c r="A704" s="24">
        <f t="shared" si="13"/>
        <v>12</v>
      </c>
      <c r="B704" s="188" t="str">
        <f>IF(AND(MONTH(E704)='IN-NX'!$J$5,'IN-NX'!$D$7=(D704&amp;"/"&amp;C704)),"x","")</f>
        <v/>
      </c>
      <c r="C704" s="185" t="s">
        <v>154</v>
      </c>
      <c r="D704" s="185" t="s">
        <v>164</v>
      </c>
      <c r="E704" s="69">
        <v>41638</v>
      </c>
      <c r="F704" s="61" t="s">
        <v>362</v>
      </c>
      <c r="G704" s="19" t="s">
        <v>120</v>
      </c>
      <c r="H704" s="216" t="s">
        <v>462</v>
      </c>
      <c r="I704" s="56" t="s">
        <v>90</v>
      </c>
      <c r="J704" s="15">
        <v>193949.41666666666</v>
      </c>
      <c r="K704" s="15">
        <v>60</v>
      </c>
      <c r="L704" s="15">
        <v>11636965</v>
      </c>
      <c r="M704" s="15">
        <v>0</v>
      </c>
      <c r="N704" s="15">
        <v>0</v>
      </c>
      <c r="O704" s="15" t="str">
        <f>IF(AND(A704='BANG KE NL'!$M$11,TH!C704="NL",LEFT(D704,1)="N"),"x","")</f>
        <v/>
      </c>
    </row>
    <row r="705" spans="1:15" hidden="1">
      <c r="A705" s="24">
        <f t="shared" si="13"/>
        <v>12</v>
      </c>
      <c r="B705" s="188" t="str">
        <f>IF(AND(MONTH(E705)='IN-NX'!$J$5,'IN-NX'!$D$7=(D705&amp;"/"&amp;C705)),"x","")</f>
        <v/>
      </c>
      <c r="C705" s="185" t="s">
        <v>154</v>
      </c>
      <c r="D705" s="185" t="s">
        <v>202</v>
      </c>
      <c r="E705" s="69">
        <v>41639</v>
      </c>
      <c r="F705" s="61" t="s">
        <v>362</v>
      </c>
      <c r="G705" s="19" t="s">
        <v>326</v>
      </c>
      <c r="H705" s="216" t="s">
        <v>92</v>
      </c>
      <c r="I705" s="56" t="s">
        <v>462</v>
      </c>
      <c r="J705" s="15">
        <v>193949.41666666666</v>
      </c>
      <c r="K705" s="15">
        <v>0</v>
      </c>
      <c r="L705" s="15">
        <v>0</v>
      </c>
      <c r="M705" s="15">
        <v>60</v>
      </c>
      <c r="N705" s="15">
        <v>11636965</v>
      </c>
      <c r="O705" s="15" t="str">
        <f>IF(AND(A705='BANG KE NL'!$M$11,TH!C705="NL",LEFT(D705,1)="N"),"x","")</f>
        <v/>
      </c>
    </row>
    <row r="706" spans="1:15" hidden="1">
      <c r="A706" s="24">
        <f t="shared" si="13"/>
        <v>12</v>
      </c>
      <c r="B706" s="188" t="str">
        <f>IF(AND(MONTH(E706)='IN-NX'!$J$5,'IN-NX'!$D$7=(D706&amp;"/"&amp;C706)),"x","")</f>
        <v/>
      </c>
      <c r="C706" s="185" t="s">
        <v>154</v>
      </c>
      <c r="D706" s="185" t="s">
        <v>143</v>
      </c>
      <c r="E706" s="69">
        <v>41612</v>
      </c>
      <c r="F706" s="61" t="s">
        <v>363</v>
      </c>
      <c r="G706" s="19" t="s">
        <v>120</v>
      </c>
      <c r="H706" s="216" t="s">
        <v>462</v>
      </c>
      <c r="I706" s="56" t="s">
        <v>90</v>
      </c>
      <c r="J706" s="15">
        <v>188509.55833333332</v>
      </c>
      <c r="K706" s="15">
        <v>120</v>
      </c>
      <c r="L706" s="15">
        <v>22621147</v>
      </c>
      <c r="M706" s="15">
        <v>0</v>
      </c>
      <c r="N706" s="15">
        <v>0</v>
      </c>
      <c r="O706" s="15" t="str">
        <f>IF(AND(A706='BANG KE NL'!$M$11,TH!C706="NL",LEFT(D706,1)="N"),"x","")</f>
        <v/>
      </c>
    </row>
    <row r="707" spans="1:15" hidden="1">
      <c r="A707" s="24">
        <f t="shared" si="13"/>
        <v>12</v>
      </c>
      <c r="B707" s="188" t="str">
        <f>IF(AND(MONTH(E707)='IN-NX'!$J$5,'IN-NX'!$D$7=(D707&amp;"/"&amp;C707)),"x","")</f>
        <v/>
      </c>
      <c r="C707" s="185" t="s">
        <v>154</v>
      </c>
      <c r="D707" s="185" t="s">
        <v>149</v>
      </c>
      <c r="E707" s="69">
        <v>41613</v>
      </c>
      <c r="F707" s="61" t="s">
        <v>363</v>
      </c>
      <c r="G707" s="19" t="s">
        <v>326</v>
      </c>
      <c r="H707" s="216" t="s">
        <v>92</v>
      </c>
      <c r="I707" s="56" t="s">
        <v>462</v>
      </c>
      <c r="J707" s="15">
        <v>188509.55833333332</v>
      </c>
      <c r="K707" s="15">
        <v>0</v>
      </c>
      <c r="L707" s="15">
        <v>0</v>
      </c>
      <c r="M707" s="15">
        <v>120</v>
      </c>
      <c r="N707" s="15">
        <v>22621147</v>
      </c>
      <c r="O707" s="15" t="str">
        <f>IF(AND(A707='BANG KE NL'!$M$11,TH!C707="NL",LEFT(D707,1)="N"),"x","")</f>
        <v/>
      </c>
    </row>
    <row r="708" spans="1:15" hidden="1">
      <c r="A708" s="24">
        <f t="shared" si="13"/>
        <v>12</v>
      </c>
      <c r="B708" s="188" t="str">
        <f>IF(AND(MONTH(E708)='IN-NX'!$J$5,'IN-NX'!$D$7=(D708&amp;"/"&amp;C708)),"x","")</f>
        <v/>
      </c>
      <c r="C708" s="185" t="s">
        <v>154</v>
      </c>
      <c r="D708" s="185" t="s">
        <v>143</v>
      </c>
      <c r="E708" s="69">
        <v>41612</v>
      </c>
      <c r="F708" s="61" t="s">
        <v>364</v>
      </c>
      <c r="G708" s="19" t="s">
        <v>120</v>
      </c>
      <c r="H708" s="216" t="s">
        <v>462</v>
      </c>
      <c r="I708" s="56" t="s">
        <v>90</v>
      </c>
      <c r="J708" s="15">
        <v>190322.85</v>
      </c>
      <c r="K708" s="15">
        <v>20</v>
      </c>
      <c r="L708" s="15">
        <v>3806457</v>
      </c>
      <c r="M708" s="15">
        <v>0</v>
      </c>
      <c r="N708" s="15">
        <v>0</v>
      </c>
      <c r="O708" s="15" t="str">
        <f>IF(AND(A708='BANG KE NL'!$M$11,TH!C708="NL",LEFT(D708,1)="N"),"x","")</f>
        <v/>
      </c>
    </row>
    <row r="709" spans="1:15" hidden="1">
      <c r="A709" s="24">
        <f t="shared" si="13"/>
        <v>12</v>
      </c>
      <c r="B709" s="188" t="str">
        <f>IF(AND(MONTH(E709)='IN-NX'!$J$5,'IN-NX'!$D$7=(D709&amp;"/"&amp;C709)),"x","")</f>
        <v/>
      </c>
      <c r="C709" s="185" t="s">
        <v>154</v>
      </c>
      <c r="D709" s="185" t="s">
        <v>149</v>
      </c>
      <c r="E709" s="69">
        <v>41613</v>
      </c>
      <c r="F709" s="61" t="s">
        <v>364</v>
      </c>
      <c r="G709" s="19" t="s">
        <v>326</v>
      </c>
      <c r="H709" s="216" t="s">
        <v>92</v>
      </c>
      <c r="I709" s="56" t="s">
        <v>462</v>
      </c>
      <c r="J709" s="15">
        <v>190322.85</v>
      </c>
      <c r="K709" s="15">
        <v>0</v>
      </c>
      <c r="L709" s="15">
        <v>0</v>
      </c>
      <c r="M709" s="15">
        <v>20</v>
      </c>
      <c r="N709" s="15">
        <v>3806457</v>
      </c>
      <c r="O709" s="15" t="str">
        <f>IF(AND(A709='BANG KE NL'!$M$11,TH!C709="NL",LEFT(D709,1)="N"),"x","")</f>
        <v/>
      </c>
    </row>
    <row r="710" spans="1:15" hidden="1">
      <c r="A710" s="24">
        <f t="shared" ref="A710:A773" si="14">IF(E710&lt;&gt;"",MONTH(E710),"")</f>
        <v>12</v>
      </c>
      <c r="B710" s="188" t="str">
        <f>IF(AND(MONTH(E710)='IN-NX'!$J$5,'IN-NX'!$D$7=(D710&amp;"/"&amp;C710)),"x","")</f>
        <v/>
      </c>
      <c r="C710" s="185" t="s">
        <v>154</v>
      </c>
      <c r="D710" s="185" t="s">
        <v>165</v>
      </c>
      <c r="E710" s="69">
        <v>41638</v>
      </c>
      <c r="F710" s="61" t="s">
        <v>364</v>
      </c>
      <c r="G710" s="19" t="s">
        <v>120</v>
      </c>
      <c r="H710" s="216" t="s">
        <v>462</v>
      </c>
      <c r="I710" s="56" t="s">
        <v>90</v>
      </c>
      <c r="J710" s="15">
        <v>190322.82</v>
      </c>
      <c r="K710" s="15">
        <v>100</v>
      </c>
      <c r="L710" s="15">
        <v>19032282</v>
      </c>
      <c r="M710" s="15">
        <v>0</v>
      </c>
      <c r="N710" s="15">
        <v>0</v>
      </c>
      <c r="O710" s="15" t="str">
        <f>IF(AND(A710='BANG KE NL'!$M$11,TH!C710="NL",LEFT(D710,1)="N"),"x","")</f>
        <v/>
      </c>
    </row>
    <row r="711" spans="1:15" hidden="1">
      <c r="A711" s="24">
        <f t="shared" si="14"/>
        <v>12</v>
      </c>
      <c r="B711" s="188" t="str">
        <f>IF(AND(MONTH(E711)='IN-NX'!$J$5,'IN-NX'!$D$7=(D711&amp;"/"&amp;C711)),"x","")</f>
        <v/>
      </c>
      <c r="C711" s="185" t="s">
        <v>154</v>
      </c>
      <c r="D711" s="185" t="s">
        <v>202</v>
      </c>
      <c r="E711" s="69">
        <v>41639</v>
      </c>
      <c r="F711" s="61" t="s">
        <v>364</v>
      </c>
      <c r="G711" s="19" t="s">
        <v>326</v>
      </c>
      <c r="H711" s="216" t="s">
        <v>92</v>
      </c>
      <c r="I711" s="56" t="s">
        <v>462</v>
      </c>
      <c r="J711" s="15">
        <v>190322.82</v>
      </c>
      <c r="K711" s="15">
        <v>0</v>
      </c>
      <c r="L711" s="15">
        <v>0</v>
      </c>
      <c r="M711" s="15">
        <v>100</v>
      </c>
      <c r="N711" s="15">
        <v>19032282</v>
      </c>
      <c r="O711" s="15" t="str">
        <f>IF(AND(A711='BANG KE NL'!$M$11,TH!C711="NL",LEFT(D711,1)="N"),"x","")</f>
        <v/>
      </c>
    </row>
    <row r="712" spans="1:15" hidden="1">
      <c r="A712" s="24">
        <f t="shared" si="14"/>
        <v>12</v>
      </c>
      <c r="B712" s="188" t="str">
        <f>IF(AND(MONTH(E712)='IN-NX'!$J$5,'IN-NX'!$D$7=(D712&amp;"/"&amp;C712)),"x","")</f>
        <v/>
      </c>
      <c r="C712" s="185" t="s">
        <v>154</v>
      </c>
      <c r="D712" s="185" t="s">
        <v>143</v>
      </c>
      <c r="E712" s="69">
        <v>41612</v>
      </c>
      <c r="F712" s="61" t="s">
        <v>365</v>
      </c>
      <c r="G712" s="19" t="s">
        <v>120</v>
      </c>
      <c r="H712" s="216" t="s">
        <v>462</v>
      </c>
      <c r="I712" s="56" t="s">
        <v>90</v>
      </c>
      <c r="J712" s="15">
        <v>186091.83333333334</v>
      </c>
      <c r="K712" s="15">
        <v>24</v>
      </c>
      <c r="L712" s="15">
        <v>4466204</v>
      </c>
      <c r="M712" s="15">
        <v>0</v>
      </c>
      <c r="N712" s="15">
        <v>0</v>
      </c>
      <c r="O712" s="15" t="str">
        <f>IF(AND(A712='BANG KE NL'!$M$11,TH!C712="NL",LEFT(D712,1)="N"),"x","")</f>
        <v/>
      </c>
    </row>
    <row r="713" spans="1:15" hidden="1">
      <c r="A713" s="24">
        <f t="shared" si="14"/>
        <v>12</v>
      </c>
      <c r="B713" s="188" t="str">
        <f>IF(AND(MONTH(E713)='IN-NX'!$J$5,'IN-NX'!$D$7=(D713&amp;"/"&amp;C713)),"x","")</f>
        <v/>
      </c>
      <c r="C713" s="185" t="s">
        <v>154</v>
      </c>
      <c r="D713" s="185" t="s">
        <v>149</v>
      </c>
      <c r="E713" s="69">
        <v>41613</v>
      </c>
      <c r="F713" s="61" t="s">
        <v>365</v>
      </c>
      <c r="G713" s="19" t="s">
        <v>326</v>
      </c>
      <c r="H713" s="216" t="s">
        <v>92</v>
      </c>
      <c r="I713" s="56" t="s">
        <v>462</v>
      </c>
      <c r="J713" s="15">
        <v>186091.83333333334</v>
      </c>
      <c r="K713" s="15">
        <v>0</v>
      </c>
      <c r="L713" s="15">
        <v>0</v>
      </c>
      <c r="M713" s="15">
        <v>24</v>
      </c>
      <c r="N713" s="15">
        <v>4466204</v>
      </c>
      <c r="O713" s="15" t="str">
        <f>IF(AND(A713='BANG KE NL'!$M$11,TH!C713="NL",LEFT(D713,1)="N"),"x","")</f>
        <v/>
      </c>
    </row>
    <row r="714" spans="1:15" hidden="1">
      <c r="A714" s="24">
        <f t="shared" si="14"/>
        <v>11</v>
      </c>
      <c r="B714" s="188" t="str">
        <f>IF(AND(MONTH(E714)='IN-NX'!$J$5,'IN-NX'!$D$7=(D714&amp;"/"&amp;C714)),"x","")</f>
        <v/>
      </c>
      <c r="C714" s="185" t="s">
        <v>154</v>
      </c>
      <c r="D714" s="185" t="s">
        <v>143</v>
      </c>
      <c r="E714" s="69">
        <v>41581</v>
      </c>
      <c r="F714" s="61" t="s">
        <v>382</v>
      </c>
      <c r="G714" s="19" t="s">
        <v>120</v>
      </c>
      <c r="H714" s="216" t="s">
        <v>462</v>
      </c>
      <c r="I714" s="56" t="s">
        <v>90</v>
      </c>
      <c r="J714" s="15">
        <v>106276.99421052632</v>
      </c>
      <c r="K714" s="15">
        <v>3800</v>
      </c>
      <c r="L714" s="15">
        <v>403852578</v>
      </c>
      <c r="M714" s="15">
        <v>0</v>
      </c>
      <c r="N714" s="15">
        <v>0</v>
      </c>
      <c r="O714" s="15" t="str">
        <f>IF(AND(A714='BANG KE NL'!$M$11,TH!C714="NL",LEFT(D714,1)="N"),"x","")</f>
        <v/>
      </c>
    </row>
    <row r="715" spans="1:15" hidden="1">
      <c r="A715" s="24">
        <f t="shared" si="14"/>
        <v>11</v>
      </c>
      <c r="B715" s="188" t="str">
        <f>IF(AND(MONTH(E715)='IN-NX'!$J$5,'IN-NX'!$D$7=(D715&amp;"/"&amp;C715)),"x","")</f>
        <v/>
      </c>
      <c r="C715" s="185" t="s">
        <v>154</v>
      </c>
      <c r="D715" s="185" t="s">
        <v>149</v>
      </c>
      <c r="E715" s="69">
        <v>41582</v>
      </c>
      <c r="F715" s="61" t="s">
        <v>382</v>
      </c>
      <c r="G715" s="19" t="s">
        <v>449</v>
      </c>
      <c r="H715" s="216" t="s">
        <v>92</v>
      </c>
      <c r="I715" s="56" t="s">
        <v>462</v>
      </c>
      <c r="J715" s="15">
        <v>106276.99421052632</v>
      </c>
      <c r="K715" s="15">
        <v>0</v>
      </c>
      <c r="L715" s="15">
        <v>0</v>
      </c>
      <c r="M715" s="15">
        <v>3800</v>
      </c>
      <c r="N715" s="15">
        <v>403852578</v>
      </c>
      <c r="O715" s="15" t="str">
        <f>IF(AND(A715='BANG KE NL'!$M$11,TH!C715="NL",LEFT(D715,1)="N"),"x","")</f>
        <v/>
      </c>
    </row>
    <row r="716" spans="1:15" hidden="1">
      <c r="A716" s="24">
        <f t="shared" si="14"/>
        <v>12</v>
      </c>
      <c r="B716" s="188" t="str">
        <f>IF(AND(MONTH(E716)='IN-NX'!$J$5,'IN-NX'!$D$7=(D716&amp;"/"&amp;C716)),"x","")</f>
        <v/>
      </c>
      <c r="C716" s="185" t="s">
        <v>154</v>
      </c>
      <c r="D716" s="185" t="s">
        <v>145</v>
      </c>
      <c r="E716" s="69">
        <v>41619</v>
      </c>
      <c r="F716" s="61" t="s">
        <v>383</v>
      </c>
      <c r="G716" s="19" t="s">
        <v>120</v>
      </c>
      <c r="H716" s="216" t="s">
        <v>462</v>
      </c>
      <c r="I716" s="56" t="s">
        <v>90</v>
      </c>
      <c r="J716" s="15">
        <v>286469.34999999998</v>
      </c>
      <c r="K716" s="15">
        <v>20</v>
      </c>
      <c r="L716" s="15">
        <v>5729387</v>
      </c>
      <c r="M716" s="15">
        <v>0</v>
      </c>
      <c r="N716" s="15">
        <v>0</v>
      </c>
      <c r="O716" s="15" t="str">
        <f>IF(AND(A716='BANG KE NL'!$M$11,TH!C716="NL",LEFT(D716,1)="N"),"x","")</f>
        <v/>
      </c>
    </row>
    <row r="717" spans="1:15" hidden="1">
      <c r="A717" s="24">
        <f t="shared" si="14"/>
        <v>12</v>
      </c>
      <c r="B717" s="188" t="str">
        <f>IF(AND(MONTH(E717)='IN-NX'!$J$5,'IN-NX'!$D$7=(D717&amp;"/"&amp;C717)),"x","")</f>
        <v/>
      </c>
      <c r="C717" s="185" t="s">
        <v>154</v>
      </c>
      <c r="D717" s="185" t="s">
        <v>151</v>
      </c>
      <c r="E717" s="69">
        <v>41620</v>
      </c>
      <c r="F717" s="61" t="s">
        <v>383</v>
      </c>
      <c r="G717" s="19" t="s">
        <v>326</v>
      </c>
      <c r="H717" s="216" t="s">
        <v>92</v>
      </c>
      <c r="I717" s="56" t="s">
        <v>462</v>
      </c>
      <c r="J717" s="15">
        <v>286469.34999999998</v>
      </c>
      <c r="K717" s="15">
        <v>0</v>
      </c>
      <c r="L717" s="15">
        <v>0</v>
      </c>
      <c r="M717" s="15">
        <v>20</v>
      </c>
      <c r="N717" s="15">
        <v>5729387</v>
      </c>
      <c r="O717" s="15" t="str">
        <f>IF(AND(A717='BANG KE NL'!$M$11,TH!C717="NL",LEFT(D717,1)="N"),"x","")</f>
        <v/>
      </c>
    </row>
    <row r="718" spans="1:15" hidden="1">
      <c r="A718" s="24">
        <f t="shared" si="14"/>
        <v>12</v>
      </c>
      <c r="B718" s="188" t="str">
        <f>IF(AND(MONTH(E718)='IN-NX'!$J$5,'IN-NX'!$D$7=(D718&amp;"/"&amp;C718)),"x","")</f>
        <v/>
      </c>
      <c r="C718" s="185" t="s">
        <v>154</v>
      </c>
      <c r="D718" s="185" t="s">
        <v>145</v>
      </c>
      <c r="E718" s="69">
        <v>41619</v>
      </c>
      <c r="F718" s="61" t="s">
        <v>384</v>
      </c>
      <c r="G718" s="19" t="s">
        <v>120</v>
      </c>
      <c r="H718" s="216" t="s">
        <v>462</v>
      </c>
      <c r="I718" s="56" t="s">
        <v>90</v>
      </c>
      <c r="J718" s="15">
        <v>278749.43181818182</v>
      </c>
      <c r="K718" s="15">
        <v>26.4</v>
      </c>
      <c r="L718" s="15">
        <v>7358985</v>
      </c>
      <c r="M718" s="15">
        <v>0</v>
      </c>
      <c r="N718" s="15">
        <v>0</v>
      </c>
      <c r="O718" s="15" t="str">
        <f>IF(AND(A718='BANG KE NL'!$M$11,TH!C718="NL",LEFT(D718,1)="N"),"x","")</f>
        <v/>
      </c>
    </row>
    <row r="719" spans="1:15" hidden="1">
      <c r="A719" s="24">
        <f t="shared" si="14"/>
        <v>12</v>
      </c>
      <c r="B719" s="188" t="str">
        <f>IF(AND(MONTH(E719)='IN-NX'!$J$5,'IN-NX'!$D$7=(D719&amp;"/"&amp;C719)),"x","")</f>
        <v/>
      </c>
      <c r="C719" s="185" t="s">
        <v>154</v>
      </c>
      <c r="D719" s="185" t="s">
        <v>151</v>
      </c>
      <c r="E719" s="69">
        <v>41620</v>
      </c>
      <c r="F719" s="61" t="s">
        <v>384</v>
      </c>
      <c r="G719" s="19" t="s">
        <v>326</v>
      </c>
      <c r="H719" s="216" t="s">
        <v>92</v>
      </c>
      <c r="I719" s="56" t="s">
        <v>462</v>
      </c>
      <c r="J719" s="15">
        <v>278749.43181818182</v>
      </c>
      <c r="K719" s="15">
        <v>0</v>
      </c>
      <c r="L719" s="15">
        <v>0</v>
      </c>
      <c r="M719" s="15">
        <v>26.4</v>
      </c>
      <c r="N719" s="15">
        <v>7358985</v>
      </c>
      <c r="O719" s="15" t="str">
        <f>IF(AND(A719='BANG KE NL'!$M$11,TH!C719="NL",LEFT(D719,1)="N"),"x","")</f>
        <v/>
      </c>
    </row>
    <row r="720" spans="1:15" hidden="1">
      <c r="A720" s="24">
        <f t="shared" si="14"/>
        <v>12</v>
      </c>
      <c r="B720" s="188" t="str">
        <f>IF(AND(MONTH(E720)='IN-NX'!$J$5,'IN-NX'!$D$7=(D720&amp;"/"&amp;C720)),"x","")</f>
        <v/>
      </c>
      <c r="C720" s="185" t="s">
        <v>154</v>
      </c>
      <c r="D720" s="185" t="s">
        <v>147</v>
      </c>
      <c r="E720" s="69">
        <v>41626</v>
      </c>
      <c r="F720" s="61" t="s">
        <v>385</v>
      </c>
      <c r="G720" s="19" t="s">
        <v>120</v>
      </c>
      <c r="H720" s="216" t="s">
        <v>462</v>
      </c>
      <c r="I720" s="56" t="s">
        <v>90</v>
      </c>
      <c r="J720" s="15">
        <v>155685.10999999999</v>
      </c>
      <c r="K720" s="15">
        <v>100</v>
      </c>
      <c r="L720" s="15">
        <v>15568511</v>
      </c>
      <c r="M720" s="15">
        <v>0</v>
      </c>
      <c r="N720" s="15">
        <v>0</v>
      </c>
      <c r="O720" s="15" t="str">
        <f>IF(AND(A720='BANG KE NL'!$M$11,TH!C720="NL",LEFT(D720,1)="N"),"x","")</f>
        <v/>
      </c>
    </row>
    <row r="721" spans="1:15" hidden="1">
      <c r="A721" s="24">
        <f t="shared" si="14"/>
        <v>12</v>
      </c>
      <c r="B721" s="188" t="str">
        <f>IF(AND(MONTH(E721)='IN-NX'!$J$5,'IN-NX'!$D$7=(D721&amp;"/"&amp;C721)),"x","")</f>
        <v/>
      </c>
      <c r="C721" s="185" t="s">
        <v>154</v>
      </c>
      <c r="D721" s="185" t="s">
        <v>197</v>
      </c>
      <c r="E721" s="69">
        <v>41627</v>
      </c>
      <c r="F721" s="61" t="s">
        <v>385</v>
      </c>
      <c r="G721" s="19" t="s">
        <v>326</v>
      </c>
      <c r="H721" s="216" t="s">
        <v>92</v>
      </c>
      <c r="I721" s="56" t="s">
        <v>462</v>
      </c>
      <c r="J721" s="15">
        <v>155685.10999999999</v>
      </c>
      <c r="K721" s="15">
        <v>0</v>
      </c>
      <c r="L721" s="15">
        <v>0</v>
      </c>
      <c r="M721" s="15">
        <v>100</v>
      </c>
      <c r="N721" s="15">
        <v>15568511</v>
      </c>
      <c r="O721" s="15" t="str">
        <f>IF(AND(A721='BANG KE NL'!$M$11,TH!C721="NL",LEFT(D721,1)="N"),"x","")</f>
        <v/>
      </c>
    </row>
    <row r="722" spans="1:15" hidden="1">
      <c r="A722" s="24">
        <f t="shared" si="14"/>
        <v>12</v>
      </c>
      <c r="B722" s="188" t="str">
        <f>IF(AND(MONTH(E722)='IN-NX'!$J$5,'IN-NX'!$D$7=(D722&amp;"/"&amp;C722)),"x","")</f>
        <v/>
      </c>
      <c r="C722" s="185" t="s">
        <v>154</v>
      </c>
      <c r="D722" s="185" t="s">
        <v>165</v>
      </c>
      <c r="E722" s="69">
        <v>41638</v>
      </c>
      <c r="F722" s="61" t="s">
        <v>385</v>
      </c>
      <c r="G722" s="19" t="s">
        <v>120</v>
      </c>
      <c r="H722" s="216" t="s">
        <v>462</v>
      </c>
      <c r="I722" s="56" t="s">
        <v>90</v>
      </c>
      <c r="J722" s="15">
        <v>155685.10833333334</v>
      </c>
      <c r="K722" s="15">
        <v>120</v>
      </c>
      <c r="L722" s="15">
        <v>18682213</v>
      </c>
      <c r="M722" s="15">
        <v>0</v>
      </c>
      <c r="N722" s="15">
        <v>0</v>
      </c>
      <c r="O722" s="15" t="str">
        <f>IF(AND(A722='BANG KE NL'!$M$11,TH!C722="NL",LEFT(D722,1)="N"),"x","")</f>
        <v/>
      </c>
    </row>
    <row r="723" spans="1:15" hidden="1">
      <c r="A723" s="24">
        <f t="shared" si="14"/>
        <v>12</v>
      </c>
      <c r="B723" s="188" t="str">
        <f>IF(AND(MONTH(E723)='IN-NX'!$J$5,'IN-NX'!$D$7=(D723&amp;"/"&amp;C723)),"x","")</f>
        <v/>
      </c>
      <c r="C723" s="185" t="s">
        <v>154</v>
      </c>
      <c r="D723" s="185" t="s">
        <v>202</v>
      </c>
      <c r="E723" s="69">
        <v>41639</v>
      </c>
      <c r="F723" s="61" t="s">
        <v>385</v>
      </c>
      <c r="G723" s="19" t="s">
        <v>326</v>
      </c>
      <c r="H723" s="216" t="s">
        <v>92</v>
      </c>
      <c r="I723" s="56" t="s">
        <v>462</v>
      </c>
      <c r="J723" s="15">
        <v>155685.10833333334</v>
      </c>
      <c r="K723" s="15">
        <v>0</v>
      </c>
      <c r="L723" s="15">
        <v>0</v>
      </c>
      <c r="M723" s="15">
        <v>120</v>
      </c>
      <c r="N723" s="15">
        <v>18682213</v>
      </c>
      <c r="O723" s="15" t="str">
        <f>IF(AND(A723='BANG KE NL'!$M$11,TH!C723="NL",LEFT(D723,1)="N"),"x","")</f>
        <v/>
      </c>
    </row>
    <row r="724" spans="1:15" hidden="1">
      <c r="A724" s="24">
        <f t="shared" si="14"/>
        <v>3</v>
      </c>
      <c r="B724" s="188" t="str">
        <f>IF(AND(MONTH(E724)='IN-NX'!$J$5,'IN-NX'!$D$7=(D724&amp;"/"&amp;C724)),"x","")</f>
        <v/>
      </c>
      <c r="C724" s="185" t="s">
        <v>154</v>
      </c>
      <c r="D724" s="185" t="s">
        <v>144</v>
      </c>
      <c r="E724" s="69">
        <v>41352</v>
      </c>
      <c r="F724" s="61" t="s">
        <v>358</v>
      </c>
      <c r="G724" s="19" t="s">
        <v>120</v>
      </c>
      <c r="H724" s="216" t="s">
        <v>462</v>
      </c>
      <c r="I724" s="56" t="s">
        <v>90</v>
      </c>
      <c r="J724" s="15">
        <v>141572.92886178862</v>
      </c>
      <c r="K724" s="15">
        <v>4920</v>
      </c>
      <c r="L724" s="15">
        <v>696538810</v>
      </c>
      <c r="M724" s="15">
        <v>0</v>
      </c>
      <c r="N724" s="15">
        <v>0</v>
      </c>
      <c r="O724" s="15" t="str">
        <f>IF(AND(A724='BANG KE NL'!$M$11,TH!C724="NL",LEFT(D724,1)="N"),"x","")</f>
        <v/>
      </c>
    </row>
    <row r="725" spans="1:15" hidden="1">
      <c r="A725" s="24">
        <f t="shared" si="14"/>
        <v>3</v>
      </c>
      <c r="B725" s="188" t="str">
        <f>IF(AND(MONTH(E725)='IN-NX'!$J$5,'IN-NX'!$D$7=(D725&amp;"/"&amp;C725)),"x","")</f>
        <v/>
      </c>
      <c r="C725" s="185" t="s">
        <v>154</v>
      </c>
      <c r="D725" s="185" t="s">
        <v>149</v>
      </c>
      <c r="E725" s="69">
        <v>41353</v>
      </c>
      <c r="F725" s="61" t="s">
        <v>358</v>
      </c>
      <c r="G725" s="19" t="s">
        <v>450</v>
      </c>
      <c r="H725" s="216" t="s">
        <v>92</v>
      </c>
      <c r="I725" s="56" t="s">
        <v>462</v>
      </c>
      <c r="J725" s="15">
        <v>141572.92886178862</v>
      </c>
      <c r="K725" s="15">
        <v>0</v>
      </c>
      <c r="L725" s="15">
        <v>0</v>
      </c>
      <c r="M725" s="15">
        <v>4920</v>
      </c>
      <c r="N725" s="15">
        <v>696538810</v>
      </c>
      <c r="O725" s="15" t="str">
        <f>IF(AND(A725='BANG KE NL'!$M$11,TH!C725="NL",LEFT(D725,1)="N"),"x","")</f>
        <v/>
      </c>
    </row>
    <row r="726" spans="1:15" hidden="1">
      <c r="A726" s="24">
        <f t="shared" si="14"/>
        <v>6</v>
      </c>
      <c r="B726" s="188" t="str">
        <f>IF(AND(MONTH(E726)='IN-NX'!$J$5,'IN-NX'!$D$7=(D726&amp;"/"&amp;C726)),"x","")</f>
        <v/>
      </c>
      <c r="C726" s="185" t="s">
        <v>154</v>
      </c>
      <c r="D726" s="185" t="s">
        <v>143</v>
      </c>
      <c r="E726" s="69">
        <v>41437</v>
      </c>
      <c r="F726" s="61" t="s">
        <v>358</v>
      </c>
      <c r="G726" s="19" t="s">
        <v>120</v>
      </c>
      <c r="H726" s="216" t="s">
        <v>462</v>
      </c>
      <c r="I726" s="56" t="s">
        <v>90</v>
      </c>
      <c r="J726" s="15">
        <v>197486</v>
      </c>
      <c r="K726" s="15">
        <v>4920</v>
      </c>
      <c r="L726" s="15">
        <v>971631120</v>
      </c>
      <c r="M726" s="15">
        <v>0</v>
      </c>
      <c r="N726" s="15">
        <v>0</v>
      </c>
      <c r="O726" s="15" t="str">
        <f>IF(AND(A726='BANG KE NL'!$M$11,TH!C726="NL",LEFT(D726,1)="N"),"x","")</f>
        <v/>
      </c>
    </row>
    <row r="727" spans="1:15" hidden="1">
      <c r="A727" s="24">
        <f t="shared" si="14"/>
        <v>6</v>
      </c>
      <c r="B727" s="188" t="str">
        <f>IF(AND(MONTH(E727)='IN-NX'!$J$5,'IN-NX'!$D$7=(D727&amp;"/"&amp;C727)),"x","")</f>
        <v/>
      </c>
      <c r="C727" s="185" t="s">
        <v>154</v>
      </c>
      <c r="D727" s="185" t="s">
        <v>149</v>
      </c>
      <c r="E727" s="69">
        <v>41438</v>
      </c>
      <c r="F727" s="61" t="s">
        <v>358</v>
      </c>
      <c r="G727" s="19" t="s">
        <v>450</v>
      </c>
      <c r="H727" s="216" t="s">
        <v>92</v>
      </c>
      <c r="I727" s="56" t="s">
        <v>462</v>
      </c>
      <c r="J727" s="15">
        <v>197486</v>
      </c>
      <c r="K727" s="15">
        <v>0</v>
      </c>
      <c r="L727" s="15">
        <v>0</v>
      </c>
      <c r="M727" s="15">
        <v>4920</v>
      </c>
      <c r="N727" s="15">
        <v>971631120</v>
      </c>
      <c r="O727" s="15" t="str">
        <f>IF(AND(A727='BANG KE NL'!$M$11,TH!C727="NL",LEFT(D727,1)="N"),"x","")</f>
        <v/>
      </c>
    </row>
    <row r="728" spans="1:15" hidden="1">
      <c r="A728" s="24">
        <f t="shared" si="14"/>
        <v>6</v>
      </c>
      <c r="B728" s="188" t="str">
        <f>IF(AND(MONTH(E728)='IN-NX'!$J$5,'IN-NX'!$D$7=(D728&amp;"/"&amp;C728)),"x","")</f>
        <v/>
      </c>
      <c r="C728" s="185" t="s">
        <v>154</v>
      </c>
      <c r="D728" s="185" t="s">
        <v>144</v>
      </c>
      <c r="E728" s="69">
        <v>41449</v>
      </c>
      <c r="F728" s="61" t="s">
        <v>358</v>
      </c>
      <c r="G728" s="19" t="s">
        <v>120</v>
      </c>
      <c r="H728" s="216" t="s">
        <v>462</v>
      </c>
      <c r="I728" s="56" t="s">
        <v>90</v>
      </c>
      <c r="J728" s="15">
        <v>197486.301875</v>
      </c>
      <c r="K728" s="15">
        <v>1600</v>
      </c>
      <c r="L728" s="15">
        <v>315978083</v>
      </c>
      <c r="M728" s="15">
        <v>0</v>
      </c>
      <c r="N728" s="15">
        <v>0</v>
      </c>
      <c r="O728" s="15" t="str">
        <f>IF(AND(A728='BANG KE NL'!$M$11,TH!C728="NL",LEFT(D728,1)="N"),"x","")</f>
        <v/>
      </c>
    </row>
    <row r="729" spans="1:15" hidden="1">
      <c r="A729" s="24">
        <f t="shared" si="14"/>
        <v>6</v>
      </c>
      <c r="B729" s="188" t="str">
        <f>IF(AND(MONTH(E729)='IN-NX'!$J$5,'IN-NX'!$D$7=(D729&amp;"/"&amp;C729)),"x","")</f>
        <v/>
      </c>
      <c r="C729" s="185" t="s">
        <v>154</v>
      </c>
      <c r="D729" s="185" t="s">
        <v>150</v>
      </c>
      <c r="E729" s="69">
        <v>41450</v>
      </c>
      <c r="F729" s="61" t="s">
        <v>358</v>
      </c>
      <c r="G729" s="19" t="s">
        <v>451</v>
      </c>
      <c r="H729" s="216" t="s">
        <v>92</v>
      </c>
      <c r="I729" s="56" t="s">
        <v>462</v>
      </c>
      <c r="J729" s="15">
        <v>197486.301875</v>
      </c>
      <c r="K729" s="15">
        <v>0</v>
      </c>
      <c r="L729" s="15">
        <v>0</v>
      </c>
      <c r="M729" s="15">
        <v>1600</v>
      </c>
      <c r="N729" s="15">
        <v>315978083</v>
      </c>
      <c r="O729" s="15" t="str">
        <f>IF(AND(A729='BANG KE NL'!$M$11,TH!C729="NL",LEFT(D729,1)="N"),"x","")</f>
        <v/>
      </c>
    </row>
    <row r="730" spans="1:15" hidden="1">
      <c r="A730" s="24">
        <f t="shared" si="14"/>
        <v>7</v>
      </c>
      <c r="B730" s="188" t="str">
        <f>IF(AND(MONTH(E730)='IN-NX'!$J$5,'IN-NX'!$D$7=(D730&amp;"/"&amp;C730)),"x","")</f>
        <v/>
      </c>
      <c r="C730" s="185" t="s">
        <v>154</v>
      </c>
      <c r="D730" s="185" t="s">
        <v>143</v>
      </c>
      <c r="E730" s="69">
        <v>41462</v>
      </c>
      <c r="F730" s="61" t="s">
        <v>358</v>
      </c>
      <c r="G730" s="19" t="s">
        <v>120</v>
      </c>
      <c r="H730" s="216" t="s">
        <v>462</v>
      </c>
      <c r="I730" s="56" t="s">
        <v>90</v>
      </c>
      <c r="J730" s="15">
        <v>167173.66946721313</v>
      </c>
      <c r="K730" s="15">
        <v>4880</v>
      </c>
      <c r="L730" s="15">
        <v>815807507</v>
      </c>
      <c r="M730" s="15">
        <v>0</v>
      </c>
      <c r="N730" s="15">
        <v>0</v>
      </c>
      <c r="O730" s="15" t="str">
        <f>IF(AND(A730='BANG KE NL'!$M$11,TH!C730="NL",LEFT(D730,1)="N"),"x","")</f>
        <v/>
      </c>
    </row>
    <row r="731" spans="1:15" hidden="1">
      <c r="A731" s="24">
        <f t="shared" si="14"/>
        <v>7</v>
      </c>
      <c r="B731" s="188" t="str">
        <f>IF(AND(MONTH(E731)='IN-NX'!$J$5,'IN-NX'!$D$7=(D731&amp;"/"&amp;C731)),"x","")</f>
        <v/>
      </c>
      <c r="C731" s="185" t="s">
        <v>154</v>
      </c>
      <c r="D731" s="185" t="s">
        <v>149</v>
      </c>
      <c r="E731" s="69">
        <v>41467</v>
      </c>
      <c r="F731" s="61" t="s">
        <v>358</v>
      </c>
      <c r="G731" s="19" t="s">
        <v>450</v>
      </c>
      <c r="H731" s="216" t="s">
        <v>92</v>
      </c>
      <c r="I731" s="56" t="s">
        <v>462</v>
      </c>
      <c r="J731" s="15">
        <v>167173.66946721313</v>
      </c>
      <c r="K731" s="15">
        <v>0</v>
      </c>
      <c r="L731" s="15">
        <v>0</v>
      </c>
      <c r="M731" s="15">
        <v>4880</v>
      </c>
      <c r="N731" s="15">
        <v>815807507</v>
      </c>
      <c r="O731" s="15" t="str">
        <f>IF(AND(A731='BANG KE NL'!$M$11,TH!C731="NL",LEFT(D731,1)="N"),"x","")</f>
        <v/>
      </c>
    </row>
    <row r="732" spans="1:15" hidden="1">
      <c r="A732" s="24">
        <f t="shared" si="14"/>
        <v>7</v>
      </c>
      <c r="B732" s="188" t="str">
        <f>IF(AND(MONTH(E732)='IN-NX'!$J$5,'IN-NX'!$D$7=(D732&amp;"/"&amp;C732)),"x","")</f>
        <v/>
      </c>
      <c r="C732" s="185" t="s">
        <v>154</v>
      </c>
      <c r="D732" s="185" t="s">
        <v>144</v>
      </c>
      <c r="E732" s="69">
        <v>41485</v>
      </c>
      <c r="F732" s="61" t="s">
        <v>358</v>
      </c>
      <c r="G732" s="19" t="s">
        <v>120</v>
      </c>
      <c r="H732" s="216" t="s">
        <v>462</v>
      </c>
      <c r="I732" s="56" t="s">
        <v>90</v>
      </c>
      <c r="J732" s="15">
        <v>167173.66941823901</v>
      </c>
      <c r="K732" s="15">
        <v>2544</v>
      </c>
      <c r="L732" s="15">
        <v>425289815</v>
      </c>
      <c r="M732" s="15">
        <v>0</v>
      </c>
      <c r="N732" s="15">
        <v>0</v>
      </c>
      <c r="O732" s="15" t="str">
        <f>IF(AND(A732='BANG KE NL'!$M$11,TH!C732="NL",LEFT(D732,1)="N"),"x","")</f>
        <v/>
      </c>
    </row>
    <row r="733" spans="1:15" hidden="1">
      <c r="A733" s="24">
        <f t="shared" si="14"/>
        <v>8</v>
      </c>
      <c r="B733" s="188" t="str">
        <f>IF(AND(MONTH(E733)='IN-NX'!$J$5,'IN-NX'!$D$7=(D733&amp;"/"&amp;C733)),"x","")</f>
        <v/>
      </c>
      <c r="C733" s="185" t="s">
        <v>154</v>
      </c>
      <c r="D733" s="185" t="s">
        <v>149</v>
      </c>
      <c r="E733" s="69">
        <v>41487</v>
      </c>
      <c r="F733" s="61" t="s">
        <v>358</v>
      </c>
      <c r="G733" s="19" t="s">
        <v>451</v>
      </c>
      <c r="H733" s="216" t="s">
        <v>92</v>
      </c>
      <c r="I733" s="56" t="s">
        <v>462</v>
      </c>
      <c r="J733" s="15">
        <v>167173.66941823901</v>
      </c>
      <c r="K733" s="15">
        <v>0</v>
      </c>
      <c r="L733" s="15">
        <v>0</v>
      </c>
      <c r="M733" s="15">
        <v>2544</v>
      </c>
      <c r="N733" s="15">
        <v>425289815</v>
      </c>
      <c r="O733" s="15" t="str">
        <f>IF(AND(A733='BANG KE NL'!$M$11,TH!C733="NL",LEFT(D733,1)="N"),"x","")</f>
        <v/>
      </c>
    </row>
    <row r="734" spans="1:15" hidden="1">
      <c r="A734" s="24">
        <f t="shared" si="14"/>
        <v>8</v>
      </c>
      <c r="B734" s="188" t="str">
        <f>IF(AND(MONTH(E734)='IN-NX'!$J$5,'IN-NX'!$D$7=(D734&amp;"/"&amp;C734)),"x","")</f>
        <v/>
      </c>
      <c r="C734" s="185" t="s">
        <v>154</v>
      </c>
      <c r="D734" s="185" t="s">
        <v>143</v>
      </c>
      <c r="E734" s="69">
        <v>41499</v>
      </c>
      <c r="F734" s="61" t="s">
        <v>358</v>
      </c>
      <c r="G734" s="19" t="s">
        <v>120</v>
      </c>
      <c r="H734" s="216" t="s">
        <v>462</v>
      </c>
      <c r="I734" s="56" t="s">
        <v>90</v>
      </c>
      <c r="J734" s="15">
        <v>145239.13541666666</v>
      </c>
      <c r="K734" s="15">
        <v>960</v>
      </c>
      <c r="L734" s="15">
        <v>139429570</v>
      </c>
      <c r="M734" s="15">
        <v>0</v>
      </c>
      <c r="N734" s="15">
        <v>0</v>
      </c>
      <c r="O734" s="15" t="str">
        <f>IF(AND(A734='BANG KE NL'!$M$11,TH!C734="NL",LEFT(D734,1)="N"),"x","")</f>
        <v/>
      </c>
    </row>
    <row r="735" spans="1:15" hidden="1">
      <c r="A735" s="24">
        <f t="shared" si="14"/>
        <v>8</v>
      </c>
      <c r="B735" s="188" t="str">
        <f>IF(AND(MONTH(E735)='IN-NX'!$J$5,'IN-NX'!$D$7=(D735&amp;"/"&amp;C735)),"x","")</f>
        <v/>
      </c>
      <c r="C735" s="185" t="s">
        <v>154</v>
      </c>
      <c r="D735" s="185" t="s">
        <v>150</v>
      </c>
      <c r="E735" s="69">
        <v>41500</v>
      </c>
      <c r="F735" s="61" t="s">
        <v>358</v>
      </c>
      <c r="G735" s="19" t="s">
        <v>451</v>
      </c>
      <c r="H735" s="216" t="s">
        <v>92</v>
      </c>
      <c r="I735" s="56" t="s">
        <v>462</v>
      </c>
      <c r="J735" s="15">
        <v>145239.13541666666</v>
      </c>
      <c r="K735" s="15">
        <v>0</v>
      </c>
      <c r="L735" s="15">
        <v>0</v>
      </c>
      <c r="M735" s="15">
        <v>960</v>
      </c>
      <c r="N735" s="15">
        <v>139429570</v>
      </c>
      <c r="O735" s="15" t="str">
        <f>IF(AND(A735='BANG KE NL'!$M$11,TH!C735="NL",LEFT(D735,1)="N"),"x","")</f>
        <v/>
      </c>
    </row>
    <row r="736" spans="1:15" hidden="1">
      <c r="A736" s="24">
        <f t="shared" si="14"/>
        <v>8</v>
      </c>
      <c r="B736" s="188" t="str">
        <f>IF(AND(MONTH(E736)='IN-NX'!$J$5,'IN-NX'!$D$7=(D736&amp;"/"&amp;C736)),"x","")</f>
        <v/>
      </c>
      <c r="C736" s="185" t="s">
        <v>154</v>
      </c>
      <c r="D736" s="185" t="s">
        <v>145</v>
      </c>
      <c r="E736" s="69">
        <v>41513</v>
      </c>
      <c r="F736" s="61" t="s">
        <v>358</v>
      </c>
      <c r="G736" s="19" t="s">
        <v>120</v>
      </c>
      <c r="H736" s="216" t="s">
        <v>462</v>
      </c>
      <c r="I736" s="56" t="s">
        <v>90</v>
      </c>
      <c r="J736" s="15">
        <v>145239.13584905659</v>
      </c>
      <c r="K736" s="15">
        <v>2120</v>
      </c>
      <c r="L736" s="15">
        <v>307906968</v>
      </c>
      <c r="M736" s="15">
        <v>0</v>
      </c>
      <c r="N736" s="15">
        <v>0</v>
      </c>
      <c r="O736" s="15" t="str">
        <f>IF(AND(A736='BANG KE NL'!$M$11,TH!C736="NL",LEFT(D736,1)="N"),"x","")</f>
        <v/>
      </c>
    </row>
    <row r="737" spans="1:15" hidden="1">
      <c r="A737" s="24">
        <f t="shared" si="14"/>
        <v>8</v>
      </c>
      <c r="B737" s="188" t="str">
        <f>IF(AND(MONTH(E737)='IN-NX'!$J$5,'IN-NX'!$D$7=(D737&amp;"/"&amp;C737)),"x","")</f>
        <v/>
      </c>
      <c r="C737" s="185" t="s">
        <v>154</v>
      </c>
      <c r="D737" s="185" t="s">
        <v>197</v>
      </c>
      <c r="E737" s="69">
        <v>41515</v>
      </c>
      <c r="F737" s="61" t="s">
        <v>358</v>
      </c>
      <c r="G737" s="19" t="s">
        <v>451</v>
      </c>
      <c r="H737" s="216" t="s">
        <v>92</v>
      </c>
      <c r="I737" s="56" t="s">
        <v>462</v>
      </c>
      <c r="J737" s="15">
        <v>145239.13584905659</v>
      </c>
      <c r="K737" s="15">
        <v>0</v>
      </c>
      <c r="L737" s="15">
        <v>0</v>
      </c>
      <c r="M737" s="15">
        <v>2120</v>
      </c>
      <c r="N737" s="15">
        <v>307906968</v>
      </c>
      <c r="O737" s="15" t="str">
        <f>IF(AND(A737='BANG KE NL'!$M$11,TH!C737="NL",LEFT(D737,1)="N"),"x","")</f>
        <v/>
      </c>
    </row>
    <row r="738" spans="1:15" hidden="1">
      <c r="A738" s="24">
        <f t="shared" si="14"/>
        <v>9</v>
      </c>
      <c r="B738" s="188" t="str">
        <f>IF(AND(MONTH(E738)='IN-NX'!$J$5,'IN-NX'!$D$7=(D738&amp;"/"&amp;C738)),"x","")</f>
        <v/>
      </c>
      <c r="C738" s="185" t="s">
        <v>154</v>
      </c>
      <c r="D738" s="185" t="s">
        <v>143</v>
      </c>
      <c r="E738" s="69">
        <v>41539</v>
      </c>
      <c r="F738" s="61" t="s">
        <v>358</v>
      </c>
      <c r="G738" s="19" t="s">
        <v>120</v>
      </c>
      <c r="H738" s="216" t="s">
        <v>462</v>
      </c>
      <c r="I738" s="56" t="s">
        <v>90</v>
      </c>
      <c r="J738" s="15">
        <v>150628.16750000001</v>
      </c>
      <c r="K738" s="15">
        <v>2000</v>
      </c>
      <c r="L738" s="15">
        <v>301256335</v>
      </c>
      <c r="M738" s="15">
        <v>0</v>
      </c>
      <c r="N738" s="15">
        <v>0</v>
      </c>
      <c r="O738" s="15" t="str">
        <f>IF(AND(A738='BANG KE NL'!$M$11,TH!C738="NL",LEFT(D738,1)="N"),"x","")</f>
        <v/>
      </c>
    </row>
    <row r="739" spans="1:15" hidden="1">
      <c r="A739" s="24">
        <f t="shared" si="14"/>
        <v>9</v>
      </c>
      <c r="B739" s="188" t="str">
        <f>IF(AND(MONTH(E739)='IN-NX'!$J$5,'IN-NX'!$D$7=(D739&amp;"/"&amp;C739)),"x","")</f>
        <v/>
      </c>
      <c r="C739" s="185" t="s">
        <v>154</v>
      </c>
      <c r="D739" s="185" t="s">
        <v>150</v>
      </c>
      <c r="E739" s="69">
        <v>41540</v>
      </c>
      <c r="F739" s="61" t="s">
        <v>358</v>
      </c>
      <c r="G739" s="19" t="s">
        <v>451</v>
      </c>
      <c r="H739" s="216" t="s">
        <v>92</v>
      </c>
      <c r="I739" s="56" t="s">
        <v>462</v>
      </c>
      <c r="J739" s="15">
        <v>150628.16750000001</v>
      </c>
      <c r="K739" s="15">
        <v>0</v>
      </c>
      <c r="L739" s="15">
        <v>0</v>
      </c>
      <c r="M739" s="15">
        <v>2000</v>
      </c>
      <c r="N739" s="15">
        <v>301256335</v>
      </c>
      <c r="O739" s="15" t="str">
        <f>IF(AND(A739='BANG KE NL'!$M$11,TH!C739="NL",LEFT(D739,1)="N"),"x","")</f>
        <v/>
      </c>
    </row>
    <row r="740" spans="1:15" hidden="1">
      <c r="A740" s="24">
        <f t="shared" si="14"/>
        <v>10</v>
      </c>
      <c r="B740" s="188" t="str">
        <f>IF(AND(MONTH(E740)='IN-NX'!$J$5,'IN-NX'!$D$7=(D740&amp;"/"&amp;C740)),"x","")</f>
        <v/>
      </c>
      <c r="C740" s="185" t="s">
        <v>154</v>
      </c>
      <c r="D740" s="185" t="s">
        <v>145</v>
      </c>
      <c r="E740" s="69">
        <v>41571</v>
      </c>
      <c r="F740" s="61" t="s">
        <v>358</v>
      </c>
      <c r="G740" s="19" t="s">
        <v>120</v>
      </c>
      <c r="H740" s="216" t="s">
        <v>462</v>
      </c>
      <c r="I740" s="56" t="s">
        <v>90</v>
      </c>
      <c r="J740" s="15">
        <v>148681.83095238096</v>
      </c>
      <c r="K740" s="15">
        <v>1680</v>
      </c>
      <c r="L740" s="15">
        <v>249785476</v>
      </c>
      <c r="M740" s="15">
        <v>0</v>
      </c>
      <c r="N740" s="15">
        <v>0</v>
      </c>
      <c r="O740" s="15" t="str">
        <f>IF(AND(A740='BANG KE NL'!$M$11,TH!C740="NL",LEFT(D740,1)="N"),"x","")</f>
        <v/>
      </c>
    </row>
    <row r="741" spans="1:15" hidden="1">
      <c r="A741" s="24">
        <f t="shared" si="14"/>
        <v>10</v>
      </c>
      <c r="B741" s="188" t="str">
        <f>IF(AND(MONTH(E741)='IN-NX'!$J$5,'IN-NX'!$D$7=(D741&amp;"/"&amp;C741)),"x","")</f>
        <v/>
      </c>
      <c r="C741" s="185" t="s">
        <v>154</v>
      </c>
      <c r="D741" s="185" t="s">
        <v>159</v>
      </c>
      <c r="E741" s="69">
        <v>41572</v>
      </c>
      <c r="F741" s="61" t="s">
        <v>358</v>
      </c>
      <c r="G741" s="19" t="s">
        <v>451</v>
      </c>
      <c r="H741" s="216" t="s">
        <v>92</v>
      </c>
      <c r="I741" s="56" t="s">
        <v>462</v>
      </c>
      <c r="J741" s="15">
        <v>148681.83095238096</v>
      </c>
      <c r="K741" s="15">
        <v>0</v>
      </c>
      <c r="L741" s="15">
        <v>0</v>
      </c>
      <c r="M741" s="15">
        <v>1680</v>
      </c>
      <c r="N741" s="15">
        <v>249785476</v>
      </c>
      <c r="O741" s="15" t="str">
        <f>IF(AND(A741='BANG KE NL'!$M$11,TH!C741="NL",LEFT(D741,1)="N"),"x","")</f>
        <v/>
      </c>
    </row>
    <row r="742" spans="1:15" hidden="1">
      <c r="A742" s="24">
        <f t="shared" si="14"/>
        <v>12</v>
      </c>
      <c r="B742" s="188" t="str">
        <f>IF(AND(MONTH(E742)='IN-NX'!$J$5,'IN-NX'!$D$7=(D742&amp;"/"&amp;C742)),"x","")</f>
        <v/>
      </c>
      <c r="C742" s="185" t="s">
        <v>154</v>
      </c>
      <c r="D742" s="185" t="s">
        <v>161</v>
      </c>
      <c r="E742" s="69">
        <v>41631</v>
      </c>
      <c r="F742" s="61" t="s">
        <v>358</v>
      </c>
      <c r="G742" s="19" t="s">
        <v>120</v>
      </c>
      <c r="H742" s="216" t="s">
        <v>462</v>
      </c>
      <c r="I742" s="56" t="s">
        <v>90</v>
      </c>
      <c r="J742" s="15">
        <v>142283.68731454006</v>
      </c>
      <c r="K742" s="15">
        <v>2696</v>
      </c>
      <c r="L742" s="15">
        <v>383596821</v>
      </c>
      <c r="M742" s="15">
        <v>0</v>
      </c>
      <c r="N742" s="15">
        <v>0</v>
      </c>
      <c r="O742" s="15" t="str">
        <f>IF(AND(A742='BANG KE NL'!$M$11,TH!C742="NL",LEFT(D742,1)="N"),"x","")</f>
        <v/>
      </c>
    </row>
    <row r="743" spans="1:15" hidden="1">
      <c r="A743" s="24">
        <f t="shared" si="14"/>
        <v>12</v>
      </c>
      <c r="B743" s="188" t="str">
        <f>IF(AND(MONTH(E743)='IN-NX'!$J$5,'IN-NX'!$D$7=(D743&amp;"/"&amp;C743)),"x","")</f>
        <v/>
      </c>
      <c r="C743" s="185" t="s">
        <v>154</v>
      </c>
      <c r="D743" s="185" t="s">
        <v>199</v>
      </c>
      <c r="E743" s="69">
        <v>41632</v>
      </c>
      <c r="F743" s="61" t="s">
        <v>358</v>
      </c>
      <c r="G743" s="19" t="s">
        <v>451</v>
      </c>
      <c r="H743" s="216" t="s">
        <v>92</v>
      </c>
      <c r="I743" s="56" t="s">
        <v>462</v>
      </c>
      <c r="J743" s="15">
        <v>142283.6875</v>
      </c>
      <c r="K743" s="15">
        <v>0</v>
      </c>
      <c r="L743" s="15">
        <v>0</v>
      </c>
      <c r="M743" s="15">
        <v>800</v>
      </c>
      <c r="N743" s="15">
        <v>113826950</v>
      </c>
      <c r="O743" s="15" t="str">
        <f>IF(AND(A743='BANG KE NL'!$M$11,TH!C743="NL",LEFT(D743,1)="N"),"x","")</f>
        <v/>
      </c>
    </row>
    <row r="744" spans="1:15" hidden="1">
      <c r="A744" s="24">
        <f t="shared" si="14"/>
        <v>12</v>
      </c>
      <c r="B744" s="188" t="str">
        <f>IF(AND(MONTH(E744)='IN-NX'!$J$5,'IN-NX'!$D$7=(D744&amp;"/"&amp;C744)),"x","")</f>
        <v/>
      </c>
      <c r="C744" s="185" t="s">
        <v>154</v>
      </c>
      <c r="D744" s="185" t="s">
        <v>201</v>
      </c>
      <c r="E744" s="69">
        <v>41634</v>
      </c>
      <c r="F744" s="61" t="s">
        <v>358</v>
      </c>
      <c r="G744" s="19" t="s">
        <v>451</v>
      </c>
      <c r="H744" s="216" t="s">
        <v>92</v>
      </c>
      <c r="I744" s="56" t="s">
        <v>462</v>
      </c>
      <c r="J744" s="15">
        <v>142283.68723628693</v>
      </c>
      <c r="K744" s="15">
        <v>0</v>
      </c>
      <c r="L744" s="15">
        <v>0</v>
      </c>
      <c r="M744" s="15">
        <v>1896</v>
      </c>
      <c r="N744" s="15">
        <v>269769871</v>
      </c>
      <c r="O744" s="15" t="str">
        <f>IF(AND(A744='BANG KE NL'!$M$11,TH!C744="NL",LEFT(D744,1)="N"),"x","")</f>
        <v/>
      </c>
    </row>
    <row r="745" spans="1:15" hidden="1">
      <c r="A745" s="24">
        <f t="shared" si="14"/>
        <v>1</v>
      </c>
      <c r="B745" s="188" t="str">
        <f>IF(AND(MONTH(E745)='IN-NX'!$J$5,'IN-NX'!$D$7=(D745&amp;"/"&amp;C745)),"x","")</f>
        <v/>
      </c>
      <c r="C745" s="185" t="s">
        <v>154</v>
      </c>
      <c r="D745" s="185" t="s">
        <v>144</v>
      </c>
      <c r="E745" s="69">
        <v>41290</v>
      </c>
      <c r="F745" s="61" t="s">
        <v>321</v>
      </c>
      <c r="G745" s="19" t="s">
        <v>447</v>
      </c>
      <c r="H745" s="216" t="s">
        <v>462</v>
      </c>
      <c r="I745" s="56">
        <v>331</v>
      </c>
      <c r="J745" s="15">
        <v>140000</v>
      </c>
      <c r="K745" s="15">
        <v>65.7</v>
      </c>
      <c r="L745" s="15">
        <v>9198000</v>
      </c>
      <c r="M745" s="15">
        <v>0</v>
      </c>
      <c r="N745" s="15">
        <v>0</v>
      </c>
      <c r="O745" s="15" t="str">
        <f>IF(AND(A745='BANG KE NL'!$M$11,TH!C745="NL",LEFT(D745,1)="N"),"x","")</f>
        <v/>
      </c>
    </row>
    <row r="746" spans="1:15" hidden="1">
      <c r="A746" s="24">
        <f t="shared" si="14"/>
        <v>3</v>
      </c>
      <c r="B746" s="188" t="str">
        <f>IF(AND(MONTH(E746)='IN-NX'!$J$5,'IN-NX'!$D$7=(D746&amp;"/"&amp;C746)),"x","")</f>
        <v/>
      </c>
      <c r="C746" s="185" t="s">
        <v>154</v>
      </c>
      <c r="D746" s="185" t="s">
        <v>143</v>
      </c>
      <c r="E746" s="69">
        <v>41334</v>
      </c>
      <c r="F746" s="61" t="s">
        <v>321</v>
      </c>
      <c r="G746" s="19" t="s">
        <v>447</v>
      </c>
      <c r="H746" s="216" t="s">
        <v>462</v>
      </c>
      <c r="I746" s="56">
        <v>331</v>
      </c>
      <c r="J746" s="15">
        <v>140000</v>
      </c>
      <c r="K746" s="15">
        <v>237</v>
      </c>
      <c r="L746" s="15">
        <v>33180000</v>
      </c>
      <c r="M746" s="15">
        <v>0</v>
      </c>
      <c r="N746" s="15">
        <v>0</v>
      </c>
      <c r="O746" s="15" t="str">
        <f>IF(AND(A746='BANG KE NL'!$M$11,TH!C746="NL",LEFT(D746,1)="N"),"x","")</f>
        <v/>
      </c>
    </row>
    <row r="747" spans="1:15" hidden="1">
      <c r="A747" s="24">
        <f t="shared" si="14"/>
        <v>5</v>
      </c>
      <c r="B747" s="188" t="str">
        <f>IF(AND(MONTH(E747)='IN-NX'!$J$5,'IN-NX'!$D$7=(D747&amp;"/"&amp;C747)),"x","")</f>
        <v/>
      </c>
      <c r="C747" s="185" t="s">
        <v>154</v>
      </c>
      <c r="D747" s="185" t="s">
        <v>144</v>
      </c>
      <c r="E747" s="69">
        <v>41423</v>
      </c>
      <c r="F747" s="61" t="s">
        <v>321</v>
      </c>
      <c r="G747" s="19" t="s">
        <v>120</v>
      </c>
      <c r="H747" s="216" t="s">
        <v>462</v>
      </c>
      <c r="I747" s="56" t="s">
        <v>90</v>
      </c>
      <c r="J747" s="15">
        <v>139992.20000000001</v>
      </c>
      <c r="K747" s="15">
        <v>650</v>
      </c>
      <c r="L747" s="15">
        <v>90994930</v>
      </c>
      <c r="M747" s="15">
        <v>0</v>
      </c>
      <c r="N747" s="15">
        <v>0</v>
      </c>
      <c r="O747" s="15" t="str">
        <f>IF(AND(A747='BANG KE NL'!$M$11,TH!C747="NL",LEFT(D747,1)="N"),"x","")</f>
        <v/>
      </c>
    </row>
    <row r="748" spans="1:15" hidden="1">
      <c r="A748" s="24">
        <f t="shared" si="14"/>
        <v>5</v>
      </c>
      <c r="B748" s="188" t="str">
        <f>IF(AND(MONTH(E748)='IN-NX'!$J$5,'IN-NX'!$D$7=(D748&amp;"/"&amp;C748)),"x","")</f>
        <v/>
      </c>
      <c r="C748" s="185" t="s">
        <v>154</v>
      </c>
      <c r="D748" s="185" t="s">
        <v>150</v>
      </c>
      <c r="E748" s="69">
        <v>41424</v>
      </c>
      <c r="F748" s="61" t="s">
        <v>321</v>
      </c>
      <c r="G748" s="19" t="s">
        <v>452</v>
      </c>
      <c r="H748" s="216" t="s">
        <v>92</v>
      </c>
      <c r="I748" s="56" t="s">
        <v>462</v>
      </c>
      <c r="J748" s="15">
        <v>139995.8323076923</v>
      </c>
      <c r="K748" s="15">
        <v>0</v>
      </c>
      <c r="L748" s="15">
        <v>0</v>
      </c>
      <c r="M748" s="15">
        <v>650</v>
      </c>
      <c r="N748" s="15">
        <v>90997291</v>
      </c>
      <c r="O748" s="15" t="str">
        <f>IF(AND(A748='BANG KE NL'!$M$11,TH!C748="NL",LEFT(D748,1)="N"),"x","")</f>
        <v/>
      </c>
    </row>
    <row r="749" spans="1:15" hidden="1">
      <c r="A749" s="24">
        <f t="shared" si="14"/>
        <v>8</v>
      </c>
      <c r="B749" s="188" t="str">
        <f>IF(AND(MONTH(E749)='IN-NX'!$J$5,'IN-NX'!$D$7=(D749&amp;"/"&amp;C749)),"x","")</f>
        <v/>
      </c>
      <c r="C749" s="185" t="s">
        <v>154</v>
      </c>
      <c r="D749" s="185" t="s">
        <v>144</v>
      </c>
      <c r="E749" s="69">
        <v>41507</v>
      </c>
      <c r="F749" s="61" t="s">
        <v>321</v>
      </c>
      <c r="G749" s="19" t="s">
        <v>120</v>
      </c>
      <c r="H749" s="216" t="s">
        <v>462</v>
      </c>
      <c r="I749" s="56" t="s">
        <v>90</v>
      </c>
      <c r="J749" s="15">
        <v>137896.15949282615</v>
      </c>
      <c r="K749" s="15">
        <v>2697.3</v>
      </c>
      <c r="L749" s="15">
        <v>371947311</v>
      </c>
      <c r="M749" s="15">
        <v>0</v>
      </c>
      <c r="N749" s="15">
        <v>0</v>
      </c>
      <c r="O749" s="15" t="str">
        <f>IF(AND(A749='BANG KE NL'!$M$11,TH!C749="NL",LEFT(D749,1)="N"),"x","")</f>
        <v/>
      </c>
    </row>
    <row r="750" spans="1:15" hidden="1">
      <c r="A750" s="24">
        <f t="shared" si="14"/>
        <v>8</v>
      </c>
      <c r="B750" s="188" t="str">
        <f>IF(AND(MONTH(E750)='IN-NX'!$J$5,'IN-NX'!$D$7=(D750&amp;"/"&amp;C750)),"x","")</f>
        <v/>
      </c>
      <c r="C750" s="185" t="s">
        <v>154</v>
      </c>
      <c r="D750" s="185" t="s">
        <v>152</v>
      </c>
      <c r="E750" s="69">
        <v>41509</v>
      </c>
      <c r="F750" s="61" t="s">
        <v>321</v>
      </c>
      <c r="G750" s="19" t="s">
        <v>452</v>
      </c>
      <c r="H750" s="216" t="s">
        <v>92</v>
      </c>
      <c r="I750" s="56" t="s">
        <v>462</v>
      </c>
      <c r="J750" s="15">
        <v>138107.65</v>
      </c>
      <c r="K750" s="15">
        <v>0</v>
      </c>
      <c r="L750" s="15">
        <v>0</v>
      </c>
      <c r="M750" s="15">
        <v>3000</v>
      </c>
      <c r="N750" s="15">
        <v>414322950</v>
      </c>
      <c r="O750" s="15" t="str">
        <f>IF(AND(A750='BANG KE NL'!$M$11,TH!C750="NL",LEFT(D750,1)="N"),"x","")</f>
        <v/>
      </c>
    </row>
    <row r="751" spans="1:15" hidden="1">
      <c r="A751" s="24">
        <f t="shared" si="14"/>
        <v>12</v>
      </c>
      <c r="B751" s="188" t="str">
        <f>IF(AND(MONTH(E751)='IN-NX'!$J$5,'IN-NX'!$D$7=(D751&amp;"/"&amp;C751)),"x","")</f>
        <v/>
      </c>
      <c r="C751" s="185" t="s">
        <v>154</v>
      </c>
      <c r="D751" s="185" t="s">
        <v>144</v>
      </c>
      <c r="E751" s="69">
        <v>41614</v>
      </c>
      <c r="F751" s="61" t="s">
        <v>321</v>
      </c>
      <c r="G751" s="19" t="s">
        <v>120</v>
      </c>
      <c r="H751" s="216" t="s">
        <v>462</v>
      </c>
      <c r="I751" s="56" t="s">
        <v>90</v>
      </c>
      <c r="J751" s="15">
        <v>129208.37403846154</v>
      </c>
      <c r="K751" s="15">
        <v>1040</v>
      </c>
      <c r="L751" s="15">
        <v>134376709</v>
      </c>
      <c r="M751" s="15">
        <v>0</v>
      </c>
      <c r="N751" s="15">
        <v>0</v>
      </c>
      <c r="O751" s="15" t="str">
        <f>IF(AND(A751='BANG KE NL'!$M$11,TH!C751="NL",LEFT(D751,1)="N"),"x","")</f>
        <v/>
      </c>
    </row>
    <row r="752" spans="1:15" hidden="1">
      <c r="A752" s="24">
        <f t="shared" si="14"/>
        <v>12</v>
      </c>
      <c r="B752" s="188" t="str">
        <f>IF(AND(MONTH(E752)='IN-NX'!$J$5,'IN-NX'!$D$7=(D752&amp;"/"&amp;C752)),"x","")</f>
        <v/>
      </c>
      <c r="C752" s="185" t="s">
        <v>154</v>
      </c>
      <c r="D752" s="185" t="s">
        <v>150</v>
      </c>
      <c r="E752" s="69">
        <v>41615</v>
      </c>
      <c r="F752" s="61" t="s">
        <v>321</v>
      </c>
      <c r="G752" s="19" t="s">
        <v>452</v>
      </c>
      <c r="H752" s="216" t="s">
        <v>92</v>
      </c>
      <c r="I752" s="56" t="s">
        <v>462</v>
      </c>
      <c r="J752" s="15">
        <v>129208.37403846154</v>
      </c>
      <c r="K752" s="15">
        <v>0</v>
      </c>
      <c r="L752" s="15">
        <v>0</v>
      </c>
      <c r="M752" s="15">
        <v>1040</v>
      </c>
      <c r="N752" s="15">
        <v>134376709</v>
      </c>
      <c r="O752" s="15" t="str">
        <f>IF(AND(A752='BANG KE NL'!$M$11,TH!C752="NL",LEFT(D752,1)="N"),"x","")</f>
        <v/>
      </c>
    </row>
    <row r="753" spans="1:15" hidden="1">
      <c r="A753" s="24">
        <f t="shared" si="14"/>
        <v>11</v>
      </c>
      <c r="B753" s="188" t="str">
        <f>IF(AND(MONTH(E753)='IN-NX'!$J$5,'IN-NX'!$D$7=(D753&amp;"/"&amp;C753)),"x","")</f>
        <v/>
      </c>
      <c r="C753" s="185" t="s">
        <v>154</v>
      </c>
      <c r="D753" s="185" t="s">
        <v>145</v>
      </c>
      <c r="E753" s="69">
        <v>41608</v>
      </c>
      <c r="F753" s="61" t="s">
        <v>334</v>
      </c>
      <c r="G753" s="19" t="s">
        <v>120</v>
      </c>
      <c r="H753" s="216" t="s">
        <v>462</v>
      </c>
      <c r="I753" s="56" t="s">
        <v>90</v>
      </c>
      <c r="J753" s="15">
        <v>146129.44532279315</v>
      </c>
      <c r="K753" s="15">
        <v>7590</v>
      </c>
      <c r="L753" s="15">
        <v>1109122490</v>
      </c>
      <c r="M753" s="15">
        <v>0</v>
      </c>
      <c r="N753" s="15">
        <v>0</v>
      </c>
      <c r="O753" s="15" t="str">
        <f>IF(AND(A753='BANG KE NL'!$M$11,TH!C753="NL",LEFT(D753,1)="N"),"x","")</f>
        <v/>
      </c>
    </row>
    <row r="754" spans="1:15" hidden="1">
      <c r="A754" s="24">
        <f t="shared" si="14"/>
        <v>12</v>
      </c>
      <c r="B754" s="188" t="str">
        <f>IF(AND(MONTH(E754)='IN-NX'!$J$5,'IN-NX'!$D$7=(D754&amp;"/"&amp;C754)),"x","")</f>
        <v/>
      </c>
      <c r="C754" s="185" t="s">
        <v>154</v>
      </c>
      <c r="D754" s="185" t="s">
        <v>148</v>
      </c>
      <c r="E754" s="69">
        <v>41626</v>
      </c>
      <c r="F754" s="61" t="s">
        <v>334</v>
      </c>
      <c r="G754" s="19" t="s">
        <v>120</v>
      </c>
      <c r="H754" s="216" t="s">
        <v>462</v>
      </c>
      <c r="I754" s="56" t="s">
        <v>90</v>
      </c>
      <c r="J754" s="15">
        <v>135862.29855072463</v>
      </c>
      <c r="K754" s="15">
        <v>6210</v>
      </c>
      <c r="L754" s="15">
        <v>843704874</v>
      </c>
      <c r="M754" s="15">
        <v>0</v>
      </c>
      <c r="N754" s="15">
        <v>0</v>
      </c>
      <c r="O754" s="15" t="str">
        <f>IF(AND(A754='BANG KE NL'!$M$11,TH!C754="NL",LEFT(D754,1)="N"),"x","")</f>
        <v/>
      </c>
    </row>
    <row r="755" spans="1:15" hidden="1">
      <c r="A755" s="24">
        <f t="shared" si="14"/>
        <v>12</v>
      </c>
      <c r="B755" s="188" t="str">
        <f>IF(AND(MONTH(E755)='IN-NX'!$J$5,'IN-NX'!$D$7=(D755&amp;"/"&amp;C755)),"x","")</f>
        <v/>
      </c>
      <c r="C755" s="185" t="s">
        <v>154</v>
      </c>
      <c r="D755" s="185" t="s">
        <v>159</v>
      </c>
      <c r="E755" s="69">
        <v>41627</v>
      </c>
      <c r="F755" s="61" t="s">
        <v>334</v>
      </c>
      <c r="G755" s="19" t="s">
        <v>453</v>
      </c>
      <c r="H755" s="216" t="s">
        <v>92</v>
      </c>
      <c r="I755" s="56" t="s">
        <v>462</v>
      </c>
      <c r="J755" s="15">
        <v>146129.44536231883</v>
      </c>
      <c r="K755" s="15">
        <v>0</v>
      </c>
      <c r="L755" s="15">
        <v>0</v>
      </c>
      <c r="M755" s="15">
        <v>6900</v>
      </c>
      <c r="N755" s="15">
        <v>1008293173</v>
      </c>
      <c r="O755" s="15" t="str">
        <f>IF(AND(A755='BANG KE NL'!$M$11,TH!C755="NL",LEFT(D755,1)="N"),"x","")</f>
        <v/>
      </c>
    </row>
    <row r="756" spans="1:15" hidden="1">
      <c r="A756" s="24">
        <f t="shared" si="14"/>
        <v>12</v>
      </c>
      <c r="B756" s="188" t="str">
        <f>IF(AND(MONTH(E756)='IN-NX'!$J$5,'IN-NX'!$D$7=(D756&amp;"/"&amp;C756)),"x","")</f>
        <v/>
      </c>
      <c r="C756" s="185" t="s">
        <v>154</v>
      </c>
      <c r="D756" s="185" t="s">
        <v>198</v>
      </c>
      <c r="E756" s="69">
        <v>41627</v>
      </c>
      <c r="F756" s="61" t="s">
        <v>334</v>
      </c>
      <c r="G756" s="19" t="s">
        <v>453</v>
      </c>
      <c r="H756" s="216" t="s">
        <v>92</v>
      </c>
      <c r="I756" s="56" t="s">
        <v>462</v>
      </c>
      <c r="J756" s="15">
        <v>136889.01318840581</v>
      </c>
      <c r="K756" s="15">
        <v>0</v>
      </c>
      <c r="L756" s="15">
        <v>0</v>
      </c>
      <c r="M756" s="15">
        <v>6900</v>
      </c>
      <c r="N756" s="15">
        <v>944534191</v>
      </c>
      <c r="O756" s="15" t="str">
        <f>IF(AND(A756='BANG KE NL'!$M$11,TH!C756="NL",LEFT(D756,1)="N"),"x","")</f>
        <v/>
      </c>
    </row>
    <row r="757" spans="1:15" hidden="1">
      <c r="A757" s="24">
        <f t="shared" si="14"/>
        <v>4</v>
      </c>
      <c r="B757" s="188" t="str">
        <f>IF(AND(MONTH(E757)='IN-NX'!$J$5,'IN-NX'!$D$7=(D757&amp;"/"&amp;C757)),"x","")</f>
        <v/>
      </c>
      <c r="C757" s="185" t="s">
        <v>154</v>
      </c>
      <c r="D757" s="185" t="s">
        <v>143</v>
      </c>
      <c r="E757" s="69">
        <v>41375</v>
      </c>
      <c r="F757" s="61" t="s">
        <v>381</v>
      </c>
      <c r="G757" s="19" t="s">
        <v>120</v>
      </c>
      <c r="H757" s="216" t="s">
        <v>462</v>
      </c>
      <c r="I757" s="56" t="s">
        <v>90</v>
      </c>
      <c r="J757" s="15">
        <v>129970.34759999999</v>
      </c>
      <c r="K757" s="15">
        <v>5000</v>
      </c>
      <c r="L757" s="15">
        <v>649851738</v>
      </c>
      <c r="M757" s="15">
        <v>0</v>
      </c>
      <c r="N757" s="15">
        <v>0</v>
      </c>
      <c r="O757" s="15" t="str">
        <f>IF(AND(A757='BANG KE NL'!$M$11,TH!C757="NL",LEFT(D757,1)="N"),"x","")</f>
        <v/>
      </c>
    </row>
    <row r="758" spans="1:15" hidden="1">
      <c r="A758" s="24">
        <f t="shared" si="14"/>
        <v>4</v>
      </c>
      <c r="B758" s="188" t="str">
        <f>IF(AND(MONTH(E758)='IN-NX'!$J$5,'IN-NX'!$D$7=(D758&amp;"/"&amp;C758)),"x","")</f>
        <v/>
      </c>
      <c r="C758" s="185" t="s">
        <v>154</v>
      </c>
      <c r="D758" s="185" t="s">
        <v>149</v>
      </c>
      <c r="E758" s="69">
        <v>41376</v>
      </c>
      <c r="F758" s="61" t="s">
        <v>381</v>
      </c>
      <c r="G758" s="19" t="s">
        <v>448</v>
      </c>
      <c r="H758" s="216" t="s">
        <v>92</v>
      </c>
      <c r="I758" s="56" t="s">
        <v>462</v>
      </c>
      <c r="J758" s="15">
        <v>129970.34759999999</v>
      </c>
      <c r="K758" s="15">
        <v>0</v>
      </c>
      <c r="L758" s="15">
        <v>0</v>
      </c>
      <c r="M758" s="15">
        <v>5000</v>
      </c>
      <c r="N758" s="15">
        <v>649851738</v>
      </c>
      <c r="O758" s="15" t="str">
        <f>IF(AND(A758='BANG KE NL'!$M$11,TH!C758="NL",LEFT(D758,1)="N"),"x","")</f>
        <v/>
      </c>
    </row>
    <row r="759" spans="1:15" hidden="1">
      <c r="A759" s="24">
        <f t="shared" si="14"/>
        <v>8</v>
      </c>
      <c r="B759" s="188" t="str">
        <f>IF(AND(MONTH(E759)='IN-NX'!$J$5,'IN-NX'!$D$7=(D759&amp;"/"&amp;C759)),"x","")</f>
        <v/>
      </c>
      <c r="C759" s="185" t="s">
        <v>154</v>
      </c>
      <c r="D759" s="185" t="s">
        <v>144</v>
      </c>
      <c r="E759" s="69">
        <v>41507</v>
      </c>
      <c r="F759" s="61" t="s">
        <v>371</v>
      </c>
      <c r="G759" s="19" t="s">
        <v>120</v>
      </c>
      <c r="H759" s="216" t="s">
        <v>462</v>
      </c>
      <c r="I759" s="56" t="s">
        <v>90</v>
      </c>
      <c r="J759" s="15">
        <v>120938.40565217391</v>
      </c>
      <c r="K759" s="15">
        <v>11500</v>
      </c>
      <c r="L759" s="15">
        <v>1390791665</v>
      </c>
      <c r="M759" s="15">
        <v>0</v>
      </c>
      <c r="N759" s="15">
        <v>0</v>
      </c>
      <c r="O759" s="15" t="str">
        <f>IF(AND(A759='BANG KE NL'!$M$11,TH!C759="NL",LEFT(D759,1)="N"),"x","")</f>
        <v/>
      </c>
    </row>
    <row r="760" spans="1:15" hidden="1">
      <c r="A760" s="24">
        <f t="shared" si="14"/>
        <v>8</v>
      </c>
      <c r="B760" s="188" t="str">
        <f>IF(AND(MONTH(E760)='IN-NX'!$J$5,'IN-NX'!$D$7=(D760&amp;"/"&amp;C760)),"x","")</f>
        <v/>
      </c>
      <c r="C760" s="185" t="s">
        <v>154</v>
      </c>
      <c r="D760" s="185" t="s">
        <v>151</v>
      </c>
      <c r="E760" s="69">
        <v>41508</v>
      </c>
      <c r="F760" s="61" t="s">
        <v>371</v>
      </c>
      <c r="G760" s="19" t="s">
        <v>454</v>
      </c>
      <c r="H760" s="216" t="s">
        <v>92</v>
      </c>
      <c r="I760" s="56" t="s">
        <v>462</v>
      </c>
      <c r="J760" s="15">
        <v>120938.40565217391</v>
      </c>
      <c r="K760" s="15">
        <v>0</v>
      </c>
      <c r="L760" s="15">
        <v>0</v>
      </c>
      <c r="M760" s="15">
        <v>11500</v>
      </c>
      <c r="N760" s="15">
        <v>1390791665</v>
      </c>
      <c r="O760" s="15" t="str">
        <f>IF(AND(A760='BANG KE NL'!$M$11,TH!C760="NL",LEFT(D760,1)="N"),"x","")</f>
        <v/>
      </c>
    </row>
    <row r="761" spans="1:15" hidden="1">
      <c r="A761" s="24">
        <f t="shared" si="14"/>
        <v>9</v>
      </c>
      <c r="B761" s="188" t="str">
        <f>IF(AND(MONTH(E761)='IN-NX'!$J$5,'IN-NX'!$D$7=(D761&amp;"/"&amp;C761)),"x","")</f>
        <v/>
      </c>
      <c r="C761" s="185" t="s">
        <v>154</v>
      </c>
      <c r="D761" s="185" t="s">
        <v>145</v>
      </c>
      <c r="E761" s="69">
        <v>41547</v>
      </c>
      <c r="F761" s="61" t="s">
        <v>371</v>
      </c>
      <c r="G761" s="19" t="s">
        <v>120</v>
      </c>
      <c r="H761" s="216" t="s">
        <v>462</v>
      </c>
      <c r="I761" s="56" t="s">
        <v>90</v>
      </c>
      <c r="J761" s="15">
        <v>127247.33003146487</v>
      </c>
      <c r="K761" s="15">
        <v>8581</v>
      </c>
      <c r="L761" s="15">
        <v>1091909339</v>
      </c>
      <c r="M761" s="15">
        <v>0</v>
      </c>
      <c r="N761" s="15">
        <v>0</v>
      </c>
      <c r="O761" s="15" t="str">
        <f>IF(AND(A761='BANG KE NL'!$M$11,TH!C761="NL",LEFT(D761,1)="N"),"x","")</f>
        <v/>
      </c>
    </row>
    <row r="762" spans="1:15" hidden="1">
      <c r="A762" s="24">
        <f t="shared" si="14"/>
        <v>10</v>
      </c>
      <c r="B762" s="188" t="str">
        <f>IF(AND(MONTH(E762)='IN-NX'!$J$5,'IN-NX'!$D$7=(D762&amp;"/"&amp;C762)),"x","")</f>
        <v/>
      </c>
      <c r="C762" s="185" t="s">
        <v>154</v>
      </c>
      <c r="D762" s="185" t="s">
        <v>143</v>
      </c>
      <c r="E762" s="69">
        <v>41555</v>
      </c>
      <c r="F762" s="61" t="s">
        <v>371</v>
      </c>
      <c r="G762" s="19" t="s">
        <v>120</v>
      </c>
      <c r="H762" s="216" t="s">
        <v>462</v>
      </c>
      <c r="I762" s="56" t="s">
        <v>90</v>
      </c>
      <c r="J762" s="15">
        <v>130587.80754606611</v>
      </c>
      <c r="K762" s="15">
        <v>3419</v>
      </c>
      <c r="L762" s="15">
        <v>446479714</v>
      </c>
      <c r="M762" s="15">
        <v>0</v>
      </c>
      <c r="N762" s="15">
        <v>0</v>
      </c>
      <c r="O762" s="15" t="str">
        <f>IF(AND(A762='BANG KE NL'!$M$11,TH!C762="NL",LEFT(D762,1)="N"),"x","")</f>
        <v/>
      </c>
    </row>
    <row r="763" spans="1:15" hidden="1">
      <c r="A763" s="24">
        <f t="shared" si="14"/>
        <v>10</v>
      </c>
      <c r="B763" s="188" t="str">
        <f>IF(AND(MONTH(E763)='IN-NX'!$J$5,'IN-NX'!$D$7=(D763&amp;"/"&amp;C763)),"x","")</f>
        <v/>
      </c>
      <c r="C763" s="185" t="s">
        <v>154</v>
      </c>
      <c r="D763" s="185" t="s">
        <v>149</v>
      </c>
      <c r="E763" s="69">
        <v>41555</v>
      </c>
      <c r="F763" s="61" t="s">
        <v>371</v>
      </c>
      <c r="G763" s="19" t="s">
        <v>455</v>
      </c>
      <c r="H763" s="216" t="s">
        <v>92</v>
      </c>
      <c r="I763" s="56" t="s">
        <v>462</v>
      </c>
      <c r="J763" s="15">
        <v>128199.08775000001</v>
      </c>
      <c r="K763" s="15">
        <v>0</v>
      </c>
      <c r="L763" s="15">
        <v>0</v>
      </c>
      <c r="M763" s="15">
        <v>12000</v>
      </c>
      <c r="N763" s="15">
        <v>1538389053</v>
      </c>
      <c r="O763" s="15" t="str">
        <f>IF(AND(A763='BANG KE NL'!$M$11,TH!C763="NL",LEFT(D763,1)="N"),"x","")</f>
        <v/>
      </c>
    </row>
    <row r="764" spans="1:15" hidden="1">
      <c r="A764" s="24">
        <f t="shared" si="14"/>
        <v>10</v>
      </c>
      <c r="B764" s="188" t="str">
        <f>IF(AND(MONTH(E764)='IN-NX'!$J$5,'IN-NX'!$D$7=(D764&amp;"/"&amp;C764)),"x","")</f>
        <v/>
      </c>
      <c r="C764" s="185" t="s">
        <v>154</v>
      </c>
      <c r="D764" s="185" t="s">
        <v>146</v>
      </c>
      <c r="E764" s="69">
        <v>41576</v>
      </c>
      <c r="F764" s="61" t="s">
        <v>371</v>
      </c>
      <c r="G764" s="19" t="s">
        <v>120</v>
      </c>
      <c r="H764" s="216" t="s">
        <v>462</v>
      </c>
      <c r="I764" s="56" t="s">
        <v>90</v>
      </c>
      <c r="J764" s="15">
        <v>130587.80766666666</v>
      </c>
      <c r="K764" s="15">
        <v>12000</v>
      </c>
      <c r="L764" s="15">
        <v>1567053692</v>
      </c>
      <c r="M764" s="15">
        <v>0</v>
      </c>
      <c r="N764" s="15">
        <v>0</v>
      </c>
      <c r="O764" s="15" t="str">
        <f>IF(AND(A764='BANG KE NL'!$M$11,TH!C764="NL",LEFT(D764,1)="N"),"x","")</f>
        <v/>
      </c>
    </row>
    <row r="765" spans="1:15" hidden="1">
      <c r="A765" s="24">
        <f t="shared" si="14"/>
        <v>10</v>
      </c>
      <c r="B765" s="188" t="str">
        <f>IF(AND(MONTH(E765)='IN-NX'!$J$5,'IN-NX'!$D$7=(D765&amp;"/"&amp;C765)),"x","")</f>
        <v/>
      </c>
      <c r="C765" s="185" t="s">
        <v>154</v>
      </c>
      <c r="D765" s="185" t="s">
        <v>197</v>
      </c>
      <c r="E765" s="69">
        <v>41576</v>
      </c>
      <c r="F765" s="61" t="s">
        <v>371</v>
      </c>
      <c r="G765" s="19" t="s">
        <v>449</v>
      </c>
      <c r="H765" s="216" t="s">
        <v>92</v>
      </c>
      <c r="I765" s="56" t="s">
        <v>462</v>
      </c>
      <c r="J765" s="15">
        <v>130587.80766666666</v>
      </c>
      <c r="K765" s="15">
        <v>0</v>
      </c>
      <c r="L765" s="15">
        <v>0</v>
      </c>
      <c r="M765" s="15">
        <v>12000</v>
      </c>
      <c r="N765" s="15">
        <v>1567053692</v>
      </c>
      <c r="O765" s="15" t="str">
        <f>IF(AND(A765='BANG KE NL'!$M$11,TH!C765="NL",LEFT(D765,1)="N"),"x","")</f>
        <v/>
      </c>
    </row>
    <row r="766" spans="1:15" hidden="1">
      <c r="A766" s="24">
        <f t="shared" si="14"/>
        <v>12</v>
      </c>
      <c r="B766" s="188" t="str">
        <f>IF(AND(MONTH(E766)='IN-NX'!$J$5,'IN-NX'!$D$7=(D766&amp;"/"&amp;C766)),"x","")</f>
        <v/>
      </c>
      <c r="C766" s="185" t="s">
        <v>154</v>
      </c>
      <c r="D766" s="185" t="s">
        <v>146</v>
      </c>
      <c r="E766" s="69">
        <v>41620</v>
      </c>
      <c r="F766" s="61" t="s">
        <v>371</v>
      </c>
      <c r="G766" s="19" t="s">
        <v>120</v>
      </c>
      <c r="H766" s="216" t="s">
        <v>462</v>
      </c>
      <c r="I766" s="56" t="s">
        <v>90</v>
      </c>
      <c r="J766" s="15">
        <v>131214.93166666667</v>
      </c>
      <c r="K766" s="15">
        <v>12000</v>
      </c>
      <c r="L766" s="15">
        <v>1574579180</v>
      </c>
      <c r="M766" s="15">
        <v>0</v>
      </c>
      <c r="N766" s="15">
        <v>0</v>
      </c>
      <c r="O766" s="15" t="str">
        <f>IF(AND(A766='BANG KE NL'!$M$11,TH!C766="NL",LEFT(D766,1)="N"),"x","")</f>
        <v/>
      </c>
    </row>
    <row r="767" spans="1:15" hidden="1">
      <c r="A767" s="24">
        <f t="shared" si="14"/>
        <v>12</v>
      </c>
      <c r="B767" s="188" t="str">
        <f>IF(AND(MONTH(E767)='IN-NX'!$J$5,'IN-NX'!$D$7=(D767&amp;"/"&amp;C767)),"x","")</f>
        <v/>
      </c>
      <c r="C767" s="185" t="s">
        <v>154</v>
      </c>
      <c r="D767" s="185" t="s">
        <v>152</v>
      </c>
      <c r="E767" s="69">
        <v>41621</v>
      </c>
      <c r="F767" s="61" t="s">
        <v>371</v>
      </c>
      <c r="G767" s="19" t="s">
        <v>449</v>
      </c>
      <c r="H767" s="216" t="s">
        <v>92</v>
      </c>
      <c r="I767" s="56" t="s">
        <v>462</v>
      </c>
      <c r="J767" s="15">
        <v>131214.93166666667</v>
      </c>
      <c r="K767" s="15">
        <v>0</v>
      </c>
      <c r="L767" s="15">
        <v>0</v>
      </c>
      <c r="M767" s="15">
        <v>12000</v>
      </c>
      <c r="N767" s="15">
        <v>1574579180</v>
      </c>
      <c r="O767" s="15" t="str">
        <f>IF(AND(A767='BANG KE NL'!$M$11,TH!C767="NL",LEFT(D767,1)="N"),"x","")</f>
        <v/>
      </c>
    </row>
    <row r="768" spans="1:15" hidden="1">
      <c r="A768" s="24">
        <f t="shared" si="14"/>
        <v>1</v>
      </c>
      <c r="B768" s="188" t="str">
        <f>IF(AND(MONTH(E768)='IN-NX'!$J$5,'IN-NX'!$D$7=(D768&amp;"/"&amp;C768)),"x","")</f>
        <v/>
      </c>
      <c r="C768" s="185" t="s">
        <v>154</v>
      </c>
      <c r="D768" s="185" t="s">
        <v>143</v>
      </c>
      <c r="E768" s="69">
        <v>41280</v>
      </c>
      <c r="F768" s="61" t="s">
        <v>377</v>
      </c>
      <c r="G768" s="19" t="s">
        <v>120</v>
      </c>
      <c r="H768" s="216" t="s">
        <v>462</v>
      </c>
      <c r="I768" s="56" t="s">
        <v>90</v>
      </c>
      <c r="J768" s="15">
        <v>210934.84782608695</v>
      </c>
      <c r="K768" s="15">
        <v>2300</v>
      </c>
      <c r="L768" s="15">
        <v>485150150</v>
      </c>
      <c r="M768" s="15">
        <v>0</v>
      </c>
      <c r="N768" s="15">
        <v>0</v>
      </c>
      <c r="O768" s="15" t="str">
        <f>IF(AND(A768='BANG KE NL'!$M$11,TH!C768="NL",LEFT(D768,1)="N"),"x","")</f>
        <v/>
      </c>
    </row>
    <row r="769" spans="1:15" hidden="1">
      <c r="A769" s="24">
        <f t="shared" si="14"/>
        <v>1</v>
      </c>
      <c r="B769" s="188" t="str">
        <f>IF(AND(MONTH(E769)='IN-NX'!$J$5,'IN-NX'!$D$7=(D769&amp;"/"&amp;C769)),"x","")</f>
        <v/>
      </c>
      <c r="C769" s="185" t="s">
        <v>154</v>
      </c>
      <c r="D769" s="185" t="s">
        <v>149</v>
      </c>
      <c r="E769" s="69">
        <v>41281</v>
      </c>
      <c r="F769" s="61" t="s">
        <v>377</v>
      </c>
      <c r="G769" s="19" t="s">
        <v>452</v>
      </c>
      <c r="H769" s="216" t="s">
        <v>92</v>
      </c>
      <c r="I769" s="56" t="s">
        <v>462</v>
      </c>
      <c r="J769" s="15">
        <v>210934.84782608695</v>
      </c>
      <c r="K769" s="15">
        <v>0</v>
      </c>
      <c r="L769" s="15">
        <v>0</v>
      </c>
      <c r="M769" s="15">
        <v>2300</v>
      </c>
      <c r="N769" s="15">
        <v>485150150</v>
      </c>
      <c r="O769" s="15" t="str">
        <f>IF(AND(A769='BANG KE NL'!$M$11,TH!C769="NL",LEFT(D769,1)="N"),"x","")</f>
        <v/>
      </c>
    </row>
    <row r="770" spans="1:15" hidden="1">
      <c r="A770" s="24">
        <f t="shared" si="14"/>
        <v>1</v>
      </c>
      <c r="B770" s="188" t="str">
        <f>IF(AND(MONTH(E770)='IN-NX'!$J$5,'IN-NX'!$D$7=(D770&amp;"/"&amp;C770)),"x","")</f>
        <v/>
      </c>
      <c r="C770" s="185" t="s">
        <v>154</v>
      </c>
      <c r="D770" s="185" t="s">
        <v>143</v>
      </c>
      <c r="E770" s="69">
        <v>41280</v>
      </c>
      <c r="F770" s="61" t="s">
        <v>324</v>
      </c>
      <c r="G770" s="19" t="s">
        <v>120</v>
      </c>
      <c r="H770" s="216" t="s">
        <v>462</v>
      </c>
      <c r="I770" s="56" t="s">
        <v>90</v>
      </c>
      <c r="J770" s="15">
        <v>126376.17766666667</v>
      </c>
      <c r="K770" s="15">
        <v>3000</v>
      </c>
      <c r="L770" s="15">
        <v>379128533</v>
      </c>
      <c r="M770" s="15">
        <v>0</v>
      </c>
      <c r="N770" s="15">
        <v>0</v>
      </c>
      <c r="O770" s="15" t="str">
        <f>IF(AND(A770='BANG KE NL'!$M$11,TH!C770="NL",LEFT(D770,1)="N"),"x","")</f>
        <v/>
      </c>
    </row>
    <row r="771" spans="1:15" hidden="1">
      <c r="A771" s="24">
        <f t="shared" si="14"/>
        <v>1</v>
      </c>
      <c r="B771" s="188" t="str">
        <f>IF(AND(MONTH(E771)='IN-NX'!$J$5,'IN-NX'!$D$7=(D771&amp;"/"&amp;C771)),"x","")</f>
        <v/>
      </c>
      <c r="C771" s="185" t="s">
        <v>154</v>
      </c>
      <c r="D771" s="185" t="s">
        <v>149</v>
      </c>
      <c r="E771" s="69">
        <v>41281</v>
      </c>
      <c r="F771" s="61" t="s">
        <v>324</v>
      </c>
      <c r="G771" s="19" t="s">
        <v>452</v>
      </c>
      <c r="H771" s="216" t="s">
        <v>92</v>
      </c>
      <c r="I771" s="56" t="s">
        <v>462</v>
      </c>
      <c r="J771" s="15">
        <v>126376.17766666667</v>
      </c>
      <c r="K771" s="15">
        <v>0</v>
      </c>
      <c r="L771" s="15">
        <v>0</v>
      </c>
      <c r="M771" s="15">
        <v>3000</v>
      </c>
      <c r="N771" s="15">
        <v>379128533</v>
      </c>
      <c r="O771" s="15" t="str">
        <f>IF(AND(A771='BANG KE NL'!$M$11,TH!C771="NL",LEFT(D771,1)="N"),"x","")</f>
        <v/>
      </c>
    </row>
    <row r="772" spans="1:15" hidden="1">
      <c r="A772" s="24">
        <f t="shared" si="14"/>
        <v>1</v>
      </c>
      <c r="B772" s="188" t="str">
        <f>IF(AND(MONTH(E772)='IN-NX'!$J$5,'IN-NX'!$D$7=(D772&amp;"/"&amp;C772)),"x","")</f>
        <v/>
      </c>
      <c r="C772" s="185" t="s">
        <v>154</v>
      </c>
      <c r="D772" s="185" t="s">
        <v>145</v>
      </c>
      <c r="E772" s="69">
        <v>41298</v>
      </c>
      <c r="F772" s="61" t="s">
        <v>324</v>
      </c>
      <c r="G772" s="19" t="s">
        <v>120</v>
      </c>
      <c r="H772" s="216" t="s">
        <v>462</v>
      </c>
      <c r="I772" s="56" t="s">
        <v>90</v>
      </c>
      <c r="J772" s="15">
        <v>126376.17763157895</v>
      </c>
      <c r="K772" s="15">
        <v>4560</v>
      </c>
      <c r="L772" s="15">
        <v>576275370</v>
      </c>
      <c r="M772" s="15">
        <v>0</v>
      </c>
      <c r="N772" s="15">
        <v>0</v>
      </c>
      <c r="O772" s="15" t="str">
        <f>IF(AND(A772='BANG KE NL'!$M$11,TH!C772="NL",LEFT(D772,1)="N"),"x","")</f>
        <v/>
      </c>
    </row>
    <row r="773" spans="1:15" hidden="1">
      <c r="A773" s="24">
        <f t="shared" si="14"/>
        <v>1</v>
      </c>
      <c r="B773" s="188" t="str">
        <f>IF(AND(MONTH(E773)='IN-NX'!$J$5,'IN-NX'!$D$7=(D773&amp;"/"&amp;C773)),"x","")</f>
        <v/>
      </c>
      <c r="C773" s="185" t="s">
        <v>154</v>
      </c>
      <c r="D773" s="185" t="s">
        <v>150</v>
      </c>
      <c r="E773" s="69">
        <v>41299</v>
      </c>
      <c r="F773" s="61" t="s">
        <v>324</v>
      </c>
      <c r="G773" s="19" t="s">
        <v>456</v>
      </c>
      <c r="H773" s="216" t="s">
        <v>92</v>
      </c>
      <c r="I773" s="56" t="s">
        <v>462</v>
      </c>
      <c r="J773" s="15">
        <v>126376.17741935483</v>
      </c>
      <c r="K773" s="15">
        <v>0</v>
      </c>
      <c r="L773" s="15">
        <v>0</v>
      </c>
      <c r="M773" s="15">
        <v>744</v>
      </c>
      <c r="N773" s="15">
        <v>94023876</v>
      </c>
      <c r="O773" s="15" t="str">
        <f>IF(AND(A773='BANG KE NL'!$M$11,TH!C773="NL",LEFT(D773,1)="N"),"x","")</f>
        <v/>
      </c>
    </row>
    <row r="774" spans="1:15" hidden="1">
      <c r="A774" s="24">
        <f t="shared" ref="A774:A837" si="15">IF(E774&lt;&gt;"",MONTH(E774),"")</f>
        <v>1</v>
      </c>
      <c r="B774" s="188" t="str">
        <f>IF(AND(MONTH(E774)='IN-NX'!$J$5,'IN-NX'!$D$7=(D774&amp;"/"&amp;C774)),"x","")</f>
        <v/>
      </c>
      <c r="C774" s="185" t="s">
        <v>154</v>
      </c>
      <c r="D774" s="185" t="s">
        <v>151</v>
      </c>
      <c r="E774" s="69">
        <v>41302</v>
      </c>
      <c r="F774" s="61" t="s">
        <v>324</v>
      </c>
      <c r="G774" s="19" t="s">
        <v>457</v>
      </c>
      <c r="H774" s="216" t="s">
        <v>92</v>
      </c>
      <c r="I774" s="56" t="s">
        <v>462</v>
      </c>
      <c r="J774" s="15">
        <v>126376.17767988253</v>
      </c>
      <c r="K774" s="15">
        <v>0</v>
      </c>
      <c r="L774" s="15">
        <v>0</v>
      </c>
      <c r="M774" s="15">
        <v>681</v>
      </c>
      <c r="N774" s="15">
        <v>86062177</v>
      </c>
      <c r="O774" s="15" t="str">
        <f>IF(AND(A774='BANG KE NL'!$M$11,TH!C774="NL",LEFT(D774,1)="N"),"x","")</f>
        <v/>
      </c>
    </row>
    <row r="775" spans="1:15" hidden="1">
      <c r="A775" s="24">
        <f t="shared" si="15"/>
        <v>1</v>
      </c>
      <c r="B775" s="188" t="str">
        <f>IF(AND(MONTH(E775)='IN-NX'!$J$5,'IN-NX'!$D$7=(D775&amp;"/"&amp;C775)),"x","")</f>
        <v/>
      </c>
      <c r="C775" s="185" t="s">
        <v>154</v>
      </c>
      <c r="D775" s="185" t="s">
        <v>152</v>
      </c>
      <c r="E775" s="69">
        <v>41303</v>
      </c>
      <c r="F775" s="61" t="s">
        <v>324</v>
      </c>
      <c r="G775" s="19" t="s">
        <v>457</v>
      </c>
      <c r="H775" s="216" t="s">
        <v>92</v>
      </c>
      <c r="I775" s="56" t="s">
        <v>462</v>
      </c>
      <c r="J775" s="15">
        <v>126376.17600000001</v>
      </c>
      <c r="K775" s="15">
        <v>0</v>
      </c>
      <c r="L775" s="15">
        <v>0</v>
      </c>
      <c r="M775" s="15">
        <v>250</v>
      </c>
      <c r="N775" s="15">
        <v>31594044</v>
      </c>
      <c r="O775" s="15" t="str">
        <f>IF(AND(A775='BANG KE NL'!$M$11,TH!C775="NL",LEFT(D775,1)="N"),"x","")</f>
        <v/>
      </c>
    </row>
    <row r="776" spans="1:15" hidden="1">
      <c r="A776" s="24">
        <f t="shared" si="15"/>
        <v>5</v>
      </c>
      <c r="B776" s="188" t="str">
        <f>IF(AND(MONTH(E776)='IN-NX'!$J$5,'IN-NX'!$D$7=(D776&amp;"/"&amp;C776)),"x","")</f>
        <v/>
      </c>
      <c r="C776" s="185" t="s">
        <v>154</v>
      </c>
      <c r="D776" s="185" t="s">
        <v>144</v>
      </c>
      <c r="E776" s="69">
        <v>41423</v>
      </c>
      <c r="F776" s="61" t="s">
        <v>324</v>
      </c>
      <c r="G776" s="19" t="s">
        <v>120</v>
      </c>
      <c r="H776" s="216" t="s">
        <v>462</v>
      </c>
      <c r="I776" s="56" t="s">
        <v>90</v>
      </c>
      <c r="J776" s="15">
        <v>148317.64482142858</v>
      </c>
      <c r="K776" s="15">
        <v>5600</v>
      </c>
      <c r="L776" s="15">
        <v>830578811</v>
      </c>
      <c r="M776" s="15">
        <v>0</v>
      </c>
      <c r="N776" s="15">
        <v>0</v>
      </c>
      <c r="O776" s="15" t="str">
        <f>IF(AND(A776='BANG KE NL'!$M$11,TH!C776="NL",LEFT(D776,1)="N"),"x","")</f>
        <v/>
      </c>
    </row>
    <row r="777" spans="1:15" hidden="1">
      <c r="A777" s="24">
        <f t="shared" si="15"/>
        <v>5</v>
      </c>
      <c r="B777" s="188" t="str">
        <f>IF(AND(MONTH(E777)='IN-NX'!$J$5,'IN-NX'!$D$7=(D777&amp;"/"&amp;C777)),"x","")</f>
        <v/>
      </c>
      <c r="C777" s="185" t="s">
        <v>154</v>
      </c>
      <c r="D777" s="185" t="s">
        <v>150</v>
      </c>
      <c r="E777" s="69">
        <v>41424</v>
      </c>
      <c r="F777" s="61" t="s">
        <v>324</v>
      </c>
      <c r="G777" s="19" t="s">
        <v>452</v>
      </c>
      <c r="H777" s="216" t="s">
        <v>92</v>
      </c>
      <c r="I777" s="56" t="s">
        <v>462</v>
      </c>
      <c r="J777" s="15">
        <v>137013.87125</v>
      </c>
      <c r="K777" s="15">
        <v>0</v>
      </c>
      <c r="L777" s="15">
        <v>0</v>
      </c>
      <c r="M777" s="15">
        <v>5600</v>
      </c>
      <c r="N777" s="15">
        <v>767277679</v>
      </c>
      <c r="O777" s="15" t="str">
        <f>IF(AND(A777='BANG KE NL'!$M$11,TH!C777="NL",LEFT(D777,1)="N"),"x","")</f>
        <v/>
      </c>
    </row>
    <row r="778" spans="1:15" hidden="1">
      <c r="A778" s="24">
        <f t="shared" si="15"/>
        <v>9</v>
      </c>
      <c r="B778" s="188" t="str">
        <f>IF(AND(MONTH(E778)='IN-NX'!$J$5,'IN-NX'!$D$7=(D778&amp;"/"&amp;C778)),"x","")</f>
        <v/>
      </c>
      <c r="C778" s="185" t="s">
        <v>154</v>
      </c>
      <c r="D778" s="185" t="s">
        <v>144</v>
      </c>
      <c r="E778" s="69">
        <v>41542</v>
      </c>
      <c r="F778" s="61" t="s">
        <v>324</v>
      </c>
      <c r="G778" s="19" t="s">
        <v>120</v>
      </c>
      <c r="H778" s="216" t="s">
        <v>462</v>
      </c>
      <c r="I778" s="56" t="s">
        <v>90</v>
      </c>
      <c r="J778" s="15">
        <v>153878.39060000001</v>
      </c>
      <c r="K778" s="15">
        <v>10000</v>
      </c>
      <c r="L778" s="15">
        <v>1538783906</v>
      </c>
      <c r="M778" s="15">
        <v>0</v>
      </c>
      <c r="N778" s="15">
        <v>0</v>
      </c>
      <c r="O778" s="15" t="str">
        <f>IF(AND(A778='BANG KE NL'!$M$11,TH!C778="NL",LEFT(D778,1)="N"),"x","")</f>
        <v/>
      </c>
    </row>
    <row r="779" spans="1:15" hidden="1">
      <c r="A779" s="24">
        <f t="shared" si="15"/>
        <v>9</v>
      </c>
      <c r="B779" s="188" t="str">
        <f>IF(AND(MONTH(E779)='IN-NX'!$J$5,'IN-NX'!$D$7=(D779&amp;"/"&amp;C779)),"x","")</f>
        <v/>
      </c>
      <c r="C779" s="185" t="s">
        <v>154</v>
      </c>
      <c r="D779" s="185" t="s">
        <v>151</v>
      </c>
      <c r="E779" s="69">
        <v>41543</v>
      </c>
      <c r="F779" s="61" t="s">
        <v>324</v>
      </c>
      <c r="G779" s="19" t="s">
        <v>452</v>
      </c>
      <c r="H779" s="216" t="s">
        <v>92</v>
      </c>
      <c r="I779" s="56" t="s">
        <v>462</v>
      </c>
      <c r="J779" s="15">
        <v>152274.11540000001</v>
      </c>
      <c r="K779" s="15">
        <v>0</v>
      </c>
      <c r="L779" s="15">
        <v>0</v>
      </c>
      <c r="M779" s="15">
        <v>10000</v>
      </c>
      <c r="N779" s="15">
        <v>1522741154</v>
      </c>
      <c r="O779" s="15" t="str">
        <f>IF(AND(A779='BANG KE NL'!$M$11,TH!C779="NL",LEFT(D779,1)="N"),"x","")</f>
        <v/>
      </c>
    </row>
    <row r="780" spans="1:15" hidden="1">
      <c r="A780" s="24">
        <f t="shared" si="15"/>
        <v>10</v>
      </c>
      <c r="B780" s="188" t="str">
        <f>IF(AND(MONTH(E780)='IN-NX'!$J$5,'IN-NX'!$D$7=(D780&amp;"/"&amp;C780)),"x","")</f>
        <v/>
      </c>
      <c r="C780" s="185" t="s">
        <v>154</v>
      </c>
      <c r="D780" s="185" t="s">
        <v>144</v>
      </c>
      <c r="E780" s="69">
        <v>41559</v>
      </c>
      <c r="F780" s="61" t="s">
        <v>324</v>
      </c>
      <c r="G780" s="19" t="s">
        <v>120</v>
      </c>
      <c r="H780" s="216" t="s">
        <v>462</v>
      </c>
      <c r="I780" s="56" t="s">
        <v>90</v>
      </c>
      <c r="J780" s="15">
        <v>158361.97361111111</v>
      </c>
      <c r="K780" s="15">
        <v>2880</v>
      </c>
      <c r="L780" s="15">
        <v>456082484</v>
      </c>
      <c r="M780" s="15">
        <v>0</v>
      </c>
      <c r="N780" s="15">
        <v>0</v>
      </c>
      <c r="O780" s="15" t="str">
        <f>IF(AND(A780='BANG KE NL'!$M$11,TH!C780="NL",LEFT(D780,1)="N"),"x","")</f>
        <v/>
      </c>
    </row>
    <row r="781" spans="1:15" hidden="1">
      <c r="A781" s="24">
        <f t="shared" si="15"/>
        <v>10</v>
      </c>
      <c r="B781" s="188" t="str">
        <f>IF(AND(MONTH(E781)='IN-NX'!$J$5,'IN-NX'!$D$7=(D781&amp;"/"&amp;C781)),"x","")</f>
        <v/>
      </c>
      <c r="C781" s="185" t="s">
        <v>154</v>
      </c>
      <c r="D781" s="185" t="s">
        <v>150</v>
      </c>
      <c r="E781" s="69">
        <v>41559</v>
      </c>
      <c r="F781" s="61" t="s">
        <v>324</v>
      </c>
      <c r="G781" s="19" t="s">
        <v>458</v>
      </c>
      <c r="H781" s="216" t="s">
        <v>92</v>
      </c>
      <c r="I781" s="56" t="s">
        <v>462</v>
      </c>
      <c r="J781" s="15">
        <v>153878.39083333334</v>
      </c>
      <c r="K781" s="15">
        <v>0</v>
      </c>
      <c r="L781" s="15">
        <v>0</v>
      </c>
      <c r="M781" s="15">
        <v>2400</v>
      </c>
      <c r="N781" s="15">
        <v>369308138</v>
      </c>
      <c r="O781" s="15" t="str">
        <f>IF(AND(A781='BANG KE NL'!$M$11,TH!C781="NL",LEFT(D781,1)="N"),"x","")</f>
        <v/>
      </c>
    </row>
    <row r="782" spans="1:15" hidden="1">
      <c r="A782" s="24">
        <f t="shared" si="15"/>
        <v>10</v>
      </c>
      <c r="B782" s="188" t="str">
        <f>IF(AND(MONTH(E782)='IN-NX'!$J$5,'IN-NX'!$D$7=(D782&amp;"/"&amp;C782)),"x","")</f>
        <v/>
      </c>
      <c r="C782" s="185" t="s">
        <v>154</v>
      </c>
      <c r="D782" s="185" t="s">
        <v>151</v>
      </c>
      <c r="E782" s="69">
        <v>41568</v>
      </c>
      <c r="F782" s="61" t="s">
        <v>324</v>
      </c>
      <c r="G782" s="19" t="s">
        <v>459</v>
      </c>
      <c r="H782" s="216" t="s">
        <v>92</v>
      </c>
      <c r="I782" s="56" t="s">
        <v>462</v>
      </c>
      <c r="J782" s="15">
        <v>153878.39166666666</v>
      </c>
      <c r="K782" s="15">
        <v>0</v>
      </c>
      <c r="L782" s="15">
        <v>0</v>
      </c>
      <c r="M782" s="15">
        <v>240</v>
      </c>
      <c r="N782" s="15">
        <v>36930814</v>
      </c>
      <c r="O782" s="15" t="str">
        <f>IF(AND(A782='BANG KE NL'!$M$11,TH!C782="NL",LEFT(D782,1)="N"),"x","")</f>
        <v/>
      </c>
    </row>
    <row r="783" spans="1:15" hidden="1">
      <c r="A783" s="24">
        <f t="shared" si="15"/>
        <v>10</v>
      </c>
      <c r="B783" s="188" t="str">
        <f>IF(AND(MONTH(E783)='IN-NX'!$J$5,'IN-NX'!$D$7=(D783&amp;"/"&amp;C783)),"x","")</f>
        <v/>
      </c>
      <c r="C783" s="185" t="s">
        <v>154</v>
      </c>
      <c r="D783" s="185" t="s">
        <v>151</v>
      </c>
      <c r="E783" s="69">
        <v>41568</v>
      </c>
      <c r="F783" s="61" t="s">
        <v>324</v>
      </c>
      <c r="G783" s="19" t="s">
        <v>459</v>
      </c>
      <c r="H783" s="216" t="s">
        <v>92</v>
      </c>
      <c r="I783" s="56" t="s">
        <v>462</v>
      </c>
      <c r="J783" s="15">
        <v>153878.39166666666</v>
      </c>
      <c r="K783" s="15">
        <v>0</v>
      </c>
      <c r="L783" s="15">
        <v>0</v>
      </c>
      <c r="M783" s="15">
        <v>240</v>
      </c>
      <c r="N783" s="15">
        <v>36930814</v>
      </c>
      <c r="O783" s="15" t="str">
        <f>IF(AND(A783='BANG KE NL'!$M$11,TH!C783="NL",LEFT(D783,1)="N"),"x","")</f>
        <v/>
      </c>
    </row>
    <row r="784" spans="1:15" hidden="1">
      <c r="A784" s="24">
        <f t="shared" si="15"/>
        <v>10</v>
      </c>
      <c r="B784" s="188" t="str">
        <f>IF(AND(MONTH(E784)='IN-NX'!$J$5,'IN-NX'!$D$7=(D784&amp;"/"&amp;C784)),"x","")</f>
        <v/>
      </c>
      <c r="C784" s="185" t="s">
        <v>154</v>
      </c>
      <c r="D784" s="185" t="s">
        <v>147</v>
      </c>
      <c r="E784" s="69">
        <v>41577</v>
      </c>
      <c r="F784" s="61" t="s">
        <v>324</v>
      </c>
      <c r="G784" s="19" t="s">
        <v>120</v>
      </c>
      <c r="H784" s="216" t="s">
        <v>462</v>
      </c>
      <c r="I784" s="56" t="s">
        <v>90</v>
      </c>
      <c r="J784" s="15">
        <v>158361.97351351351</v>
      </c>
      <c r="K784" s="15">
        <v>7400</v>
      </c>
      <c r="L784" s="15">
        <v>1171878604</v>
      </c>
      <c r="M784" s="15">
        <v>0</v>
      </c>
      <c r="N784" s="15">
        <v>0</v>
      </c>
      <c r="O784" s="15" t="str">
        <f>IF(AND(A784='BANG KE NL'!$M$11,TH!C784="NL",LEFT(D784,1)="N"),"x","")</f>
        <v/>
      </c>
    </row>
    <row r="785" spans="1:15" hidden="1">
      <c r="A785" s="24">
        <f t="shared" si="15"/>
        <v>11</v>
      </c>
      <c r="B785" s="188" t="str">
        <f>IF(AND(MONTH(E785)='IN-NX'!$J$5,'IN-NX'!$D$7=(D785&amp;"/"&amp;C785)),"x","")</f>
        <v/>
      </c>
      <c r="C785" s="185" t="s">
        <v>154</v>
      </c>
      <c r="D785" s="185" t="s">
        <v>150</v>
      </c>
      <c r="E785" s="69">
        <v>41585</v>
      </c>
      <c r="F785" s="61" t="s">
        <v>324</v>
      </c>
      <c r="G785" s="19" t="s">
        <v>452</v>
      </c>
      <c r="H785" s="216" t="s">
        <v>92</v>
      </c>
      <c r="I785" s="56" t="s">
        <v>462</v>
      </c>
      <c r="J785" s="15">
        <v>158358.94391891893</v>
      </c>
      <c r="K785" s="15">
        <v>0</v>
      </c>
      <c r="L785" s="15">
        <v>0</v>
      </c>
      <c r="M785" s="15">
        <v>7400</v>
      </c>
      <c r="N785" s="15">
        <v>1171856185</v>
      </c>
      <c r="O785" s="15" t="str">
        <f>IF(AND(A785='BANG KE NL'!$M$11,TH!C785="NL",LEFT(D785,1)="N"),"x","")</f>
        <v/>
      </c>
    </row>
    <row r="786" spans="1:15" hidden="1">
      <c r="A786" s="24">
        <f t="shared" si="15"/>
        <v>12</v>
      </c>
      <c r="B786" s="188" t="str">
        <f>IF(AND(MONTH(E786)='IN-NX'!$J$5,'IN-NX'!$D$7=(D786&amp;"/"&amp;C786)),"x","")</f>
        <v/>
      </c>
      <c r="C786" s="185" t="s">
        <v>154</v>
      </c>
      <c r="D786" s="185" t="s">
        <v>143</v>
      </c>
      <c r="E786" s="69">
        <v>41612</v>
      </c>
      <c r="F786" s="61" t="s">
        <v>378</v>
      </c>
      <c r="G786" s="19" t="s">
        <v>120</v>
      </c>
      <c r="H786" s="216" t="s">
        <v>462</v>
      </c>
      <c r="I786" s="56" t="s">
        <v>90</v>
      </c>
      <c r="J786" s="15">
        <v>204830.4</v>
      </c>
      <c r="K786" s="15">
        <v>40</v>
      </c>
      <c r="L786" s="15">
        <v>8193216</v>
      </c>
      <c r="M786" s="15">
        <v>0</v>
      </c>
      <c r="N786" s="15">
        <v>0</v>
      </c>
      <c r="O786" s="15" t="str">
        <f>IF(AND(A786='BANG KE NL'!$M$11,TH!C786="NL",LEFT(D786,1)="N"),"x","")</f>
        <v/>
      </c>
    </row>
    <row r="787" spans="1:15" hidden="1">
      <c r="A787" s="24">
        <f t="shared" si="15"/>
        <v>12</v>
      </c>
      <c r="B787" s="188" t="str">
        <f>IF(AND(MONTH(E787)='IN-NX'!$J$5,'IN-NX'!$D$7=(D787&amp;"/"&amp;C787)),"x","")</f>
        <v/>
      </c>
      <c r="C787" s="185" t="s">
        <v>154</v>
      </c>
      <c r="D787" s="185" t="s">
        <v>149</v>
      </c>
      <c r="E787" s="69">
        <v>41613</v>
      </c>
      <c r="F787" s="61" t="s">
        <v>378</v>
      </c>
      <c r="G787" s="19" t="s">
        <v>326</v>
      </c>
      <c r="H787" s="216" t="s">
        <v>92</v>
      </c>
      <c r="I787" s="56" t="s">
        <v>462</v>
      </c>
      <c r="J787" s="15">
        <v>204830.4</v>
      </c>
      <c r="K787" s="15">
        <v>0</v>
      </c>
      <c r="L787" s="15">
        <v>0</v>
      </c>
      <c r="M787" s="15">
        <v>40</v>
      </c>
      <c r="N787" s="15">
        <v>8193216</v>
      </c>
      <c r="O787" s="15" t="str">
        <f>IF(AND(A787='BANG KE NL'!$M$11,TH!C787="NL",LEFT(D787,1)="N"),"x","")</f>
        <v/>
      </c>
    </row>
    <row r="788" spans="1:15" hidden="1">
      <c r="A788" s="24">
        <f t="shared" si="15"/>
        <v>12</v>
      </c>
      <c r="B788" s="188" t="str">
        <f>IF(AND(MONTH(E788)='IN-NX'!$J$5,'IN-NX'!$D$7=(D788&amp;"/"&amp;C788)),"x","")</f>
        <v/>
      </c>
      <c r="C788" s="185" t="s">
        <v>154</v>
      </c>
      <c r="D788" s="185" t="s">
        <v>165</v>
      </c>
      <c r="E788" s="69">
        <v>41638</v>
      </c>
      <c r="F788" s="61" t="s">
        <v>378</v>
      </c>
      <c r="G788" s="19" t="s">
        <v>120</v>
      </c>
      <c r="H788" s="216" t="s">
        <v>462</v>
      </c>
      <c r="I788" s="56" t="s">
        <v>90</v>
      </c>
      <c r="J788" s="15">
        <v>204830.38709677418</v>
      </c>
      <c r="K788" s="15">
        <v>31</v>
      </c>
      <c r="L788" s="15">
        <v>6349742</v>
      </c>
      <c r="M788" s="15">
        <v>0</v>
      </c>
      <c r="N788" s="15">
        <v>0</v>
      </c>
      <c r="O788" s="15" t="str">
        <f>IF(AND(A788='BANG KE NL'!$M$11,TH!C788="NL",LEFT(D788,1)="N"),"x","")</f>
        <v/>
      </c>
    </row>
    <row r="789" spans="1:15" hidden="1">
      <c r="A789" s="24">
        <f t="shared" si="15"/>
        <v>12</v>
      </c>
      <c r="B789" s="188" t="str">
        <f>IF(AND(MONTH(E789)='IN-NX'!$J$5,'IN-NX'!$D$7=(D789&amp;"/"&amp;C789)),"x","")</f>
        <v/>
      </c>
      <c r="C789" s="185" t="s">
        <v>154</v>
      </c>
      <c r="D789" s="185" t="s">
        <v>202</v>
      </c>
      <c r="E789" s="69">
        <v>41639</v>
      </c>
      <c r="F789" s="61" t="s">
        <v>378</v>
      </c>
      <c r="G789" s="19" t="s">
        <v>326</v>
      </c>
      <c r="H789" s="216" t="s">
        <v>92</v>
      </c>
      <c r="I789" s="56" t="s">
        <v>462</v>
      </c>
      <c r="J789" s="15">
        <v>204830.38709677418</v>
      </c>
      <c r="K789" s="15">
        <v>0</v>
      </c>
      <c r="L789" s="15">
        <v>0</v>
      </c>
      <c r="M789" s="15">
        <v>31</v>
      </c>
      <c r="N789" s="15">
        <v>6349742</v>
      </c>
      <c r="O789" s="15" t="str">
        <f>IF(AND(A789='BANG KE NL'!$M$11,TH!C789="NL",LEFT(D789,1)="N"),"x","")</f>
        <v/>
      </c>
    </row>
    <row r="790" spans="1:15" hidden="1">
      <c r="A790" s="24">
        <f t="shared" si="15"/>
        <v>12</v>
      </c>
      <c r="B790" s="188" t="str">
        <f>IF(AND(MONTH(E790)='IN-NX'!$J$5,'IN-NX'!$D$7=(D790&amp;"/"&amp;C790)),"x","")</f>
        <v/>
      </c>
      <c r="C790" s="185" t="s">
        <v>154</v>
      </c>
      <c r="D790" s="185" t="s">
        <v>143</v>
      </c>
      <c r="E790" s="69">
        <v>41612</v>
      </c>
      <c r="F790" s="61" t="s">
        <v>379</v>
      </c>
      <c r="G790" s="19" t="s">
        <v>120</v>
      </c>
      <c r="H790" s="216" t="s">
        <v>462</v>
      </c>
      <c r="I790" s="56" t="s">
        <v>90</v>
      </c>
      <c r="J790" s="15">
        <v>202667.40277777778</v>
      </c>
      <c r="K790" s="15">
        <v>72</v>
      </c>
      <c r="L790" s="15">
        <v>14592053</v>
      </c>
      <c r="M790" s="15">
        <v>0</v>
      </c>
      <c r="N790" s="15">
        <v>0</v>
      </c>
      <c r="O790" s="15" t="str">
        <f>IF(AND(A790='BANG KE NL'!$M$11,TH!C790="NL",LEFT(D790,1)="N"),"x","")</f>
        <v/>
      </c>
    </row>
    <row r="791" spans="1:15" hidden="1">
      <c r="A791" s="24">
        <f t="shared" si="15"/>
        <v>12</v>
      </c>
      <c r="B791" s="188" t="str">
        <f>IF(AND(MONTH(E791)='IN-NX'!$J$5,'IN-NX'!$D$7=(D791&amp;"/"&amp;C791)),"x","")</f>
        <v/>
      </c>
      <c r="C791" s="185" t="s">
        <v>154</v>
      </c>
      <c r="D791" s="185" t="s">
        <v>149</v>
      </c>
      <c r="E791" s="69">
        <v>41613</v>
      </c>
      <c r="F791" s="61" t="s">
        <v>379</v>
      </c>
      <c r="G791" s="19" t="s">
        <v>326</v>
      </c>
      <c r="H791" s="216" t="s">
        <v>92</v>
      </c>
      <c r="I791" s="56" t="s">
        <v>462</v>
      </c>
      <c r="J791" s="15">
        <v>202667.40277777778</v>
      </c>
      <c r="K791" s="15">
        <v>0</v>
      </c>
      <c r="L791" s="15">
        <v>0</v>
      </c>
      <c r="M791" s="15">
        <v>72</v>
      </c>
      <c r="N791" s="15">
        <v>14592053</v>
      </c>
      <c r="O791" s="15" t="str">
        <f>IF(AND(A791='BANG KE NL'!$M$11,TH!C791="NL",LEFT(D791,1)="N"),"x","")</f>
        <v/>
      </c>
    </row>
    <row r="792" spans="1:15" hidden="1">
      <c r="A792" s="24">
        <f t="shared" si="15"/>
        <v>12</v>
      </c>
      <c r="B792" s="188" t="str">
        <f>IF(AND(MONTH(E792)='IN-NX'!$J$5,'IN-NX'!$D$7=(D792&amp;"/"&amp;C792)),"x","")</f>
        <v/>
      </c>
      <c r="C792" s="185" t="s">
        <v>154</v>
      </c>
      <c r="D792" s="185" t="s">
        <v>148</v>
      </c>
      <c r="E792" s="69">
        <v>41626</v>
      </c>
      <c r="F792" s="61" t="s">
        <v>335</v>
      </c>
      <c r="G792" s="19" t="s">
        <v>120</v>
      </c>
      <c r="H792" s="216" t="s">
        <v>462</v>
      </c>
      <c r="I792" s="56" t="s">
        <v>90</v>
      </c>
      <c r="J792" s="15">
        <v>101584.6336</v>
      </c>
      <c r="K792" s="15">
        <v>15000</v>
      </c>
      <c r="L792" s="15">
        <v>1523769504</v>
      </c>
      <c r="M792" s="15">
        <v>0</v>
      </c>
      <c r="N792" s="15">
        <v>0</v>
      </c>
      <c r="O792" s="15" t="str">
        <f>IF(AND(A792='BANG KE NL'!$M$11,TH!C792="NL",LEFT(D792,1)="N"),"x","")</f>
        <v/>
      </c>
    </row>
    <row r="793" spans="1:15" hidden="1">
      <c r="A793" s="24">
        <f t="shared" si="15"/>
        <v>12</v>
      </c>
      <c r="B793" s="188" t="str">
        <f>IF(AND(MONTH(E793)='IN-NX'!$J$5,'IN-NX'!$D$7=(D793&amp;"/"&amp;C793)),"x","")</f>
        <v/>
      </c>
      <c r="C793" s="185" t="s">
        <v>154</v>
      </c>
      <c r="D793" s="185" t="s">
        <v>159</v>
      </c>
      <c r="E793" s="69">
        <v>41627</v>
      </c>
      <c r="F793" s="61" t="s">
        <v>335</v>
      </c>
      <c r="G793" s="19" t="s">
        <v>453</v>
      </c>
      <c r="H793" s="216" t="s">
        <v>92</v>
      </c>
      <c r="I793" s="56" t="s">
        <v>462</v>
      </c>
      <c r="J793" s="15">
        <v>101584.6336</v>
      </c>
      <c r="K793" s="15">
        <v>0</v>
      </c>
      <c r="L793" s="15">
        <v>0</v>
      </c>
      <c r="M793" s="15">
        <v>7500</v>
      </c>
      <c r="N793" s="15">
        <v>761884752</v>
      </c>
      <c r="O793" s="15" t="str">
        <f>IF(AND(A793='BANG KE NL'!$M$11,TH!C793="NL",LEFT(D793,1)="N"),"x","")</f>
        <v/>
      </c>
    </row>
    <row r="794" spans="1:15" hidden="1">
      <c r="A794" s="24">
        <f t="shared" si="15"/>
        <v>12</v>
      </c>
      <c r="B794" s="188" t="str">
        <f>IF(AND(MONTH(E794)='IN-NX'!$J$5,'IN-NX'!$D$7=(D794&amp;"/"&amp;C794)),"x","")</f>
        <v/>
      </c>
      <c r="C794" s="185" t="s">
        <v>154</v>
      </c>
      <c r="D794" s="185" t="s">
        <v>198</v>
      </c>
      <c r="E794" s="69">
        <v>41627</v>
      </c>
      <c r="F794" s="61" t="s">
        <v>335</v>
      </c>
      <c r="G794" s="19" t="s">
        <v>453</v>
      </c>
      <c r="H794" s="216" t="s">
        <v>92</v>
      </c>
      <c r="I794" s="56" t="s">
        <v>462</v>
      </c>
      <c r="J794" s="15">
        <v>101584.6336</v>
      </c>
      <c r="K794" s="15">
        <v>0</v>
      </c>
      <c r="L794" s="15">
        <v>0</v>
      </c>
      <c r="M794" s="15">
        <v>7500</v>
      </c>
      <c r="N794" s="15">
        <v>761884752</v>
      </c>
      <c r="O794" s="15" t="str">
        <f>IF(AND(A794='BANG KE NL'!$M$11,TH!C794="NL",LEFT(D794,1)="N"),"x","")</f>
        <v/>
      </c>
    </row>
    <row r="795" spans="1:15" hidden="1">
      <c r="A795" s="24">
        <f t="shared" si="15"/>
        <v>3</v>
      </c>
      <c r="B795" s="188" t="str">
        <f>IF(AND(MONTH(E795)='IN-NX'!$J$5,'IN-NX'!$D$7=(D795&amp;"/"&amp;C795)),"x","")</f>
        <v/>
      </c>
      <c r="C795" s="185" t="s">
        <v>154</v>
      </c>
      <c r="D795" s="185" t="s">
        <v>145</v>
      </c>
      <c r="E795" s="69">
        <v>41358</v>
      </c>
      <c r="F795" s="61" t="s">
        <v>372</v>
      </c>
      <c r="G795" s="19" t="s">
        <v>120</v>
      </c>
      <c r="H795" s="216" t="s">
        <v>462</v>
      </c>
      <c r="I795" s="56" t="s">
        <v>90</v>
      </c>
      <c r="J795" s="15">
        <v>82645.437240537241</v>
      </c>
      <c r="K795" s="15">
        <v>8190</v>
      </c>
      <c r="L795" s="15">
        <v>676866131</v>
      </c>
      <c r="M795" s="15">
        <v>0</v>
      </c>
      <c r="N795" s="15">
        <v>0</v>
      </c>
      <c r="O795" s="15" t="str">
        <f>IF(AND(A795='BANG KE NL'!$M$11,TH!C795="NL",LEFT(D795,1)="N"),"x","")</f>
        <v/>
      </c>
    </row>
    <row r="796" spans="1:15" hidden="1">
      <c r="A796" s="24">
        <f t="shared" si="15"/>
        <v>3</v>
      </c>
      <c r="B796" s="188" t="str">
        <f>IF(AND(MONTH(E796)='IN-NX'!$J$5,'IN-NX'!$D$7=(D796&amp;"/"&amp;C796)),"x","")</f>
        <v/>
      </c>
      <c r="C796" s="185" t="s">
        <v>154</v>
      </c>
      <c r="D796" s="185" t="s">
        <v>150</v>
      </c>
      <c r="E796" s="69">
        <v>41359</v>
      </c>
      <c r="F796" s="61" t="s">
        <v>372</v>
      </c>
      <c r="G796" s="19" t="s">
        <v>448</v>
      </c>
      <c r="H796" s="216" t="s">
        <v>92</v>
      </c>
      <c r="I796" s="56" t="s">
        <v>462</v>
      </c>
      <c r="J796" s="15">
        <v>82645.437240537241</v>
      </c>
      <c r="K796" s="15">
        <v>0</v>
      </c>
      <c r="L796" s="15">
        <v>0</v>
      </c>
      <c r="M796" s="15">
        <v>8190</v>
      </c>
      <c r="N796" s="15">
        <v>676866131</v>
      </c>
      <c r="O796" s="15" t="str">
        <f>IF(AND(A796='BANG KE NL'!$M$11,TH!C796="NL",LEFT(D796,1)="N"),"x","")</f>
        <v/>
      </c>
    </row>
    <row r="797" spans="1:15" hidden="1">
      <c r="A797" s="24">
        <f t="shared" si="15"/>
        <v>4</v>
      </c>
      <c r="B797" s="188" t="str">
        <f>IF(AND(MONTH(E797)='IN-NX'!$J$5,'IN-NX'!$D$7=(D797&amp;"/"&amp;C797)),"x","")</f>
        <v/>
      </c>
      <c r="C797" s="185" t="s">
        <v>154</v>
      </c>
      <c r="D797" s="185" t="s">
        <v>143</v>
      </c>
      <c r="E797" s="69">
        <v>41375</v>
      </c>
      <c r="F797" s="61" t="s">
        <v>372</v>
      </c>
      <c r="G797" s="19" t="s">
        <v>120</v>
      </c>
      <c r="H797" s="216" t="s">
        <v>462</v>
      </c>
      <c r="I797" s="56" t="s">
        <v>90</v>
      </c>
      <c r="J797" s="15">
        <v>81545.808999999994</v>
      </c>
      <c r="K797" s="15">
        <v>8000</v>
      </c>
      <c r="L797" s="15">
        <v>652366472</v>
      </c>
      <c r="M797" s="15">
        <v>0</v>
      </c>
      <c r="N797" s="15">
        <v>0</v>
      </c>
      <c r="O797" s="15" t="str">
        <f>IF(AND(A797='BANG KE NL'!$M$11,TH!C797="NL",LEFT(D797,1)="N"),"x","")</f>
        <v/>
      </c>
    </row>
    <row r="798" spans="1:15" hidden="1">
      <c r="A798" s="24">
        <f t="shared" si="15"/>
        <v>4</v>
      </c>
      <c r="B798" s="188" t="str">
        <f>IF(AND(MONTH(E798)='IN-NX'!$J$5,'IN-NX'!$D$7=(D798&amp;"/"&amp;C798)),"x","")</f>
        <v/>
      </c>
      <c r="C798" s="185" t="s">
        <v>154</v>
      </c>
      <c r="D798" s="185" t="s">
        <v>149</v>
      </c>
      <c r="E798" s="69">
        <v>41376</v>
      </c>
      <c r="F798" s="61" t="s">
        <v>372</v>
      </c>
      <c r="G798" s="19" t="s">
        <v>448</v>
      </c>
      <c r="H798" s="216" t="s">
        <v>92</v>
      </c>
      <c r="I798" s="56" t="s">
        <v>462</v>
      </c>
      <c r="J798" s="15">
        <v>81545.808999999994</v>
      </c>
      <c r="K798" s="15">
        <v>0</v>
      </c>
      <c r="L798" s="15">
        <v>0</v>
      </c>
      <c r="M798" s="15">
        <v>8000</v>
      </c>
      <c r="N798" s="15">
        <v>652366472</v>
      </c>
      <c r="O798" s="15" t="str">
        <f>IF(AND(A798='BANG KE NL'!$M$11,TH!C798="NL",LEFT(D798,1)="N"),"x","")</f>
        <v/>
      </c>
    </row>
    <row r="799" spans="1:15" hidden="1">
      <c r="A799" s="24">
        <f t="shared" si="15"/>
        <v>5</v>
      </c>
      <c r="B799" s="188" t="str">
        <f>IF(AND(MONTH(E799)='IN-NX'!$J$5,'IN-NX'!$D$7=(D799&amp;"/"&amp;C799)),"x","")</f>
        <v/>
      </c>
      <c r="C799" s="185" t="s">
        <v>154</v>
      </c>
      <c r="D799" s="185" t="s">
        <v>143</v>
      </c>
      <c r="E799" s="69">
        <v>41410</v>
      </c>
      <c r="F799" s="61" t="s">
        <v>372</v>
      </c>
      <c r="G799" s="19" t="s">
        <v>120</v>
      </c>
      <c r="H799" s="216" t="s">
        <v>462</v>
      </c>
      <c r="I799" s="56" t="s">
        <v>90</v>
      </c>
      <c r="J799" s="15">
        <v>94970.658682634734</v>
      </c>
      <c r="K799" s="15">
        <v>5010</v>
      </c>
      <c r="L799" s="15">
        <v>475803000</v>
      </c>
      <c r="M799" s="15">
        <v>0</v>
      </c>
      <c r="N799" s="15">
        <v>0</v>
      </c>
      <c r="O799" s="15" t="str">
        <f>IF(AND(A799='BANG KE NL'!$M$11,TH!C799="NL",LEFT(D799,1)="N"),"x","")</f>
        <v/>
      </c>
    </row>
    <row r="800" spans="1:15" hidden="1">
      <c r="A800" s="24">
        <f t="shared" si="15"/>
        <v>5</v>
      </c>
      <c r="B800" s="188" t="str">
        <f>IF(AND(MONTH(E800)='IN-NX'!$J$5,'IN-NX'!$D$7=(D800&amp;"/"&amp;C800)),"x","")</f>
        <v/>
      </c>
      <c r="C800" s="185" t="s">
        <v>154</v>
      </c>
      <c r="D800" s="185" t="s">
        <v>149</v>
      </c>
      <c r="E800" s="69">
        <v>41411</v>
      </c>
      <c r="F800" s="61" t="s">
        <v>372</v>
      </c>
      <c r="G800" s="19" t="s">
        <v>460</v>
      </c>
      <c r="H800" s="216" t="s">
        <v>92</v>
      </c>
      <c r="I800" s="56" t="s">
        <v>462</v>
      </c>
      <c r="J800" s="15">
        <v>94970.658682634734</v>
      </c>
      <c r="K800" s="15">
        <v>0</v>
      </c>
      <c r="L800" s="15">
        <v>0</v>
      </c>
      <c r="M800" s="15">
        <v>5010</v>
      </c>
      <c r="N800" s="15">
        <v>475803000</v>
      </c>
      <c r="O800" s="15" t="str">
        <f>IF(AND(A800='BANG KE NL'!$M$11,TH!C800="NL",LEFT(D800,1)="N"),"x","")</f>
        <v/>
      </c>
    </row>
    <row r="801" spans="1:15" hidden="1">
      <c r="A801" s="24">
        <f t="shared" si="15"/>
        <v>12</v>
      </c>
      <c r="B801" s="188" t="str">
        <f>IF(AND(MONTH(E801)='IN-NX'!$J$5,'IN-NX'!$D$7=(D801&amp;"/"&amp;C801)),"x","")</f>
        <v/>
      </c>
      <c r="C801" s="185" t="s">
        <v>154</v>
      </c>
      <c r="D801" s="185" t="s">
        <v>143</v>
      </c>
      <c r="E801" s="69">
        <v>41612</v>
      </c>
      <c r="F801" s="61" t="s">
        <v>373</v>
      </c>
      <c r="G801" s="19" t="s">
        <v>120</v>
      </c>
      <c r="H801" s="216" t="s">
        <v>462</v>
      </c>
      <c r="I801" s="56" t="s">
        <v>90</v>
      </c>
      <c r="J801" s="15">
        <v>109680.05</v>
      </c>
      <c r="K801" s="15">
        <v>20</v>
      </c>
      <c r="L801" s="15">
        <v>2193601</v>
      </c>
      <c r="M801" s="15">
        <v>0</v>
      </c>
      <c r="N801" s="15">
        <v>0</v>
      </c>
      <c r="O801" s="15" t="str">
        <f>IF(AND(A801='BANG KE NL'!$M$11,TH!C801="NL",LEFT(D801,1)="N"),"x","")</f>
        <v/>
      </c>
    </row>
    <row r="802" spans="1:15" hidden="1">
      <c r="A802" s="24">
        <f t="shared" si="15"/>
        <v>12</v>
      </c>
      <c r="B802" s="188" t="str">
        <f>IF(AND(MONTH(E802)='IN-NX'!$J$5,'IN-NX'!$D$7=(D802&amp;"/"&amp;C802)),"x","")</f>
        <v/>
      </c>
      <c r="C802" s="185" t="s">
        <v>154</v>
      </c>
      <c r="D802" s="185" t="s">
        <v>149</v>
      </c>
      <c r="E802" s="69">
        <v>41613</v>
      </c>
      <c r="F802" s="61" t="s">
        <v>373</v>
      </c>
      <c r="G802" s="19" t="s">
        <v>326</v>
      </c>
      <c r="H802" s="216" t="s">
        <v>92</v>
      </c>
      <c r="I802" s="56" t="s">
        <v>462</v>
      </c>
      <c r="J802" s="15">
        <v>109680.05</v>
      </c>
      <c r="K802" s="15">
        <v>0</v>
      </c>
      <c r="L802" s="15">
        <v>0</v>
      </c>
      <c r="M802" s="15">
        <v>20</v>
      </c>
      <c r="N802" s="15">
        <v>2193601</v>
      </c>
      <c r="O802" s="15" t="str">
        <f>IF(AND(A802='BANG KE NL'!$M$11,TH!C802="NL",LEFT(D802,1)="N"),"x","")</f>
        <v/>
      </c>
    </row>
    <row r="803" spans="1:15" hidden="1">
      <c r="A803" s="24">
        <f t="shared" si="15"/>
        <v>12</v>
      </c>
      <c r="B803" s="188" t="str">
        <f>IF(AND(MONTH(E803)='IN-NX'!$J$5,'IN-NX'!$D$7=(D803&amp;"/"&amp;C803)),"x","")</f>
        <v/>
      </c>
      <c r="C803" s="185" t="s">
        <v>154</v>
      </c>
      <c r="D803" s="185" t="s">
        <v>165</v>
      </c>
      <c r="E803" s="69">
        <v>41638</v>
      </c>
      <c r="F803" s="61" t="s">
        <v>373</v>
      </c>
      <c r="G803" s="19" t="s">
        <v>120</v>
      </c>
      <c r="H803" s="216" t="s">
        <v>462</v>
      </c>
      <c r="I803" s="56" t="s">
        <v>90</v>
      </c>
      <c r="J803" s="15">
        <v>109680.05555555556</v>
      </c>
      <c r="K803" s="15">
        <v>54</v>
      </c>
      <c r="L803" s="15">
        <v>5922723</v>
      </c>
      <c r="M803" s="15">
        <v>0</v>
      </c>
      <c r="N803" s="15">
        <v>0</v>
      </c>
      <c r="O803" s="15" t="str">
        <f>IF(AND(A803='BANG KE NL'!$M$11,TH!C803="NL",LEFT(D803,1)="N"),"x","")</f>
        <v/>
      </c>
    </row>
    <row r="804" spans="1:15" hidden="1">
      <c r="A804" s="24">
        <f t="shared" si="15"/>
        <v>12</v>
      </c>
      <c r="B804" s="188" t="str">
        <f>IF(AND(MONTH(E804)='IN-NX'!$J$5,'IN-NX'!$D$7=(D804&amp;"/"&amp;C804)),"x","")</f>
        <v/>
      </c>
      <c r="C804" s="185" t="s">
        <v>154</v>
      </c>
      <c r="D804" s="185" t="s">
        <v>202</v>
      </c>
      <c r="E804" s="69">
        <v>41639</v>
      </c>
      <c r="F804" s="61" t="s">
        <v>373</v>
      </c>
      <c r="G804" s="19" t="s">
        <v>326</v>
      </c>
      <c r="H804" s="216" t="s">
        <v>92</v>
      </c>
      <c r="I804" s="56" t="s">
        <v>462</v>
      </c>
      <c r="J804" s="15">
        <v>109680.05555555556</v>
      </c>
      <c r="K804" s="15">
        <v>0</v>
      </c>
      <c r="L804" s="15">
        <v>0</v>
      </c>
      <c r="M804" s="15">
        <v>54</v>
      </c>
      <c r="N804" s="15">
        <v>5922723</v>
      </c>
      <c r="O804" s="15" t="str">
        <f>IF(AND(A804='BANG KE NL'!$M$11,TH!C804="NL",LEFT(D804,1)="N"),"x","")</f>
        <v/>
      </c>
    </row>
    <row r="805" spans="1:15" hidden="1">
      <c r="A805" s="24">
        <f t="shared" si="15"/>
        <v>12</v>
      </c>
      <c r="B805" s="188" t="str">
        <f>IF(AND(MONTH(E805)='IN-NX'!$J$5,'IN-NX'!$D$7=(D805&amp;"/"&amp;C805)),"x","")</f>
        <v/>
      </c>
      <c r="C805" s="185" t="s">
        <v>154</v>
      </c>
      <c r="D805" s="185" t="s">
        <v>143</v>
      </c>
      <c r="E805" s="69">
        <v>41612</v>
      </c>
      <c r="F805" s="61" t="s">
        <v>374</v>
      </c>
      <c r="G805" s="19" t="s">
        <v>120</v>
      </c>
      <c r="H805" s="216" t="s">
        <v>462</v>
      </c>
      <c r="I805" s="56" t="s">
        <v>90</v>
      </c>
      <c r="J805" s="15">
        <v>108716.25</v>
      </c>
      <c r="K805" s="15">
        <v>16.8</v>
      </c>
      <c r="L805" s="15">
        <v>1826433</v>
      </c>
      <c r="M805" s="15">
        <v>0</v>
      </c>
      <c r="N805" s="15">
        <v>0</v>
      </c>
      <c r="O805" s="15" t="str">
        <f>IF(AND(A805='BANG KE NL'!$M$11,TH!C805="NL",LEFT(D805,1)="N"),"x","")</f>
        <v/>
      </c>
    </row>
    <row r="806" spans="1:15" hidden="1">
      <c r="A806" s="24">
        <f t="shared" si="15"/>
        <v>12</v>
      </c>
      <c r="B806" s="188" t="str">
        <f>IF(AND(MONTH(E806)='IN-NX'!$J$5,'IN-NX'!$D$7=(D806&amp;"/"&amp;C806)),"x","")</f>
        <v/>
      </c>
      <c r="C806" s="185" t="s">
        <v>154</v>
      </c>
      <c r="D806" s="185" t="s">
        <v>149</v>
      </c>
      <c r="E806" s="69">
        <v>41613</v>
      </c>
      <c r="F806" s="61" t="s">
        <v>374</v>
      </c>
      <c r="G806" s="19" t="s">
        <v>326</v>
      </c>
      <c r="H806" s="216" t="s">
        <v>92</v>
      </c>
      <c r="I806" s="56" t="s">
        <v>462</v>
      </c>
      <c r="J806" s="15">
        <v>108716.25</v>
      </c>
      <c r="K806" s="15">
        <v>0</v>
      </c>
      <c r="L806" s="15">
        <v>0</v>
      </c>
      <c r="M806" s="15">
        <v>16.8</v>
      </c>
      <c r="N806" s="15">
        <v>1826433</v>
      </c>
      <c r="O806" s="15" t="str">
        <f>IF(AND(A806='BANG KE NL'!$M$11,TH!C806="NL",LEFT(D806,1)="N"),"x","")</f>
        <v/>
      </c>
    </row>
    <row r="807" spans="1:15" hidden="1">
      <c r="A807" s="24">
        <f t="shared" si="15"/>
        <v>12</v>
      </c>
      <c r="B807" s="188" t="str">
        <f>IF(AND(MONTH(E807)='IN-NX'!$J$5,'IN-NX'!$D$7=(D807&amp;"/"&amp;C807)),"x","")</f>
        <v/>
      </c>
      <c r="C807" s="185" t="s">
        <v>154</v>
      </c>
      <c r="D807" s="185" t="s">
        <v>163</v>
      </c>
      <c r="E807" s="69">
        <v>41633</v>
      </c>
      <c r="F807" s="61" t="s">
        <v>376</v>
      </c>
      <c r="G807" s="19" t="s">
        <v>120</v>
      </c>
      <c r="H807" s="216" t="s">
        <v>462</v>
      </c>
      <c r="I807" s="56" t="s">
        <v>90</v>
      </c>
      <c r="J807" s="15">
        <v>120126.49866666667</v>
      </c>
      <c r="K807" s="15">
        <v>1500</v>
      </c>
      <c r="L807" s="15">
        <v>180189748</v>
      </c>
      <c r="M807" s="15">
        <v>0</v>
      </c>
      <c r="N807" s="15">
        <v>0</v>
      </c>
      <c r="O807" s="15" t="str">
        <f>IF(AND(A807='BANG KE NL'!$M$11,TH!C807="NL",LEFT(D807,1)="N"),"x","")</f>
        <v/>
      </c>
    </row>
    <row r="808" spans="1:15" hidden="1">
      <c r="A808" s="24">
        <f t="shared" si="15"/>
        <v>12</v>
      </c>
      <c r="B808" s="188" t="str">
        <f>IF(AND(MONTH(E808)='IN-NX'!$J$5,'IN-NX'!$D$7=(D808&amp;"/"&amp;C808)),"x","")</f>
        <v/>
      </c>
      <c r="C808" s="185" t="s">
        <v>154</v>
      </c>
      <c r="D808" s="185" t="s">
        <v>200</v>
      </c>
      <c r="E808" s="69">
        <v>41634</v>
      </c>
      <c r="F808" s="61" t="s">
        <v>376</v>
      </c>
      <c r="G808" s="19" t="s">
        <v>451</v>
      </c>
      <c r="H808" s="216" t="s">
        <v>92</v>
      </c>
      <c r="I808" s="56" t="s">
        <v>462</v>
      </c>
      <c r="J808" s="15">
        <v>120126.49866666667</v>
      </c>
      <c r="K808" s="15">
        <v>0</v>
      </c>
      <c r="L808" s="15">
        <v>0</v>
      </c>
      <c r="M808" s="15">
        <v>1500</v>
      </c>
      <c r="N808" s="15">
        <v>180189748</v>
      </c>
      <c r="O808" s="15" t="str">
        <f>IF(AND(A808='BANG KE NL'!$M$11,TH!C808="NL",LEFT(D808,1)="N"),"x","")</f>
        <v/>
      </c>
    </row>
    <row r="809" spans="1:15" hidden="1">
      <c r="A809" s="24">
        <f t="shared" si="15"/>
        <v>1</v>
      </c>
      <c r="B809" s="188" t="str">
        <f>IF(AND(MONTH(E809)='IN-NX'!$J$5,'IN-NX'!$D$7=(D809&amp;"/"&amp;C809)),"x","")</f>
        <v/>
      </c>
      <c r="C809" s="185" t="s">
        <v>154</v>
      </c>
      <c r="D809" s="185" t="s">
        <v>144</v>
      </c>
      <c r="E809" s="69">
        <v>41290</v>
      </c>
      <c r="F809" s="61" t="s">
        <v>366</v>
      </c>
      <c r="G809" s="19" t="s">
        <v>447</v>
      </c>
      <c r="H809" s="216" t="s">
        <v>462</v>
      </c>
      <c r="I809" s="56">
        <v>331</v>
      </c>
      <c r="J809" s="15">
        <v>140000</v>
      </c>
      <c r="K809" s="15">
        <v>1680</v>
      </c>
      <c r="L809" s="15">
        <v>235200000</v>
      </c>
      <c r="M809" s="15">
        <v>0</v>
      </c>
      <c r="N809" s="15">
        <v>0</v>
      </c>
      <c r="O809" s="15" t="str">
        <f>IF(AND(A809='BANG KE NL'!$M$11,TH!C809="NL",LEFT(D809,1)="N"),"x","")</f>
        <v/>
      </c>
    </row>
    <row r="810" spans="1:15" hidden="1">
      <c r="A810" s="24">
        <f t="shared" si="15"/>
        <v>3</v>
      </c>
      <c r="B810" s="188" t="str">
        <f>IF(AND(MONTH(E810)='IN-NX'!$J$5,'IN-NX'!$D$7=(D810&amp;"/"&amp;C810)),"x","")</f>
        <v/>
      </c>
      <c r="C810" s="185" t="s">
        <v>154</v>
      </c>
      <c r="D810" s="185" t="s">
        <v>143</v>
      </c>
      <c r="E810" s="69">
        <v>41334</v>
      </c>
      <c r="F810" s="61" t="s">
        <v>366</v>
      </c>
      <c r="G810" s="19" t="s">
        <v>447</v>
      </c>
      <c r="H810" s="216" t="s">
        <v>462</v>
      </c>
      <c r="I810" s="56">
        <v>331</v>
      </c>
      <c r="J810" s="15">
        <v>140000</v>
      </c>
      <c r="K810" s="15">
        <v>1932</v>
      </c>
      <c r="L810" s="15">
        <v>270480000</v>
      </c>
      <c r="M810" s="15">
        <v>0</v>
      </c>
      <c r="N810" s="15">
        <v>0</v>
      </c>
      <c r="O810" s="15" t="str">
        <f>IF(AND(A810='BANG KE NL'!$M$11,TH!C810="NL",LEFT(D810,1)="N"),"x","")</f>
        <v/>
      </c>
    </row>
    <row r="811" spans="1:15" hidden="1">
      <c r="A811" s="24">
        <f t="shared" si="15"/>
        <v>5</v>
      </c>
      <c r="B811" s="188" t="str">
        <f>IF(AND(MONTH(E811)='IN-NX'!$J$5,'IN-NX'!$D$7=(D811&amp;"/"&amp;C811)),"x","")</f>
        <v/>
      </c>
      <c r="C811" s="185" t="s">
        <v>154</v>
      </c>
      <c r="D811" s="185" t="s">
        <v>143</v>
      </c>
      <c r="E811" s="69">
        <v>41410</v>
      </c>
      <c r="F811" s="61" t="s">
        <v>366</v>
      </c>
      <c r="G811" s="19" t="s">
        <v>120</v>
      </c>
      <c r="H811" s="216" t="s">
        <v>462</v>
      </c>
      <c r="I811" s="56" t="s">
        <v>90</v>
      </c>
      <c r="J811" s="15">
        <v>161510.37006896551</v>
      </c>
      <c r="K811" s="15">
        <v>14500</v>
      </c>
      <c r="L811" s="15">
        <v>2341900366</v>
      </c>
      <c r="M811" s="15">
        <v>0</v>
      </c>
      <c r="N811" s="15">
        <v>0</v>
      </c>
      <c r="O811" s="15" t="str">
        <f>IF(AND(A811='BANG KE NL'!$M$11,TH!C811="NL",LEFT(D811,1)="N"),"x","")</f>
        <v/>
      </c>
    </row>
    <row r="812" spans="1:15" hidden="1">
      <c r="A812" s="24">
        <f t="shared" si="15"/>
        <v>5</v>
      </c>
      <c r="B812" s="188" t="str">
        <f>IF(AND(MONTH(E812)='IN-NX'!$J$5,'IN-NX'!$D$7=(D812&amp;"/"&amp;C812)),"x","")</f>
        <v/>
      </c>
      <c r="C812" s="185" t="s">
        <v>154</v>
      </c>
      <c r="D812" s="185" t="s">
        <v>149</v>
      </c>
      <c r="E812" s="69">
        <v>41411</v>
      </c>
      <c r="F812" s="61" t="s">
        <v>366</v>
      </c>
      <c r="G812" s="19" t="s">
        <v>460</v>
      </c>
      <c r="H812" s="216" t="s">
        <v>92</v>
      </c>
      <c r="I812" s="56" t="s">
        <v>462</v>
      </c>
      <c r="J812" s="15">
        <v>157193.95583333334</v>
      </c>
      <c r="K812" s="15">
        <v>0</v>
      </c>
      <c r="L812" s="15">
        <v>0</v>
      </c>
      <c r="M812" s="15">
        <v>18000</v>
      </c>
      <c r="N812" s="15">
        <v>2829491205</v>
      </c>
      <c r="O812" s="15" t="str">
        <f>IF(AND(A812='BANG KE NL'!$M$11,TH!C812="NL",LEFT(D812,1)="N"),"x","")</f>
        <v/>
      </c>
    </row>
    <row r="813" spans="1:15" hidden="1">
      <c r="A813" s="24">
        <f t="shared" si="15"/>
        <v>8</v>
      </c>
      <c r="B813" s="188" t="str">
        <f>IF(AND(MONTH(E813)='IN-NX'!$J$5,'IN-NX'!$D$7=(D813&amp;"/"&amp;C813)),"x","")</f>
        <v/>
      </c>
      <c r="C813" s="185" t="s">
        <v>154</v>
      </c>
      <c r="D813" s="185" t="s">
        <v>145</v>
      </c>
      <c r="E813" s="69">
        <v>41513</v>
      </c>
      <c r="F813" s="61" t="s">
        <v>366</v>
      </c>
      <c r="G813" s="19" t="s">
        <v>120</v>
      </c>
      <c r="H813" s="216" t="s">
        <v>462</v>
      </c>
      <c r="I813" s="56" t="s">
        <v>90</v>
      </c>
      <c r="J813" s="15">
        <v>148407.065</v>
      </c>
      <c r="K813" s="15">
        <v>2000</v>
      </c>
      <c r="L813" s="15">
        <v>296814130</v>
      </c>
      <c r="M813" s="15">
        <v>0</v>
      </c>
      <c r="N813" s="15">
        <v>0</v>
      </c>
      <c r="O813" s="15" t="str">
        <f>IF(AND(A813='BANG KE NL'!$M$11,TH!C813="NL",LEFT(D813,1)="N"),"x","")</f>
        <v/>
      </c>
    </row>
    <row r="814" spans="1:15" hidden="1">
      <c r="A814" s="24">
        <f t="shared" si="15"/>
        <v>8</v>
      </c>
      <c r="B814" s="188" t="str">
        <f>IF(AND(MONTH(E814)='IN-NX'!$J$5,'IN-NX'!$D$7=(D814&amp;"/"&amp;C814)),"x","")</f>
        <v/>
      </c>
      <c r="C814" s="185" t="s">
        <v>154</v>
      </c>
      <c r="D814" s="185" t="s">
        <v>198</v>
      </c>
      <c r="E814" s="69">
        <v>41515</v>
      </c>
      <c r="F814" s="61" t="s">
        <v>366</v>
      </c>
      <c r="G814" s="19" t="s">
        <v>451</v>
      </c>
      <c r="H814" s="216" t="s">
        <v>92</v>
      </c>
      <c r="I814" s="56" t="s">
        <v>462</v>
      </c>
      <c r="J814" s="15">
        <v>149140.85</v>
      </c>
      <c r="K814" s="15">
        <v>0</v>
      </c>
      <c r="L814" s="15">
        <v>0</v>
      </c>
      <c r="M814" s="15">
        <v>2000</v>
      </c>
      <c r="N814" s="15">
        <v>298281700</v>
      </c>
      <c r="O814" s="15" t="str">
        <f>IF(AND(A814='BANG KE NL'!$M$11,TH!C814="NL",LEFT(D814,1)="N"),"x","")</f>
        <v/>
      </c>
    </row>
    <row r="815" spans="1:15" hidden="1">
      <c r="A815" s="24">
        <f t="shared" si="15"/>
        <v>12</v>
      </c>
      <c r="B815" s="188" t="str">
        <f>IF(AND(MONTH(E815)='IN-NX'!$J$5,'IN-NX'!$D$7=(D815&amp;"/"&amp;C815)),"x","")</f>
        <v/>
      </c>
      <c r="C815" s="185" t="s">
        <v>154</v>
      </c>
      <c r="D815" s="185" t="s">
        <v>148</v>
      </c>
      <c r="E815" s="69">
        <v>41626</v>
      </c>
      <c r="F815" s="61" t="s">
        <v>366</v>
      </c>
      <c r="G815" s="19" t="s">
        <v>120</v>
      </c>
      <c r="H815" s="216" t="s">
        <v>462</v>
      </c>
      <c r="I815" s="56" t="s">
        <v>90</v>
      </c>
      <c r="J815" s="15">
        <v>159465.99560606061</v>
      </c>
      <c r="K815" s="15">
        <v>13200</v>
      </c>
      <c r="L815" s="15">
        <v>2104951142</v>
      </c>
      <c r="M815" s="15">
        <v>0</v>
      </c>
      <c r="N815" s="15">
        <v>0</v>
      </c>
      <c r="O815" s="15" t="str">
        <f>IF(AND(A815='BANG KE NL'!$M$11,TH!C815="NL",LEFT(D815,1)="N"),"x","")</f>
        <v/>
      </c>
    </row>
    <row r="816" spans="1:15" hidden="1">
      <c r="A816" s="24">
        <f t="shared" si="15"/>
        <v>12</v>
      </c>
      <c r="B816" s="188" t="str">
        <f>IF(AND(MONTH(E816)='IN-NX'!$J$5,'IN-NX'!$D$7=(D816&amp;"/"&amp;C816)),"x","")</f>
        <v/>
      </c>
      <c r="C816" s="185" t="s">
        <v>154</v>
      </c>
      <c r="D816" s="185" t="s">
        <v>159</v>
      </c>
      <c r="E816" s="69">
        <v>41627</v>
      </c>
      <c r="F816" s="61" t="s">
        <v>366</v>
      </c>
      <c r="G816" s="19" t="s">
        <v>453</v>
      </c>
      <c r="H816" s="216" t="s">
        <v>92</v>
      </c>
      <c r="I816" s="56" t="s">
        <v>462</v>
      </c>
      <c r="J816" s="15">
        <v>159278.3287878788</v>
      </c>
      <c r="K816" s="15">
        <v>0</v>
      </c>
      <c r="L816" s="15">
        <v>0</v>
      </c>
      <c r="M816" s="15">
        <v>6600</v>
      </c>
      <c r="N816" s="15">
        <v>1051236970</v>
      </c>
      <c r="O816" s="15" t="str">
        <f>IF(AND(A816='BANG KE NL'!$M$11,TH!C816="NL",LEFT(D816,1)="N"),"x","")</f>
        <v/>
      </c>
    </row>
    <row r="817" spans="1:15" hidden="1">
      <c r="A817" s="24">
        <f t="shared" si="15"/>
        <v>12</v>
      </c>
      <c r="B817" s="188" t="str">
        <f>IF(AND(MONTH(E817)='IN-NX'!$J$5,'IN-NX'!$D$7=(D817&amp;"/"&amp;C817)),"x","")</f>
        <v/>
      </c>
      <c r="C817" s="185" t="s">
        <v>154</v>
      </c>
      <c r="D817" s="185" t="s">
        <v>198</v>
      </c>
      <c r="E817" s="69">
        <v>41627</v>
      </c>
      <c r="F817" s="61" t="s">
        <v>366</v>
      </c>
      <c r="G817" s="19" t="s">
        <v>453</v>
      </c>
      <c r="H817" s="216" t="s">
        <v>92</v>
      </c>
      <c r="I817" s="56" t="s">
        <v>462</v>
      </c>
      <c r="J817" s="15">
        <v>159465.99560606061</v>
      </c>
      <c r="K817" s="15">
        <v>0</v>
      </c>
      <c r="L817" s="15">
        <v>0</v>
      </c>
      <c r="M817" s="15">
        <v>6600</v>
      </c>
      <c r="N817" s="15">
        <v>1052475571</v>
      </c>
      <c r="O817" s="15" t="str">
        <f>IF(AND(A817='BANG KE NL'!$M$11,TH!C817="NL",LEFT(D817,1)="N"),"x","")</f>
        <v/>
      </c>
    </row>
    <row r="818" spans="1:15" hidden="1">
      <c r="A818" s="24">
        <f t="shared" si="15"/>
        <v>4</v>
      </c>
      <c r="B818" s="188" t="str">
        <f>IF(AND(MONTH(E818)='IN-NX'!$J$5,'IN-NX'!$D$7=(D818&amp;"/"&amp;C818)),"x","")</f>
        <v/>
      </c>
      <c r="C818" s="185" t="s">
        <v>154</v>
      </c>
      <c r="D818" s="185" t="s">
        <v>144</v>
      </c>
      <c r="E818" s="69">
        <v>41378</v>
      </c>
      <c r="F818" s="61" t="s">
        <v>367</v>
      </c>
      <c r="G818" s="19" t="s">
        <v>120</v>
      </c>
      <c r="H818" s="216" t="s">
        <v>462</v>
      </c>
      <c r="I818" s="56" t="s">
        <v>90</v>
      </c>
      <c r="J818" s="15">
        <v>95636.649955555549</v>
      </c>
      <c r="K818" s="15">
        <v>22500</v>
      </c>
      <c r="L818" s="15">
        <v>2151824624</v>
      </c>
      <c r="M818" s="15">
        <v>0</v>
      </c>
      <c r="N818" s="15">
        <v>0</v>
      </c>
      <c r="O818" s="15" t="str">
        <f>IF(AND(A818='BANG KE NL'!$M$11,TH!C818="NL",LEFT(D818,1)="N"),"x","")</f>
        <v/>
      </c>
    </row>
    <row r="819" spans="1:15" hidden="1">
      <c r="A819" s="24">
        <f t="shared" si="15"/>
        <v>4</v>
      </c>
      <c r="B819" s="188" t="str">
        <f>IF(AND(MONTH(E819)='IN-NX'!$J$5,'IN-NX'!$D$7=(D819&amp;"/"&amp;C819)),"x","")</f>
        <v/>
      </c>
      <c r="C819" s="185" t="s">
        <v>154</v>
      </c>
      <c r="D819" s="185" t="s">
        <v>150</v>
      </c>
      <c r="E819" s="69">
        <v>41379</v>
      </c>
      <c r="F819" s="61" t="s">
        <v>367</v>
      </c>
      <c r="G819" s="19" t="s">
        <v>460</v>
      </c>
      <c r="H819" s="216" t="s">
        <v>92</v>
      </c>
      <c r="I819" s="56" t="s">
        <v>462</v>
      </c>
      <c r="J819" s="15">
        <v>95636.649955555549</v>
      </c>
      <c r="K819" s="15">
        <v>0</v>
      </c>
      <c r="L819" s="15">
        <v>0</v>
      </c>
      <c r="M819" s="15">
        <v>22500</v>
      </c>
      <c r="N819" s="15">
        <v>2151824624</v>
      </c>
      <c r="O819" s="15" t="str">
        <f>IF(AND(A819='BANG KE NL'!$M$11,TH!C819="NL",LEFT(D819,1)="N"),"x","")</f>
        <v/>
      </c>
    </row>
    <row r="820" spans="1:15" hidden="1">
      <c r="A820" s="24">
        <f t="shared" si="15"/>
        <v>8</v>
      </c>
      <c r="B820" s="188" t="str">
        <f>IF(AND(MONTH(E820)='IN-NX'!$J$5,'IN-NX'!$D$7=(D820&amp;"/"&amp;C820)),"x","")</f>
        <v/>
      </c>
      <c r="C820" s="185" t="s">
        <v>154</v>
      </c>
      <c r="D820" s="185" t="s">
        <v>145</v>
      </c>
      <c r="E820" s="69">
        <v>41513</v>
      </c>
      <c r="F820" s="61" t="s">
        <v>367</v>
      </c>
      <c r="G820" s="19" t="s">
        <v>120</v>
      </c>
      <c r="H820" s="216" t="s">
        <v>462</v>
      </c>
      <c r="I820" s="56" t="s">
        <v>90</v>
      </c>
      <c r="J820" s="15">
        <v>95827.314211212521</v>
      </c>
      <c r="K820" s="15">
        <v>23010</v>
      </c>
      <c r="L820" s="15">
        <v>2204986500</v>
      </c>
      <c r="M820" s="15">
        <v>0</v>
      </c>
      <c r="N820" s="15">
        <v>0</v>
      </c>
      <c r="O820" s="15" t="str">
        <f>IF(AND(A820='BANG KE NL'!$M$11,TH!C820="NL",LEFT(D820,1)="N"),"x","")</f>
        <v/>
      </c>
    </row>
    <row r="821" spans="1:15" hidden="1">
      <c r="A821" s="24">
        <f t="shared" si="15"/>
        <v>8</v>
      </c>
      <c r="B821" s="188" t="str">
        <f>IF(AND(MONTH(E821)='IN-NX'!$J$5,'IN-NX'!$D$7=(D821&amp;"/"&amp;C821)),"x","")</f>
        <v/>
      </c>
      <c r="C821" s="185" t="s">
        <v>154</v>
      </c>
      <c r="D821" s="185" t="s">
        <v>159</v>
      </c>
      <c r="E821" s="69">
        <v>41514</v>
      </c>
      <c r="F821" s="61" t="s">
        <v>367</v>
      </c>
      <c r="G821" s="19" t="s">
        <v>461</v>
      </c>
      <c r="H821" s="216" t="s">
        <v>92</v>
      </c>
      <c r="I821" s="56" t="s">
        <v>462</v>
      </c>
      <c r="J821" s="15">
        <v>95827.314211212521</v>
      </c>
      <c r="K821" s="15">
        <v>0</v>
      </c>
      <c r="L821" s="15">
        <v>0</v>
      </c>
      <c r="M821" s="15">
        <v>23010</v>
      </c>
      <c r="N821" s="15">
        <v>2204986500</v>
      </c>
      <c r="O821" s="15" t="str">
        <f>IF(AND(A821='BANG KE NL'!$M$11,TH!C821="NL",LEFT(D821,1)="N"),"x","")</f>
        <v/>
      </c>
    </row>
    <row r="822" spans="1:15" hidden="1">
      <c r="A822" s="24">
        <f t="shared" si="15"/>
        <v>10</v>
      </c>
      <c r="B822" s="188" t="str">
        <f>IF(AND(MONTH(E822)='IN-NX'!$J$5,'IN-NX'!$D$7=(D822&amp;"/"&amp;C822)),"x","")</f>
        <v/>
      </c>
      <c r="C822" s="185" t="s">
        <v>154</v>
      </c>
      <c r="D822" s="185" t="s">
        <v>147</v>
      </c>
      <c r="E822" s="69">
        <v>41577</v>
      </c>
      <c r="F822" s="61" t="s">
        <v>367</v>
      </c>
      <c r="G822" s="19" t="s">
        <v>120</v>
      </c>
      <c r="H822" s="216" t="s">
        <v>462</v>
      </c>
      <c r="I822" s="56" t="s">
        <v>90</v>
      </c>
      <c r="J822" s="15">
        <v>105155.433</v>
      </c>
      <c r="K822" s="15">
        <v>2000</v>
      </c>
      <c r="L822" s="15">
        <v>210310866</v>
      </c>
      <c r="M822" s="15">
        <v>0</v>
      </c>
      <c r="N822" s="15">
        <v>0</v>
      </c>
      <c r="O822" s="15" t="str">
        <f>IF(AND(A822='BANG KE NL'!$M$11,TH!C822="NL",LEFT(D822,1)="N"),"x","")</f>
        <v/>
      </c>
    </row>
    <row r="823" spans="1:15" hidden="1">
      <c r="A823" s="24">
        <f t="shared" si="15"/>
        <v>11</v>
      </c>
      <c r="B823" s="188" t="str">
        <f>IF(AND(MONTH(E823)='IN-NX'!$J$5,'IN-NX'!$D$7=(D823&amp;"/"&amp;C823)),"x","")</f>
        <v/>
      </c>
      <c r="C823" s="185" t="s">
        <v>154</v>
      </c>
      <c r="D823" s="185" t="s">
        <v>149</v>
      </c>
      <c r="E823" s="69">
        <v>41582</v>
      </c>
      <c r="F823" s="61" t="s">
        <v>367</v>
      </c>
      <c r="G823" s="19" t="s">
        <v>449</v>
      </c>
      <c r="H823" s="216" t="s">
        <v>92</v>
      </c>
      <c r="I823" s="56" t="s">
        <v>462</v>
      </c>
      <c r="J823" s="15">
        <v>105155.433</v>
      </c>
      <c r="K823" s="15">
        <v>0</v>
      </c>
      <c r="L823" s="15">
        <v>0</v>
      </c>
      <c r="M823" s="15">
        <v>2000</v>
      </c>
      <c r="N823" s="15">
        <v>210310866</v>
      </c>
      <c r="O823" s="15" t="str">
        <f>IF(AND(A823='BANG KE NL'!$M$11,TH!C823="NL",LEFT(D823,1)="N"),"x","")</f>
        <v/>
      </c>
    </row>
    <row r="824" spans="1:15" hidden="1">
      <c r="A824" s="24">
        <f t="shared" si="15"/>
        <v>1</v>
      </c>
      <c r="B824" s="188" t="str">
        <f>IF(AND(MONTH(E824)='IN-NX'!$J$5,'IN-NX'!$D$7=(D824&amp;"/"&amp;C824)),"x","")</f>
        <v/>
      </c>
      <c r="C824" s="185" t="s">
        <v>154</v>
      </c>
      <c r="D824" s="185" t="s">
        <v>143</v>
      </c>
      <c r="E824" s="69">
        <v>41280</v>
      </c>
      <c r="F824" s="61" t="s">
        <v>332</v>
      </c>
      <c r="G824" s="19" t="s">
        <v>120</v>
      </c>
      <c r="H824" s="216" t="s">
        <v>462</v>
      </c>
      <c r="I824" s="56" t="s">
        <v>90</v>
      </c>
      <c r="J824" s="15">
        <v>177140.88</v>
      </c>
      <c r="K824" s="15">
        <v>100</v>
      </c>
      <c r="L824" s="15">
        <v>17714088</v>
      </c>
      <c r="M824" s="15">
        <v>0</v>
      </c>
      <c r="N824" s="15">
        <v>0</v>
      </c>
      <c r="O824" s="15" t="str">
        <f>IF(AND(A824='BANG KE NL'!$M$11,TH!C824="NL",LEFT(D824,1)="N"),"x","")</f>
        <v/>
      </c>
    </row>
    <row r="825" spans="1:15" hidden="1">
      <c r="A825" s="24">
        <f t="shared" si="15"/>
        <v>1</v>
      </c>
      <c r="B825" s="188" t="str">
        <f>IF(AND(MONTH(E825)='IN-NX'!$J$5,'IN-NX'!$D$7=(D825&amp;"/"&amp;C825)),"x","")</f>
        <v/>
      </c>
      <c r="C825" s="185" t="s">
        <v>154</v>
      </c>
      <c r="D825" s="185" t="s">
        <v>149</v>
      </c>
      <c r="E825" s="69">
        <v>41281</v>
      </c>
      <c r="F825" s="61" t="s">
        <v>332</v>
      </c>
      <c r="G825" s="19" t="s">
        <v>452</v>
      </c>
      <c r="H825" s="216" t="s">
        <v>92</v>
      </c>
      <c r="I825" s="56" t="s">
        <v>462</v>
      </c>
      <c r="J825" s="15">
        <v>177140.88</v>
      </c>
      <c r="K825" s="15">
        <v>0</v>
      </c>
      <c r="L825" s="15">
        <v>0</v>
      </c>
      <c r="M825" s="15">
        <v>100</v>
      </c>
      <c r="N825" s="15">
        <v>17714088</v>
      </c>
      <c r="O825" s="15" t="str">
        <f>IF(AND(A825='BANG KE NL'!$M$11,TH!C825="NL",LEFT(D825,1)="N"),"x","")</f>
        <v/>
      </c>
    </row>
    <row r="826" spans="1:15" hidden="1">
      <c r="A826" s="24">
        <f t="shared" si="15"/>
        <v>5</v>
      </c>
      <c r="B826" s="188" t="str">
        <f>IF(AND(MONTH(E826)='IN-NX'!$J$5,'IN-NX'!$D$7=(D826&amp;"/"&amp;C826)),"x","")</f>
        <v/>
      </c>
      <c r="C826" s="185" t="s">
        <v>154</v>
      </c>
      <c r="D826" s="185" t="s">
        <v>144</v>
      </c>
      <c r="E826" s="69">
        <v>41423</v>
      </c>
      <c r="F826" s="61" t="s">
        <v>332</v>
      </c>
      <c r="G826" s="19" t="s">
        <v>120</v>
      </c>
      <c r="H826" s="216" t="s">
        <v>462</v>
      </c>
      <c r="I826" s="56" t="s">
        <v>90</v>
      </c>
      <c r="J826" s="15">
        <v>161510.37</v>
      </c>
      <c r="K826" s="15">
        <v>500</v>
      </c>
      <c r="L826" s="15">
        <v>80755185</v>
      </c>
      <c r="M826" s="15">
        <v>0</v>
      </c>
      <c r="N826" s="15">
        <v>0</v>
      </c>
      <c r="O826" s="15" t="str">
        <f>IF(AND(A826='BANG KE NL'!$M$11,TH!C826="NL",LEFT(D826,1)="N"),"x","")</f>
        <v/>
      </c>
    </row>
    <row r="827" spans="1:15" hidden="1">
      <c r="A827" s="24">
        <f t="shared" si="15"/>
        <v>5</v>
      </c>
      <c r="B827" s="188" t="str">
        <f>IF(AND(MONTH(E827)='IN-NX'!$J$5,'IN-NX'!$D$7=(D827&amp;"/"&amp;C827)),"x","")</f>
        <v/>
      </c>
      <c r="C827" s="185" t="s">
        <v>154</v>
      </c>
      <c r="D827" s="185" t="s">
        <v>150</v>
      </c>
      <c r="E827" s="69">
        <v>41424</v>
      </c>
      <c r="F827" s="61" t="s">
        <v>332</v>
      </c>
      <c r="G827" s="19" t="s">
        <v>452</v>
      </c>
      <c r="H827" s="216" t="s">
        <v>92</v>
      </c>
      <c r="I827" s="56" t="s">
        <v>462</v>
      </c>
      <c r="J827" s="15">
        <v>161510.37</v>
      </c>
      <c r="K827" s="15">
        <v>0</v>
      </c>
      <c r="L827" s="15">
        <v>0</v>
      </c>
      <c r="M827" s="15">
        <v>500</v>
      </c>
      <c r="N827" s="15">
        <v>80755185</v>
      </c>
      <c r="O827" s="15" t="str">
        <f>IF(AND(A827='BANG KE NL'!$M$11,TH!C827="NL",LEFT(D827,1)="N"),"x","")</f>
        <v/>
      </c>
    </row>
    <row r="828" spans="1:15" hidden="1">
      <c r="A828" s="24">
        <f t="shared" si="15"/>
        <v>8</v>
      </c>
      <c r="B828" s="188" t="str">
        <f>IF(AND(MONTH(E828)='IN-NX'!$J$5,'IN-NX'!$D$7=(D828&amp;"/"&amp;C828)),"x","")</f>
        <v/>
      </c>
      <c r="C828" s="185" t="s">
        <v>154</v>
      </c>
      <c r="D828" s="185" t="s">
        <v>144</v>
      </c>
      <c r="E828" s="69">
        <v>41507</v>
      </c>
      <c r="F828" s="61" t="s">
        <v>332</v>
      </c>
      <c r="G828" s="19" t="s">
        <v>120</v>
      </c>
      <c r="H828" s="216" t="s">
        <v>462</v>
      </c>
      <c r="I828" s="56" t="s">
        <v>90</v>
      </c>
      <c r="J828" s="15">
        <v>151036.05300000001</v>
      </c>
      <c r="K828" s="15">
        <v>2000</v>
      </c>
      <c r="L828" s="15">
        <v>302072106</v>
      </c>
      <c r="M828" s="15">
        <v>0</v>
      </c>
      <c r="N828" s="15">
        <v>0</v>
      </c>
      <c r="O828" s="15" t="str">
        <f>IF(AND(A828='BANG KE NL'!$M$11,TH!C828="NL",LEFT(D828,1)="N"),"x","")</f>
        <v/>
      </c>
    </row>
    <row r="829" spans="1:15" hidden="1">
      <c r="A829" s="24">
        <f t="shared" si="15"/>
        <v>8</v>
      </c>
      <c r="B829" s="188" t="str">
        <f>IF(AND(MONTH(E829)='IN-NX'!$J$5,'IN-NX'!$D$7=(D829&amp;"/"&amp;C829)),"x","")</f>
        <v/>
      </c>
      <c r="C829" s="185" t="s">
        <v>154</v>
      </c>
      <c r="D829" s="185" t="s">
        <v>152</v>
      </c>
      <c r="E829" s="69">
        <v>41509</v>
      </c>
      <c r="F829" s="61" t="s">
        <v>332</v>
      </c>
      <c r="G829" s="19" t="s">
        <v>452</v>
      </c>
      <c r="H829" s="216" t="s">
        <v>92</v>
      </c>
      <c r="I829" s="56" t="s">
        <v>462</v>
      </c>
      <c r="J829" s="15">
        <v>151036.05300000001</v>
      </c>
      <c r="K829" s="15">
        <v>0</v>
      </c>
      <c r="L829" s="15">
        <v>0</v>
      </c>
      <c r="M829" s="15">
        <v>2000</v>
      </c>
      <c r="N829" s="15">
        <v>302072106</v>
      </c>
      <c r="O829" s="15" t="str">
        <f>IF(AND(A829='BANG KE NL'!$M$11,TH!C829="NL",LEFT(D829,1)="N"),"x","")</f>
        <v/>
      </c>
    </row>
    <row r="830" spans="1:15" hidden="1">
      <c r="A830" s="24">
        <f t="shared" si="15"/>
        <v>11</v>
      </c>
      <c r="B830" s="188" t="str">
        <f>IF(AND(MONTH(E830)='IN-NX'!$J$5,'IN-NX'!$D$7=(D830&amp;"/"&amp;C830)),"x","")</f>
        <v/>
      </c>
      <c r="C830" s="185" t="s">
        <v>154</v>
      </c>
      <c r="D830" s="185" t="s">
        <v>144</v>
      </c>
      <c r="E830" s="69">
        <v>41584</v>
      </c>
      <c r="F830" s="61" t="s">
        <v>332</v>
      </c>
      <c r="G830" s="19" t="s">
        <v>120</v>
      </c>
      <c r="H830" s="216" t="s">
        <v>462</v>
      </c>
      <c r="I830" s="56" t="s">
        <v>90</v>
      </c>
      <c r="J830" s="15">
        <v>160362.46421052632</v>
      </c>
      <c r="K830" s="15">
        <v>1900</v>
      </c>
      <c r="L830" s="15">
        <v>304688682</v>
      </c>
      <c r="M830" s="15">
        <v>0</v>
      </c>
      <c r="N830" s="15">
        <v>0</v>
      </c>
      <c r="O830" s="15" t="str">
        <f>IF(AND(A830='BANG KE NL'!$M$11,TH!C830="NL",LEFT(D830,1)="N"),"x","")</f>
        <v/>
      </c>
    </row>
    <row r="831" spans="1:15" hidden="1">
      <c r="A831" s="24">
        <f t="shared" si="15"/>
        <v>11</v>
      </c>
      <c r="B831" s="188" t="str">
        <f>IF(AND(MONTH(E831)='IN-NX'!$J$5,'IN-NX'!$D$7=(D831&amp;"/"&amp;C831)),"x","")</f>
        <v/>
      </c>
      <c r="C831" s="185" t="s">
        <v>154</v>
      </c>
      <c r="D831" s="185" t="s">
        <v>150</v>
      </c>
      <c r="E831" s="69">
        <v>41585</v>
      </c>
      <c r="F831" s="61" t="s">
        <v>332</v>
      </c>
      <c r="G831" s="19" t="s">
        <v>452</v>
      </c>
      <c r="H831" s="216" t="s">
        <v>92</v>
      </c>
      <c r="I831" s="56" t="s">
        <v>462</v>
      </c>
      <c r="J831" s="15">
        <v>160362.46421052632</v>
      </c>
      <c r="K831" s="15">
        <v>0</v>
      </c>
      <c r="L831" s="15">
        <v>0</v>
      </c>
      <c r="M831" s="15">
        <v>1900</v>
      </c>
      <c r="N831" s="15">
        <v>304688682</v>
      </c>
      <c r="O831" s="15" t="str">
        <f>IF(AND(A831='BANG KE NL'!$M$11,TH!C831="NL",LEFT(D831,1)="N"),"x","")</f>
        <v/>
      </c>
    </row>
    <row r="832" spans="1:15" hidden="1">
      <c r="A832" s="24">
        <f t="shared" si="15"/>
        <v>3</v>
      </c>
      <c r="B832" s="188" t="str">
        <f>IF(AND(MONTH(E832)='IN-NX'!$J$5,'IN-NX'!$D$7=(D832&amp;"/"&amp;C832)),"x","")</f>
        <v/>
      </c>
      <c r="C832" s="185" t="s">
        <v>154</v>
      </c>
      <c r="D832" s="185" t="s">
        <v>145</v>
      </c>
      <c r="E832" s="69">
        <v>41358</v>
      </c>
      <c r="F832" s="61" t="s">
        <v>368</v>
      </c>
      <c r="G832" s="19" t="s">
        <v>120</v>
      </c>
      <c r="H832" s="216" t="s">
        <v>462</v>
      </c>
      <c r="I832" s="56" t="s">
        <v>90</v>
      </c>
      <c r="J832" s="15">
        <v>154222.63959999999</v>
      </c>
      <c r="K832" s="15">
        <v>10000</v>
      </c>
      <c r="L832" s="15">
        <v>1542226396</v>
      </c>
      <c r="M832" s="15">
        <v>0</v>
      </c>
      <c r="N832" s="15">
        <v>0</v>
      </c>
      <c r="O832" s="15" t="str">
        <f>IF(AND(A832='BANG KE NL'!$M$11,TH!C832="NL",LEFT(D832,1)="N"),"x","")</f>
        <v/>
      </c>
    </row>
    <row r="833" spans="1:15" hidden="1">
      <c r="A833" s="24">
        <f t="shared" si="15"/>
        <v>3</v>
      </c>
      <c r="B833" s="188" t="str">
        <f>IF(AND(MONTH(E833)='IN-NX'!$J$5,'IN-NX'!$D$7=(D833&amp;"/"&amp;C833)),"x","")</f>
        <v/>
      </c>
      <c r="C833" s="185" t="s">
        <v>154</v>
      </c>
      <c r="D833" s="185" t="s">
        <v>150</v>
      </c>
      <c r="E833" s="69">
        <v>41359</v>
      </c>
      <c r="F833" s="61" t="s">
        <v>368</v>
      </c>
      <c r="G833" s="19" t="s">
        <v>448</v>
      </c>
      <c r="H833" s="216" t="s">
        <v>92</v>
      </c>
      <c r="I833" s="56" t="s">
        <v>462</v>
      </c>
      <c r="J833" s="15">
        <v>154222.63959999999</v>
      </c>
      <c r="K833" s="15">
        <v>0</v>
      </c>
      <c r="L833" s="15">
        <v>0</v>
      </c>
      <c r="M833" s="15">
        <v>10000</v>
      </c>
      <c r="N833" s="15">
        <v>1542226396</v>
      </c>
      <c r="O833" s="15" t="str">
        <f>IF(AND(A833='BANG KE NL'!$M$11,TH!C833="NL",LEFT(D833,1)="N"),"x","")</f>
        <v/>
      </c>
    </row>
    <row r="834" spans="1:15" hidden="1">
      <c r="A834" s="24">
        <f t="shared" si="15"/>
        <v>4</v>
      </c>
      <c r="B834" s="188" t="str">
        <f>IF(AND(MONTH(E834)='IN-NX'!$J$5,'IN-NX'!$D$7=(D834&amp;"/"&amp;C834)),"x","")</f>
        <v/>
      </c>
      <c r="C834" s="185" t="s">
        <v>154</v>
      </c>
      <c r="D834" s="185" t="s">
        <v>143</v>
      </c>
      <c r="E834" s="69">
        <v>41375</v>
      </c>
      <c r="F834" s="61" t="s">
        <v>368</v>
      </c>
      <c r="G834" s="19" t="s">
        <v>120</v>
      </c>
      <c r="H834" s="216" t="s">
        <v>462</v>
      </c>
      <c r="I834" s="56" t="s">
        <v>90</v>
      </c>
      <c r="J834" s="15">
        <v>151098.777</v>
      </c>
      <c r="K834" s="15">
        <v>10000</v>
      </c>
      <c r="L834" s="15">
        <v>1510987770</v>
      </c>
      <c r="M834" s="15">
        <v>0</v>
      </c>
      <c r="N834" s="15">
        <v>0</v>
      </c>
      <c r="O834" s="15" t="str">
        <f>IF(AND(A834='BANG KE NL'!$M$11,TH!C834="NL",LEFT(D834,1)="N"),"x","")</f>
        <v/>
      </c>
    </row>
    <row r="835" spans="1:15" hidden="1">
      <c r="A835" s="24">
        <f t="shared" si="15"/>
        <v>4</v>
      </c>
      <c r="B835" s="188" t="str">
        <f>IF(AND(MONTH(E835)='IN-NX'!$J$5,'IN-NX'!$D$7=(D835&amp;"/"&amp;C835)),"x","")</f>
        <v/>
      </c>
      <c r="C835" s="185" t="s">
        <v>154</v>
      </c>
      <c r="D835" s="185" t="s">
        <v>149</v>
      </c>
      <c r="E835" s="69">
        <v>41376</v>
      </c>
      <c r="F835" s="61" t="s">
        <v>368</v>
      </c>
      <c r="G835" s="19" t="s">
        <v>448</v>
      </c>
      <c r="H835" s="216" t="s">
        <v>92</v>
      </c>
      <c r="I835" s="56" t="s">
        <v>462</v>
      </c>
      <c r="J835" s="15">
        <v>151098.777</v>
      </c>
      <c r="K835" s="15">
        <v>0</v>
      </c>
      <c r="L835" s="15">
        <v>0</v>
      </c>
      <c r="M835" s="15">
        <v>10000</v>
      </c>
      <c r="N835" s="15">
        <v>1510987770</v>
      </c>
      <c r="O835" s="15" t="str">
        <f>IF(AND(A835='BANG KE NL'!$M$11,TH!C835="NL",LEFT(D835,1)="N"),"x","")</f>
        <v/>
      </c>
    </row>
    <row r="836" spans="1:15" hidden="1">
      <c r="A836" s="24">
        <f t="shared" si="15"/>
        <v>12</v>
      </c>
      <c r="B836" s="188" t="str">
        <f>IF(AND(MONTH(E836)='IN-NX'!$J$5,'IN-NX'!$D$7=(D836&amp;"/"&amp;C836)),"x","")</f>
        <v/>
      </c>
      <c r="C836" s="185" t="s">
        <v>154</v>
      </c>
      <c r="D836" s="185" t="s">
        <v>145</v>
      </c>
      <c r="E836" s="69">
        <v>41619</v>
      </c>
      <c r="F836" s="61" t="s">
        <v>369</v>
      </c>
      <c r="G836" s="19" t="s">
        <v>120</v>
      </c>
      <c r="H836" s="216" t="s">
        <v>462</v>
      </c>
      <c r="I836" s="56" t="s">
        <v>90</v>
      </c>
      <c r="J836" s="15">
        <v>167352.24374999999</v>
      </c>
      <c r="K836" s="15">
        <v>160</v>
      </c>
      <c r="L836" s="15">
        <v>26776359</v>
      </c>
      <c r="M836" s="15">
        <v>0</v>
      </c>
      <c r="N836" s="15">
        <v>0</v>
      </c>
      <c r="O836" s="15" t="str">
        <f>IF(AND(A836='BANG KE NL'!$M$11,TH!C836="NL",LEFT(D836,1)="N"),"x","")</f>
        <v/>
      </c>
    </row>
    <row r="837" spans="1:15" hidden="1">
      <c r="A837" s="24">
        <f t="shared" si="15"/>
        <v>12</v>
      </c>
      <c r="B837" s="188" t="str">
        <f>IF(AND(MONTH(E837)='IN-NX'!$J$5,'IN-NX'!$D$7=(D837&amp;"/"&amp;C837)),"x","")</f>
        <v/>
      </c>
      <c r="C837" s="185" t="s">
        <v>154</v>
      </c>
      <c r="D837" s="185" t="s">
        <v>151</v>
      </c>
      <c r="E837" s="69">
        <v>41620</v>
      </c>
      <c r="F837" s="61" t="s">
        <v>369</v>
      </c>
      <c r="G837" s="19" t="s">
        <v>326</v>
      </c>
      <c r="H837" s="216" t="s">
        <v>92</v>
      </c>
      <c r="I837" s="56" t="s">
        <v>462</v>
      </c>
      <c r="J837" s="15">
        <v>167352.24374999999</v>
      </c>
      <c r="K837" s="15">
        <v>0</v>
      </c>
      <c r="L837" s="15">
        <v>0</v>
      </c>
      <c r="M837" s="15">
        <v>160</v>
      </c>
      <c r="N837" s="15">
        <v>26776359</v>
      </c>
      <c r="O837" s="15" t="str">
        <f>IF(AND(A837='BANG KE NL'!$M$11,TH!C837="NL",LEFT(D837,1)="N"),"x","")</f>
        <v/>
      </c>
    </row>
    <row r="838" spans="1:15" hidden="1">
      <c r="A838" s="24">
        <f t="shared" ref="A838:A854" si="16">IF(E838&lt;&gt;"",MONTH(E838),"")</f>
        <v>12</v>
      </c>
      <c r="B838" s="188" t="str">
        <f>IF(AND(MONTH(E838)='IN-NX'!$J$5,'IN-NX'!$D$7=(D838&amp;"/"&amp;C838)),"x","")</f>
        <v/>
      </c>
      <c r="C838" s="185" t="s">
        <v>154</v>
      </c>
      <c r="D838" s="185" t="s">
        <v>145</v>
      </c>
      <c r="E838" s="69">
        <v>41619</v>
      </c>
      <c r="F838" s="61" t="s">
        <v>370</v>
      </c>
      <c r="G838" s="19" t="s">
        <v>120</v>
      </c>
      <c r="H838" s="216" t="s">
        <v>462</v>
      </c>
      <c r="I838" s="56" t="s">
        <v>90</v>
      </c>
      <c r="J838" s="15">
        <v>163409.11874999999</v>
      </c>
      <c r="K838" s="15">
        <v>160</v>
      </c>
      <c r="L838" s="15">
        <v>26145459</v>
      </c>
      <c r="M838" s="15">
        <v>0</v>
      </c>
      <c r="N838" s="15">
        <v>0</v>
      </c>
      <c r="O838" s="15" t="str">
        <f>IF(AND(A838='BANG KE NL'!$M$11,TH!C838="NL",LEFT(D838,1)="N"),"x","")</f>
        <v/>
      </c>
    </row>
    <row r="839" spans="1:15" hidden="1">
      <c r="A839" s="24">
        <f t="shared" si="16"/>
        <v>12</v>
      </c>
      <c r="B839" s="188" t="str">
        <f>IF(AND(MONTH(E839)='IN-NX'!$J$5,'IN-NX'!$D$7=(D839&amp;"/"&amp;C839)),"x","")</f>
        <v/>
      </c>
      <c r="C839" s="185" t="s">
        <v>154</v>
      </c>
      <c r="D839" s="185" t="s">
        <v>151</v>
      </c>
      <c r="E839" s="69">
        <v>41620</v>
      </c>
      <c r="F839" s="61" t="s">
        <v>370</v>
      </c>
      <c r="G839" s="19" t="s">
        <v>326</v>
      </c>
      <c r="H839" s="216" t="s">
        <v>92</v>
      </c>
      <c r="I839" s="56" t="s">
        <v>462</v>
      </c>
      <c r="J839" s="15">
        <v>163409.11874999999</v>
      </c>
      <c r="K839" s="15">
        <v>0</v>
      </c>
      <c r="L839" s="15">
        <v>0</v>
      </c>
      <c r="M839" s="15">
        <v>160</v>
      </c>
      <c r="N839" s="15">
        <v>26145459</v>
      </c>
      <c r="O839" s="15" t="str">
        <f>IF(AND(A839='BANG KE NL'!$M$11,TH!C839="NL",LEFT(D839,1)="N"),"x","")</f>
        <v/>
      </c>
    </row>
    <row r="840" spans="1:15" hidden="1">
      <c r="A840" s="24">
        <f t="shared" si="16"/>
        <v>8</v>
      </c>
      <c r="B840" s="188" t="str">
        <f>IF(AND(MONTH(E840)='IN-NX'!$J$5,'IN-NX'!$D$7=(D840&amp;"/"&amp;C840)),"x","")</f>
        <v/>
      </c>
      <c r="C840" s="185" t="s">
        <v>154</v>
      </c>
      <c r="D840" s="185" t="s">
        <v>144</v>
      </c>
      <c r="E840" s="69">
        <v>41507</v>
      </c>
      <c r="F840" s="61" t="s">
        <v>320</v>
      </c>
      <c r="G840" s="19" t="s">
        <v>120</v>
      </c>
      <c r="H840" s="216" t="s">
        <v>462</v>
      </c>
      <c r="I840" s="56" t="s">
        <v>90</v>
      </c>
      <c r="J840" s="15">
        <v>181821.29566666667</v>
      </c>
      <c r="K840" s="15">
        <v>3000</v>
      </c>
      <c r="L840" s="15">
        <v>545463887</v>
      </c>
      <c r="M840" s="15">
        <v>0</v>
      </c>
      <c r="N840" s="15">
        <v>0</v>
      </c>
      <c r="O840" s="15" t="str">
        <f>IF(AND(A840='BANG KE NL'!$M$11,TH!C840="NL",LEFT(D840,1)="N"),"x","")</f>
        <v/>
      </c>
    </row>
    <row r="841" spans="1:15" hidden="1">
      <c r="A841" s="24">
        <f t="shared" si="16"/>
        <v>8</v>
      </c>
      <c r="B841" s="188" t="str">
        <f>IF(AND(MONTH(E841)='IN-NX'!$J$5,'IN-NX'!$D$7=(D841&amp;"/"&amp;C841)),"x","")</f>
        <v/>
      </c>
      <c r="C841" s="185" t="s">
        <v>154</v>
      </c>
      <c r="D841" s="185" t="s">
        <v>152</v>
      </c>
      <c r="E841" s="69">
        <v>41509</v>
      </c>
      <c r="F841" s="61" t="s">
        <v>320</v>
      </c>
      <c r="G841" s="19" t="s">
        <v>452</v>
      </c>
      <c r="H841" s="216" t="s">
        <v>92</v>
      </c>
      <c r="I841" s="56" t="s">
        <v>462</v>
      </c>
      <c r="J841" s="15">
        <v>181821.29566666667</v>
      </c>
      <c r="K841" s="15">
        <v>0</v>
      </c>
      <c r="L841" s="15">
        <v>0</v>
      </c>
      <c r="M841" s="15">
        <v>3000</v>
      </c>
      <c r="N841" s="15">
        <v>545463887</v>
      </c>
      <c r="O841" s="15" t="str">
        <f>IF(AND(A841='BANG KE NL'!$M$11,TH!C841="NL",LEFT(D841,1)="N"),"x","")</f>
        <v/>
      </c>
    </row>
    <row r="842" spans="1:15" hidden="1">
      <c r="A842" s="24">
        <f t="shared" si="16"/>
        <v>9</v>
      </c>
      <c r="B842" s="188" t="str">
        <f>IF(AND(MONTH(E842)='IN-NX'!$J$5,'IN-NX'!$D$7=(D842&amp;"/"&amp;C842)),"x","")</f>
        <v/>
      </c>
      <c r="C842" s="185" t="s">
        <v>154</v>
      </c>
      <c r="D842" s="185" t="s">
        <v>143</v>
      </c>
      <c r="E842" s="69">
        <v>41539</v>
      </c>
      <c r="F842" s="61" t="s">
        <v>320</v>
      </c>
      <c r="G842" s="19" t="s">
        <v>120</v>
      </c>
      <c r="H842" s="216" t="s">
        <v>462</v>
      </c>
      <c r="I842" s="56" t="s">
        <v>90</v>
      </c>
      <c r="J842" s="15">
        <v>179609.58105263158</v>
      </c>
      <c r="K842" s="15">
        <v>2850</v>
      </c>
      <c r="L842" s="15">
        <v>511887306</v>
      </c>
      <c r="M842" s="15">
        <v>0</v>
      </c>
      <c r="N842" s="15">
        <v>0</v>
      </c>
      <c r="O842" s="15" t="str">
        <f>IF(AND(A842='BANG KE NL'!$M$11,TH!C842="NL",LEFT(D842,1)="N"),"x","")</f>
        <v/>
      </c>
    </row>
    <row r="843" spans="1:15" hidden="1">
      <c r="A843" s="24">
        <f t="shared" si="16"/>
        <v>9</v>
      </c>
      <c r="B843" s="188" t="str">
        <f>IF(AND(MONTH(E843)='IN-NX'!$J$5,'IN-NX'!$D$7=(D843&amp;"/"&amp;C843)),"x","")</f>
        <v/>
      </c>
      <c r="C843" s="185" t="s">
        <v>154</v>
      </c>
      <c r="D843" s="185" t="s">
        <v>149</v>
      </c>
      <c r="E843" s="69">
        <v>41540</v>
      </c>
      <c r="F843" s="61" t="s">
        <v>320</v>
      </c>
      <c r="G843" s="19" t="s">
        <v>451</v>
      </c>
      <c r="H843" s="216" t="s">
        <v>92</v>
      </c>
      <c r="I843" s="56" t="s">
        <v>462</v>
      </c>
      <c r="J843" s="15">
        <v>179609.58105263158</v>
      </c>
      <c r="K843" s="15">
        <v>0</v>
      </c>
      <c r="L843" s="15">
        <v>0</v>
      </c>
      <c r="M843" s="15">
        <v>2850</v>
      </c>
      <c r="N843" s="15">
        <v>511887306</v>
      </c>
      <c r="O843" s="15" t="str">
        <f>IF(AND(A843='BANG KE NL'!$M$11,TH!C843="NL",LEFT(D843,1)="N"),"x","")</f>
        <v/>
      </c>
    </row>
    <row r="844" spans="1:15" hidden="1">
      <c r="A844" s="24">
        <f t="shared" si="16"/>
        <v>10</v>
      </c>
      <c r="B844" s="188" t="str">
        <f>IF(AND(MONTH(E844)='IN-NX'!$J$5,'IN-NX'!$D$7=(D844&amp;"/"&amp;C844)),"x","")</f>
        <v/>
      </c>
      <c r="C844" s="185" t="s">
        <v>154</v>
      </c>
      <c r="D844" s="185" t="s">
        <v>145</v>
      </c>
      <c r="E844" s="69">
        <v>41571</v>
      </c>
      <c r="F844" s="61" t="s">
        <v>320</v>
      </c>
      <c r="G844" s="19" t="s">
        <v>120</v>
      </c>
      <c r="H844" s="216" t="s">
        <v>462</v>
      </c>
      <c r="I844" s="56" t="s">
        <v>90</v>
      </c>
      <c r="J844" s="15">
        <v>176536.443</v>
      </c>
      <c r="K844" s="15">
        <v>2000</v>
      </c>
      <c r="L844" s="15">
        <v>353072886</v>
      </c>
      <c r="M844" s="15">
        <v>0</v>
      </c>
      <c r="N844" s="15">
        <v>0</v>
      </c>
      <c r="O844" s="15" t="str">
        <f>IF(AND(A844='BANG KE NL'!$M$11,TH!C844="NL",LEFT(D844,1)="N"),"x","")</f>
        <v/>
      </c>
    </row>
    <row r="845" spans="1:15" hidden="1">
      <c r="A845" s="24">
        <f t="shared" si="16"/>
        <v>10</v>
      </c>
      <c r="B845" s="188" t="str">
        <f>IF(AND(MONTH(E845)='IN-NX'!$J$5,'IN-NX'!$D$7=(D845&amp;"/"&amp;C845)),"x","")</f>
        <v/>
      </c>
      <c r="C845" s="185" t="s">
        <v>154</v>
      </c>
      <c r="D845" s="185" t="s">
        <v>152</v>
      </c>
      <c r="E845" s="69">
        <v>41572</v>
      </c>
      <c r="F845" s="61" t="s">
        <v>320</v>
      </c>
      <c r="G845" s="19" t="s">
        <v>451</v>
      </c>
      <c r="H845" s="216" t="s">
        <v>92</v>
      </c>
      <c r="I845" s="56" t="s">
        <v>462</v>
      </c>
      <c r="J845" s="15">
        <v>176536.443</v>
      </c>
      <c r="K845" s="15">
        <v>0</v>
      </c>
      <c r="L845" s="15">
        <v>0</v>
      </c>
      <c r="M845" s="15">
        <v>2000</v>
      </c>
      <c r="N845" s="15">
        <v>353072886</v>
      </c>
      <c r="O845" s="15" t="str">
        <f>IF(AND(A845='BANG KE NL'!$M$11,TH!C845="NL",LEFT(D845,1)="N"),"x","")</f>
        <v/>
      </c>
    </row>
    <row r="846" spans="1:15" hidden="1">
      <c r="A846" s="24">
        <f t="shared" si="16"/>
        <v>11</v>
      </c>
      <c r="B846" s="188" t="str">
        <f>IF(AND(MONTH(E846)='IN-NX'!$J$5,'IN-NX'!$D$7=(D846&amp;"/"&amp;C846)),"x","")</f>
        <v/>
      </c>
      <c r="C846" s="185" t="s">
        <v>154</v>
      </c>
      <c r="D846" s="185" t="s">
        <v>144</v>
      </c>
      <c r="E846" s="69">
        <v>41584</v>
      </c>
      <c r="F846" s="61" t="s">
        <v>320</v>
      </c>
      <c r="G846" s="19" t="s">
        <v>120</v>
      </c>
      <c r="H846" s="216" t="s">
        <v>462</v>
      </c>
      <c r="I846" s="56" t="s">
        <v>90</v>
      </c>
      <c r="J846" s="15">
        <v>187176.728</v>
      </c>
      <c r="K846" s="15">
        <v>1000</v>
      </c>
      <c r="L846" s="15">
        <v>187176728</v>
      </c>
      <c r="M846" s="15">
        <v>0</v>
      </c>
      <c r="N846" s="15">
        <v>0</v>
      </c>
      <c r="O846" s="15" t="str">
        <f>IF(AND(A846='BANG KE NL'!$M$11,TH!C846="NL",LEFT(D846,1)="N"),"x","")</f>
        <v/>
      </c>
    </row>
    <row r="847" spans="1:15" hidden="1">
      <c r="A847" s="24">
        <f t="shared" si="16"/>
        <v>11</v>
      </c>
      <c r="B847" s="188" t="str">
        <f>IF(AND(MONTH(E847)='IN-NX'!$J$5,'IN-NX'!$D$7=(D847&amp;"/"&amp;C847)),"x","")</f>
        <v/>
      </c>
      <c r="C847" s="185" t="s">
        <v>154</v>
      </c>
      <c r="D847" s="185" t="s">
        <v>150</v>
      </c>
      <c r="E847" s="69">
        <v>41585</v>
      </c>
      <c r="F847" s="61" t="s">
        <v>320</v>
      </c>
      <c r="G847" s="19" t="s">
        <v>452</v>
      </c>
      <c r="H847" s="216" t="s">
        <v>92</v>
      </c>
      <c r="I847" s="56" t="s">
        <v>462</v>
      </c>
      <c r="J847" s="15">
        <v>187176.728</v>
      </c>
      <c r="K847" s="15">
        <v>0</v>
      </c>
      <c r="L847" s="15">
        <v>0</v>
      </c>
      <c r="M847" s="15">
        <v>1000</v>
      </c>
      <c r="N847" s="15">
        <v>187176728</v>
      </c>
      <c r="O847" s="15" t="str">
        <f>IF(AND(A847='BANG KE NL'!$M$11,TH!C847="NL",LEFT(D847,1)="N"),"x","")</f>
        <v/>
      </c>
    </row>
    <row r="848" spans="1:15" hidden="1">
      <c r="A848" s="24">
        <f t="shared" si="16"/>
        <v>11</v>
      </c>
      <c r="B848" s="188" t="str">
        <f>IF(AND(MONTH(E848)='IN-NX'!$J$5,'IN-NX'!$D$7=(D848&amp;"/"&amp;C848)),"x","")</f>
        <v/>
      </c>
      <c r="C848" s="185" t="s">
        <v>154</v>
      </c>
      <c r="D848" s="185" t="s">
        <v>145</v>
      </c>
      <c r="E848" s="69">
        <v>41608</v>
      </c>
      <c r="F848" s="61" t="s">
        <v>320</v>
      </c>
      <c r="G848" s="19" t="s">
        <v>120</v>
      </c>
      <c r="H848" s="216" t="s">
        <v>462</v>
      </c>
      <c r="I848" s="56" t="s">
        <v>90</v>
      </c>
      <c r="J848" s="15">
        <v>187176.72736418512</v>
      </c>
      <c r="K848" s="15">
        <v>1988</v>
      </c>
      <c r="L848" s="15">
        <v>372107334</v>
      </c>
      <c r="M848" s="15">
        <v>0</v>
      </c>
      <c r="N848" s="15">
        <v>0</v>
      </c>
      <c r="O848" s="15" t="str">
        <f>IF(AND(A848='BANG KE NL'!$M$11,TH!C848="NL",LEFT(D848,1)="N"),"x","")</f>
        <v/>
      </c>
    </row>
    <row r="849" spans="1:15" hidden="1">
      <c r="A849" s="24">
        <f t="shared" si="16"/>
        <v>12</v>
      </c>
      <c r="B849" s="188" t="str">
        <f>IF(AND(MONTH(E849)='IN-NX'!$J$5,'IN-NX'!$D$7=(D849&amp;"/"&amp;C849)),"x","")</f>
        <v/>
      </c>
      <c r="C849" s="185" t="s">
        <v>154</v>
      </c>
      <c r="D849" s="185" t="s">
        <v>144</v>
      </c>
      <c r="E849" s="69">
        <v>41614</v>
      </c>
      <c r="F849" s="61" t="s">
        <v>320</v>
      </c>
      <c r="G849" s="19" t="s">
        <v>120</v>
      </c>
      <c r="H849" s="216" t="s">
        <v>462</v>
      </c>
      <c r="I849" s="56" t="s">
        <v>90</v>
      </c>
      <c r="J849" s="15">
        <v>177077.50370159454</v>
      </c>
      <c r="K849" s="15">
        <v>3512</v>
      </c>
      <c r="L849" s="15">
        <v>621896193</v>
      </c>
      <c r="M849" s="15">
        <v>0</v>
      </c>
      <c r="N849" s="15">
        <v>0</v>
      </c>
      <c r="O849" s="15" t="str">
        <f>IF(AND(A849='BANG KE NL'!$M$11,TH!C849="NL",LEFT(D849,1)="N"),"x","")</f>
        <v/>
      </c>
    </row>
    <row r="850" spans="1:15" hidden="1">
      <c r="A850" s="24">
        <f t="shared" si="16"/>
        <v>12</v>
      </c>
      <c r="B850" s="188" t="str">
        <f>IF(AND(MONTH(E850)='IN-NX'!$J$5,'IN-NX'!$D$7=(D850&amp;"/"&amp;C850)),"x","")</f>
        <v/>
      </c>
      <c r="C850" s="185" t="s">
        <v>154</v>
      </c>
      <c r="D850" s="185" t="s">
        <v>150</v>
      </c>
      <c r="E850" s="69">
        <v>41615</v>
      </c>
      <c r="F850" s="61" t="s">
        <v>320</v>
      </c>
      <c r="G850" s="19" t="s">
        <v>452</v>
      </c>
      <c r="H850" s="216" t="s">
        <v>92</v>
      </c>
      <c r="I850" s="56" t="s">
        <v>462</v>
      </c>
      <c r="J850" s="15">
        <v>180727.91399999999</v>
      </c>
      <c r="K850" s="15">
        <v>0</v>
      </c>
      <c r="L850" s="15">
        <v>0</v>
      </c>
      <c r="M850" s="15">
        <v>5500</v>
      </c>
      <c r="N850" s="15">
        <v>994003527</v>
      </c>
      <c r="O850" s="15" t="str">
        <f>IF(AND(A850='BANG KE NL'!$M$11,TH!C850="NL",LEFT(D850,1)="N"),"x","")</f>
        <v/>
      </c>
    </row>
    <row r="851" spans="1:15" hidden="1">
      <c r="A851" s="24">
        <f t="shared" si="16"/>
        <v>12</v>
      </c>
      <c r="B851" s="188" t="str">
        <f>IF(AND(MONTH(E851)='IN-NX'!$J$5,'IN-NX'!$D$7=(D851&amp;"/"&amp;C851)),"x","")</f>
        <v/>
      </c>
      <c r="C851" s="185" t="s">
        <v>154</v>
      </c>
      <c r="D851" s="185" t="s">
        <v>163</v>
      </c>
      <c r="E851" s="69">
        <v>41633</v>
      </c>
      <c r="F851" s="61" t="s">
        <v>320</v>
      </c>
      <c r="G851" s="19" t="s">
        <v>120</v>
      </c>
      <c r="H851" s="216" t="s">
        <v>462</v>
      </c>
      <c r="I851" s="56" t="s">
        <v>90</v>
      </c>
      <c r="J851" s="15">
        <v>177077.503</v>
      </c>
      <c r="K851" s="15">
        <v>1000</v>
      </c>
      <c r="L851" s="15">
        <v>177077503</v>
      </c>
      <c r="M851" s="15">
        <v>0</v>
      </c>
      <c r="N851" s="15">
        <v>0</v>
      </c>
      <c r="O851" s="15" t="str">
        <f>IF(AND(A851='BANG KE NL'!$M$11,TH!C851="NL",LEFT(D851,1)="N"),"x","")</f>
        <v/>
      </c>
    </row>
    <row r="852" spans="1:15" hidden="1">
      <c r="A852" s="24">
        <f t="shared" si="16"/>
        <v>12</v>
      </c>
      <c r="B852" s="188" t="str">
        <f>IF(AND(MONTH(E852)='IN-NX'!$J$5,'IN-NX'!$D$7=(D852&amp;"/"&amp;C852)),"x","")</f>
        <v/>
      </c>
      <c r="C852" s="185" t="s">
        <v>154</v>
      </c>
      <c r="D852" s="185" t="s">
        <v>200</v>
      </c>
      <c r="E852" s="69">
        <v>41634</v>
      </c>
      <c r="F852" s="61" t="s">
        <v>320</v>
      </c>
      <c r="G852" s="19" t="s">
        <v>451</v>
      </c>
      <c r="H852" s="216" t="s">
        <v>92</v>
      </c>
      <c r="I852" s="56" t="s">
        <v>462</v>
      </c>
      <c r="J852" s="15">
        <v>177077.503</v>
      </c>
      <c r="K852" s="15">
        <v>0</v>
      </c>
      <c r="L852" s="15">
        <v>0</v>
      </c>
      <c r="M852" s="15">
        <v>1000</v>
      </c>
      <c r="N852" s="15">
        <v>177077503</v>
      </c>
      <c r="O852" s="15" t="str">
        <f>IF(AND(A852='BANG KE NL'!$M$11,TH!C852="NL",LEFT(D852,1)="N"),"x","")</f>
        <v/>
      </c>
    </row>
    <row r="853" spans="1:15" hidden="1">
      <c r="A853" s="24" t="str">
        <f t="shared" si="16"/>
        <v/>
      </c>
      <c r="B853" s="188" t="str">
        <f>IF(AND(MONTH(E853)='IN-NX'!$J$5,'IN-NX'!$D$7=(D853&amp;"/"&amp;C853)),"x","")</f>
        <v/>
      </c>
      <c r="C853" s="185"/>
      <c r="D853" s="185"/>
      <c r="E853" s="69"/>
      <c r="F853" s="61"/>
      <c r="G853" s="19"/>
      <c r="H853" s="190"/>
      <c r="I853" s="56"/>
      <c r="J853" s="15"/>
      <c r="K853" s="15"/>
      <c r="L853" s="15"/>
      <c r="M853" s="15"/>
      <c r="N853" s="15"/>
      <c r="O853" s="15" t="str">
        <f>IF(AND(A853='BANG KE NL'!$M$11,TH!C853="NL",LEFT(D853,1)="N"),"x","")</f>
        <v/>
      </c>
    </row>
    <row r="854" spans="1:15" hidden="1">
      <c r="A854" s="24" t="str">
        <f t="shared" si="16"/>
        <v/>
      </c>
      <c r="B854" s="188" t="str">
        <f>IF(AND(MONTH(E854)='IN-NX'!$J$5,'IN-NX'!$D$7=(D854&amp;"/"&amp;C854)),"x","")</f>
        <v/>
      </c>
      <c r="C854" s="185"/>
      <c r="D854" s="185"/>
      <c r="E854" s="69"/>
      <c r="F854" s="61"/>
      <c r="G854" s="19"/>
      <c r="H854" s="190"/>
      <c r="I854" s="56"/>
      <c r="J854" s="15"/>
      <c r="K854" s="15"/>
      <c r="L854" s="15">
        <f t="shared" ref="L854" si="17">ROUND(J854*K854,0)</f>
        <v>0</v>
      </c>
      <c r="M854" s="15"/>
      <c r="N854" s="15">
        <f t="shared" ref="N854" si="18">ROUND(J854*M854,0)</f>
        <v>0</v>
      </c>
      <c r="O854" s="15" t="str">
        <f>IF(AND(A854='BANG KE NL'!$M$11,TH!C854="NL",LEFT(D854,1)="N"),"x","")</f>
        <v/>
      </c>
    </row>
    <row r="855" spans="1:15">
      <c r="L855" s="26"/>
    </row>
    <row r="856" spans="1:15">
      <c r="L856" s="26"/>
      <c r="N856" s="218"/>
    </row>
    <row r="857" spans="1:15">
      <c r="L857" s="26"/>
    </row>
    <row r="858" spans="1:15">
      <c r="L858" s="26"/>
    </row>
    <row r="859" spans="1:15">
      <c r="L859" s="26"/>
      <c r="N859" s="26">
        <f>SUBTOTAL(9,N127:N858)</f>
        <v>90155250</v>
      </c>
    </row>
    <row r="860" spans="1:15">
      <c r="K860" s="424"/>
      <c r="L860" s="26"/>
    </row>
    <row r="861" spans="1:15">
      <c r="L861" s="26"/>
    </row>
    <row r="862" spans="1:15">
      <c r="L862" s="26"/>
    </row>
    <row r="863" spans="1:15">
      <c r="L863" s="26">
        <f>SUBTOTAL(9,L5:L862)</f>
        <v>0</v>
      </c>
      <c r="N863" s="26"/>
    </row>
    <row r="864" spans="1:15">
      <c r="N864" s="26"/>
    </row>
    <row r="865" spans="14:14">
      <c r="N865" s="218"/>
    </row>
  </sheetData>
  <autoFilter ref="A4:O854">
    <filterColumn colId="0">
      <filters>
        <filter val="12"/>
      </filters>
    </filterColumn>
    <filterColumn colId="2"/>
    <filterColumn colId="5"/>
    <filterColumn colId="6"/>
    <filterColumn colId="7">
      <filters>
        <filter val="154"/>
      </filters>
    </filterColumn>
    <filterColumn colId="8">
      <filters>
        <filter val="1522"/>
      </filters>
    </filterColumn>
  </autoFilter>
  <sortState ref="A187:O231">
    <sortCondition ref="F187:F231"/>
    <sortCondition ref="J187:J231"/>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3">
    <dataValidation type="list" allowBlank="1" showInputMessage="1" showErrorMessage="1" sqref="G2:G4 G74:G75 G693 G686:G690 G682:G684 G680 G678 G675:G676 G671:G673 G668:G669 G663:G666 G659:G661 G656:G657 G652:G654 G648:G650 G644:G646 G640:G642 G637:G638 G633:G635 G629:G631 G625:G626 G621:G623 G617:G619 G615 G611:G613 G609 G602:G606 G597:G599 G593:G595 G586:G590 G580:G582 G576:G578 G568:G574 G562:G565 G555:G559 G549:G552 G544:G546 G536:G541 G530:G533 G526:G528 G522:G524 G518:G520 G514:G516 G512 G500:G507 G496:G498 G493:G494 G489:G491 G483:G486 G477:G480 G474:G475 G468:G471 G466 G460:G463 G455:G458 G449:G452 G446:G447 G442:G444 G436:G439 G429:G433 G426:G427 G423:G424 G416:G419 G412:G414 G405:G410 G401:G403 G397:G399 G382:G392 G372:G380 G368:G369 G364:G366 G360:G362 G356:G358 G352:G354 G349:G350 G345:G347 G342:G343 G340 G336:G338 G333:G334 G330:G331 G324:G328 G320:G322 G315:G316 G307:G313 G295:G303 G293 G287:G290 G282:G285 G278:G280 G275:G276 G271:G273 G268:G269 G265:G266 G262:G263 G252:G259 G250 G248 G246 G244 G242 G240 G238 G235:G236 G232 G228:G230 G224:G225 G222 G220 G218 G214:G215 G212 G209:G210 G205:G207 G201:G202 G198 G196 G194 G190:G191 G188 G186 G183 G181 G178 G176 G174 G172 G168:G169 G166 G164 G159:G162 G156 G154 G152 G150 G147:G148 G145 G142 G140 G137:G138 G133:G135 G131 G129 G127 G125 G123 G119:G120 G115:G116 G113 G109 G102 G98:G99 G96 G94 G92 G90 G87:G88 G85 G82:G83 G80 G78 G695:G65982">
      <formula1>Loai3</formula1>
    </dataValidation>
    <dataValidation type="list" allowBlank="1" showInputMessage="1" showErrorMessage="1" sqref="G38:G41 F70:F65982 F31:G31 F2:F30 F46:G46 G44 F32:F45 G50 F48:G48 F47 F58:G58 G52 G54 F56:G56 F49:F55 F66:G66 F57 F59:F65 F69:G69 F67:F68 G33:G35">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P112"/>
  <sheetViews>
    <sheetView topLeftCell="A5" zoomScale="90" workbookViewId="0">
      <pane ySplit="9" topLeftCell="A14" activePane="bottomLeft" state="frozen"/>
      <selection activeCell="A5" sqref="A5"/>
      <selection pane="bottomLeft" activeCell="I20" sqref="I20"/>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99" t="s">
        <v>155</v>
      </c>
      <c r="E1" s="9"/>
      <c r="O1" s="233"/>
    </row>
    <row r="2" spans="1:15" s="6" customFormat="1" ht="16.5" customHeight="1">
      <c r="B2" s="1" t="s">
        <v>40</v>
      </c>
      <c r="C2" s="2"/>
      <c r="D2" s="3"/>
      <c r="E2" s="57"/>
      <c r="F2" s="8"/>
      <c r="J2" s="500" t="s">
        <v>116</v>
      </c>
      <c r="K2" s="500"/>
      <c r="L2" s="500"/>
      <c r="M2" s="500"/>
      <c r="N2" s="219"/>
    </row>
    <row r="3" spans="1:15" s="6" customFormat="1" ht="16.5" customHeight="1">
      <c r="B3" s="1" t="s">
        <v>42</v>
      </c>
      <c r="C3" s="1"/>
      <c r="D3" s="1"/>
      <c r="E3" s="58"/>
      <c r="F3" s="1"/>
      <c r="J3" s="501" t="s">
        <v>117</v>
      </c>
      <c r="K3" s="501"/>
      <c r="L3" s="501"/>
      <c r="M3" s="501"/>
      <c r="N3" s="220"/>
    </row>
    <row r="4" spans="1:15" s="6" customFormat="1" ht="16.5" customHeight="1">
      <c r="B4" s="1"/>
      <c r="C4" s="1"/>
      <c r="D4" s="1"/>
      <c r="E4" s="58"/>
      <c r="F4" s="1"/>
      <c r="J4" s="501"/>
      <c r="K4" s="501"/>
      <c r="L4" s="501"/>
      <c r="M4" s="501"/>
      <c r="N4" s="220"/>
    </row>
    <row r="5" spans="1:15" ht="18.75" customHeight="1">
      <c r="B5" s="502" t="s">
        <v>0</v>
      </c>
      <c r="C5" s="502"/>
      <c r="D5" s="502"/>
      <c r="E5" s="502"/>
      <c r="F5" s="502"/>
      <c r="G5" s="502"/>
      <c r="H5" s="502"/>
      <c r="I5" s="502"/>
      <c r="J5" s="502"/>
      <c r="K5" s="502"/>
      <c r="L5" s="502"/>
      <c r="M5" s="502"/>
      <c r="N5" s="221"/>
    </row>
    <row r="6" spans="1:15" s="28" customFormat="1" ht="12.75">
      <c r="B6" s="503" t="s">
        <v>94</v>
      </c>
      <c r="C6" s="503"/>
      <c r="D6" s="503"/>
      <c r="E6" s="503"/>
      <c r="F6" s="503"/>
      <c r="G6" s="503"/>
      <c r="H6" s="503"/>
      <c r="I6" s="503"/>
      <c r="J6" s="503"/>
      <c r="K6" s="503"/>
      <c r="L6" s="503"/>
      <c r="M6" s="503"/>
      <c r="N6" s="222"/>
    </row>
    <row r="7" spans="1:15">
      <c r="C7" s="23"/>
      <c r="D7" s="23"/>
      <c r="F7" s="23" t="s">
        <v>207</v>
      </c>
      <c r="G7" s="23"/>
      <c r="H7" s="234" t="s">
        <v>206</v>
      </c>
      <c r="I7" s="23" t="str">
        <f>IF($O$10="NL","Nguyên Liệu",IF($O$10="TP","Thành Phẩm",IF($O$10="VL","Vật Liệu","")))</f>
        <v>Vật Liệu</v>
      </c>
      <c r="J7" s="23"/>
      <c r="K7" s="23"/>
      <c r="L7" s="23"/>
      <c r="M7" s="23"/>
      <c r="N7" s="10"/>
    </row>
    <row r="8" spans="1:15">
      <c r="B8" s="10"/>
      <c r="C8" s="23"/>
      <c r="D8" s="23"/>
      <c r="F8" s="10" t="s">
        <v>87</v>
      </c>
      <c r="H8" s="23"/>
      <c r="I8" s="23"/>
      <c r="J8" s="497" t="s">
        <v>38</v>
      </c>
      <c r="K8" s="497"/>
      <c r="L8" s="497"/>
      <c r="M8" s="23"/>
      <c r="N8" s="23"/>
    </row>
    <row r="9" spans="1:15">
      <c r="D9" s="11"/>
      <c r="E9" s="59"/>
      <c r="F9" s="11"/>
      <c r="G9" s="11"/>
      <c r="H9" s="11"/>
      <c r="I9" s="11"/>
      <c r="J9" s="11"/>
      <c r="K9" s="11" t="s">
        <v>88</v>
      </c>
      <c r="M9" s="54"/>
      <c r="N9" s="228"/>
    </row>
    <row r="10" spans="1:15" ht="15.75" customHeight="1">
      <c r="A10" s="488" t="s">
        <v>30</v>
      </c>
      <c r="B10" s="505" t="s">
        <v>1</v>
      </c>
      <c r="C10" s="505"/>
      <c r="D10" s="487" t="s">
        <v>2</v>
      </c>
      <c r="E10" s="487" t="s">
        <v>3</v>
      </c>
      <c r="F10" s="487" t="s">
        <v>4</v>
      </c>
      <c r="G10" s="498" t="s">
        <v>5</v>
      </c>
      <c r="H10" s="499"/>
      <c r="I10" s="498" t="s">
        <v>6</v>
      </c>
      <c r="J10" s="499"/>
      <c r="K10" s="498" t="s">
        <v>7</v>
      </c>
      <c r="L10" s="499"/>
      <c r="M10" s="487" t="s">
        <v>8</v>
      </c>
      <c r="N10" s="229"/>
      <c r="O10" s="232" t="s">
        <v>153</v>
      </c>
    </row>
    <row r="11" spans="1:15" ht="31.5" customHeight="1">
      <c r="A11" s="488"/>
      <c r="B11" s="198" t="s">
        <v>9</v>
      </c>
      <c r="C11" s="198" t="s">
        <v>10</v>
      </c>
      <c r="D11" s="487"/>
      <c r="E11" s="487"/>
      <c r="F11" s="487"/>
      <c r="G11" s="198" t="s">
        <v>11</v>
      </c>
      <c r="H11" s="198" t="s">
        <v>12</v>
      </c>
      <c r="I11" s="198" t="s">
        <v>11</v>
      </c>
      <c r="J11" s="198" t="s">
        <v>12</v>
      </c>
      <c r="K11" s="198" t="s">
        <v>11</v>
      </c>
      <c r="L11" s="198" t="s">
        <v>12</v>
      </c>
      <c r="M11" s="487"/>
      <c r="N11" s="229"/>
    </row>
    <row r="12" spans="1:15" s="10" customFormat="1">
      <c r="A12" s="53"/>
      <c r="B12" s="12" t="s">
        <v>13</v>
      </c>
      <c r="C12" s="13" t="s">
        <v>14</v>
      </c>
      <c r="D12" s="13" t="s">
        <v>15</v>
      </c>
      <c r="E12" s="12" t="s">
        <v>16</v>
      </c>
      <c r="F12" s="12">
        <v>1</v>
      </c>
      <c r="G12" s="12">
        <v>2</v>
      </c>
      <c r="H12" s="12" t="s">
        <v>17</v>
      </c>
      <c r="I12" s="12">
        <v>4</v>
      </c>
      <c r="J12" s="12" t="s">
        <v>18</v>
      </c>
      <c r="K12" s="12">
        <v>6</v>
      </c>
      <c r="L12" s="12" t="s">
        <v>19</v>
      </c>
      <c r="M12" s="12"/>
      <c r="N12" s="230"/>
    </row>
    <row r="13" spans="1:15">
      <c r="A13" s="14"/>
      <c r="B13" s="14"/>
      <c r="C13" s="14"/>
      <c r="D13" s="15" t="s">
        <v>20</v>
      </c>
      <c r="E13" s="55"/>
      <c r="F13" s="16">
        <f>L13/K13</f>
        <v>16428.037383177569</v>
      </c>
      <c r="G13" s="16"/>
      <c r="H13" s="16"/>
      <c r="I13" s="16"/>
      <c r="J13" s="16"/>
      <c r="K13" s="147">
        <f>VLOOKUP($J$8,NXT!$C$12:$L$125,3,0)</f>
        <v>1070</v>
      </c>
      <c r="L13" s="147">
        <f>VLOOKUP($J$8,NXT!$C$12:$L$125,4,0)</f>
        <v>17578000</v>
      </c>
      <c r="M13" s="16"/>
      <c r="N13" s="230"/>
    </row>
    <row r="14" spans="1:15">
      <c r="A14" s="24">
        <f ca="1">IF(D14&lt;&gt;"",ROW()-(ROW()-1),"")</f>
        <v>1</v>
      </c>
      <c r="B14" s="148" t="str">
        <f ca="1">IF(ROWS($1:1)&gt;COUNT(_DNL1),"",OFFSET(TH!D$1,SMALL(_DNL1,ROWS($1:1)),)&amp;"/"&amp;OFFSET(TH!C$1,SMALL(_DNL1,ROWS($1:1)),))</f>
        <v>X02/VL</v>
      </c>
      <c r="C14" s="149">
        <f ca="1">IF(ROWS($1:1)&gt;COUNT(_DNL1),"",OFFSET(TH!E$1,SMALL(_DNL1,ROWS($1:1)),))</f>
        <v>41276</v>
      </c>
      <c r="D14" s="150" t="str">
        <f ca="1">IF(ROWS($1:1)&gt;COUNT(_DNL1),"",OFFSET(TH!F$1,SMALL(_DNL1,ROWS($1:1)),))</f>
        <v>Đường</v>
      </c>
      <c r="E14" s="148" t="str">
        <f ca="1">IF(ROWS($1:1)&gt;COUNT(_DNL1),"",IF(OFFSET(TH!H$1,SMALL(_DNL1,ROWS($1:1)),)="1521",OFFSET(TH!I$1,SMALL(_DNL1,ROWS($1:1)),),OFFSET(TH!H$1,SMALL(_DNL1,ROWS($1:1)),)))</f>
        <v>154</v>
      </c>
      <c r="F14" s="151">
        <f ca="1">IF(ROWS($1:1)&gt;COUNT(_DNL1),0,OFFSET(TH!J$1,SMALL(_DNL1,ROWS($1:1)),))</f>
        <v>15400</v>
      </c>
      <c r="G14" s="151">
        <f ca="1">IF(ROWS($1:1)&gt;COUNT(_DNL1),0,IF(OFFSET(TH!K$1,SMALL(_DNL1,ROWS($1:1)),)&lt;&gt;0,OFFSET(TH!K$1,SMALL(_DNL1,ROWS($1:1)),),0))</f>
        <v>0</v>
      </c>
      <c r="H14" s="146">
        <f t="shared" ref="H14:H20" ca="1" si="0">ROUND(F14*G14,0)</f>
        <v>0</v>
      </c>
      <c r="I14" s="151">
        <f ca="1">IF(ROWS($1:1)&gt;COUNT(_DNL1),0,IF(OFFSET(TH!M$1,SMALL(_DNL1,ROWS($1:1)),)&lt;&gt;0,OFFSET(TH!M$1,SMALL(_DNL1,ROWS($1:1)),),0))</f>
        <v>55</v>
      </c>
      <c r="J14" s="146">
        <f t="shared" ref="J14:J20" ca="1" si="1">ROUND(F14*I14,0)</f>
        <v>847000</v>
      </c>
      <c r="K14" s="146">
        <f t="shared" ref="K14:K20" ca="1" si="2">IF(D14&lt;&gt;"",K13+G14-I14,0)</f>
        <v>1015</v>
      </c>
      <c r="L14" s="146">
        <f t="shared" ref="L14:L20" ca="1" si="3">IF(D14&lt;&gt;"",L13+H14-J14,0)</f>
        <v>16731000</v>
      </c>
      <c r="M14" s="146"/>
      <c r="N14" s="230"/>
    </row>
    <row r="15" spans="1:15">
      <c r="A15" s="24">
        <f t="shared" ref="A15:A20" ca="1" si="4">IF(D15&lt;&gt;"",A14+1,"")</f>
        <v>2</v>
      </c>
      <c r="B15" s="148" t="str">
        <f ca="1">IF(ROWS($1:2)&gt;COUNT(_DNL1),"",OFFSET(TH!D$1,SMALL(_DNL1,ROWS($1:2)),)&amp;"/"&amp;OFFSET(TH!C$1,SMALL(_DNL1,ROWS($1:2)),))</f>
        <v>X02/VL</v>
      </c>
      <c r="C15" s="149">
        <f ca="1">IF(ROWS($1:2)&gt;COUNT(_DNL1),"",OFFSET(TH!E$1,SMALL(_DNL1,ROWS($1:2)),))</f>
        <v>41335</v>
      </c>
      <c r="D15" s="150" t="str">
        <f ca="1">IF(ROWS($1:2)&gt;COUNT(_DNL1),"",OFFSET(TH!F$1,SMALL(_DNL1,ROWS($1:2)),))</f>
        <v>Đường</v>
      </c>
      <c r="E15" s="148" t="str">
        <f ca="1">IF(ROWS($1:2)&gt;COUNT(_DNL1),"",IF(OFFSET(TH!H$1,SMALL(_DNL1,ROWS($1:2)),)="1521",OFFSET(TH!I$1,SMALL(_DNL1,ROWS($1:2)),),OFFSET(TH!H$1,SMALL(_DNL1,ROWS($1:2)),)))</f>
        <v>154</v>
      </c>
      <c r="F15" s="151">
        <f ca="1">IF(ROWS($1:2)&gt;COUNT(_DNL1),0,OFFSET(TH!J$1,SMALL(_DNL1,ROWS($1:2)),))</f>
        <v>16417.5</v>
      </c>
      <c r="G15" s="151">
        <f ca="1">IF(ROWS($1:2)&gt;COUNT(_DNL1),0,IF(OFFSET(TH!K$1,SMALL(_DNL1,ROWS($1:2)),)&lt;&gt;0,OFFSET(TH!K$1,SMALL(_DNL1,ROWS($1:2)),),0))</f>
        <v>0</v>
      </c>
      <c r="H15" s="146">
        <f t="shared" ca="1" si="0"/>
        <v>0</v>
      </c>
      <c r="I15" s="151">
        <f ca="1">IF(ROWS($1:2)&gt;COUNT(_DNL1),0,IF(OFFSET(TH!M$1,SMALL(_DNL1,ROWS($1:2)),)&lt;&gt;0,OFFSET(TH!M$1,SMALL(_DNL1,ROWS($1:2)),),0))</f>
        <v>200</v>
      </c>
      <c r="J15" s="146">
        <f t="shared" ca="1" si="1"/>
        <v>3283500</v>
      </c>
      <c r="K15" s="146">
        <f t="shared" ca="1" si="2"/>
        <v>815</v>
      </c>
      <c r="L15" s="146">
        <f t="shared" ca="1" si="3"/>
        <v>13447500</v>
      </c>
      <c r="M15" s="146"/>
      <c r="N15" s="230"/>
    </row>
    <row r="16" spans="1:15">
      <c r="A16" s="24">
        <f t="shared" ca="1" si="4"/>
        <v>3</v>
      </c>
      <c r="B16" s="148" t="str">
        <f ca="1">IF(ROWS($1:3)&gt;COUNT(_DNL1),"",OFFSET(TH!D$1,SMALL(_DNL1,ROWS($1:3)),)&amp;"/"&amp;OFFSET(TH!C$1,SMALL(_DNL1,ROWS($1:3)),))</f>
        <v>X01/VL</v>
      </c>
      <c r="C16" s="149">
        <f ca="1">IF(ROWS($1:3)&gt;COUNT(_DNL1),"",OFFSET(TH!E$1,SMALL(_DNL1,ROWS($1:3)),))</f>
        <v>41365</v>
      </c>
      <c r="D16" s="150" t="str">
        <f ca="1">IF(ROWS($1:3)&gt;COUNT(_DNL1),"",OFFSET(TH!F$1,SMALL(_DNL1,ROWS($1:3)),))</f>
        <v>Đường</v>
      </c>
      <c r="E16" s="148" t="str">
        <f ca="1">IF(ROWS($1:3)&gt;COUNT(_DNL1),"",IF(OFFSET(TH!H$1,SMALL(_DNL1,ROWS($1:3)),)="1521",OFFSET(TH!I$1,SMALL(_DNL1,ROWS($1:3)),),OFFSET(TH!H$1,SMALL(_DNL1,ROWS($1:3)),)))</f>
        <v>154</v>
      </c>
      <c r="F16" s="151">
        <f ca="1">IF(ROWS($1:3)&gt;COUNT(_DNL1),0,OFFSET(TH!J$1,SMALL(_DNL1,ROWS($1:3)),))</f>
        <v>16500</v>
      </c>
      <c r="G16" s="151">
        <f ca="1">IF(ROWS($1:3)&gt;COUNT(_DNL1),0,IF(OFFSET(TH!K$1,SMALL(_DNL1,ROWS($1:3)),)&lt;&gt;0,OFFSET(TH!K$1,SMALL(_DNL1,ROWS($1:3)),),0))</f>
        <v>0</v>
      </c>
      <c r="H16" s="146">
        <f t="shared" ca="1" si="0"/>
        <v>0</v>
      </c>
      <c r="I16" s="151">
        <f ca="1">IF(ROWS($1:3)&gt;COUNT(_DNL1),0,IF(OFFSET(TH!M$1,SMALL(_DNL1,ROWS($1:3)),)&lt;&gt;0,OFFSET(TH!M$1,SMALL(_DNL1,ROWS($1:3)),),0))</f>
        <v>330</v>
      </c>
      <c r="J16" s="146">
        <f t="shared" ca="1" si="1"/>
        <v>5445000</v>
      </c>
      <c r="K16" s="146">
        <f t="shared" ca="1" si="2"/>
        <v>485</v>
      </c>
      <c r="L16" s="146">
        <f t="shared" ca="1" si="3"/>
        <v>8002500</v>
      </c>
      <c r="M16" s="146"/>
      <c r="N16" s="230"/>
    </row>
    <row r="17" spans="1:16">
      <c r="A17" s="24">
        <f t="shared" ca="1" si="4"/>
        <v>4</v>
      </c>
      <c r="B17" s="148" t="str">
        <f ca="1">IF(ROWS($1:4)&gt;COUNT(_DNL1),"",OFFSET(TH!D$1,SMALL(_DNL1,ROWS($1:4)),)&amp;"/"&amp;OFFSET(TH!C$1,SMALL(_DNL1,ROWS($1:4)),))</f>
        <v>X01/VL</v>
      </c>
      <c r="C17" s="149">
        <f ca="1">IF(ROWS($1:4)&gt;COUNT(_DNL1),"",OFFSET(TH!E$1,SMALL(_DNL1,ROWS($1:4)),))</f>
        <v>41397</v>
      </c>
      <c r="D17" s="150" t="str">
        <f ca="1">IF(ROWS($1:4)&gt;COUNT(_DNL1),"",OFFSET(TH!F$1,SMALL(_DNL1,ROWS($1:4)),))</f>
        <v>Đường</v>
      </c>
      <c r="E17" s="148" t="str">
        <f ca="1">IF(ROWS($1:4)&gt;COUNT(_DNL1),"",IF(OFFSET(TH!H$1,SMALL(_DNL1,ROWS($1:4)),)="1521",OFFSET(TH!I$1,SMALL(_DNL1,ROWS($1:4)),),OFFSET(TH!H$1,SMALL(_DNL1,ROWS($1:4)),)))</f>
        <v>154</v>
      </c>
      <c r="F17" s="151">
        <f ca="1">IF(ROWS($1:4)&gt;COUNT(_DNL1),0,OFFSET(TH!J$1,SMALL(_DNL1,ROWS($1:4)),))</f>
        <v>16500</v>
      </c>
      <c r="G17" s="151">
        <f ca="1">IF(ROWS($1:4)&gt;COUNT(_DNL1),0,IF(OFFSET(TH!K$1,SMALL(_DNL1,ROWS($1:4)),)&lt;&gt;0,OFFSET(TH!K$1,SMALL(_DNL1,ROWS($1:4)),),0))</f>
        <v>0</v>
      </c>
      <c r="H17" s="146">
        <f t="shared" ca="1" si="0"/>
        <v>0</v>
      </c>
      <c r="I17" s="151">
        <f ca="1">IF(ROWS($1:4)&gt;COUNT(_DNL1),0,IF(OFFSET(TH!M$1,SMALL(_DNL1,ROWS($1:4)),)&lt;&gt;0,OFFSET(TH!M$1,SMALL(_DNL1,ROWS($1:4)),),0))</f>
        <v>220</v>
      </c>
      <c r="J17" s="146">
        <f t="shared" ca="1" si="1"/>
        <v>3630000</v>
      </c>
      <c r="K17" s="146">
        <f t="shared" ca="1" si="2"/>
        <v>265</v>
      </c>
      <c r="L17" s="146">
        <f t="shared" ca="1" si="3"/>
        <v>4372500</v>
      </c>
      <c r="M17" s="146"/>
      <c r="N17" s="230"/>
      <c r="P17" s="26"/>
    </row>
    <row r="18" spans="1:16">
      <c r="A18" s="24">
        <f t="shared" ca="1" si="4"/>
        <v>5</v>
      </c>
      <c r="B18" s="148" t="str">
        <f ca="1">IF(ROWS($1:5)&gt;COUNT(_DNL1),"",OFFSET(TH!D$1,SMALL(_DNL1,ROWS($1:5)),)&amp;"/"&amp;OFFSET(TH!C$1,SMALL(_DNL1,ROWS($1:5)),))</f>
        <v>X01/VL</v>
      </c>
      <c r="C18" s="149">
        <f ca="1">IF(ROWS($1:5)&gt;COUNT(_DNL1),"",OFFSET(TH!E$1,SMALL(_DNL1,ROWS($1:5)),))</f>
        <v>41427</v>
      </c>
      <c r="D18" s="150" t="str">
        <f ca="1">IF(ROWS($1:5)&gt;COUNT(_DNL1),"",OFFSET(TH!F$1,SMALL(_DNL1,ROWS($1:5)),))</f>
        <v>Đường</v>
      </c>
      <c r="E18" s="148" t="str">
        <f ca="1">IF(ROWS($1:5)&gt;COUNT(_DNL1),"",IF(OFFSET(TH!H$1,SMALL(_DNL1,ROWS($1:5)),)="1521",OFFSET(TH!I$1,SMALL(_DNL1,ROWS($1:5)),),OFFSET(TH!H$1,SMALL(_DNL1,ROWS($1:5)),)))</f>
        <v>154</v>
      </c>
      <c r="F18" s="151">
        <f ca="1">IF(ROWS($1:5)&gt;COUNT(_DNL1),0,OFFSET(TH!J$1,SMALL(_DNL1,ROWS($1:5)),))</f>
        <v>16500</v>
      </c>
      <c r="G18" s="151">
        <f ca="1">IF(ROWS($1:5)&gt;COUNT(_DNL1),0,IF(OFFSET(TH!K$1,SMALL(_DNL1,ROWS($1:5)),)&lt;&gt;0,OFFSET(TH!K$1,SMALL(_DNL1,ROWS($1:5)),),0))</f>
        <v>0</v>
      </c>
      <c r="H18" s="146">
        <f t="shared" ca="1" si="0"/>
        <v>0</v>
      </c>
      <c r="I18" s="151">
        <f ca="1">IF(ROWS($1:5)&gt;COUNT(_DNL1),0,IF(OFFSET(TH!M$1,SMALL(_DNL1,ROWS($1:5)),)&lt;&gt;0,OFFSET(TH!M$1,SMALL(_DNL1,ROWS($1:5)),),0))</f>
        <v>50</v>
      </c>
      <c r="J18" s="146">
        <f t="shared" ca="1" si="1"/>
        <v>825000</v>
      </c>
      <c r="K18" s="146">
        <f t="shared" ca="1" si="2"/>
        <v>215</v>
      </c>
      <c r="L18" s="146">
        <f t="shared" ca="1" si="3"/>
        <v>3547500</v>
      </c>
      <c r="M18" s="146"/>
      <c r="N18" s="230"/>
    </row>
    <row r="19" spans="1:16">
      <c r="A19" s="24">
        <f t="shared" ca="1" si="4"/>
        <v>6</v>
      </c>
      <c r="B19" s="148" t="str">
        <f ca="1">IF(ROWS($1:6)&gt;COUNT(_DNL1),"",OFFSET(TH!D$1,SMALL(_DNL1,ROWS($1:6)),)&amp;"/"&amp;OFFSET(TH!C$1,SMALL(_DNL1,ROWS($1:6)),))</f>
        <v>X02/VL</v>
      </c>
      <c r="C19" s="149">
        <f ca="1">IF(ROWS($1:6)&gt;COUNT(_DNL1),"",OFFSET(TH!E$1,SMALL(_DNL1,ROWS($1:6)),))</f>
        <v>41458</v>
      </c>
      <c r="D19" s="150" t="str">
        <f ca="1">IF(ROWS($1:6)&gt;COUNT(_DNL1),"",OFFSET(TH!F$1,SMALL(_DNL1,ROWS($1:6)),))</f>
        <v>Đường</v>
      </c>
      <c r="E19" s="148" t="str">
        <f ca="1">IF(ROWS($1:6)&gt;COUNT(_DNL1),"",IF(OFFSET(TH!H$1,SMALL(_DNL1,ROWS($1:6)),)="1521",OFFSET(TH!I$1,SMALL(_DNL1,ROWS($1:6)),),OFFSET(TH!H$1,SMALL(_DNL1,ROWS($1:6)),)))</f>
        <v>154</v>
      </c>
      <c r="F19" s="151">
        <f ca="1">IF(ROWS($1:6)&gt;COUNT(_DNL1),0,OFFSET(TH!J$1,SMALL(_DNL1,ROWS($1:6)),))</f>
        <v>16500</v>
      </c>
      <c r="G19" s="151">
        <f ca="1">IF(ROWS($1:6)&gt;COUNT(_DNL1),0,IF(OFFSET(TH!K$1,SMALL(_DNL1,ROWS($1:6)),)&lt;&gt;0,OFFSET(TH!K$1,SMALL(_DNL1,ROWS($1:6)),),0))</f>
        <v>0</v>
      </c>
      <c r="H19" s="146">
        <f t="shared" ca="1" si="0"/>
        <v>0</v>
      </c>
      <c r="I19" s="151">
        <f ca="1">IF(ROWS($1:6)&gt;COUNT(_DNL1),0,IF(OFFSET(TH!M$1,SMALL(_DNL1,ROWS($1:6)),)&lt;&gt;0,OFFSET(TH!M$1,SMALL(_DNL1,ROWS($1:6)),),0))</f>
        <v>60</v>
      </c>
      <c r="J19" s="146">
        <f t="shared" ca="1" si="1"/>
        <v>990000</v>
      </c>
      <c r="K19" s="146">
        <f t="shared" ca="1" si="2"/>
        <v>155</v>
      </c>
      <c r="L19" s="146">
        <f t="shared" ca="1" si="3"/>
        <v>2557500</v>
      </c>
      <c r="M19" s="146"/>
      <c r="N19" s="230"/>
    </row>
    <row r="20" spans="1:16">
      <c r="A20" s="24">
        <f t="shared" ca="1" si="4"/>
        <v>7</v>
      </c>
      <c r="B20" s="148" t="str">
        <f ca="1">IF(ROWS($1:7)&gt;COUNT(_DNL1),"",OFFSET(TH!D$1,SMALL(_DNL1,ROWS($1:7)),)&amp;"/"&amp;OFFSET(TH!C$1,SMALL(_DNL1,ROWS($1:7)),))</f>
        <v>N05/VL</v>
      </c>
      <c r="C20" s="149">
        <f ca="1">IF(ROWS($1:7)&gt;COUNT(_DNL1),"",OFFSET(TH!E$1,SMALL(_DNL1,ROWS($1:7)),))</f>
        <v>41505</v>
      </c>
      <c r="D20" s="150" t="str">
        <f ca="1">IF(ROWS($1:7)&gt;COUNT(_DNL1),"",OFFSET(TH!F$1,SMALL(_DNL1,ROWS($1:7)),))</f>
        <v>Đường</v>
      </c>
      <c r="E20" s="148" t="str">
        <f ca="1">IF(ROWS($1:7)&gt;COUNT(_DNL1),"",IF(OFFSET(TH!H$1,SMALL(_DNL1,ROWS($1:7)),)="1521",OFFSET(TH!I$1,SMALL(_DNL1,ROWS($1:7)),),OFFSET(TH!H$1,SMALL(_DNL1,ROWS($1:7)),)))</f>
        <v>1522</v>
      </c>
      <c r="F20" s="151">
        <f ca="1">IF(ROWS($1:7)&gt;COUNT(_DNL1),0,OFFSET(TH!J$1,SMALL(_DNL1,ROWS($1:7)),))</f>
        <v>14000</v>
      </c>
      <c r="G20" s="151">
        <f ca="1">IF(ROWS($1:7)&gt;COUNT(_DNL1),0,IF(OFFSET(TH!K$1,SMALL(_DNL1,ROWS($1:7)),)&lt;&gt;0,OFFSET(TH!K$1,SMALL(_DNL1,ROWS($1:7)),),0))</f>
        <v>1000</v>
      </c>
      <c r="H20" s="146">
        <f t="shared" ca="1" si="0"/>
        <v>14000000</v>
      </c>
      <c r="I20" s="151">
        <f ca="1">IF(ROWS($1:7)&gt;COUNT(_DNL1),0,IF(OFFSET(TH!M$1,SMALL(_DNL1,ROWS($1:7)),)&lt;&gt;0,OFFSET(TH!M$1,SMALL(_DNL1,ROWS($1:7)),),0))</f>
        <v>0</v>
      </c>
      <c r="J20" s="146">
        <f t="shared" ca="1" si="1"/>
        <v>0</v>
      </c>
      <c r="K20" s="146">
        <f t="shared" ca="1" si="2"/>
        <v>1155</v>
      </c>
      <c r="L20" s="146">
        <f t="shared" ca="1" si="3"/>
        <v>16557500</v>
      </c>
      <c r="M20" s="146"/>
      <c r="N20" s="230"/>
    </row>
    <row r="21" spans="1:16">
      <c r="A21" s="24">
        <f t="shared" ref="A21:A22" ca="1" si="5">IF(D21&lt;&gt;"",A20+1,"")</f>
        <v>8</v>
      </c>
      <c r="B21" s="148" t="str">
        <f ca="1">IF(ROWS($1:8)&gt;COUNT(_DNL1),"",OFFSET(TH!D$1,SMALL(_DNL1,ROWS($1:8)),)&amp;"/"&amp;OFFSET(TH!C$1,SMALL(_DNL1,ROWS($1:8)),))</f>
        <v>X05/VL</v>
      </c>
      <c r="C21" s="149">
        <f ca="1">IF(ROWS($1:8)&gt;COUNT(_DNL1),"",OFFSET(TH!E$1,SMALL(_DNL1,ROWS($1:8)),))</f>
        <v>41505</v>
      </c>
      <c r="D21" s="150" t="str">
        <f ca="1">IF(ROWS($1:8)&gt;COUNT(_DNL1),"",OFFSET(TH!F$1,SMALL(_DNL1,ROWS($1:8)),))</f>
        <v>Đường</v>
      </c>
      <c r="E21" s="148" t="str">
        <f ca="1">IF(ROWS($1:8)&gt;COUNT(_DNL1),"",IF(OFFSET(TH!H$1,SMALL(_DNL1,ROWS($1:8)),)="1521",OFFSET(TH!I$1,SMALL(_DNL1,ROWS($1:8)),),OFFSET(TH!H$1,SMALL(_DNL1,ROWS($1:8)),)))</f>
        <v>154</v>
      </c>
      <c r="F21" s="151">
        <f ca="1">IF(ROWS($1:8)&gt;COUNT(_DNL1),0,OFFSET(TH!J$1,SMALL(_DNL1,ROWS($1:8)),))</f>
        <v>15107.142857142857</v>
      </c>
      <c r="G21" s="151">
        <f ca="1">IF(ROWS($1:8)&gt;COUNT(_DNL1),0,IF(OFFSET(TH!K$1,SMALL(_DNL1,ROWS($1:8)),)&lt;&gt;0,OFFSET(TH!K$1,SMALL(_DNL1,ROWS($1:8)),),0))</f>
        <v>0</v>
      </c>
      <c r="H21" s="146">
        <f t="shared" ref="H21:H22" ca="1" si="6">ROUND(F21*G21,0)</f>
        <v>0</v>
      </c>
      <c r="I21" s="151">
        <f ca="1">IF(ROWS($1:8)&gt;COUNT(_DNL1),0,IF(OFFSET(TH!M$1,SMALL(_DNL1,ROWS($1:8)),)&lt;&gt;0,OFFSET(TH!M$1,SMALL(_DNL1,ROWS($1:8)),),0))</f>
        <v>350</v>
      </c>
      <c r="J21" s="146">
        <f t="shared" ref="J21:J22" ca="1" si="7">ROUND(F21*I21,0)</f>
        <v>5287500</v>
      </c>
      <c r="K21" s="146">
        <f t="shared" ref="K21:K22" ca="1" si="8">IF(D21&lt;&gt;"",K20+G21-I21,0)</f>
        <v>805</v>
      </c>
      <c r="L21" s="146">
        <f t="shared" ref="L21:L22" ca="1" si="9">IF(D21&lt;&gt;"",L20+H21-J21,0)</f>
        <v>11270000</v>
      </c>
      <c r="M21" s="146"/>
      <c r="N21" s="230"/>
    </row>
    <row r="22" spans="1:16">
      <c r="A22" s="24">
        <f t="shared" ca="1" si="5"/>
        <v>9</v>
      </c>
      <c r="B22" s="148" t="str">
        <f ca="1">IF(ROWS($1:9)&gt;COUNT(_DNL1),"",OFFSET(TH!D$1,SMALL(_DNL1,ROWS($1:9)),)&amp;"/"&amp;OFFSET(TH!C$1,SMALL(_DNL1,ROWS($1:9)),))</f>
        <v>X02/VL</v>
      </c>
      <c r="C22" s="149">
        <f ca="1">IF(ROWS($1:9)&gt;COUNT(_DNL1),"",OFFSET(TH!E$1,SMALL(_DNL1,ROWS($1:9)),))</f>
        <v>41521</v>
      </c>
      <c r="D22" s="150" t="str">
        <f ca="1">IF(ROWS($1:9)&gt;COUNT(_DNL1),"",OFFSET(TH!F$1,SMALL(_DNL1,ROWS($1:9)),))</f>
        <v>Đường</v>
      </c>
      <c r="E22" s="148" t="str">
        <f ca="1">IF(ROWS($1:9)&gt;COUNT(_DNL1),"",IF(OFFSET(TH!H$1,SMALL(_DNL1,ROWS($1:9)),)="1521",OFFSET(TH!I$1,SMALL(_DNL1,ROWS($1:9)),),OFFSET(TH!H$1,SMALL(_DNL1,ROWS($1:9)),)))</f>
        <v>154</v>
      </c>
      <c r="F22" s="151">
        <f ca="1">IF(ROWS($1:9)&gt;COUNT(_DNL1),0,OFFSET(TH!J$1,SMALL(_DNL1,ROWS($1:9)),))</f>
        <v>14000</v>
      </c>
      <c r="G22" s="151">
        <f ca="1">IF(ROWS($1:9)&gt;COUNT(_DNL1),0,IF(OFFSET(TH!K$1,SMALL(_DNL1,ROWS($1:9)),)&lt;&gt;0,OFFSET(TH!K$1,SMALL(_DNL1,ROWS($1:9)),),0))</f>
        <v>0</v>
      </c>
      <c r="H22" s="146">
        <f t="shared" ca="1" si="6"/>
        <v>0</v>
      </c>
      <c r="I22" s="151">
        <f ca="1">IF(ROWS($1:9)&gt;COUNT(_DNL1),0,IF(OFFSET(TH!M$1,SMALL(_DNL1,ROWS($1:9)),)&lt;&gt;0,OFFSET(TH!M$1,SMALL(_DNL1,ROWS($1:9)),),0))</f>
        <v>170</v>
      </c>
      <c r="J22" s="146">
        <f t="shared" ca="1" si="7"/>
        <v>2380000</v>
      </c>
      <c r="K22" s="146">
        <f t="shared" ca="1" si="8"/>
        <v>635</v>
      </c>
      <c r="L22" s="146">
        <f t="shared" ca="1" si="9"/>
        <v>8890000</v>
      </c>
      <c r="M22" s="146"/>
      <c r="N22" s="230"/>
    </row>
    <row r="23" spans="1:16">
      <c r="A23" s="24">
        <f t="shared" ref="A23:A71" ca="1" si="10">IF(D23&lt;&gt;"",A22+1,"")</f>
        <v>10</v>
      </c>
      <c r="B23" s="148" t="str">
        <f ca="1">IF(ROWS($1:10)&gt;COUNT(_DNL1),"",OFFSET(TH!D$1,SMALL(_DNL1,ROWS($1:10)),)&amp;"/"&amp;OFFSET(TH!C$1,SMALL(_DNL1,ROWS($1:10)),))</f>
        <v>N06/VL</v>
      </c>
      <c r="C23" s="149">
        <f ca="1">IF(ROWS($1:10)&gt;COUNT(_DNL1),"",OFFSET(TH!E$1,SMALL(_DNL1,ROWS($1:10)),))</f>
        <v>41532</v>
      </c>
      <c r="D23" s="150" t="str">
        <f ca="1">IF(ROWS($1:10)&gt;COUNT(_DNL1),"",OFFSET(TH!F$1,SMALL(_DNL1,ROWS($1:10)),))</f>
        <v>Đường</v>
      </c>
      <c r="E23" s="148" t="str">
        <f ca="1">IF(ROWS($1:10)&gt;COUNT(_DNL1),"",IF(OFFSET(TH!H$1,SMALL(_DNL1,ROWS($1:10)),)="1521",OFFSET(TH!I$1,SMALL(_DNL1,ROWS($1:10)),),OFFSET(TH!H$1,SMALL(_DNL1,ROWS($1:10)),)))</f>
        <v>1522</v>
      </c>
      <c r="F23" s="151">
        <f ca="1">IF(ROWS($1:10)&gt;COUNT(_DNL1),0,OFFSET(TH!J$1,SMALL(_DNL1,ROWS($1:10)),))</f>
        <v>14000</v>
      </c>
      <c r="G23" s="151">
        <f ca="1">IF(ROWS($1:10)&gt;COUNT(_DNL1),0,IF(OFFSET(TH!K$1,SMALL(_DNL1,ROWS($1:10)),)&lt;&gt;0,OFFSET(TH!K$1,SMALL(_DNL1,ROWS($1:10)),),0))</f>
        <v>1000</v>
      </c>
      <c r="H23" s="146">
        <f t="shared" ref="H23:H71" ca="1" si="11">ROUND(F23*G23,0)</f>
        <v>14000000</v>
      </c>
      <c r="I23" s="151">
        <f ca="1">IF(ROWS($1:10)&gt;COUNT(_DNL1),0,IF(OFFSET(TH!M$1,SMALL(_DNL1,ROWS($1:10)),)&lt;&gt;0,OFFSET(TH!M$1,SMALL(_DNL1,ROWS($1:10)),),0))</f>
        <v>0</v>
      </c>
      <c r="J23" s="146">
        <f t="shared" ref="J23:J71" ca="1" si="12">ROUND(F23*I23,0)</f>
        <v>0</v>
      </c>
      <c r="K23" s="146">
        <f t="shared" ref="K23:K71" ca="1" si="13">IF(D23&lt;&gt;"",K22+G23-I23,0)</f>
        <v>1635</v>
      </c>
      <c r="L23" s="146">
        <f t="shared" ref="L23:L71" ca="1" si="14">IF(D23&lt;&gt;"",L22+H23-J23,0)</f>
        <v>22890000</v>
      </c>
      <c r="M23" s="146"/>
      <c r="N23" s="230"/>
    </row>
    <row r="24" spans="1:16">
      <c r="A24" s="24">
        <f t="shared" ca="1" si="10"/>
        <v>11</v>
      </c>
      <c r="B24" s="148" t="str">
        <f ca="1">IF(ROWS($1:11)&gt;COUNT(_DNL1),"",OFFSET(TH!D$1,SMALL(_DNL1,ROWS($1:11)),)&amp;"/"&amp;OFFSET(TH!C$1,SMALL(_DNL1,ROWS($1:11)),))</f>
        <v>X01/VL</v>
      </c>
      <c r="C24" s="149">
        <f ca="1">IF(ROWS($1:11)&gt;COUNT(_DNL1),"",OFFSET(TH!E$1,SMALL(_DNL1,ROWS($1:11)),))</f>
        <v>41551</v>
      </c>
      <c r="D24" s="150" t="str">
        <f ca="1">IF(ROWS($1:11)&gt;COUNT(_DNL1),"",OFFSET(TH!F$1,SMALL(_DNL1,ROWS($1:11)),))</f>
        <v>Đường</v>
      </c>
      <c r="E24" s="148" t="str">
        <f ca="1">IF(ROWS($1:11)&gt;COUNT(_DNL1),"",IF(OFFSET(TH!H$1,SMALL(_DNL1,ROWS($1:11)),)="1521",OFFSET(TH!I$1,SMALL(_DNL1,ROWS($1:11)),),OFFSET(TH!H$1,SMALL(_DNL1,ROWS($1:11)),)))</f>
        <v>154</v>
      </c>
      <c r="F24" s="151">
        <f ca="1">IF(ROWS($1:11)&gt;COUNT(_DNL1),0,OFFSET(TH!J$1,SMALL(_DNL1,ROWS($1:11)),))</f>
        <v>14000</v>
      </c>
      <c r="G24" s="151">
        <f ca="1">IF(ROWS($1:11)&gt;COUNT(_DNL1),0,IF(OFFSET(TH!K$1,SMALL(_DNL1,ROWS($1:11)),)&lt;&gt;0,OFFSET(TH!K$1,SMALL(_DNL1,ROWS($1:11)),),0))</f>
        <v>0</v>
      </c>
      <c r="H24" s="146">
        <f t="shared" ca="1" si="11"/>
        <v>0</v>
      </c>
      <c r="I24" s="151">
        <f ca="1">IF(ROWS($1:11)&gt;COUNT(_DNL1),0,IF(OFFSET(TH!M$1,SMALL(_DNL1,ROWS($1:11)),)&lt;&gt;0,OFFSET(TH!M$1,SMALL(_DNL1,ROWS($1:11)),),0))</f>
        <v>180</v>
      </c>
      <c r="J24" s="146">
        <f t="shared" ca="1" si="12"/>
        <v>2520000</v>
      </c>
      <c r="K24" s="146">
        <f t="shared" ca="1" si="13"/>
        <v>1455</v>
      </c>
      <c r="L24" s="146">
        <f t="shared" ca="1" si="14"/>
        <v>20370000</v>
      </c>
      <c r="M24" s="146"/>
      <c r="N24" s="230"/>
    </row>
    <row r="25" spans="1:16">
      <c r="A25" s="24">
        <f t="shared" ca="1" si="10"/>
        <v>12</v>
      </c>
      <c r="B25" s="148" t="str">
        <f ca="1">IF(ROWS($1:12)&gt;COUNT(_DNL1),"",OFFSET(TH!D$1,SMALL(_DNL1,ROWS($1:12)),)&amp;"/"&amp;OFFSET(TH!C$1,SMALL(_DNL1,ROWS($1:12)),))</f>
        <v>X01/VL</v>
      </c>
      <c r="C25" s="149">
        <f ca="1">IF(ROWS($1:12)&gt;COUNT(_DNL1),"",OFFSET(TH!E$1,SMALL(_DNL1,ROWS($1:12)),))</f>
        <v>41579</v>
      </c>
      <c r="D25" s="150" t="str">
        <f ca="1">IF(ROWS($1:12)&gt;COUNT(_DNL1),"",OFFSET(TH!F$1,SMALL(_DNL1,ROWS($1:12)),))</f>
        <v>Đường</v>
      </c>
      <c r="E25" s="148" t="str">
        <f ca="1">IF(ROWS($1:12)&gt;COUNT(_DNL1),"",IF(OFFSET(TH!H$1,SMALL(_DNL1,ROWS($1:12)),)="1521",OFFSET(TH!I$1,SMALL(_DNL1,ROWS($1:12)),),OFFSET(TH!H$1,SMALL(_DNL1,ROWS($1:12)),)))</f>
        <v>154</v>
      </c>
      <c r="F25" s="151">
        <f ca="1">IF(ROWS($1:12)&gt;COUNT(_DNL1),0,OFFSET(TH!J$1,SMALL(_DNL1,ROWS($1:12)),))</f>
        <v>14000</v>
      </c>
      <c r="G25" s="151">
        <f ca="1">IF(ROWS($1:12)&gt;COUNT(_DNL1),0,IF(OFFSET(TH!K$1,SMALL(_DNL1,ROWS($1:12)),)&lt;&gt;0,OFFSET(TH!K$1,SMALL(_DNL1,ROWS($1:12)),),0))</f>
        <v>0</v>
      </c>
      <c r="H25" s="146">
        <f t="shared" ca="1" si="11"/>
        <v>0</v>
      </c>
      <c r="I25" s="151">
        <f ca="1">IF(ROWS($1:12)&gt;COUNT(_DNL1),0,IF(OFFSET(TH!M$1,SMALL(_DNL1,ROWS($1:12)),)&lt;&gt;0,OFFSET(TH!M$1,SMALL(_DNL1,ROWS($1:12)),),0))</f>
        <v>120</v>
      </c>
      <c r="J25" s="146">
        <f t="shared" ca="1" si="12"/>
        <v>1680000</v>
      </c>
      <c r="K25" s="146">
        <f t="shared" ca="1" si="13"/>
        <v>1335</v>
      </c>
      <c r="L25" s="146">
        <f t="shared" ca="1" si="14"/>
        <v>18690000</v>
      </c>
      <c r="M25" s="146"/>
      <c r="N25" s="230"/>
    </row>
    <row r="26" spans="1:16">
      <c r="A26" s="24">
        <f t="shared" ca="1" si="10"/>
        <v>13</v>
      </c>
      <c r="B26" s="148" t="str">
        <f ca="1">IF(ROWS($1:13)&gt;COUNT(_DNL1),"",OFFSET(TH!D$1,SMALL(_DNL1,ROWS($1:13)),)&amp;"/"&amp;OFFSET(TH!C$1,SMALL(_DNL1,ROWS($1:13)),))</f>
        <v>X01/VL</v>
      </c>
      <c r="C26" s="149">
        <f ca="1">IF(ROWS($1:13)&gt;COUNT(_DNL1),"",OFFSET(TH!E$1,SMALL(_DNL1,ROWS($1:13)),))</f>
        <v>41610</v>
      </c>
      <c r="D26" s="150" t="str">
        <f ca="1">IF(ROWS($1:13)&gt;COUNT(_DNL1),"",OFFSET(TH!F$1,SMALL(_DNL1,ROWS($1:13)),))</f>
        <v>Đường</v>
      </c>
      <c r="E26" s="148" t="str">
        <f ca="1">IF(ROWS($1:13)&gt;COUNT(_DNL1),"",IF(OFFSET(TH!H$1,SMALL(_DNL1,ROWS($1:13)),)="1521",OFFSET(TH!I$1,SMALL(_DNL1,ROWS($1:13)),),OFFSET(TH!H$1,SMALL(_DNL1,ROWS($1:13)),)))</f>
        <v>154</v>
      </c>
      <c r="F26" s="151">
        <f ca="1">IF(ROWS($1:13)&gt;COUNT(_DNL1),0,OFFSET(TH!J$1,SMALL(_DNL1,ROWS($1:13)),))</f>
        <v>14000</v>
      </c>
      <c r="G26" s="151">
        <f ca="1">IF(ROWS($1:13)&gt;COUNT(_DNL1),0,IF(OFFSET(TH!K$1,SMALL(_DNL1,ROWS($1:13)),)&lt;&gt;0,OFFSET(TH!K$1,SMALL(_DNL1,ROWS($1:13)),),0))</f>
        <v>0</v>
      </c>
      <c r="H26" s="146">
        <f t="shared" ca="1" si="11"/>
        <v>0</v>
      </c>
      <c r="I26" s="151">
        <f ca="1">IF(ROWS($1:13)&gt;COUNT(_DNL1),0,IF(OFFSET(TH!M$1,SMALL(_DNL1,ROWS($1:13)),)&lt;&gt;0,OFFSET(TH!M$1,SMALL(_DNL1,ROWS($1:13)),),0))</f>
        <v>390</v>
      </c>
      <c r="J26" s="146">
        <f t="shared" ca="1" si="12"/>
        <v>5460000</v>
      </c>
      <c r="K26" s="146">
        <f t="shared" ca="1" si="13"/>
        <v>945</v>
      </c>
      <c r="L26" s="146">
        <f t="shared" ca="1" si="14"/>
        <v>13230000</v>
      </c>
      <c r="M26" s="146"/>
      <c r="N26" s="230"/>
    </row>
    <row r="27" spans="1:16">
      <c r="A27" s="24" t="str">
        <f t="shared" ca="1" si="10"/>
        <v/>
      </c>
      <c r="B27" s="148" t="str">
        <f ca="1">IF(ROWS($1:14)&gt;COUNT(_DNL1),"",OFFSET(TH!D$1,SMALL(_DNL1,ROWS($1:14)),)&amp;"/"&amp;OFFSET(TH!C$1,SMALL(_DNL1,ROWS($1:14)),))</f>
        <v/>
      </c>
      <c r="C27" s="149" t="str">
        <f ca="1">IF(ROWS($1:14)&gt;COUNT(_DNL1),"",OFFSET(TH!E$1,SMALL(_DNL1,ROWS($1:14)),))</f>
        <v/>
      </c>
      <c r="D27" s="150" t="str">
        <f ca="1">IF(ROWS($1:14)&gt;COUNT(_DNL1),"",OFFSET(TH!F$1,SMALL(_DNL1,ROWS($1:14)),))</f>
        <v/>
      </c>
      <c r="E27" s="148" t="str">
        <f ca="1">IF(ROWS($1:14)&gt;COUNT(_DNL1),"",IF(OFFSET(TH!H$1,SMALL(_DNL1,ROWS($1:14)),)="1521",OFFSET(TH!I$1,SMALL(_DNL1,ROWS($1:14)),),OFFSET(TH!H$1,SMALL(_DNL1,ROWS($1:14)),)))</f>
        <v/>
      </c>
      <c r="F27" s="151">
        <f ca="1">IF(ROWS($1:14)&gt;COUNT(_DNL1),0,OFFSET(TH!J$1,SMALL(_DNL1,ROWS($1:14)),))</f>
        <v>0</v>
      </c>
      <c r="G27" s="151">
        <f ca="1">IF(ROWS($1:14)&gt;COUNT(_DNL1),0,IF(OFFSET(TH!K$1,SMALL(_DNL1,ROWS($1:14)),)&lt;&gt;0,OFFSET(TH!K$1,SMALL(_DNL1,ROWS($1:14)),),0))</f>
        <v>0</v>
      </c>
      <c r="H27" s="146">
        <f t="shared" ca="1" si="11"/>
        <v>0</v>
      </c>
      <c r="I27" s="151">
        <f ca="1">IF(ROWS($1:14)&gt;COUNT(_DNL1),0,IF(OFFSET(TH!M$1,SMALL(_DNL1,ROWS($1:14)),)&lt;&gt;0,OFFSET(TH!M$1,SMALL(_DNL1,ROWS($1:14)),),0))</f>
        <v>0</v>
      </c>
      <c r="J27" s="146">
        <f t="shared" ca="1" si="12"/>
        <v>0</v>
      </c>
      <c r="K27" s="146">
        <f t="shared" ca="1" si="13"/>
        <v>0</v>
      </c>
      <c r="L27" s="146">
        <f t="shared" ca="1" si="14"/>
        <v>0</v>
      </c>
      <c r="M27" s="146"/>
      <c r="N27" s="230"/>
    </row>
    <row r="28" spans="1:16">
      <c r="A28" s="24" t="str">
        <f t="shared" ca="1" si="10"/>
        <v/>
      </c>
      <c r="B28" s="148" t="str">
        <f ca="1">IF(ROWS($1:15)&gt;COUNT(_DNL1),"",OFFSET(TH!D$1,SMALL(_DNL1,ROWS($1:15)),)&amp;"/"&amp;OFFSET(TH!C$1,SMALL(_DNL1,ROWS($1:15)),))</f>
        <v/>
      </c>
      <c r="C28" s="149" t="str">
        <f ca="1">IF(ROWS($1:15)&gt;COUNT(_DNL1),"",OFFSET(TH!E$1,SMALL(_DNL1,ROWS($1:15)),))</f>
        <v/>
      </c>
      <c r="D28" s="150" t="str">
        <f ca="1">IF(ROWS($1:15)&gt;COUNT(_DNL1),"",OFFSET(TH!F$1,SMALL(_DNL1,ROWS($1:15)),))</f>
        <v/>
      </c>
      <c r="E28" s="148" t="str">
        <f ca="1">IF(ROWS($1:15)&gt;COUNT(_DNL1),"",IF(OFFSET(TH!H$1,SMALL(_DNL1,ROWS($1:15)),)="1521",OFFSET(TH!I$1,SMALL(_DNL1,ROWS($1:15)),),OFFSET(TH!H$1,SMALL(_DNL1,ROWS($1:15)),)))</f>
        <v/>
      </c>
      <c r="F28" s="151">
        <f ca="1">IF(ROWS($1:15)&gt;COUNT(_DNL1),0,OFFSET(TH!J$1,SMALL(_DNL1,ROWS($1:15)),))</f>
        <v>0</v>
      </c>
      <c r="G28" s="151">
        <f ca="1">IF(ROWS($1:15)&gt;COUNT(_DNL1),0,IF(OFFSET(TH!K$1,SMALL(_DNL1,ROWS($1:15)),)&lt;&gt;0,OFFSET(TH!K$1,SMALL(_DNL1,ROWS($1:15)),),0))</f>
        <v>0</v>
      </c>
      <c r="H28" s="146">
        <f t="shared" ca="1" si="11"/>
        <v>0</v>
      </c>
      <c r="I28" s="151">
        <f ca="1">IF(ROWS($1:15)&gt;COUNT(_DNL1),0,IF(OFFSET(TH!M$1,SMALL(_DNL1,ROWS($1:15)),)&lt;&gt;0,OFFSET(TH!M$1,SMALL(_DNL1,ROWS($1:15)),),0))</f>
        <v>0</v>
      </c>
      <c r="J28" s="146">
        <f t="shared" ca="1" si="12"/>
        <v>0</v>
      </c>
      <c r="K28" s="146">
        <f t="shared" ca="1" si="13"/>
        <v>0</v>
      </c>
      <c r="L28" s="146">
        <f t="shared" ca="1" si="14"/>
        <v>0</v>
      </c>
      <c r="M28" s="146"/>
      <c r="N28" s="230"/>
    </row>
    <row r="29" spans="1:16" hidden="1">
      <c r="A29" s="24" t="str">
        <f t="shared" ca="1" si="10"/>
        <v/>
      </c>
      <c r="B29" s="148" t="str">
        <f ca="1">IF(ROWS($1:16)&gt;COUNT(_DNL1),"",OFFSET(TH!D$1,SMALL(_DNL1,ROWS($1:16)),)&amp;"/"&amp;OFFSET(TH!C$1,SMALL(_DNL1,ROWS($1:16)),))</f>
        <v/>
      </c>
      <c r="C29" s="149" t="str">
        <f ca="1">IF(ROWS($1:16)&gt;COUNT(_DNL1),"",OFFSET(TH!E$1,SMALL(_DNL1,ROWS($1:16)),))</f>
        <v/>
      </c>
      <c r="D29" s="150" t="str">
        <f ca="1">IF(ROWS($1:16)&gt;COUNT(_DNL1),"",OFFSET(TH!F$1,SMALL(_DNL1,ROWS($1:16)),))</f>
        <v/>
      </c>
      <c r="E29" s="148" t="str">
        <f ca="1">IF(ROWS($1:16)&gt;COUNT(_DNL1),"",IF(OFFSET(TH!H$1,SMALL(_DNL1,ROWS($1:16)),)="1521",OFFSET(TH!I$1,SMALL(_DNL1,ROWS($1:16)),),OFFSET(TH!H$1,SMALL(_DNL1,ROWS($1:16)),)))</f>
        <v/>
      </c>
      <c r="F29" s="151">
        <f ca="1">IF(ROWS($1:16)&gt;COUNT(_DNL1),0,OFFSET(TH!J$1,SMALL(_DNL1,ROWS($1:16)),))</f>
        <v>0</v>
      </c>
      <c r="G29" s="151">
        <f ca="1">IF(ROWS($1:16)&gt;COUNT(_DNL1),0,IF(OFFSET(TH!K$1,SMALL(_DNL1,ROWS($1:16)),)&lt;&gt;0,OFFSET(TH!K$1,SMALL(_DNL1,ROWS($1:16)),),0))</f>
        <v>0</v>
      </c>
      <c r="H29" s="146">
        <f t="shared" ca="1" si="11"/>
        <v>0</v>
      </c>
      <c r="I29" s="151">
        <f ca="1">IF(ROWS($1:16)&gt;COUNT(_DNL1),0,IF(OFFSET(TH!M$1,SMALL(_DNL1,ROWS($1:16)),)&lt;&gt;0,OFFSET(TH!M$1,SMALL(_DNL1,ROWS($1:16)),),0))</f>
        <v>0</v>
      </c>
      <c r="J29" s="146">
        <f t="shared" ca="1" si="12"/>
        <v>0</v>
      </c>
      <c r="K29" s="146">
        <f t="shared" ca="1" si="13"/>
        <v>0</v>
      </c>
      <c r="L29" s="146">
        <f t="shared" ca="1" si="14"/>
        <v>0</v>
      </c>
      <c r="M29" s="146"/>
      <c r="N29" s="230"/>
    </row>
    <row r="30" spans="1:16" hidden="1">
      <c r="A30" s="24" t="str">
        <f t="shared" ca="1" si="10"/>
        <v/>
      </c>
      <c r="B30" s="148" t="str">
        <f ca="1">IF(ROWS($1:17)&gt;COUNT(_DNL1),"",OFFSET(TH!D$1,SMALL(_DNL1,ROWS($1:17)),)&amp;"/"&amp;OFFSET(TH!C$1,SMALL(_DNL1,ROWS($1:17)),))</f>
        <v/>
      </c>
      <c r="C30" s="149" t="str">
        <f ca="1">IF(ROWS($1:17)&gt;COUNT(_DNL1),"",OFFSET(TH!E$1,SMALL(_DNL1,ROWS($1:17)),))</f>
        <v/>
      </c>
      <c r="D30" s="150" t="str">
        <f ca="1">IF(ROWS($1:17)&gt;COUNT(_DNL1),"",OFFSET(TH!F$1,SMALL(_DNL1,ROWS($1:17)),))</f>
        <v/>
      </c>
      <c r="E30" s="148" t="str">
        <f ca="1">IF(ROWS($1:17)&gt;COUNT(_DNL1),"",IF(OFFSET(TH!H$1,SMALL(_DNL1,ROWS($1:17)),)="1521",OFFSET(TH!I$1,SMALL(_DNL1,ROWS($1:17)),),OFFSET(TH!H$1,SMALL(_DNL1,ROWS($1:17)),)))</f>
        <v/>
      </c>
      <c r="F30" s="151">
        <f ca="1">IF(ROWS($1:17)&gt;COUNT(_DNL1),0,OFFSET(TH!J$1,SMALL(_DNL1,ROWS($1:17)),))</f>
        <v>0</v>
      </c>
      <c r="G30" s="151">
        <f ca="1">IF(ROWS($1:17)&gt;COUNT(_DNL1),0,IF(OFFSET(TH!K$1,SMALL(_DNL1,ROWS($1:17)),)&lt;&gt;0,OFFSET(TH!K$1,SMALL(_DNL1,ROWS($1:17)),),0))</f>
        <v>0</v>
      </c>
      <c r="H30" s="146">
        <f t="shared" ca="1" si="11"/>
        <v>0</v>
      </c>
      <c r="I30" s="151">
        <f ca="1">IF(ROWS($1:17)&gt;COUNT(_DNL1),0,IF(OFFSET(TH!M$1,SMALL(_DNL1,ROWS($1:17)),)&lt;&gt;0,OFFSET(TH!M$1,SMALL(_DNL1,ROWS($1:17)),),0))</f>
        <v>0</v>
      </c>
      <c r="J30" s="146">
        <f t="shared" ca="1" si="12"/>
        <v>0</v>
      </c>
      <c r="K30" s="146">
        <f t="shared" ca="1" si="13"/>
        <v>0</v>
      </c>
      <c r="L30" s="146">
        <f t="shared" ca="1" si="14"/>
        <v>0</v>
      </c>
      <c r="M30" s="146"/>
      <c r="N30" s="230"/>
    </row>
    <row r="31" spans="1:16" hidden="1">
      <c r="A31" s="24" t="str">
        <f t="shared" ca="1" si="10"/>
        <v/>
      </c>
      <c r="B31" s="148" t="str">
        <f ca="1">IF(ROWS($1:18)&gt;COUNT(_DNL1),"",OFFSET(TH!D$1,SMALL(_DNL1,ROWS($1:18)),)&amp;"/"&amp;OFFSET(TH!C$1,SMALL(_DNL1,ROWS($1:18)),))</f>
        <v/>
      </c>
      <c r="C31" s="149" t="str">
        <f ca="1">IF(ROWS($1:18)&gt;COUNT(_DNL1),"",OFFSET(TH!E$1,SMALL(_DNL1,ROWS($1:18)),))</f>
        <v/>
      </c>
      <c r="D31" s="150" t="str">
        <f ca="1">IF(ROWS($1:18)&gt;COUNT(_DNL1),"",OFFSET(TH!F$1,SMALL(_DNL1,ROWS($1:18)),))</f>
        <v/>
      </c>
      <c r="E31" s="148" t="str">
        <f ca="1">IF(ROWS($1:18)&gt;COUNT(_DNL1),"",IF(OFFSET(TH!H$1,SMALL(_DNL1,ROWS($1:18)),)="1521",OFFSET(TH!I$1,SMALL(_DNL1,ROWS($1:18)),),OFFSET(TH!H$1,SMALL(_DNL1,ROWS($1:18)),)))</f>
        <v/>
      </c>
      <c r="F31" s="151">
        <f ca="1">IF(ROWS($1:18)&gt;COUNT(_DNL1),0,OFFSET(TH!J$1,SMALL(_DNL1,ROWS($1:18)),))</f>
        <v>0</v>
      </c>
      <c r="G31" s="151">
        <f ca="1">IF(ROWS($1:18)&gt;COUNT(_DNL1),0,IF(OFFSET(TH!K$1,SMALL(_DNL1,ROWS($1:18)),)&lt;&gt;0,OFFSET(TH!K$1,SMALL(_DNL1,ROWS($1:18)),),0))</f>
        <v>0</v>
      </c>
      <c r="H31" s="146">
        <f t="shared" ca="1" si="11"/>
        <v>0</v>
      </c>
      <c r="I31" s="151">
        <f ca="1">IF(ROWS($1:18)&gt;COUNT(_DNL1),0,IF(OFFSET(TH!M$1,SMALL(_DNL1,ROWS($1:18)),)&lt;&gt;0,OFFSET(TH!M$1,SMALL(_DNL1,ROWS($1:18)),),0))</f>
        <v>0</v>
      </c>
      <c r="J31" s="146">
        <f t="shared" ca="1" si="12"/>
        <v>0</v>
      </c>
      <c r="K31" s="146">
        <f t="shared" ca="1" si="13"/>
        <v>0</v>
      </c>
      <c r="L31" s="146">
        <f t="shared" ca="1" si="14"/>
        <v>0</v>
      </c>
      <c r="M31" s="146"/>
      <c r="N31" s="230"/>
    </row>
    <row r="32" spans="1:16" hidden="1">
      <c r="A32" s="24" t="str">
        <f t="shared" ca="1" si="10"/>
        <v/>
      </c>
      <c r="B32" s="148" t="str">
        <f ca="1">IF(ROWS($1:19)&gt;COUNT(_DNL1),"",OFFSET(TH!D$1,SMALL(_DNL1,ROWS($1:19)),)&amp;"/"&amp;OFFSET(TH!C$1,SMALL(_DNL1,ROWS($1:19)),))</f>
        <v/>
      </c>
      <c r="C32" s="149" t="str">
        <f ca="1">IF(ROWS($1:19)&gt;COUNT(_DNL1),"",OFFSET(TH!E$1,SMALL(_DNL1,ROWS($1:19)),))</f>
        <v/>
      </c>
      <c r="D32" s="150" t="str">
        <f ca="1">IF(ROWS($1:19)&gt;COUNT(_DNL1),"",OFFSET(TH!F$1,SMALL(_DNL1,ROWS($1:19)),))</f>
        <v/>
      </c>
      <c r="E32" s="148" t="str">
        <f ca="1">IF(ROWS($1:19)&gt;COUNT(_DNL1),"",IF(OFFSET(TH!H$1,SMALL(_DNL1,ROWS($1:19)),)="1521",OFFSET(TH!I$1,SMALL(_DNL1,ROWS($1:19)),),OFFSET(TH!H$1,SMALL(_DNL1,ROWS($1:19)),)))</f>
        <v/>
      </c>
      <c r="F32" s="151">
        <f ca="1">IF(ROWS($1:19)&gt;COUNT(_DNL1),0,OFFSET(TH!J$1,SMALL(_DNL1,ROWS($1:19)),))</f>
        <v>0</v>
      </c>
      <c r="G32" s="151">
        <f ca="1">IF(ROWS($1:19)&gt;COUNT(_DNL1),0,IF(OFFSET(TH!K$1,SMALL(_DNL1,ROWS($1:19)),)&lt;&gt;0,OFFSET(TH!K$1,SMALL(_DNL1,ROWS($1:19)),),0))</f>
        <v>0</v>
      </c>
      <c r="H32" s="146">
        <f t="shared" ca="1" si="11"/>
        <v>0</v>
      </c>
      <c r="I32" s="151">
        <f ca="1">IF(ROWS($1:19)&gt;COUNT(_DNL1),0,IF(OFFSET(TH!M$1,SMALL(_DNL1,ROWS($1:19)),)&lt;&gt;0,OFFSET(TH!M$1,SMALL(_DNL1,ROWS($1:19)),),0))</f>
        <v>0</v>
      </c>
      <c r="J32" s="146">
        <f t="shared" ca="1" si="12"/>
        <v>0</v>
      </c>
      <c r="K32" s="146">
        <f t="shared" ca="1" si="13"/>
        <v>0</v>
      </c>
      <c r="L32" s="146">
        <f t="shared" ca="1" si="14"/>
        <v>0</v>
      </c>
      <c r="M32" s="146"/>
      <c r="N32" s="230"/>
    </row>
    <row r="33" spans="1:14" hidden="1">
      <c r="A33" s="24" t="str">
        <f t="shared" ca="1" si="10"/>
        <v/>
      </c>
      <c r="B33" s="148" t="str">
        <f ca="1">IF(ROWS($1:20)&gt;COUNT(_DNL1),"",OFFSET(TH!D$1,SMALL(_DNL1,ROWS($1:20)),)&amp;"/"&amp;OFFSET(TH!C$1,SMALL(_DNL1,ROWS($1:20)),))</f>
        <v/>
      </c>
      <c r="C33" s="149" t="str">
        <f ca="1">IF(ROWS($1:20)&gt;COUNT(_DNL1),"",OFFSET(TH!E$1,SMALL(_DNL1,ROWS($1:20)),))</f>
        <v/>
      </c>
      <c r="D33" s="150" t="str">
        <f ca="1">IF(ROWS($1:20)&gt;COUNT(_DNL1),"",OFFSET(TH!F$1,SMALL(_DNL1,ROWS($1:20)),))</f>
        <v/>
      </c>
      <c r="E33" s="148" t="str">
        <f ca="1">IF(ROWS($1:20)&gt;COUNT(_DNL1),"",IF(OFFSET(TH!H$1,SMALL(_DNL1,ROWS($1:20)),)="1521",OFFSET(TH!I$1,SMALL(_DNL1,ROWS($1:20)),),OFFSET(TH!H$1,SMALL(_DNL1,ROWS($1:20)),)))</f>
        <v/>
      </c>
      <c r="F33" s="151">
        <f ca="1">IF(ROWS($1:20)&gt;COUNT(_DNL1),0,OFFSET(TH!J$1,SMALL(_DNL1,ROWS($1:20)),))</f>
        <v>0</v>
      </c>
      <c r="G33" s="151">
        <f ca="1">IF(ROWS($1:20)&gt;COUNT(_DNL1),0,IF(OFFSET(TH!K$1,SMALL(_DNL1,ROWS($1:20)),)&lt;&gt;0,OFFSET(TH!K$1,SMALL(_DNL1,ROWS($1:20)),),0))</f>
        <v>0</v>
      </c>
      <c r="H33" s="146">
        <f t="shared" ca="1" si="11"/>
        <v>0</v>
      </c>
      <c r="I33" s="151">
        <f ca="1">IF(ROWS($1:20)&gt;COUNT(_DNL1),0,IF(OFFSET(TH!M$1,SMALL(_DNL1,ROWS($1:20)),)&lt;&gt;0,OFFSET(TH!M$1,SMALL(_DNL1,ROWS($1:20)),),0))</f>
        <v>0</v>
      </c>
      <c r="J33" s="146">
        <f t="shared" ca="1" si="12"/>
        <v>0</v>
      </c>
      <c r="K33" s="146">
        <f t="shared" ca="1" si="13"/>
        <v>0</v>
      </c>
      <c r="L33" s="146">
        <f t="shared" ca="1" si="14"/>
        <v>0</v>
      </c>
      <c r="M33" s="146"/>
      <c r="N33" s="230"/>
    </row>
    <row r="34" spans="1:14" hidden="1">
      <c r="A34" s="24" t="str">
        <f t="shared" ca="1" si="10"/>
        <v/>
      </c>
      <c r="B34" s="148" t="str">
        <f ca="1">IF(ROWS($1:21)&gt;COUNT(_DNL1),"",OFFSET(TH!D$1,SMALL(_DNL1,ROWS($1:21)),)&amp;"/"&amp;OFFSET(TH!C$1,SMALL(_DNL1,ROWS($1:21)),))</f>
        <v/>
      </c>
      <c r="C34" s="149" t="str">
        <f ca="1">IF(ROWS($1:21)&gt;COUNT(_DNL1),"",OFFSET(TH!E$1,SMALL(_DNL1,ROWS($1:21)),))</f>
        <v/>
      </c>
      <c r="D34" s="150" t="str">
        <f ca="1">IF(ROWS($1:21)&gt;COUNT(_DNL1),"",OFFSET(TH!F$1,SMALL(_DNL1,ROWS($1:21)),))</f>
        <v/>
      </c>
      <c r="E34" s="148" t="str">
        <f ca="1">IF(ROWS($1:21)&gt;COUNT(_DNL1),"",IF(OFFSET(TH!H$1,SMALL(_DNL1,ROWS($1:21)),)="1521",OFFSET(TH!I$1,SMALL(_DNL1,ROWS($1:21)),),OFFSET(TH!H$1,SMALL(_DNL1,ROWS($1:21)),)))</f>
        <v/>
      </c>
      <c r="F34" s="151">
        <f ca="1">IF(ROWS($1:21)&gt;COUNT(_DNL1),0,OFFSET(TH!J$1,SMALL(_DNL1,ROWS($1:21)),))</f>
        <v>0</v>
      </c>
      <c r="G34" s="151">
        <f ca="1">IF(ROWS($1:21)&gt;COUNT(_DNL1),0,IF(OFFSET(TH!K$1,SMALL(_DNL1,ROWS($1:21)),)&lt;&gt;0,OFFSET(TH!K$1,SMALL(_DNL1,ROWS($1:21)),),0))</f>
        <v>0</v>
      </c>
      <c r="H34" s="146">
        <f t="shared" ca="1" si="11"/>
        <v>0</v>
      </c>
      <c r="I34" s="151">
        <f ca="1">IF(ROWS($1:21)&gt;COUNT(_DNL1),0,IF(OFFSET(TH!M$1,SMALL(_DNL1,ROWS($1:21)),)&lt;&gt;0,OFFSET(TH!M$1,SMALL(_DNL1,ROWS($1:21)),),0))</f>
        <v>0</v>
      </c>
      <c r="J34" s="146">
        <f t="shared" ca="1" si="12"/>
        <v>0</v>
      </c>
      <c r="K34" s="146">
        <f t="shared" ca="1" si="13"/>
        <v>0</v>
      </c>
      <c r="L34" s="146">
        <f t="shared" ca="1" si="14"/>
        <v>0</v>
      </c>
      <c r="M34" s="146"/>
      <c r="N34" s="230"/>
    </row>
    <row r="35" spans="1:14" hidden="1">
      <c r="A35" s="24" t="str">
        <f t="shared" ca="1" si="10"/>
        <v/>
      </c>
      <c r="B35" s="148" t="str">
        <f ca="1">IF(ROWS($1:22)&gt;COUNT(_DNL1),"",OFFSET(TH!D$1,SMALL(_DNL1,ROWS($1:22)),)&amp;"/"&amp;OFFSET(TH!C$1,SMALL(_DNL1,ROWS($1:22)),))</f>
        <v/>
      </c>
      <c r="C35" s="149" t="str">
        <f ca="1">IF(ROWS($1:22)&gt;COUNT(_DNL1),"",OFFSET(TH!E$1,SMALL(_DNL1,ROWS($1:22)),))</f>
        <v/>
      </c>
      <c r="D35" s="150" t="str">
        <f ca="1">IF(ROWS($1:22)&gt;COUNT(_DNL1),"",OFFSET(TH!F$1,SMALL(_DNL1,ROWS($1:22)),))</f>
        <v/>
      </c>
      <c r="E35" s="148" t="str">
        <f ca="1">IF(ROWS($1:22)&gt;COUNT(_DNL1),"",IF(OFFSET(TH!H$1,SMALL(_DNL1,ROWS($1:22)),)="1521",OFFSET(TH!I$1,SMALL(_DNL1,ROWS($1:22)),),OFFSET(TH!H$1,SMALL(_DNL1,ROWS($1:22)),)))</f>
        <v/>
      </c>
      <c r="F35" s="151">
        <f ca="1">IF(ROWS($1:22)&gt;COUNT(_DNL1),0,OFFSET(TH!J$1,SMALL(_DNL1,ROWS($1:22)),))</f>
        <v>0</v>
      </c>
      <c r="G35" s="151">
        <f ca="1">IF(ROWS($1:22)&gt;COUNT(_DNL1),0,IF(OFFSET(TH!K$1,SMALL(_DNL1,ROWS($1:22)),)&lt;&gt;0,OFFSET(TH!K$1,SMALL(_DNL1,ROWS($1:22)),),0))</f>
        <v>0</v>
      </c>
      <c r="H35" s="146">
        <f t="shared" ca="1" si="11"/>
        <v>0</v>
      </c>
      <c r="I35" s="151">
        <f ca="1">IF(ROWS($1:22)&gt;COUNT(_DNL1),0,IF(OFFSET(TH!M$1,SMALL(_DNL1,ROWS($1:22)),)&lt;&gt;0,OFFSET(TH!M$1,SMALL(_DNL1,ROWS($1:22)),),0))</f>
        <v>0</v>
      </c>
      <c r="J35" s="146">
        <f t="shared" ca="1" si="12"/>
        <v>0</v>
      </c>
      <c r="K35" s="146">
        <f t="shared" ca="1" si="13"/>
        <v>0</v>
      </c>
      <c r="L35" s="146">
        <f t="shared" ca="1" si="14"/>
        <v>0</v>
      </c>
      <c r="M35" s="146"/>
      <c r="N35" s="230"/>
    </row>
    <row r="36" spans="1:14" hidden="1">
      <c r="A36" s="24" t="str">
        <f t="shared" ca="1" si="10"/>
        <v/>
      </c>
      <c r="B36" s="148" t="str">
        <f ca="1">IF(ROWS($1:23)&gt;COUNT(_DNL1),"",OFFSET(TH!D$1,SMALL(_DNL1,ROWS($1:23)),)&amp;"/"&amp;OFFSET(TH!C$1,SMALL(_DNL1,ROWS($1:23)),))</f>
        <v/>
      </c>
      <c r="C36" s="149" t="str">
        <f ca="1">IF(ROWS($1:23)&gt;COUNT(_DNL1),"",OFFSET(TH!E$1,SMALL(_DNL1,ROWS($1:23)),))</f>
        <v/>
      </c>
      <c r="D36" s="150" t="str">
        <f ca="1">IF(ROWS($1:23)&gt;COUNT(_DNL1),"",OFFSET(TH!F$1,SMALL(_DNL1,ROWS($1:23)),))</f>
        <v/>
      </c>
      <c r="E36" s="148" t="str">
        <f ca="1">IF(ROWS($1:23)&gt;COUNT(_DNL1),"",IF(OFFSET(TH!H$1,SMALL(_DNL1,ROWS($1:23)),)="1521",OFFSET(TH!I$1,SMALL(_DNL1,ROWS($1:23)),),OFFSET(TH!H$1,SMALL(_DNL1,ROWS($1:23)),)))</f>
        <v/>
      </c>
      <c r="F36" s="151">
        <f ca="1">IF(ROWS($1:23)&gt;COUNT(_DNL1),0,OFFSET(TH!J$1,SMALL(_DNL1,ROWS($1:23)),))</f>
        <v>0</v>
      </c>
      <c r="G36" s="151">
        <f ca="1">IF(ROWS($1:23)&gt;COUNT(_DNL1),0,IF(OFFSET(TH!K$1,SMALL(_DNL1,ROWS($1:23)),)&lt;&gt;0,OFFSET(TH!K$1,SMALL(_DNL1,ROWS($1:23)),),0))</f>
        <v>0</v>
      </c>
      <c r="H36" s="146">
        <f t="shared" ca="1" si="11"/>
        <v>0</v>
      </c>
      <c r="I36" s="151">
        <f ca="1">IF(ROWS($1:23)&gt;COUNT(_DNL1),0,IF(OFFSET(TH!M$1,SMALL(_DNL1,ROWS($1:23)),)&lt;&gt;0,OFFSET(TH!M$1,SMALL(_DNL1,ROWS($1:23)),),0))</f>
        <v>0</v>
      </c>
      <c r="J36" s="146">
        <f t="shared" ca="1" si="12"/>
        <v>0</v>
      </c>
      <c r="K36" s="146">
        <f t="shared" ca="1" si="13"/>
        <v>0</v>
      </c>
      <c r="L36" s="146">
        <f t="shared" ca="1" si="14"/>
        <v>0</v>
      </c>
      <c r="M36" s="146"/>
      <c r="N36" s="230"/>
    </row>
    <row r="37" spans="1:14" hidden="1">
      <c r="A37" s="24" t="str">
        <f t="shared" ca="1" si="10"/>
        <v/>
      </c>
      <c r="B37" s="148" t="str">
        <f ca="1">IF(ROWS($1:24)&gt;COUNT(_DNL1),"",OFFSET(TH!D$1,SMALL(_DNL1,ROWS($1:24)),)&amp;"/"&amp;OFFSET(TH!C$1,SMALL(_DNL1,ROWS($1:24)),))</f>
        <v/>
      </c>
      <c r="C37" s="149" t="str">
        <f ca="1">IF(ROWS($1:24)&gt;COUNT(_DNL1),"",OFFSET(TH!E$1,SMALL(_DNL1,ROWS($1:24)),))</f>
        <v/>
      </c>
      <c r="D37" s="150" t="str">
        <f ca="1">IF(ROWS($1:24)&gt;COUNT(_DNL1),"",OFFSET(TH!F$1,SMALL(_DNL1,ROWS($1:24)),))</f>
        <v/>
      </c>
      <c r="E37" s="148" t="str">
        <f ca="1">IF(ROWS($1:24)&gt;COUNT(_DNL1),"",IF(OFFSET(TH!H$1,SMALL(_DNL1,ROWS($1:24)),)="1521",OFFSET(TH!I$1,SMALL(_DNL1,ROWS($1:24)),),OFFSET(TH!H$1,SMALL(_DNL1,ROWS($1:24)),)))</f>
        <v/>
      </c>
      <c r="F37" s="151">
        <f ca="1">IF(ROWS($1:24)&gt;COUNT(_DNL1),0,OFFSET(TH!J$1,SMALL(_DNL1,ROWS($1:24)),))</f>
        <v>0</v>
      </c>
      <c r="G37" s="151">
        <f ca="1">IF(ROWS($1:24)&gt;COUNT(_DNL1),0,IF(OFFSET(TH!K$1,SMALL(_DNL1,ROWS($1:24)),)&lt;&gt;0,OFFSET(TH!K$1,SMALL(_DNL1,ROWS($1:24)),),0))</f>
        <v>0</v>
      </c>
      <c r="H37" s="146">
        <f t="shared" ca="1" si="11"/>
        <v>0</v>
      </c>
      <c r="I37" s="151">
        <f ca="1">IF(ROWS($1:24)&gt;COUNT(_DNL1),0,IF(OFFSET(TH!M$1,SMALL(_DNL1,ROWS($1:24)),)&lt;&gt;0,OFFSET(TH!M$1,SMALL(_DNL1,ROWS($1:24)),),0))</f>
        <v>0</v>
      </c>
      <c r="J37" s="146">
        <f t="shared" ca="1" si="12"/>
        <v>0</v>
      </c>
      <c r="K37" s="146">
        <f t="shared" ca="1" si="13"/>
        <v>0</v>
      </c>
      <c r="L37" s="146">
        <f t="shared" ca="1" si="14"/>
        <v>0</v>
      </c>
      <c r="M37" s="146"/>
      <c r="N37" s="230"/>
    </row>
    <row r="38" spans="1:14" hidden="1">
      <c r="A38" s="24" t="str">
        <f t="shared" ca="1" si="10"/>
        <v/>
      </c>
      <c r="B38" s="148" t="str">
        <f ca="1">IF(ROWS($1:25)&gt;COUNT(_DNL1),"",OFFSET(TH!D$1,SMALL(_DNL1,ROWS($1:25)),)&amp;"/"&amp;OFFSET(TH!C$1,SMALL(_DNL1,ROWS($1:25)),))</f>
        <v/>
      </c>
      <c r="C38" s="149" t="str">
        <f ca="1">IF(ROWS($1:25)&gt;COUNT(_DNL1),"",OFFSET(TH!E$1,SMALL(_DNL1,ROWS($1:25)),))</f>
        <v/>
      </c>
      <c r="D38" s="150" t="str">
        <f ca="1">IF(ROWS($1:25)&gt;COUNT(_DNL1),"",OFFSET(TH!F$1,SMALL(_DNL1,ROWS($1:25)),))</f>
        <v/>
      </c>
      <c r="E38" s="148" t="str">
        <f ca="1">IF(ROWS($1:25)&gt;COUNT(_DNL1),"",IF(OFFSET(TH!H$1,SMALL(_DNL1,ROWS($1:25)),)="1521",OFFSET(TH!I$1,SMALL(_DNL1,ROWS($1:25)),),OFFSET(TH!H$1,SMALL(_DNL1,ROWS($1:25)),)))</f>
        <v/>
      </c>
      <c r="F38" s="151">
        <f ca="1">IF(ROWS($1:25)&gt;COUNT(_DNL1),0,OFFSET(TH!J$1,SMALL(_DNL1,ROWS($1:25)),))</f>
        <v>0</v>
      </c>
      <c r="G38" s="151">
        <f ca="1">IF(ROWS($1:25)&gt;COUNT(_DNL1),0,IF(OFFSET(TH!K$1,SMALL(_DNL1,ROWS($1:25)),)&lt;&gt;0,OFFSET(TH!K$1,SMALL(_DNL1,ROWS($1:25)),),0))</f>
        <v>0</v>
      </c>
      <c r="H38" s="146">
        <f t="shared" ca="1" si="11"/>
        <v>0</v>
      </c>
      <c r="I38" s="151">
        <f ca="1">IF(ROWS($1:25)&gt;COUNT(_DNL1),0,IF(OFFSET(TH!M$1,SMALL(_DNL1,ROWS($1:25)),)&lt;&gt;0,OFFSET(TH!M$1,SMALL(_DNL1,ROWS($1:25)),),0))</f>
        <v>0</v>
      </c>
      <c r="J38" s="146">
        <f t="shared" ca="1" si="12"/>
        <v>0</v>
      </c>
      <c r="K38" s="146">
        <f t="shared" ca="1" si="13"/>
        <v>0</v>
      </c>
      <c r="L38" s="146">
        <f t="shared" ca="1" si="14"/>
        <v>0</v>
      </c>
      <c r="M38" s="146"/>
      <c r="N38" s="230"/>
    </row>
    <row r="39" spans="1:14" hidden="1">
      <c r="A39" s="24" t="str">
        <f t="shared" ca="1" si="10"/>
        <v/>
      </c>
      <c r="B39" s="148" t="str">
        <f ca="1">IF(ROWS($1:26)&gt;COUNT(_DNL1),"",OFFSET(TH!D$1,SMALL(_DNL1,ROWS($1:26)),)&amp;"/"&amp;OFFSET(TH!C$1,SMALL(_DNL1,ROWS($1:26)),))</f>
        <v/>
      </c>
      <c r="C39" s="149" t="str">
        <f ca="1">IF(ROWS($1:26)&gt;COUNT(_DNL1),"",OFFSET(TH!E$1,SMALL(_DNL1,ROWS($1:26)),))</f>
        <v/>
      </c>
      <c r="D39" s="150" t="str">
        <f ca="1">IF(ROWS($1:26)&gt;COUNT(_DNL1),"",OFFSET(TH!F$1,SMALL(_DNL1,ROWS($1:26)),))</f>
        <v/>
      </c>
      <c r="E39" s="148" t="str">
        <f ca="1">IF(ROWS($1:26)&gt;COUNT(_DNL1),"",IF(OFFSET(TH!H$1,SMALL(_DNL1,ROWS($1:26)),)="1521",OFFSET(TH!I$1,SMALL(_DNL1,ROWS($1:26)),),OFFSET(TH!H$1,SMALL(_DNL1,ROWS($1:26)),)))</f>
        <v/>
      </c>
      <c r="F39" s="151">
        <f ca="1">IF(ROWS($1:26)&gt;COUNT(_DNL1),0,OFFSET(TH!J$1,SMALL(_DNL1,ROWS($1:26)),))</f>
        <v>0</v>
      </c>
      <c r="G39" s="151">
        <f ca="1">IF(ROWS($1:26)&gt;COUNT(_DNL1),0,IF(OFFSET(TH!K$1,SMALL(_DNL1,ROWS($1:26)),)&lt;&gt;0,OFFSET(TH!K$1,SMALL(_DNL1,ROWS($1:26)),),0))</f>
        <v>0</v>
      </c>
      <c r="H39" s="146">
        <f t="shared" ca="1" si="11"/>
        <v>0</v>
      </c>
      <c r="I39" s="151">
        <f ca="1">IF(ROWS($1:26)&gt;COUNT(_DNL1),0,IF(OFFSET(TH!M$1,SMALL(_DNL1,ROWS($1:26)),)&lt;&gt;0,OFFSET(TH!M$1,SMALL(_DNL1,ROWS($1:26)),),0))</f>
        <v>0</v>
      </c>
      <c r="J39" s="146">
        <f t="shared" ca="1" si="12"/>
        <v>0</v>
      </c>
      <c r="K39" s="146">
        <f t="shared" ca="1" si="13"/>
        <v>0</v>
      </c>
      <c r="L39" s="146">
        <f t="shared" ca="1" si="14"/>
        <v>0</v>
      </c>
      <c r="M39" s="146"/>
      <c r="N39" s="230"/>
    </row>
    <row r="40" spans="1:14" hidden="1">
      <c r="A40" s="24" t="str">
        <f t="shared" ca="1" si="10"/>
        <v/>
      </c>
      <c r="B40" s="148" t="str">
        <f ca="1">IF(ROWS($1:27)&gt;COUNT(_DNL1),"",OFFSET(TH!D$1,SMALL(_DNL1,ROWS($1:27)),)&amp;"/"&amp;OFFSET(TH!C$1,SMALL(_DNL1,ROWS($1:27)),))</f>
        <v/>
      </c>
      <c r="C40" s="149" t="str">
        <f ca="1">IF(ROWS($1:27)&gt;COUNT(_DNL1),"",OFFSET(TH!E$1,SMALL(_DNL1,ROWS($1:27)),))</f>
        <v/>
      </c>
      <c r="D40" s="150" t="str">
        <f ca="1">IF(ROWS($1:27)&gt;COUNT(_DNL1),"",OFFSET(TH!F$1,SMALL(_DNL1,ROWS($1:27)),))</f>
        <v/>
      </c>
      <c r="E40" s="148" t="str">
        <f ca="1">IF(ROWS($1:27)&gt;COUNT(_DNL1),"",IF(OFFSET(TH!H$1,SMALL(_DNL1,ROWS($1:27)),)="1521",OFFSET(TH!I$1,SMALL(_DNL1,ROWS($1:27)),),OFFSET(TH!H$1,SMALL(_DNL1,ROWS($1:27)),)))</f>
        <v/>
      </c>
      <c r="F40" s="151">
        <f ca="1">IF(ROWS($1:27)&gt;COUNT(_DNL1),0,OFFSET(TH!J$1,SMALL(_DNL1,ROWS($1:27)),))</f>
        <v>0</v>
      </c>
      <c r="G40" s="151">
        <f ca="1">IF(ROWS($1:27)&gt;COUNT(_DNL1),0,IF(OFFSET(TH!K$1,SMALL(_DNL1,ROWS($1:27)),)&lt;&gt;0,OFFSET(TH!K$1,SMALL(_DNL1,ROWS($1:27)),),0))</f>
        <v>0</v>
      </c>
      <c r="H40" s="146">
        <f t="shared" ca="1" si="11"/>
        <v>0</v>
      </c>
      <c r="I40" s="151">
        <f ca="1">IF(ROWS($1:27)&gt;COUNT(_DNL1),0,IF(OFFSET(TH!M$1,SMALL(_DNL1,ROWS($1:27)),)&lt;&gt;0,OFFSET(TH!M$1,SMALL(_DNL1,ROWS($1:27)),),0))</f>
        <v>0</v>
      </c>
      <c r="J40" s="146">
        <f t="shared" ca="1" si="12"/>
        <v>0</v>
      </c>
      <c r="K40" s="146">
        <f t="shared" ca="1" si="13"/>
        <v>0</v>
      </c>
      <c r="L40" s="146">
        <f t="shared" ca="1" si="14"/>
        <v>0</v>
      </c>
      <c r="M40" s="146"/>
      <c r="N40" s="230"/>
    </row>
    <row r="41" spans="1:14" hidden="1">
      <c r="A41" s="24" t="str">
        <f t="shared" ca="1" si="10"/>
        <v/>
      </c>
      <c r="B41" s="148" t="str">
        <f ca="1">IF(ROWS($1:28)&gt;COUNT(_DNL1),"",OFFSET(TH!D$1,SMALL(_DNL1,ROWS($1:28)),)&amp;"/"&amp;OFFSET(TH!C$1,SMALL(_DNL1,ROWS($1:28)),))</f>
        <v/>
      </c>
      <c r="C41" s="149" t="str">
        <f ca="1">IF(ROWS($1:28)&gt;COUNT(_DNL1),"",OFFSET(TH!E$1,SMALL(_DNL1,ROWS($1:28)),))</f>
        <v/>
      </c>
      <c r="D41" s="150" t="str">
        <f ca="1">IF(ROWS($1:28)&gt;COUNT(_DNL1),"",OFFSET(TH!F$1,SMALL(_DNL1,ROWS($1:28)),))</f>
        <v/>
      </c>
      <c r="E41" s="148" t="str">
        <f ca="1">IF(ROWS($1:28)&gt;COUNT(_DNL1),"",IF(OFFSET(TH!H$1,SMALL(_DNL1,ROWS($1:28)),)="1521",OFFSET(TH!I$1,SMALL(_DNL1,ROWS($1:28)),),OFFSET(TH!H$1,SMALL(_DNL1,ROWS($1:28)),)))</f>
        <v/>
      </c>
      <c r="F41" s="151">
        <f ca="1">IF(ROWS($1:28)&gt;COUNT(_DNL1),0,OFFSET(TH!J$1,SMALL(_DNL1,ROWS($1:28)),))</f>
        <v>0</v>
      </c>
      <c r="G41" s="151">
        <f ca="1">IF(ROWS($1:28)&gt;COUNT(_DNL1),0,IF(OFFSET(TH!K$1,SMALL(_DNL1,ROWS($1:28)),)&lt;&gt;0,OFFSET(TH!K$1,SMALL(_DNL1,ROWS($1:28)),),0))</f>
        <v>0</v>
      </c>
      <c r="H41" s="146">
        <f t="shared" ca="1" si="11"/>
        <v>0</v>
      </c>
      <c r="I41" s="151">
        <f ca="1">IF(ROWS($1:28)&gt;COUNT(_DNL1),0,IF(OFFSET(TH!M$1,SMALL(_DNL1,ROWS($1:28)),)&lt;&gt;0,OFFSET(TH!M$1,SMALL(_DNL1,ROWS($1:28)),),0))</f>
        <v>0</v>
      </c>
      <c r="J41" s="146">
        <f t="shared" ca="1" si="12"/>
        <v>0</v>
      </c>
      <c r="K41" s="146">
        <f t="shared" ca="1" si="13"/>
        <v>0</v>
      </c>
      <c r="L41" s="146">
        <f t="shared" ca="1" si="14"/>
        <v>0</v>
      </c>
      <c r="M41" s="146"/>
      <c r="N41" s="230"/>
    </row>
    <row r="42" spans="1:14" hidden="1">
      <c r="A42" s="24" t="str">
        <f t="shared" ca="1" si="10"/>
        <v/>
      </c>
      <c r="B42" s="148" t="str">
        <f ca="1">IF(ROWS($1:29)&gt;COUNT(_DNL1),"",OFFSET(TH!D$1,SMALL(_DNL1,ROWS($1:29)),)&amp;"/"&amp;OFFSET(TH!C$1,SMALL(_DNL1,ROWS($1:29)),))</f>
        <v/>
      </c>
      <c r="C42" s="149" t="str">
        <f ca="1">IF(ROWS($1:29)&gt;COUNT(_DNL1),"",OFFSET(TH!E$1,SMALL(_DNL1,ROWS($1:29)),))</f>
        <v/>
      </c>
      <c r="D42" s="150" t="str">
        <f ca="1">IF(ROWS($1:29)&gt;COUNT(_DNL1),"",OFFSET(TH!F$1,SMALL(_DNL1,ROWS($1:29)),))</f>
        <v/>
      </c>
      <c r="E42" s="148" t="str">
        <f ca="1">IF(ROWS($1:29)&gt;COUNT(_DNL1),"",IF(OFFSET(TH!H$1,SMALL(_DNL1,ROWS($1:29)),)="1521",OFFSET(TH!I$1,SMALL(_DNL1,ROWS($1:29)),),OFFSET(TH!H$1,SMALL(_DNL1,ROWS($1:29)),)))</f>
        <v/>
      </c>
      <c r="F42" s="151">
        <f ca="1">IF(ROWS($1:29)&gt;COUNT(_DNL1),0,OFFSET(TH!J$1,SMALL(_DNL1,ROWS($1:29)),))</f>
        <v>0</v>
      </c>
      <c r="G42" s="151">
        <f ca="1">IF(ROWS($1:29)&gt;COUNT(_DNL1),0,IF(OFFSET(TH!K$1,SMALL(_DNL1,ROWS($1:29)),)&lt;&gt;0,OFFSET(TH!K$1,SMALL(_DNL1,ROWS($1:29)),),0))</f>
        <v>0</v>
      </c>
      <c r="H42" s="146">
        <f t="shared" ca="1" si="11"/>
        <v>0</v>
      </c>
      <c r="I42" s="151">
        <f ca="1">IF(ROWS($1:29)&gt;COUNT(_DNL1),0,IF(OFFSET(TH!M$1,SMALL(_DNL1,ROWS($1:29)),)&lt;&gt;0,OFFSET(TH!M$1,SMALL(_DNL1,ROWS($1:29)),),0))</f>
        <v>0</v>
      </c>
      <c r="J42" s="146">
        <f t="shared" ca="1" si="12"/>
        <v>0</v>
      </c>
      <c r="K42" s="146">
        <f t="shared" ca="1" si="13"/>
        <v>0</v>
      </c>
      <c r="L42" s="146">
        <f t="shared" ca="1" si="14"/>
        <v>0</v>
      </c>
      <c r="M42" s="146"/>
      <c r="N42" s="230"/>
    </row>
    <row r="43" spans="1:14" hidden="1">
      <c r="A43" s="24" t="str">
        <f t="shared" ca="1" si="10"/>
        <v/>
      </c>
      <c r="B43" s="148" t="str">
        <f ca="1">IF(ROWS($1:30)&gt;COUNT(_DNL1),"",OFFSET(TH!D$1,SMALL(_DNL1,ROWS($1:30)),)&amp;"/"&amp;OFFSET(TH!C$1,SMALL(_DNL1,ROWS($1:30)),))</f>
        <v/>
      </c>
      <c r="C43" s="149" t="str">
        <f ca="1">IF(ROWS($1:30)&gt;COUNT(_DNL1),"",OFFSET(TH!E$1,SMALL(_DNL1,ROWS($1:30)),))</f>
        <v/>
      </c>
      <c r="D43" s="150" t="str">
        <f ca="1">IF(ROWS($1:30)&gt;COUNT(_DNL1),"",OFFSET(TH!F$1,SMALL(_DNL1,ROWS($1:30)),))</f>
        <v/>
      </c>
      <c r="E43" s="148" t="str">
        <f ca="1">IF(ROWS($1:30)&gt;COUNT(_DNL1),"",IF(OFFSET(TH!H$1,SMALL(_DNL1,ROWS($1:30)),)="1521",OFFSET(TH!I$1,SMALL(_DNL1,ROWS($1:30)),),OFFSET(TH!H$1,SMALL(_DNL1,ROWS($1:30)),)))</f>
        <v/>
      </c>
      <c r="F43" s="151">
        <f ca="1">IF(ROWS($1:30)&gt;COUNT(_DNL1),0,OFFSET(TH!J$1,SMALL(_DNL1,ROWS($1:30)),))</f>
        <v>0</v>
      </c>
      <c r="G43" s="151">
        <f ca="1">IF(ROWS($1:30)&gt;COUNT(_DNL1),0,IF(OFFSET(TH!K$1,SMALL(_DNL1,ROWS($1:30)),)&lt;&gt;0,OFFSET(TH!K$1,SMALL(_DNL1,ROWS($1:30)),),0))</f>
        <v>0</v>
      </c>
      <c r="H43" s="146">
        <f t="shared" ca="1" si="11"/>
        <v>0</v>
      </c>
      <c r="I43" s="151">
        <f ca="1">IF(ROWS($1:30)&gt;COUNT(_DNL1),0,IF(OFFSET(TH!M$1,SMALL(_DNL1,ROWS($1:30)),)&lt;&gt;0,OFFSET(TH!M$1,SMALL(_DNL1,ROWS($1:30)),),0))</f>
        <v>0</v>
      </c>
      <c r="J43" s="146">
        <f t="shared" ca="1" si="12"/>
        <v>0</v>
      </c>
      <c r="K43" s="146">
        <f t="shared" ca="1" si="13"/>
        <v>0</v>
      </c>
      <c r="L43" s="146">
        <f t="shared" ca="1" si="14"/>
        <v>0</v>
      </c>
      <c r="M43" s="146"/>
      <c r="N43" s="230"/>
    </row>
    <row r="44" spans="1:14" hidden="1">
      <c r="A44" s="24" t="str">
        <f t="shared" ca="1" si="10"/>
        <v/>
      </c>
      <c r="B44" s="148" t="str">
        <f ca="1">IF(ROWS($1:31)&gt;COUNT(_DNL1),"",OFFSET(TH!D$1,SMALL(_DNL1,ROWS($1:31)),)&amp;"/"&amp;OFFSET(TH!C$1,SMALL(_DNL1,ROWS($1:31)),))</f>
        <v/>
      </c>
      <c r="C44" s="149" t="str">
        <f ca="1">IF(ROWS($1:31)&gt;COUNT(_DNL1),"",OFFSET(TH!E$1,SMALL(_DNL1,ROWS($1:31)),))</f>
        <v/>
      </c>
      <c r="D44" s="150" t="str">
        <f ca="1">IF(ROWS($1:31)&gt;COUNT(_DNL1),"",OFFSET(TH!F$1,SMALL(_DNL1,ROWS($1:31)),))</f>
        <v/>
      </c>
      <c r="E44" s="148" t="str">
        <f ca="1">IF(ROWS($1:31)&gt;COUNT(_DNL1),"",IF(OFFSET(TH!H$1,SMALL(_DNL1,ROWS($1:31)),)="1521",OFFSET(TH!I$1,SMALL(_DNL1,ROWS($1:31)),),OFFSET(TH!H$1,SMALL(_DNL1,ROWS($1:31)),)))</f>
        <v/>
      </c>
      <c r="F44" s="151">
        <f ca="1">IF(ROWS($1:31)&gt;COUNT(_DNL1),0,OFFSET(TH!J$1,SMALL(_DNL1,ROWS($1:31)),))</f>
        <v>0</v>
      </c>
      <c r="G44" s="151">
        <f ca="1">IF(ROWS($1:31)&gt;COUNT(_DNL1),0,IF(OFFSET(TH!K$1,SMALL(_DNL1,ROWS($1:31)),)&lt;&gt;0,OFFSET(TH!K$1,SMALL(_DNL1,ROWS($1:31)),),0))</f>
        <v>0</v>
      </c>
      <c r="H44" s="146">
        <f t="shared" ca="1" si="11"/>
        <v>0</v>
      </c>
      <c r="I44" s="151">
        <f ca="1">IF(ROWS($1:31)&gt;COUNT(_DNL1),0,IF(OFFSET(TH!M$1,SMALL(_DNL1,ROWS($1:31)),)&lt;&gt;0,OFFSET(TH!M$1,SMALL(_DNL1,ROWS($1:31)),),0))</f>
        <v>0</v>
      </c>
      <c r="J44" s="146">
        <f t="shared" ca="1" si="12"/>
        <v>0</v>
      </c>
      <c r="K44" s="146">
        <f t="shared" ca="1" si="13"/>
        <v>0</v>
      </c>
      <c r="L44" s="146">
        <f t="shared" ca="1" si="14"/>
        <v>0</v>
      </c>
      <c r="M44" s="146"/>
      <c r="N44" s="230"/>
    </row>
    <row r="45" spans="1:14" hidden="1">
      <c r="A45" s="24" t="str">
        <f t="shared" ca="1" si="10"/>
        <v/>
      </c>
      <c r="B45" s="148" t="str">
        <f ca="1">IF(ROWS($1:32)&gt;COUNT(_DNL1),"",OFFSET(TH!D$1,SMALL(_DNL1,ROWS($1:32)),)&amp;"/"&amp;OFFSET(TH!C$1,SMALL(_DNL1,ROWS($1:32)),))</f>
        <v/>
      </c>
      <c r="C45" s="149" t="str">
        <f ca="1">IF(ROWS($1:32)&gt;COUNT(_DNL1),"",OFFSET(TH!E$1,SMALL(_DNL1,ROWS($1:32)),))</f>
        <v/>
      </c>
      <c r="D45" s="150" t="str">
        <f ca="1">IF(ROWS($1:32)&gt;COUNT(_DNL1),"",OFFSET(TH!F$1,SMALL(_DNL1,ROWS($1:32)),))</f>
        <v/>
      </c>
      <c r="E45" s="148" t="str">
        <f ca="1">IF(ROWS($1:32)&gt;COUNT(_DNL1),"",IF(OFFSET(TH!H$1,SMALL(_DNL1,ROWS($1:32)),)="1521",OFFSET(TH!I$1,SMALL(_DNL1,ROWS($1:32)),),OFFSET(TH!H$1,SMALL(_DNL1,ROWS($1:32)),)))</f>
        <v/>
      </c>
      <c r="F45" s="151">
        <f ca="1">IF(ROWS($1:32)&gt;COUNT(_DNL1),0,OFFSET(TH!J$1,SMALL(_DNL1,ROWS($1:32)),))</f>
        <v>0</v>
      </c>
      <c r="G45" s="151">
        <f ca="1">IF(ROWS($1:32)&gt;COUNT(_DNL1),0,IF(OFFSET(TH!K$1,SMALL(_DNL1,ROWS($1:32)),)&lt;&gt;0,OFFSET(TH!K$1,SMALL(_DNL1,ROWS($1:32)),),0))</f>
        <v>0</v>
      </c>
      <c r="H45" s="146">
        <f t="shared" ca="1" si="11"/>
        <v>0</v>
      </c>
      <c r="I45" s="151">
        <f ca="1">IF(ROWS($1:32)&gt;COUNT(_DNL1),0,IF(OFFSET(TH!M$1,SMALL(_DNL1,ROWS($1:32)),)&lt;&gt;0,OFFSET(TH!M$1,SMALL(_DNL1,ROWS($1:32)),),0))</f>
        <v>0</v>
      </c>
      <c r="J45" s="146">
        <f t="shared" ca="1" si="12"/>
        <v>0</v>
      </c>
      <c r="K45" s="146">
        <f t="shared" ca="1" si="13"/>
        <v>0</v>
      </c>
      <c r="L45" s="146">
        <f t="shared" ca="1" si="14"/>
        <v>0</v>
      </c>
      <c r="M45" s="146"/>
      <c r="N45" s="230"/>
    </row>
    <row r="46" spans="1:14" hidden="1">
      <c r="A46" s="24" t="str">
        <f t="shared" ca="1" si="10"/>
        <v/>
      </c>
      <c r="B46" s="148" t="str">
        <f ca="1">IF(ROWS($1:33)&gt;COUNT(_DNL1),"",OFFSET(TH!D$1,SMALL(_DNL1,ROWS($1:33)),)&amp;"/"&amp;OFFSET(TH!C$1,SMALL(_DNL1,ROWS($1:33)),))</f>
        <v/>
      </c>
      <c r="C46" s="149" t="str">
        <f ca="1">IF(ROWS($1:33)&gt;COUNT(_DNL1),"",OFFSET(TH!E$1,SMALL(_DNL1,ROWS($1:33)),))</f>
        <v/>
      </c>
      <c r="D46" s="150" t="str">
        <f ca="1">IF(ROWS($1:33)&gt;COUNT(_DNL1),"",OFFSET(TH!F$1,SMALL(_DNL1,ROWS($1:33)),))</f>
        <v/>
      </c>
      <c r="E46" s="148" t="str">
        <f ca="1">IF(ROWS($1:33)&gt;COUNT(_DNL1),"",IF(OFFSET(TH!H$1,SMALL(_DNL1,ROWS($1:33)),)="1521",OFFSET(TH!I$1,SMALL(_DNL1,ROWS($1:33)),),OFFSET(TH!H$1,SMALL(_DNL1,ROWS($1:33)),)))</f>
        <v/>
      </c>
      <c r="F46" s="151">
        <f ca="1">IF(ROWS($1:33)&gt;COUNT(_DNL1),0,OFFSET(TH!J$1,SMALL(_DNL1,ROWS($1:33)),))</f>
        <v>0</v>
      </c>
      <c r="G46" s="151">
        <f ca="1">IF(ROWS($1:33)&gt;COUNT(_DNL1),0,IF(OFFSET(TH!K$1,SMALL(_DNL1,ROWS($1:33)),)&lt;&gt;0,OFFSET(TH!K$1,SMALL(_DNL1,ROWS($1:33)),),0))</f>
        <v>0</v>
      </c>
      <c r="H46" s="146">
        <f t="shared" ca="1" si="11"/>
        <v>0</v>
      </c>
      <c r="I46" s="151">
        <f ca="1">IF(ROWS($1:33)&gt;COUNT(_DNL1),0,IF(OFFSET(TH!M$1,SMALL(_DNL1,ROWS($1:33)),)&lt;&gt;0,OFFSET(TH!M$1,SMALL(_DNL1,ROWS($1:33)),),0))</f>
        <v>0</v>
      </c>
      <c r="J46" s="146">
        <f t="shared" ca="1" si="12"/>
        <v>0</v>
      </c>
      <c r="K46" s="146">
        <f t="shared" ca="1" si="13"/>
        <v>0</v>
      </c>
      <c r="L46" s="146">
        <f t="shared" ca="1" si="14"/>
        <v>0</v>
      </c>
      <c r="M46" s="146"/>
      <c r="N46" s="230"/>
    </row>
    <row r="47" spans="1:14" hidden="1">
      <c r="A47" s="24" t="str">
        <f t="shared" ca="1" si="10"/>
        <v/>
      </c>
      <c r="B47" s="148" t="str">
        <f ca="1">IF(ROWS($1:34)&gt;COUNT(_DNL1),"",OFFSET(TH!D$1,SMALL(_DNL1,ROWS($1:34)),)&amp;"/"&amp;OFFSET(TH!C$1,SMALL(_DNL1,ROWS($1:34)),))</f>
        <v/>
      </c>
      <c r="C47" s="149" t="str">
        <f ca="1">IF(ROWS($1:34)&gt;COUNT(_DNL1),"",OFFSET(TH!E$1,SMALL(_DNL1,ROWS($1:34)),))</f>
        <v/>
      </c>
      <c r="D47" s="150" t="str">
        <f ca="1">IF(ROWS($1:34)&gt;COUNT(_DNL1),"",OFFSET(TH!F$1,SMALL(_DNL1,ROWS($1:34)),))</f>
        <v/>
      </c>
      <c r="E47" s="148" t="str">
        <f ca="1">IF(ROWS($1:34)&gt;COUNT(_DNL1),"",IF(OFFSET(TH!H$1,SMALL(_DNL1,ROWS($1:34)),)="1521",OFFSET(TH!I$1,SMALL(_DNL1,ROWS($1:34)),),OFFSET(TH!H$1,SMALL(_DNL1,ROWS($1:34)),)))</f>
        <v/>
      </c>
      <c r="F47" s="151">
        <f ca="1">IF(ROWS($1:34)&gt;COUNT(_DNL1),0,OFFSET(TH!J$1,SMALL(_DNL1,ROWS($1:34)),))</f>
        <v>0</v>
      </c>
      <c r="G47" s="151">
        <f ca="1">IF(ROWS($1:34)&gt;COUNT(_DNL1),0,IF(OFFSET(TH!K$1,SMALL(_DNL1,ROWS($1:34)),)&lt;&gt;0,OFFSET(TH!K$1,SMALL(_DNL1,ROWS($1:34)),),0))</f>
        <v>0</v>
      </c>
      <c r="H47" s="146">
        <f t="shared" ca="1" si="11"/>
        <v>0</v>
      </c>
      <c r="I47" s="151">
        <f ca="1">IF(ROWS($1:34)&gt;COUNT(_DNL1),0,IF(OFFSET(TH!M$1,SMALL(_DNL1,ROWS($1:34)),)&lt;&gt;0,OFFSET(TH!M$1,SMALL(_DNL1,ROWS($1:34)),),0))</f>
        <v>0</v>
      </c>
      <c r="J47" s="146">
        <f t="shared" ca="1" si="12"/>
        <v>0</v>
      </c>
      <c r="K47" s="146">
        <f t="shared" ca="1" si="13"/>
        <v>0</v>
      </c>
      <c r="L47" s="146">
        <f t="shared" ca="1" si="14"/>
        <v>0</v>
      </c>
      <c r="M47" s="146"/>
      <c r="N47" s="230"/>
    </row>
    <row r="48" spans="1:14" hidden="1">
      <c r="A48" s="24" t="str">
        <f t="shared" ca="1" si="10"/>
        <v/>
      </c>
      <c r="B48" s="148" t="str">
        <f ca="1">IF(ROWS($1:35)&gt;COUNT(_DNL1),"",OFFSET(TH!D$1,SMALL(_DNL1,ROWS($1:35)),)&amp;"/"&amp;OFFSET(TH!C$1,SMALL(_DNL1,ROWS($1:35)),))</f>
        <v/>
      </c>
      <c r="C48" s="149" t="str">
        <f ca="1">IF(ROWS($1:35)&gt;COUNT(_DNL1),"",OFFSET(TH!E$1,SMALL(_DNL1,ROWS($1:35)),))</f>
        <v/>
      </c>
      <c r="D48" s="150" t="str">
        <f ca="1">IF(ROWS($1:35)&gt;COUNT(_DNL1),"",OFFSET(TH!F$1,SMALL(_DNL1,ROWS($1:35)),))</f>
        <v/>
      </c>
      <c r="E48" s="148" t="str">
        <f ca="1">IF(ROWS($1:35)&gt;COUNT(_DNL1),"",IF(OFFSET(TH!H$1,SMALL(_DNL1,ROWS($1:35)),)="1521",OFFSET(TH!I$1,SMALL(_DNL1,ROWS($1:35)),),OFFSET(TH!H$1,SMALL(_DNL1,ROWS($1:35)),)))</f>
        <v/>
      </c>
      <c r="F48" s="151">
        <f ca="1">IF(ROWS($1:35)&gt;COUNT(_DNL1),0,OFFSET(TH!J$1,SMALL(_DNL1,ROWS($1:35)),))</f>
        <v>0</v>
      </c>
      <c r="G48" s="151">
        <f ca="1">IF(ROWS($1:35)&gt;COUNT(_DNL1),0,IF(OFFSET(TH!K$1,SMALL(_DNL1,ROWS($1:35)),)&lt;&gt;0,OFFSET(TH!K$1,SMALL(_DNL1,ROWS($1:35)),),0))</f>
        <v>0</v>
      </c>
      <c r="H48" s="146">
        <f t="shared" ca="1" si="11"/>
        <v>0</v>
      </c>
      <c r="I48" s="151">
        <f ca="1">IF(ROWS($1:35)&gt;COUNT(_DNL1),0,IF(OFFSET(TH!M$1,SMALL(_DNL1,ROWS($1:35)),)&lt;&gt;0,OFFSET(TH!M$1,SMALL(_DNL1,ROWS($1:35)),),0))</f>
        <v>0</v>
      </c>
      <c r="J48" s="146">
        <f t="shared" ca="1" si="12"/>
        <v>0</v>
      </c>
      <c r="K48" s="146">
        <f t="shared" ca="1" si="13"/>
        <v>0</v>
      </c>
      <c r="L48" s="146">
        <f t="shared" ca="1" si="14"/>
        <v>0</v>
      </c>
      <c r="M48" s="146"/>
      <c r="N48" s="230"/>
    </row>
    <row r="49" spans="1:14" hidden="1">
      <c r="A49" s="24" t="str">
        <f t="shared" ca="1" si="10"/>
        <v/>
      </c>
      <c r="B49" s="148" t="str">
        <f ca="1">IF(ROWS($1:36)&gt;COUNT(_DNL1),"",OFFSET(TH!D$1,SMALL(_DNL1,ROWS($1:36)),)&amp;"/"&amp;OFFSET(TH!C$1,SMALL(_DNL1,ROWS($1:36)),))</f>
        <v/>
      </c>
      <c r="C49" s="149" t="str">
        <f ca="1">IF(ROWS($1:36)&gt;COUNT(_DNL1),"",OFFSET(TH!E$1,SMALL(_DNL1,ROWS($1:36)),))</f>
        <v/>
      </c>
      <c r="D49" s="150" t="str">
        <f ca="1">IF(ROWS($1:36)&gt;COUNT(_DNL1),"",OFFSET(TH!F$1,SMALL(_DNL1,ROWS($1:36)),))</f>
        <v/>
      </c>
      <c r="E49" s="148" t="str">
        <f ca="1">IF(ROWS($1:36)&gt;COUNT(_DNL1),"",IF(OFFSET(TH!H$1,SMALL(_DNL1,ROWS($1:36)),)="1521",OFFSET(TH!I$1,SMALL(_DNL1,ROWS($1:36)),),OFFSET(TH!H$1,SMALL(_DNL1,ROWS($1:36)),)))</f>
        <v/>
      </c>
      <c r="F49" s="151">
        <f ca="1">IF(ROWS($1:36)&gt;COUNT(_DNL1),0,OFFSET(TH!J$1,SMALL(_DNL1,ROWS($1:36)),))</f>
        <v>0</v>
      </c>
      <c r="G49" s="151">
        <f ca="1">IF(ROWS($1:36)&gt;COUNT(_DNL1),0,IF(OFFSET(TH!K$1,SMALL(_DNL1,ROWS($1:36)),)&lt;&gt;0,OFFSET(TH!K$1,SMALL(_DNL1,ROWS($1:36)),),0))</f>
        <v>0</v>
      </c>
      <c r="H49" s="146">
        <f t="shared" ca="1" si="11"/>
        <v>0</v>
      </c>
      <c r="I49" s="151">
        <f ca="1">IF(ROWS($1:36)&gt;COUNT(_DNL1),0,IF(OFFSET(TH!M$1,SMALL(_DNL1,ROWS($1:36)),)&lt;&gt;0,OFFSET(TH!M$1,SMALL(_DNL1,ROWS($1:36)),),0))</f>
        <v>0</v>
      </c>
      <c r="J49" s="146">
        <f t="shared" ca="1" si="12"/>
        <v>0</v>
      </c>
      <c r="K49" s="146">
        <f t="shared" ca="1" si="13"/>
        <v>0</v>
      </c>
      <c r="L49" s="146">
        <f t="shared" ca="1" si="14"/>
        <v>0</v>
      </c>
      <c r="M49" s="146"/>
      <c r="N49" s="230"/>
    </row>
    <row r="50" spans="1:14" hidden="1">
      <c r="A50" s="24" t="str">
        <f t="shared" ca="1" si="10"/>
        <v/>
      </c>
      <c r="B50" s="148" t="str">
        <f ca="1">IF(ROWS($1:37)&gt;COUNT(_DNL1),"",OFFSET(TH!D$1,SMALL(_DNL1,ROWS($1:37)),)&amp;"/"&amp;OFFSET(TH!C$1,SMALL(_DNL1,ROWS($1:37)),))</f>
        <v/>
      </c>
      <c r="C50" s="149" t="str">
        <f ca="1">IF(ROWS($1:37)&gt;COUNT(_DNL1),"",OFFSET(TH!E$1,SMALL(_DNL1,ROWS($1:37)),))</f>
        <v/>
      </c>
      <c r="D50" s="150" t="str">
        <f ca="1">IF(ROWS($1:37)&gt;COUNT(_DNL1),"",OFFSET(TH!F$1,SMALL(_DNL1,ROWS($1:37)),))</f>
        <v/>
      </c>
      <c r="E50" s="148" t="str">
        <f ca="1">IF(ROWS($1:37)&gt;COUNT(_DNL1),"",IF(OFFSET(TH!H$1,SMALL(_DNL1,ROWS($1:37)),)="1521",OFFSET(TH!I$1,SMALL(_DNL1,ROWS($1:37)),),OFFSET(TH!H$1,SMALL(_DNL1,ROWS($1:37)),)))</f>
        <v/>
      </c>
      <c r="F50" s="151">
        <f ca="1">IF(ROWS($1:37)&gt;COUNT(_DNL1),0,OFFSET(TH!J$1,SMALL(_DNL1,ROWS($1:37)),))</f>
        <v>0</v>
      </c>
      <c r="G50" s="151">
        <f ca="1">IF(ROWS($1:37)&gt;COUNT(_DNL1),0,IF(OFFSET(TH!K$1,SMALL(_DNL1,ROWS($1:37)),)&lt;&gt;0,OFFSET(TH!K$1,SMALL(_DNL1,ROWS($1:37)),),0))</f>
        <v>0</v>
      </c>
      <c r="H50" s="146">
        <f t="shared" ca="1" si="11"/>
        <v>0</v>
      </c>
      <c r="I50" s="151">
        <f ca="1">IF(ROWS($1:37)&gt;COUNT(_DNL1),0,IF(OFFSET(TH!M$1,SMALL(_DNL1,ROWS($1:37)),)&lt;&gt;0,OFFSET(TH!M$1,SMALL(_DNL1,ROWS($1:37)),),0))</f>
        <v>0</v>
      </c>
      <c r="J50" s="146">
        <f t="shared" ca="1" si="12"/>
        <v>0</v>
      </c>
      <c r="K50" s="146">
        <f t="shared" ca="1" si="13"/>
        <v>0</v>
      </c>
      <c r="L50" s="146">
        <f t="shared" ca="1" si="14"/>
        <v>0</v>
      </c>
      <c r="M50" s="146"/>
      <c r="N50" s="230"/>
    </row>
    <row r="51" spans="1:14" hidden="1">
      <c r="A51" s="24" t="str">
        <f t="shared" ca="1" si="10"/>
        <v/>
      </c>
      <c r="B51" s="148" t="str">
        <f ca="1">IF(ROWS($1:38)&gt;COUNT(_DNL1),"",OFFSET(TH!D$1,SMALL(_DNL1,ROWS($1:38)),)&amp;"/"&amp;OFFSET(TH!C$1,SMALL(_DNL1,ROWS($1:38)),))</f>
        <v/>
      </c>
      <c r="C51" s="149" t="str">
        <f ca="1">IF(ROWS($1:38)&gt;COUNT(_DNL1),"",OFFSET(TH!E$1,SMALL(_DNL1,ROWS($1:38)),))</f>
        <v/>
      </c>
      <c r="D51" s="150" t="str">
        <f ca="1">IF(ROWS($1:38)&gt;COUNT(_DNL1),"",OFFSET(TH!F$1,SMALL(_DNL1,ROWS($1:38)),))</f>
        <v/>
      </c>
      <c r="E51" s="148" t="str">
        <f ca="1">IF(ROWS($1:38)&gt;COUNT(_DNL1),"",IF(OFFSET(TH!H$1,SMALL(_DNL1,ROWS($1:38)),)="1521",OFFSET(TH!I$1,SMALL(_DNL1,ROWS($1:38)),),OFFSET(TH!H$1,SMALL(_DNL1,ROWS($1:38)),)))</f>
        <v/>
      </c>
      <c r="F51" s="151">
        <f ca="1">IF(ROWS($1:38)&gt;COUNT(_DNL1),0,OFFSET(TH!J$1,SMALL(_DNL1,ROWS($1:38)),))</f>
        <v>0</v>
      </c>
      <c r="G51" s="151">
        <f ca="1">IF(ROWS($1:38)&gt;COUNT(_DNL1),0,IF(OFFSET(TH!K$1,SMALL(_DNL1,ROWS($1:38)),)&lt;&gt;0,OFFSET(TH!K$1,SMALL(_DNL1,ROWS($1:38)),),0))</f>
        <v>0</v>
      </c>
      <c r="H51" s="146">
        <f t="shared" ca="1" si="11"/>
        <v>0</v>
      </c>
      <c r="I51" s="151">
        <f ca="1">IF(ROWS($1:38)&gt;COUNT(_DNL1),0,IF(OFFSET(TH!M$1,SMALL(_DNL1,ROWS($1:38)),)&lt;&gt;0,OFFSET(TH!M$1,SMALL(_DNL1,ROWS($1:38)),),0))</f>
        <v>0</v>
      </c>
      <c r="J51" s="146">
        <f t="shared" ca="1" si="12"/>
        <v>0</v>
      </c>
      <c r="K51" s="146">
        <f t="shared" ca="1" si="13"/>
        <v>0</v>
      </c>
      <c r="L51" s="146">
        <f t="shared" ca="1" si="14"/>
        <v>0</v>
      </c>
      <c r="M51" s="146"/>
      <c r="N51" s="230"/>
    </row>
    <row r="52" spans="1:14" hidden="1">
      <c r="A52" s="24" t="str">
        <f t="shared" ca="1" si="10"/>
        <v/>
      </c>
      <c r="B52" s="148" t="str">
        <f ca="1">IF(ROWS($1:39)&gt;COUNT(_DNL1),"",OFFSET(TH!D$1,SMALL(_DNL1,ROWS($1:39)),)&amp;"/"&amp;OFFSET(TH!C$1,SMALL(_DNL1,ROWS($1:39)),))</f>
        <v/>
      </c>
      <c r="C52" s="149" t="str">
        <f ca="1">IF(ROWS($1:39)&gt;COUNT(_DNL1),"",OFFSET(TH!E$1,SMALL(_DNL1,ROWS($1:39)),))</f>
        <v/>
      </c>
      <c r="D52" s="150" t="str">
        <f ca="1">IF(ROWS($1:39)&gt;COUNT(_DNL1),"",OFFSET(TH!F$1,SMALL(_DNL1,ROWS($1:39)),))</f>
        <v/>
      </c>
      <c r="E52" s="148" t="str">
        <f ca="1">IF(ROWS($1:39)&gt;COUNT(_DNL1),"",IF(OFFSET(TH!H$1,SMALL(_DNL1,ROWS($1:39)),)="1521",OFFSET(TH!I$1,SMALL(_DNL1,ROWS($1:39)),),OFFSET(TH!H$1,SMALL(_DNL1,ROWS($1:39)),)))</f>
        <v/>
      </c>
      <c r="F52" s="151">
        <f ca="1">IF(ROWS($1:39)&gt;COUNT(_DNL1),0,OFFSET(TH!J$1,SMALL(_DNL1,ROWS($1:39)),))</f>
        <v>0</v>
      </c>
      <c r="G52" s="151">
        <f ca="1">IF(ROWS($1:39)&gt;COUNT(_DNL1),0,IF(OFFSET(TH!K$1,SMALL(_DNL1,ROWS($1:39)),)&lt;&gt;0,OFFSET(TH!K$1,SMALL(_DNL1,ROWS($1:39)),),0))</f>
        <v>0</v>
      </c>
      <c r="H52" s="146">
        <f t="shared" ca="1" si="11"/>
        <v>0</v>
      </c>
      <c r="I52" s="151">
        <f ca="1">IF(ROWS($1:39)&gt;COUNT(_DNL1),0,IF(OFFSET(TH!M$1,SMALL(_DNL1,ROWS($1:39)),)&lt;&gt;0,OFFSET(TH!M$1,SMALL(_DNL1,ROWS($1:39)),),0))</f>
        <v>0</v>
      </c>
      <c r="J52" s="146">
        <f t="shared" ca="1" si="12"/>
        <v>0</v>
      </c>
      <c r="K52" s="146">
        <f t="shared" ca="1" si="13"/>
        <v>0</v>
      </c>
      <c r="L52" s="146">
        <f t="shared" ca="1" si="14"/>
        <v>0</v>
      </c>
      <c r="M52" s="146"/>
      <c r="N52" s="230"/>
    </row>
    <row r="53" spans="1:14" hidden="1">
      <c r="A53" s="24" t="str">
        <f t="shared" ca="1" si="10"/>
        <v/>
      </c>
      <c r="B53" s="148" t="str">
        <f ca="1">IF(ROWS($1:40)&gt;COUNT(_DNL1),"",OFFSET(TH!D$1,SMALL(_DNL1,ROWS($1:40)),)&amp;"/"&amp;OFFSET(TH!C$1,SMALL(_DNL1,ROWS($1:40)),))</f>
        <v/>
      </c>
      <c r="C53" s="149" t="str">
        <f ca="1">IF(ROWS($1:40)&gt;COUNT(_DNL1),"",OFFSET(TH!E$1,SMALL(_DNL1,ROWS($1:40)),))</f>
        <v/>
      </c>
      <c r="D53" s="150" t="str">
        <f ca="1">IF(ROWS($1:40)&gt;COUNT(_DNL1),"",OFFSET(TH!F$1,SMALL(_DNL1,ROWS($1:40)),))</f>
        <v/>
      </c>
      <c r="E53" s="148" t="str">
        <f ca="1">IF(ROWS($1:40)&gt;COUNT(_DNL1),"",IF(OFFSET(TH!H$1,SMALL(_DNL1,ROWS($1:40)),)="1521",OFFSET(TH!I$1,SMALL(_DNL1,ROWS($1:40)),),OFFSET(TH!H$1,SMALL(_DNL1,ROWS($1:40)),)))</f>
        <v/>
      </c>
      <c r="F53" s="151">
        <f ca="1">IF(ROWS($1:40)&gt;COUNT(_DNL1),0,OFFSET(TH!J$1,SMALL(_DNL1,ROWS($1:40)),))</f>
        <v>0</v>
      </c>
      <c r="G53" s="151">
        <f ca="1">IF(ROWS($1:40)&gt;COUNT(_DNL1),0,IF(OFFSET(TH!K$1,SMALL(_DNL1,ROWS($1:40)),)&lt;&gt;0,OFFSET(TH!K$1,SMALL(_DNL1,ROWS($1:40)),),0))</f>
        <v>0</v>
      </c>
      <c r="H53" s="146">
        <f t="shared" ca="1" si="11"/>
        <v>0</v>
      </c>
      <c r="I53" s="151">
        <f ca="1">IF(ROWS($1:40)&gt;COUNT(_DNL1),0,IF(OFFSET(TH!M$1,SMALL(_DNL1,ROWS($1:40)),)&lt;&gt;0,OFFSET(TH!M$1,SMALL(_DNL1,ROWS($1:40)),),0))</f>
        <v>0</v>
      </c>
      <c r="J53" s="146">
        <f t="shared" ca="1" si="12"/>
        <v>0</v>
      </c>
      <c r="K53" s="146">
        <f t="shared" ca="1" si="13"/>
        <v>0</v>
      </c>
      <c r="L53" s="146">
        <f t="shared" ca="1" si="14"/>
        <v>0</v>
      </c>
      <c r="M53" s="146"/>
      <c r="N53" s="230"/>
    </row>
    <row r="54" spans="1:14" hidden="1">
      <c r="A54" s="24" t="str">
        <f t="shared" ca="1" si="10"/>
        <v/>
      </c>
      <c r="B54" s="148" t="str">
        <f ca="1">IF(ROWS($1:41)&gt;COUNT(_DNL1),"",OFFSET(TH!D$1,SMALL(_DNL1,ROWS($1:41)),)&amp;"/"&amp;OFFSET(TH!C$1,SMALL(_DNL1,ROWS($1:41)),))</f>
        <v/>
      </c>
      <c r="C54" s="149" t="str">
        <f ca="1">IF(ROWS($1:41)&gt;COUNT(_DNL1),"",OFFSET(TH!E$1,SMALL(_DNL1,ROWS($1:41)),))</f>
        <v/>
      </c>
      <c r="D54" s="150" t="str">
        <f ca="1">IF(ROWS($1:41)&gt;COUNT(_DNL1),"",OFFSET(TH!F$1,SMALL(_DNL1,ROWS($1:41)),))</f>
        <v/>
      </c>
      <c r="E54" s="148" t="str">
        <f ca="1">IF(ROWS($1:41)&gt;COUNT(_DNL1),"",IF(OFFSET(TH!H$1,SMALL(_DNL1,ROWS($1:41)),)="1521",OFFSET(TH!I$1,SMALL(_DNL1,ROWS($1:41)),),OFFSET(TH!H$1,SMALL(_DNL1,ROWS($1:41)),)))</f>
        <v/>
      </c>
      <c r="F54" s="151">
        <f ca="1">IF(ROWS($1:41)&gt;COUNT(_DNL1),0,OFFSET(TH!J$1,SMALL(_DNL1,ROWS($1:41)),))</f>
        <v>0</v>
      </c>
      <c r="G54" s="151">
        <f ca="1">IF(ROWS($1:41)&gt;COUNT(_DNL1),0,IF(OFFSET(TH!K$1,SMALL(_DNL1,ROWS($1:41)),)&lt;&gt;0,OFFSET(TH!K$1,SMALL(_DNL1,ROWS($1:41)),),0))</f>
        <v>0</v>
      </c>
      <c r="H54" s="146">
        <f t="shared" ca="1" si="11"/>
        <v>0</v>
      </c>
      <c r="I54" s="151">
        <f ca="1">IF(ROWS($1:41)&gt;COUNT(_DNL1),0,IF(OFFSET(TH!M$1,SMALL(_DNL1,ROWS($1:41)),)&lt;&gt;0,OFFSET(TH!M$1,SMALL(_DNL1,ROWS($1:41)),),0))</f>
        <v>0</v>
      </c>
      <c r="J54" s="146">
        <f t="shared" ca="1" si="12"/>
        <v>0</v>
      </c>
      <c r="K54" s="146">
        <f t="shared" ca="1" si="13"/>
        <v>0</v>
      </c>
      <c r="L54" s="146">
        <f t="shared" ca="1" si="14"/>
        <v>0</v>
      </c>
      <c r="M54" s="146"/>
      <c r="N54" s="230"/>
    </row>
    <row r="55" spans="1:14" hidden="1">
      <c r="A55" s="24" t="str">
        <f t="shared" ca="1" si="10"/>
        <v/>
      </c>
      <c r="B55" s="148" t="str">
        <f ca="1">IF(ROWS($1:42)&gt;COUNT(_DNL1),"",OFFSET(TH!D$1,SMALL(_DNL1,ROWS($1:42)),)&amp;"/"&amp;OFFSET(TH!C$1,SMALL(_DNL1,ROWS($1:42)),))</f>
        <v/>
      </c>
      <c r="C55" s="149" t="str">
        <f ca="1">IF(ROWS($1:42)&gt;COUNT(_DNL1),"",OFFSET(TH!E$1,SMALL(_DNL1,ROWS($1:42)),))</f>
        <v/>
      </c>
      <c r="D55" s="150" t="str">
        <f ca="1">IF(ROWS($1:42)&gt;COUNT(_DNL1),"",OFFSET(TH!F$1,SMALL(_DNL1,ROWS($1:42)),))</f>
        <v/>
      </c>
      <c r="E55" s="148" t="str">
        <f ca="1">IF(ROWS($1:42)&gt;COUNT(_DNL1),"",IF(OFFSET(TH!H$1,SMALL(_DNL1,ROWS($1:42)),)="1521",OFFSET(TH!I$1,SMALL(_DNL1,ROWS($1:42)),),OFFSET(TH!H$1,SMALL(_DNL1,ROWS($1:42)),)))</f>
        <v/>
      </c>
      <c r="F55" s="151">
        <f ca="1">IF(ROWS($1:42)&gt;COUNT(_DNL1),0,OFFSET(TH!J$1,SMALL(_DNL1,ROWS($1:42)),))</f>
        <v>0</v>
      </c>
      <c r="G55" s="151">
        <f ca="1">IF(ROWS($1:42)&gt;COUNT(_DNL1),0,IF(OFFSET(TH!K$1,SMALL(_DNL1,ROWS($1:42)),)&lt;&gt;0,OFFSET(TH!K$1,SMALL(_DNL1,ROWS($1:42)),),0))</f>
        <v>0</v>
      </c>
      <c r="H55" s="146">
        <f t="shared" ca="1" si="11"/>
        <v>0</v>
      </c>
      <c r="I55" s="151">
        <f ca="1">IF(ROWS($1:42)&gt;COUNT(_DNL1),0,IF(OFFSET(TH!M$1,SMALL(_DNL1,ROWS($1:42)),)&lt;&gt;0,OFFSET(TH!M$1,SMALL(_DNL1,ROWS($1:42)),),0))</f>
        <v>0</v>
      </c>
      <c r="J55" s="146">
        <f t="shared" ca="1" si="12"/>
        <v>0</v>
      </c>
      <c r="K55" s="146">
        <f t="shared" ca="1" si="13"/>
        <v>0</v>
      </c>
      <c r="L55" s="146">
        <f t="shared" ca="1" si="14"/>
        <v>0</v>
      </c>
      <c r="M55" s="146"/>
      <c r="N55" s="230"/>
    </row>
    <row r="56" spans="1:14" hidden="1">
      <c r="A56" s="24" t="str">
        <f t="shared" ca="1" si="10"/>
        <v/>
      </c>
      <c r="B56" s="148" t="str">
        <f ca="1">IF(ROWS($1:43)&gt;COUNT(_DNL1),"",OFFSET(TH!D$1,SMALL(_DNL1,ROWS($1:43)),)&amp;"/"&amp;OFFSET(TH!C$1,SMALL(_DNL1,ROWS($1:43)),))</f>
        <v/>
      </c>
      <c r="C56" s="149" t="str">
        <f ca="1">IF(ROWS($1:43)&gt;COUNT(_DNL1),"",OFFSET(TH!E$1,SMALL(_DNL1,ROWS($1:43)),))</f>
        <v/>
      </c>
      <c r="D56" s="150" t="str">
        <f ca="1">IF(ROWS($1:43)&gt;COUNT(_DNL1),"",OFFSET(TH!F$1,SMALL(_DNL1,ROWS($1:43)),))</f>
        <v/>
      </c>
      <c r="E56" s="148" t="str">
        <f ca="1">IF(ROWS($1:43)&gt;COUNT(_DNL1),"",IF(OFFSET(TH!H$1,SMALL(_DNL1,ROWS($1:43)),)="1521",OFFSET(TH!I$1,SMALL(_DNL1,ROWS($1:43)),),OFFSET(TH!H$1,SMALL(_DNL1,ROWS($1:43)),)))</f>
        <v/>
      </c>
      <c r="F56" s="151">
        <f ca="1">IF(ROWS($1:43)&gt;COUNT(_DNL1),0,OFFSET(TH!J$1,SMALL(_DNL1,ROWS($1:43)),))</f>
        <v>0</v>
      </c>
      <c r="G56" s="151">
        <f ca="1">IF(ROWS($1:43)&gt;COUNT(_DNL1),0,IF(OFFSET(TH!K$1,SMALL(_DNL1,ROWS($1:43)),)&lt;&gt;0,OFFSET(TH!K$1,SMALL(_DNL1,ROWS($1:43)),),0))</f>
        <v>0</v>
      </c>
      <c r="H56" s="146">
        <f t="shared" ca="1" si="11"/>
        <v>0</v>
      </c>
      <c r="I56" s="151">
        <f ca="1">IF(ROWS($1:43)&gt;COUNT(_DNL1),0,IF(OFFSET(TH!M$1,SMALL(_DNL1,ROWS($1:43)),)&lt;&gt;0,OFFSET(TH!M$1,SMALL(_DNL1,ROWS($1:43)),),0))</f>
        <v>0</v>
      </c>
      <c r="J56" s="146">
        <f t="shared" ca="1" si="12"/>
        <v>0</v>
      </c>
      <c r="K56" s="146">
        <f t="shared" ca="1" si="13"/>
        <v>0</v>
      </c>
      <c r="L56" s="146">
        <f t="shared" ca="1" si="14"/>
        <v>0</v>
      </c>
      <c r="M56" s="146"/>
      <c r="N56" s="230"/>
    </row>
    <row r="57" spans="1:14" hidden="1">
      <c r="A57" s="24" t="str">
        <f t="shared" ca="1" si="10"/>
        <v/>
      </c>
      <c r="B57" s="148" t="str">
        <f ca="1">IF(ROWS($1:44)&gt;COUNT(_DNL1),"",OFFSET(TH!D$1,SMALL(_DNL1,ROWS($1:44)),)&amp;"/"&amp;OFFSET(TH!C$1,SMALL(_DNL1,ROWS($1:44)),))</f>
        <v/>
      </c>
      <c r="C57" s="149" t="str">
        <f ca="1">IF(ROWS($1:44)&gt;COUNT(_DNL1),"",OFFSET(TH!E$1,SMALL(_DNL1,ROWS($1:44)),))</f>
        <v/>
      </c>
      <c r="D57" s="150" t="str">
        <f ca="1">IF(ROWS($1:44)&gt;COUNT(_DNL1),"",OFFSET(TH!F$1,SMALL(_DNL1,ROWS($1:44)),))</f>
        <v/>
      </c>
      <c r="E57" s="148" t="str">
        <f ca="1">IF(ROWS($1:44)&gt;COUNT(_DNL1),"",IF(OFFSET(TH!H$1,SMALL(_DNL1,ROWS($1:44)),)="1521",OFFSET(TH!I$1,SMALL(_DNL1,ROWS($1:44)),),OFFSET(TH!H$1,SMALL(_DNL1,ROWS($1:44)),)))</f>
        <v/>
      </c>
      <c r="F57" s="151">
        <f ca="1">IF(ROWS($1:44)&gt;COUNT(_DNL1),0,OFFSET(TH!J$1,SMALL(_DNL1,ROWS($1:44)),))</f>
        <v>0</v>
      </c>
      <c r="G57" s="151">
        <f ca="1">IF(ROWS($1:44)&gt;COUNT(_DNL1),0,IF(OFFSET(TH!K$1,SMALL(_DNL1,ROWS($1:44)),)&lt;&gt;0,OFFSET(TH!K$1,SMALL(_DNL1,ROWS($1:44)),),0))</f>
        <v>0</v>
      </c>
      <c r="H57" s="146">
        <f t="shared" ca="1" si="11"/>
        <v>0</v>
      </c>
      <c r="I57" s="151">
        <f ca="1">IF(ROWS($1:44)&gt;COUNT(_DNL1),0,IF(OFFSET(TH!M$1,SMALL(_DNL1,ROWS($1:44)),)&lt;&gt;0,OFFSET(TH!M$1,SMALL(_DNL1,ROWS($1:44)),),0))</f>
        <v>0</v>
      </c>
      <c r="J57" s="146">
        <f t="shared" ca="1" si="12"/>
        <v>0</v>
      </c>
      <c r="K57" s="146">
        <f t="shared" ca="1" si="13"/>
        <v>0</v>
      </c>
      <c r="L57" s="146">
        <f t="shared" ca="1" si="14"/>
        <v>0</v>
      </c>
      <c r="M57" s="146"/>
      <c r="N57" s="230"/>
    </row>
    <row r="58" spans="1:14" hidden="1">
      <c r="A58" s="24" t="str">
        <f t="shared" ca="1" si="10"/>
        <v/>
      </c>
      <c r="B58" s="148" t="str">
        <f ca="1">IF(ROWS($1:45)&gt;COUNT(_DNL1),"",OFFSET(TH!D$1,SMALL(_DNL1,ROWS($1:45)),)&amp;"/"&amp;OFFSET(TH!C$1,SMALL(_DNL1,ROWS($1:45)),))</f>
        <v/>
      </c>
      <c r="C58" s="149" t="str">
        <f ca="1">IF(ROWS($1:45)&gt;COUNT(_DNL1),"",OFFSET(TH!E$1,SMALL(_DNL1,ROWS($1:45)),))</f>
        <v/>
      </c>
      <c r="D58" s="150" t="str">
        <f ca="1">IF(ROWS($1:45)&gt;COUNT(_DNL1),"",OFFSET(TH!F$1,SMALL(_DNL1,ROWS($1:45)),))</f>
        <v/>
      </c>
      <c r="E58" s="148" t="str">
        <f ca="1">IF(ROWS($1:45)&gt;COUNT(_DNL1),"",IF(OFFSET(TH!H$1,SMALL(_DNL1,ROWS($1:45)),)="1521",OFFSET(TH!I$1,SMALL(_DNL1,ROWS($1:45)),),OFFSET(TH!H$1,SMALL(_DNL1,ROWS($1:45)),)))</f>
        <v/>
      </c>
      <c r="F58" s="151">
        <f ca="1">IF(ROWS($1:45)&gt;COUNT(_DNL1),0,OFFSET(TH!J$1,SMALL(_DNL1,ROWS($1:45)),))</f>
        <v>0</v>
      </c>
      <c r="G58" s="151">
        <f ca="1">IF(ROWS($1:45)&gt;COUNT(_DNL1),0,IF(OFFSET(TH!K$1,SMALL(_DNL1,ROWS($1:45)),)&lt;&gt;0,OFFSET(TH!K$1,SMALL(_DNL1,ROWS($1:45)),),0))</f>
        <v>0</v>
      </c>
      <c r="H58" s="146">
        <f t="shared" ca="1" si="11"/>
        <v>0</v>
      </c>
      <c r="I58" s="151">
        <f ca="1">IF(ROWS($1:45)&gt;COUNT(_DNL1),0,IF(OFFSET(TH!M$1,SMALL(_DNL1,ROWS($1:45)),)&lt;&gt;0,OFFSET(TH!M$1,SMALL(_DNL1,ROWS($1:45)),),0))</f>
        <v>0</v>
      </c>
      <c r="J58" s="146">
        <f t="shared" ca="1" si="12"/>
        <v>0</v>
      </c>
      <c r="K58" s="146">
        <f t="shared" ca="1" si="13"/>
        <v>0</v>
      </c>
      <c r="L58" s="146">
        <f t="shared" ca="1" si="14"/>
        <v>0</v>
      </c>
      <c r="M58" s="146"/>
      <c r="N58" s="230"/>
    </row>
    <row r="59" spans="1:14" hidden="1">
      <c r="A59" s="24" t="str">
        <f t="shared" ca="1" si="10"/>
        <v/>
      </c>
      <c r="B59" s="148" t="str">
        <f ca="1">IF(ROWS($1:46)&gt;COUNT(_DNL1),"",OFFSET(TH!D$1,SMALL(_DNL1,ROWS($1:46)),)&amp;"/"&amp;OFFSET(TH!C$1,SMALL(_DNL1,ROWS($1:46)),))</f>
        <v/>
      </c>
      <c r="C59" s="149" t="str">
        <f ca="1">IF(ROWS($1:46)&gt;COUNT(_DNL1),"",OFFSET(TH!E$1,SMALL(_DNL1,ROWS($1:46)),))</f>
        <v/>
      </c>
      <c r="D59" s="150" t="str">
        <f ca="1">IF(ROWS($1:46)&gt;COUNT(_DNL1),"",OFFSET(TH!F$1,SMALL(_DNL1,ROWS($1:46)),))</f>
        <v/>
      </c>
      <c r="E59" s="148" t="str">
        <f ca="1">IF(ROWS($1:46)&gt;COUNT(_DNL1),"",IF(OFFSET(TH!H$1,SMALL(_DNL1,ROWS($1:46)),)="1521",OFFSET(TH!I$1,SMALL(_DNL1,ROWS($1:46)),),OFFSET(TH!H$1,SMALL(_DNL1,ROWS($1:46)),)))</f>
        <v/>
      </c>
      <c r="F59" s="151">
        <f ca="1">IF(ROWS($1:46)&gt;COUNT(_DNL1),0,OFFSET(TH!J$1,SMALL(_DNL1,ROWS($1:46)),))</f>
        <v>0</v>
      </c>
      <c r="G59" s="151">
        <f ca="1">IF(ROWS($1:46)&gt;COUNT(_DNL1),0,IF(OFFSET(TH!K$1,SMALL(_DNL1,ROWS($1:46)),)&lt;&gt;0,OFFSET(TH!K$1,SMALL(_DNL1,ROWS($1:46)),),0))</f>
        <v>0</v>
      </c>
      <c r="H59" s="146">
        <f t="shared" ca="1" si="11"/>
        <v>0</v>
      </c>
      <c r="I59" s="151">
        <f ca="1">IF(ROWS($1:46)&gt;COUNT(_DNL1),0,IF(OFFSET(TH!M$1,SMALL(_DNL1,ROWS($1:46)),)&lt;&gt;0,OFFSET(TH!M$1,SMALL(_DNL1,ROWS($1:46)),),0))</f>
        <v>0</v>
      </c>
      <c r="J59" s="146">
        <f t="shared" ca="1" si="12"/>
        <v>0</v>
      </c>
      <c r="K59" s="146">
        <f t="shared" ca="1" si="13"/>
        <v>0</v>
      </c>
      <c r="L59" s="146">
        <f t="shared" ca="1" si="14"/>
        <v>0</v>
      </c>
      <c r="M59" s="146"/>
      <c r="N59" s="230"/>
    </row>
    <row r="60" spans="1:14" hidden="1">
      <c r="A60" s="24" t="str">
        <f t="shared" ca="1" si="10"/>
        <v/>
      </c>
      <c r="B60" s="148" t="str">
        <f ca="1">IF(ROWS($1:47)&gt;COUNT(_DNL1),"",OFFSET(TH!D$1,SMALL(_DNL1,ROWS($1:47)),)&amp;"/"&amp;OFFSET(TH!C$1,SMALL(_DNL1,ROWS($1:47)),))</f>
        <v/>
      </c>
      <c r="C60" s="149" t="str">
        <f ca="1">IF(ROWS($1:47)&gt;COUNT(_DNL1),"",OFFSET(TH!E$1,SMALL(_DNL1,ROWS($1:47)),))</f>
        <v/>
      </c>
      <c r="D60" s="150" t="str">
        <f ca="1">IF(ROWS($1:47)&gt;COUNT(_DNL1),"",OFFSET(TH!F$1,SMALL(_DNL1,ROWS($1:47)),))</f>
        <v/>
      </c>
      <c r="E60" s="148" t="str">
        <f ca="1">IF(ROWS($1:47)&gt;COUNT(_DNL1),"",IF(OFFSET(TH!H$1,SMALL(_DNL1,ROWS($1:47)),)="1521",OFFSET(TH!I$1,SMALL(_DNL1,ROWS($1:47)),),OFFSET(TH!H$1,SMALL(_DNL1,ROWS($1:47)),)))</f>
        <v/>
      </c>
      <c r="F60" s="151">
        <f ca="1">IF(ROWS($1:47)&gt;COUNT(_DNL1),0,OFFSET(TH!J$1,SMALL(_DNL1,ROWS($1:47)),))</f>
        <v>0</v>
      </c>
      <c r="G60" s="151">
        <f ca="1">IF(ROWS($1:47)&gt;COUNT(_DNL1),0,IF(OFFSET(TH!K$1,SMALL(_DNL1,ROWS($1:47)),)&lt;&gt;0,OFFSET(TH!K$1,SMALL(_DNL1,ROWS($1:47)),),0))</f>
        <v>0</v>
      </c>
      <c r="H60" s="146">
        <f t="shared" ca="1" si="11"/>
        <v>0</v>
      </c>
      <c r="I60" s="151">
        <f ca="1">IF(ROWS($1:47)&gt;COUNT(_DNL1),0,IF(OFFSET(TH!M$1,SMALL(_DNL1,ROWS($1:47)),)&lt;&gt;0,OFFSET(TH!M$1,SMALL(_DNL1,ROWS($1:47)),),0))</f>
        <v>0</v>
      </c>
      <c r="J60" s="146">
        <f t="shared" ca="1" si="12"/>
        <v>0</v>
      </c>
      <c r="K60" s="146">
        <f t="shared" ca="1" si="13"/>
        <v>0</v>
      </c>
      <c r="L60" s="146">
        <f t="shared" ca="1" si="14"/>
        <v>0</v>
      </c>
      <c r="M60" s="146"/>
      <c r="N60" s="230"/>
    </row>
    <row r="61" spans="1:14" hidden="1">
      <c r="A61" s="24" t="str">
        <f t="shared" ca="1" si="10"/>
        <v/>
      </c>
      <c r="B61" s="148" t="str">
        <f ca="1">IF(ROWS($1:48)&gt;COUNT(_DNL1),"",OFFSET(TH!D$1,SMALL(_DNL1,ROWS($1:48)),)&amp;"/"&amp;OFFSET(TH!C$1,SMALL(_DNL1,ROWS($1:48)),))</f>
        <v/>
      </c>
      <c r="C61" s="149" t="str">
        <f ca="1">IF(ROWS($1:48)&gt;COUNT(_DNL1),"",OFFSET(TH!E$1,SMALL(_DNL1,ROWS($1:48)),))</f>
        <v/>
      </c>
      <c r="D61" s="150" t="str">
        <f ca="1">IF(ROWS($1:48)&gt;COUNT(_DNL1),"",OFFSET(TH!F$1,SMALL(_DNL1,ROWS($1:48)),))</f>
        <v/>
      </c>
      <c r="E61" s="148" t="str">
        <f ca="1">IF(ROWS($1:48)&gt;COUNT(_DNL1),"",IF(OFFSET(TH!H$1,SMALL(_DNL1,ROWS($1:48)),)="1521",OFFSET(TH!I$1,SMALL(_DNL1,ROWS($1:48)),),OFFSET(TH!H$1,SMALL(_DNL1,ROWS($1:48)),)))</f>
        <v/>
      </c>
      <c r="F61" s="151">
        <f ca="1">IF(ROWS($1:48)&gt;COUNT(_DNL1),0,OFFSET(TH!J$1,SMALL(_DNL1,ROWS($1:48)),))</f>
        <v>0</v>
      </c>
      <c r="G61" s="151">
        <f ca="1">IF(ROWS($1:48)&gt;COUNT(_DNL1),0,IF(OFFSET(TH!K$1,SMALL(_DNL1,ROWS($1:48)),)&lt;&gt;0,OFFSET(TH!K$1,SMALL(_DNL1,ROWS($1:48)),),0))</f>
        <v>0</v>
      </c>
      <c r="H61" s="146">
        <f t="shared" ca="1" si="11"/>
        <v>0</v>
      </c>
      <c r="I61" s="151">
        <f ca="1">IF(ROWS($1:48)&gt;COUNT(_DNL1),0,IF(OFFSET(TH!M$1,SMALL(_DNL1,ROWS($1:48)),)&lt;&gt;0,OFFSET(TH!M$1,SMALL(_DNL1,ROWS($1:48)),),0))</f>
        <v>0</v>
      </c>
      <c r="J61" s="146">
        <f t="shared" ca="1" si="12"/>
        <v>0</v>
      </c>
      <c r="K61" s="146">
        <f t="shared" ca="1" si="13"/>
        <v>0</v>
      </c>
      <c r="L61" s="146">
        <f t="shared" ca="1" si="14"/>
        <v>0</v>
      </c>
      <c r="M61" s="146"/>
      <c r="N61" s="230"/>
    </row>
    <row r="62" spans="1:14" hidden="1">
      <c r="A62" s="24" t="str">
        <f t="shared" ca="1" si="10"/>
        <v/>
      </c>
      <c r="B62" s="148" t="str">
        <f ca="1">IF(ROWS($1:49)&gt;COUNT(_DNL1),"",OFFSET(TH!D$1,SMALL(_DNL1,ROWS($1:49)),)&amp;"/"&amp;OFFSET(TH!C$1,SMALL(_DNL1,ROWS($1:49)),))</f>
        <v/>
      </c>
      <c r="C62" s="149" t="str">
        <f ca="1">IF(ROWS($1:49)&gt;COUNT(_DNL1),"",OFFSET(TH!E$1,SMALL(_DNL1,ROWS($1:49)),))</f>
        <v/>
      </c>
      <c r="D62" s="150" t="str">
        <f ca="1">IF(ROWS($1:49)&gt;COUNT(_DNL1),"",OFFSET(TH!F$1,SMALL(_DNL1,ROWS($1:49)),))</f>
        <v/>
      </c>
      <c r="E62" s="148" t="str">
        <f ca="1">IF(ROWS($1:49)&gt;COUNT(_DNL1),"",IF(OFFSET(TH!H$1,SMALL(_DNL1,ROWS($1:49)),)="1521",OFFSET(TH!I$1,SMALL(_DNL1,ROWS($1:49)),),OFFSET(TH!H$1,SMALL(_DNL1,ROWS($1:49)),)))</f>
        <v/>
      </c>
      <c r="F62" s="151">
        <f ca="1">IF(ROWS($1:49)&gt;COUNT(_DNL1),0,OFFSET(TH!J$1,SMALL(_DNL1,ROWS($1:49)),))</f>
        <v>0</v>
      </c>
      <c r="G62" s="151">
        <f ca="1">IF(ROWS($1:49)&gt;COUNT(_DNL1),0,IF(OFFSET(TH!K$1,SMALL(_DNL1,ROWS($1:49)),)&lt;&gt;0,OFFSET(TH!K$1,SMALL(_DNL1,ROWS($1:49)),),0))</f>
        <v>0</v>
      </c>
      <c r="H62" s="146">
        <f t="shared" ca="1" si="11"/>
        <v>0</v>
      </c>
      <c r="I62" s="151">
        <f ca="1">IF(ROWS($1:49)&gt;COUNT(_DNL1),0,IF(OFFSET(TH!M$1,SMALL(_DNL1,ROWS($1:49)),)&lt;&gt;0,OFFSET(TH!M$1,SMALL(_DNL1,ROWS($1:49)),),0))</f>
        <v>0</v>
      </c>
      <c r="J62" s="146">
        <f t="shared" ca="1" si="12"/>
        <v>0</v>
      </c>
      <c r="K62" s="146">
        <f t="shared" ca="1" si="13"/>
        <v>0</v>
      </c>
      <c r="L62" s="146">
        <f t="shared" ca="1" si="14"/>
        <v>0</v>
      </c>
      <c r="M62" s="146"/>
      <c r="N62" s="230"/>
    </row>
    <row r="63" spans="1:14" hidden="1">
      <c r="A63" s="24" t="str">
        <f t="shared" ca="1" si="10"/>
        <v/>
      </c>
      <c r="B63" s="148" t="str">
        <f ca="1">IF(ROWS($1:50)&gt;COUNT(_DNL1),"",OFFSET(TH!D$1,SMALL(_DNL1,ROWS($1:50)),)&amp;"/"&amp;OFFSET(TH!C$1,SMALL(_DNL1,ROWS($1:50)),))</f>
        <v/>
      </c>
      <c r="C63" s="149" t="str">
        <f ca="1">IF(ROWS($1:50)&gt;COUNT(_DNL1),"",OFFSET(TH!E$1,SMALL(_DNL1,ROWS($1:50)),))</f>
        <v/>
      </c>
      <c r="D63" s="150" t="str">
        <f ca="1">IF(ROWS($1:50)&gt;COUNT(_DNL1),"",OFFSET(TH!F$1,SMALL(_DNL1,ROWS($1:50)),))</f>
        <v/>
      </c>
      <c r="E63" s="148" t="str">
        <f ca="1">IF(ROWS($1:50)&gt;COUNT(_DNL1),"",IF(OFFSET(TH!H$1,SMALL(_DNL1,ROWS($1:50)),)="1521",OFFSET(TH!I$1,SMALL(_DNL1,ROWS($1:50)),),OFFSET(TH!H$1,SMALL(_DNL1,ROWS($1:50)),)))</f>
        <v/>
      </c>
      <c r="F63" s="151">
        <f ca="1">IF(ROWS($1:50)&gt;COUNT(_DNL1),0,OFFSET(TH!J$1,SMALL(_DNL1,ROWS($1:50)),))</f>
        <v>0</v>
      </c>
      <c r="G63" s="151">
        <f ca="1">IF(ROWS($1:50)&gt;COUNT(_DNL1),0,IF(OFFSET(TH!K$1,SMALL(_DNL1,ROWS($1:50)),)&lt;&gt;0,OFFSET(TH!K$1,SMALL(_DNL1,ROWS($1:50)),),0))</f>
        <v>0</v>
      </c>
      <c r="H63" s="146">
        <f t="shared" ca="1" si="11"/>
        <v>0</v>
      </c>
      <c r="I63" s="151">
        <f ca="1">IF(ROWS($1:50)&gt;COUNT(_DNL1),0,IF(OFFSET(TH!M$1,SMALL(_DNL1,ROWS($1:50)),)&lt;&gt;0,OFFSET(TH!M$1,SMALL(_DNL1,ROWS($1:50)),),0))</f>
        <v>0</v>
      </c>
      <c r="J63" s="146">
        <f t="shared" ca="1" si="12"/>
        <v>0</v>
      </c>
      <c r="K63" s="146">
        <f t="shared" ca="1" si="13"/>
        <v>0</v>
      </c>
      <c r="L63" s="146">
        <f t="shared" ca="1" si="14"/>
        <v>0</v>
      </c>
      <c r="M63" s="146"/>
      <c r="N63" s="230"/>
    </row>
    <row r="64" spans="1:14" hidden="1">
      <c r="A64" s="24" t="str">
        <f t="shared" ca="1" si="10"/>
        <v/>
      </c>
      <c r="B64" s="148" t="str">
        <f ca="1">IF(ROWS($1:51)&gt;COUNT(_DNL1),"",OFFSET(TH!D$1,SMALL(_DNL1,ROWS($1:51)),)&amp;"/"&amp;OFFSET(TH!C$1,SMALL(_DNL1,ROWS($1:51)),))</f>
        <v/>
      </c>
      <c r="C64" s="149" t="str">
        <f ca="1">IF(ROWS($1:51)&gt;COUNT(_DNL1),"",OFFSET(TH!E$1,SMALL(_DNL1,ROWS($1:51)),))</f>
        <v/>
      </c>
      <c r="D64" s="150" t="str">
        <f ca="1">IF(ROWS($1:51)&gt;COUNT(_DNL1),"",OFFSET(TH!F$1,SMALL(_DNL1,ROWS($1:51)),))</f>
        <v/>
      </c>
      <c r="E64" s="148" t="str">
        <f ca="1">IF(ROWS($1:51)&gt;COUNT(_DNL1),"",IF(OFFSET(TH!H$1,SMALL(_DNL1,ROWS($1:51)),)="1521",OFFSET(TH!I$1,SMALL(_DNL1,ROWS($1:51)),),OFFSET(TH!H$1,SMALL(_DNL1,ROWS($1:51)),)))</f>
        <v/>
      </c>
      <c r="F64" s="151">
        <f ca="1">IF(ROWS($1:51)&gt;COUNT(_DNL1),0,OFFSET(TH!J$1,SMALL(_DNL1,ROWS($1:51)),))</f>
        <v>0</v>
      </c>
      <c r="G64" s="151">
        <f ca="1">IF(ROWS($1:51)&gt;COUNT(_DNL1),0,IF(OFFSET(TH!K$1,SMALL(_DNL1,ROWS($1:51)),)&lt;&gt;0,OFFSET(TH!K$1,SMALL(_DNL1,ROWS($1:51)),),0))</f>
        <v>0</v>
      </c>
      <c r="H64" s="146">
        <f t="shared" ca="1" si="11"/>
        <v>0</v>
      </c>
      <c r="I64" s="151">
        <f ca="1">IF(ROWS($1:51)&gt;COUNT(_DNL1),0,IF(OFFSET(TH!M$1,SMALL(_DNL1,ROWS($1:51)),)&lt;&gt;0,OFFSET(TH!M$1,SMALL(_DNL1,ROWS($1:51)),),0))</f>
        <v>0</v>
      </c>
      <c r="J64" s="146">
        <f t="shared" ca="1" si="12"/>
        <v>0</v>
      </c>
      <c r="K64" s="146">
        <f t="shared" ca="1" si="13"/>
        <v>0</v>
      </c>
      <c r="L64" s="146">
        <f t="shared" ca="1" si="14"/>
        <v>0</v>
      </c>
      <c r="M64" s="146"/>
      <c r="N64" s="230"/>
    </row>
    <row r="65" spans="1:14" hidden="1">
      <c r="A65" s="24" t="str">
        <f t="shared" ca="1" si="10"/>
        <v/>
      </c>
      <c r="B65" s="148" t="str">
        <f ca="1">IF(ROWS($1:52)&gt;COUNT(_DNL1),"",OFFSET(TH!D$1,SMALL(_DNL1,ROWS($1:52)),)&amp;"/"&amp;OFFSET(TH!C$1,SMALL(_DNL1,ROWS($1:52)),))</f>
        <v/>
      </c>
      <c r="C65" s="149" t="str">
        <f ca="1">IF(ROWS($1:52)&gt;COUNT(_DNL1),"",OFFSET(TH!E$1,SMALL(_DNL1,ROWS($1:52)),))</f>
        <v/>
      </c>
      <c r="D65" s="150" t="str">
        <f ca="1">IF(ROWS($1:52)&gt;COUNT(_DNL1),"",OFFSET(TH!F$1,SMALL(_DNL1,ROWS($1:52)),))</f>
        <v/>
      </c>
      <c r="E65" s="148" t="str">
        <f ca="1">IF(ROWS($1:52)&gt;COUNT(_DNL1),"",IF(OFFSET(TH!H$1,SMALL(_DNL1,ROWS($1:52)),)="1521",OFFSET(TH!I$1,SMALL(_DNL1,ROWS($1:52)),),OFFSET(TH!H$1,SMALL(_DNL1,ROWS($1:52)),)))</f>
        <v/>
      </c>
      <c r="F65" s="151">
        <f ca="1">IF(ROWS($1:52)&gt;COUNT(_DNL1),0,OFFSET(TH!J$1,SMALL(_DNL1,ROWS($1:52)),))</f>
        <v>0</v>
      </c>
      <c r="G65" s="151">
        <f ca="1">IF(ROWS($1:52)&gt;COUNT(_DNL1),0,IF(OFFSET(TH!K$1,SMALL(_DNL1,ROWS($1:52)),)&lt;&gt;0,OFFSET(TH!K$1,SMALL(_DNL1,ROWS($1:52)),),0))</f>
        <v>0</v>
      </c>
      <c r="H65" s="146">
        <f t="shared" ca="1" si="11"/>
        <v>0</v>
      </c>
      <c r="I65" s="151">
        <f ca="1">IF(ROWS($1:52)&gt;COUNT(_DNL1),0,IF(OFFSET(TH!M$1,SMALL(_DNL1,ROWS($1:52)),)&lt;&gt;0,OFFSET(TH!M$1,SMALL(_DNL1,ROWS($1:52)),),0))</f>
        <v>0</v>
      </c>
      <c r="J65" s="146">
        <f t="shared" ca="1" si="12"/>
        <v>0</v>
      </c>
      <c r="K65" s="146">
        <f t="shared" ca="1" si="13"/>
        <v>0</v>
      </c>
      <c r="L65" s="146">
        <f t="shared" ca="1" si="14"/>
        <v>0</v>
      </c>
      <c r="M65" s="146"/>
      <c r="N65" s="230"/>
    </row>
    <row r="66" spans="1:14" hidden="1">
      <c r="A66" s="24" t="str">
        <f t="shared" ca="1" si="10"/>
        <v/>
      </c>
      <c r="B66" s="148" t="str">
        <f ca="1">IF(ROWS($1:53)&gt;COUNT(_DNL1),"",OFFSET(TH!D$1,SMALL(_DNL1,ROWS($1:53)),)&amp;"/"&amp;OFFSET(TH!C$1,SMALL(_DNL1,ROWS($1:53)),))</f>
        <v/>
      </c>
      <c r="C66" s="149" t="str">
        <f ca="1">IF(ROWS($1:53)&gt;COUNT(_DNL1),"",OFFSET(TH!E$1,SMALL(_DNL1,ROWS($1:53)),))</f>
        <v/>
      </c>
      <c r="D66" s="150" t="str">
        <f ca="1">IF(ROWS($1:53)&gt;COUNT(_DNL1),"",OFFSET(TH!F$1,SMALL(_DNL1,ROWS($1:53)),))</f>
        <v/>
      </c>
      <c r="E66" s="148" t="str">
        <f ca="1">IF(ROWS($1:53)&gt;COUNT(_DNL1),"",IF(OFFSET(TH!H$1,SMALL(_DNL1,ROWS($1:53)),)="1521",OFFSET(TH!I$1,SMALL(_DNL1,ROWS($1:53)),),OFFSET(TH!H$1,SMALL(_DNL1,ROWS($1:53)),)))</f>
        <v/>
      </c>
      <c r="F66" s="151">
        <f ca="1">IF(ROWS($1:53)&gt;COUNT(_DNL1),0,OFFSET(TH!J$1,SMALL(_DNL1,ROWS($1:53)),))</f>
        <v>0</v>
      </c>
      <c r="G66" s="151">
        <f ca="1">IF(ROWS($1:53)&gt;COUNT(_DNL1),0,IF(OFFSET(TH!K$1,SMALL(_DNL1,ROWS($1:53)),)&lt;&gt;0,OFFSET(TH!K$1,SMALL(_DNL1,ROWS($1:53)),),0))</f>
        <v>0</v>
      </c>
      <c r="H66" s="146">
        <f t="shared" ca="1" si="11"/>
        <v>0</v>
      </c>
      <c r="I66" s="151">
        <f ca="1">IF(ROWS($1:53)&gt;COUNT(_DNL1),0,IF(OFFSET(TH!M$1,SMALL(_DNL1,ROWS($1:53)),)&lt;&gt;0,OFFSET(TH!M$1,SMALL(_DNL1,ROWS($1:53)),),0))</f>
        <v>0</v>
      </c>
      <c r="J66" s="146">
        <f t="shared" ca="1" si="12"/>
        <v>0</v>
      </c>
      <c r="K66" s="146">
        <f t="shared" ca="1" si="13"/>
        <v>0</v>
      </c>
      <c r="L66" s="146">
        <f t="shared" ca="1" si="14"/>
        <v>0</v>
      </c>
      <c r="M66" s="146"/>
      <c r="N66" s="230"/>
    </row>
    <row r="67" spans="1:14" hidden="1">
      <c r="A67" s="24" t="str">
        <f t="shared" ca="1" si="10"/>
        <v/>
      </c>
      <c r="B67" s="148" t="str">
        <f ca="1">IF(ROWS($1:54)&gt;COUNT(_DNL1),"",OFFSET(TH!D$1,SMALL(_DNL1,ROWS($1:54)),)&amp;"/"&amp;OFFSET(TH!C$1,SMALL(_DNL1,ROWS($1:54)),))</f>
        <v/>
      </c>
      <c r="C67" s="149" t="str">
        <f ca="1">IF(ROWS($1:54)&gt;COUNT(_DNL1),"",OFFSET(TH!E$1,SMALL(_DNL1,ROWS($1:54)),))</f>
        <v/>
      </c>
      <c r="D67" s="150" t="str">
        <f ca="1">IF(ROWS($1:54)&gt;COUNT(_DNL1),"",OFFSET(TH!F$1,SMALL(_DNL1,ROWS($1:54)),))</f>
        <v/>
      </c>
      <c r="E67" s="148" t="str">
        <f ca="1">IF(ROWS($1:54)&gt;COUNT(_DNL1),"",IF(OFFSET(TH!H$1,SMALL(_DNL1,ROWS($1:54)),)="1521",OFFSET(TH!I$1,SMALL(_DNL1,ROWS($1:54)),),OFFSET(TH!H$1,SMALL(_DNL1,ROWS($1:54)),)))</f>
        <v/>
      </c>
      <c r="F67" s="151">
        <f ca="1">IF(ROWS($1:54)&gt;COUNT(_DNL1),0,OFFSET(TH!J$1,SMALL(_DNL1,ROWS($1:54)),))</f>
        <v>0</v>
      </c>
      <c r="G67" s="151">
        <f ca="1">IF(ROWS($1:54)&gt;COUNT(_DNL1),0,IF(OFFSET(TH!K$1,SMALL(_DNL1,ROWS($1:54)),)&lt;&gt;0,OFFSET(TH!K$1,SMALL(_DNL1,ROWS($1:54)),),0))</f>
        <v>0</v>
      </c>
      <c r="H67" s="146">
        <f t="shared" ca="1" si="11"/>
        <v>0</v>
      </c>
      <c r="I67" s="151">
        <f ca="1">IF(ROWS($1:54)&gt;COUNT(_DNL1),0,IF(OFFSET(TH!M$1,SMALL(_DNL1,ROWS($1:54)),)&lt;&gt;0,OFFSET(TH!M$1,SMALL(_DNL1,ROWS($1:54)),),0))</f>
        <v>0</v>
      </c>
      <c r="J67" s="146">
        <f t="shared" ca="1" si="12"/>
        <v>0</v>
      </c>
      <c r="K67" s="146">
        <f t="shared" ca="1" si="13"/>
        <v>0</v>
      </c>
      <c r="L67" s="146">
        <f t="shared" ca="1" si="14"/>
        <v>0</v>
      </c>
      <c r="M67" s="146"/>
      <c r="N67" s="230"/>
    </row>
    <row r="68" spans="1:14" hidden="1">
      <c r="A68" s="24" t="str">
        <f t="shared" ca="1" si="10"/>
        <v/>
      </c>
      <c r="B68" s="148" t="str">
        <f ca="1">IF(ROWS($1:55)&gt;COUNT(_DNL1),"",OFFSET(TH!D$1,SMALL(_DNL1,ROWS($1:55)),)&amp;"/"&amp;OFFSET(TH!C$1,SMALL(_DNL1,ROWS($1:55)),))</f>
        <v/>
      </c>
      <c r="C68" s="149" t="str">
        <f ca="1">IF(ROWS($1:55)&gt;COUNT(_DNL1),"",OFFSET(TH!E$1,SMALL(_DNL1,ROWS($1:55)),))</f>
        <v/>
      </c>
      <c r="D68" s="150" t="str">
        <f ca="1">IF(ROWS($1:55)&gt;COUNT(_DNL1),"",OFFSET(TH!F$1,SMALL(_DNL1,ROWS($1:55)),))</f>
        <v/>
      </c>
      <c r="E68" s="148" t="str">
        <f ca="1">IF(ROWS($1:55)&gt;COUNT(_DNL1),"",IF(OFFSET(TH!H$1,SMALL(_DNL1,ROWS($1:55)),)="1521",OFFSET(TH!I$1,SMALL(_DNL1,ROWS($1:55)),),OFFSET(TH!H$1,SMALL(_DNL1,ROWS($1:55)),)))</f>
        <v/>
      </c>
      <c r="F68" s="151">
        <f ca="1">IF(ROWS($1:55)&gt;COUNT(_DNL1),0,OFFSET(TH!J$1,SMALL(_DNL1,ROWS($1:55)),))</f>
        <v>0</v>
      </c>
      <c r="G68" s="151">
        <f ca="1">IF(ROWS($1:55)&gt;COUNT(_DNL1),0,IF(OFFSET(TH!K$1,SMALL(_DNL1,ROWS($1:55)),)&lt;&gt;0,OFFSET(TH!K$1,SMALL(_DNL1,ROWS($1:55)),),0))</f>
        <v>0</v>
      </c>
      <c r="H68" s="146">
        <f t="shared" ca="1" si="11"/>
        <v>0</v>
      </c>
      <c r="I68" s="151">
        <f ca="1">IF(ROWS($1:55)&gt;COUNT(_DNL1),0,IF(OFFSET(TH!M$1,SMALL(_DNL1,ROWS($1:55)),)&lt;&gt;0,OFFSET(TH!M$1,SMALL(_DNL1,ROWS($1:55)),),0))</f>
        <v>0</v>
      </c>
      <c r="J68" s="146">
        <f t="shared" ca="1" si="12"/>
        <v>0</v>
      </c>
      <c r="K68" s="146">
        <f t="shared" ca="1" si="13"/>
        <v>0</v>
      </c>
      <c r="L68" s="146">
        <f t="shared" ca="1" si="14"/>
        <v>0</v>
      </c>
      <c r="M68" s="146"/>
      <c r="N68" s="230"/>
    </row>
    <row r="69" spans="1:14" hidden="1">
      <c r="A69" s="24" t="str">
        <f t="shared" ca="1" si="10"/>
        <v/>
      </c>
      <c r="B69" s="148" t="str">
        <f ca="1">IF(ROWS($1:56)&gt;COUNT(_DNL1),"",OFFSET(TH!D$1,SMALL(_DNL1,ROWS($1:56)),)&amp;"/"&amp;OFFSET(TH!C$1,SMALL(_DNL1,ROWS($1:56)),))</f>
        <v/>
      </c>
      <c r="C69" s="149" t="str">
        <f ca="1">IF(ROWS($1:56)&gt;COUNT(_DNL1),"",OFFSET(TH!E$1,SMALL(_DNL1,ROWS($1:56)),))</f>
        <v/>
      </c>
      <c r="D69" s="150" t="str">
        <f ca="1">IF(ROWS($1:56)&gt;COUNT(_DNL1),"",OFFSET(TH!F$1,SMALL(_DNL1,ROWS($1:56)),))</f>
        <v/>
      </c>
      <c r="E69" s="148" t="str">
        <f ca="1">IF(ROWS($1:56)&gt;COUNT(_DNL1),"",IF(OFFSET(TH!H$1,SMALL(_DNL1,ROWS($1:56)),)="1521",OFFSET(TH!I$1,SMALL(_DNL1,ROWS($1:56)),),OFFSET(TH!H$1,SMALL(_DNL1,ROWS($1:56)),)))</f>
        <v/>
      </c>
      <c r="F69" s="151">
        <f ca="1">IF(ROWS($1:56)&gt;COUNT(_DNL1),0,OFFSET(TH!J$1,SMALL(_DNL1,ROWS($1:56)),))</f>
        <v>0</v>
      </c>
      <c r="G69" s="151">
        <f ca="1">IF(ROWS($1:56)&gt;COUNT(_DNL1),0,IF(OFFSET(TH!K$1,SMALL(_DNL1,ROWS($1:56)),)&lt;&gt;0,OFFSET(TH!K$1,SMALL(_DNL1,ROWS($1:56)),),0))</f>
        <v>0</v>
      </c>
      <c r="H69" s="146">
        <f t="shared" ca="1" si="11"/>
        <v>0</v>
      </c>
      <c r="I69" s="151">
        <f ca="1">IF(ROWS($1:56)&gt;COUNT(_DNL1),0,IF(OFFSET(TH!M$1,SMALL(_DNL1,ROWS($1:56)),)&lt;&gt;0,OFFSET(TH!M$1,SMALL(_DNL1,ROWS($1:56)),),0))</f>
        <v>0</v>
      </c>
      <c r="J69" s="146">
        <f t="shared" ca="1" si="12"/>
        <v>0</v>
      </c>
      <c r="K69" s="146">
        <f t="shared" ca="1" si="13"/>
        <v>0</v>
      </c>
      <c r="L69" s="146">
        <f t="shared" ca="1" si="14"/>
        <v>0</v>
      </c>
      <c r="M69" s="146"/>
      <c r="N69" s="230"/>
    </row>
    <row r="70" spans="1:14" hidden="1">
      <c r="A70" s="24" t="str">
        <f t="shared" ca="1" si="10"/>
        <v/>
      </c>
      <c r="B70" s="148" t="str">
        <f ca="1">IF(ROWS($1:57)&gt;COUNT(_DNL1),"",OFFSET(TH!D$1,SMALL(_DNL1,ROWS($1:57)),)&amp;"/"&amp;OFFSET(TH!C$1,SMALL(_DNL1,ROWS($1:57)),))</f>
        <v/>
      </c>
      <c r="C70" s="149" t="str">
        <f ca="1">IF(ROWS($1:57)&gt;COUNT(_DNL1),"",OFFSET(TH!E$1,SMALL(_DNL1,ROWS($1:57)),))</f>
        <v/>
      </c>
      <c r="D70" s="150" t="str">
        <f ca="1">IF(ROWS($1:57)&gt;COUNT(_DNL1),"",OFFSET(TH!F$1,SMALL(_DNL1,ROWS($1:57)),))</f>
        <v/>
      </c>
      <c r="E70" s="148" t="str">
        <f ca="1">IF(ROWS($1:57)&gt;COUNT(_DNL1),"",IF(OFFSET(TH!H$1,SMALL(_DNL1,ROWS($1:57)),)="1521",OFFSET(TH!I$1,SMALL(_DNL1,ROWS($1:57)),),OFFSET(TH!H$1,SMALL(_DNL1,ROWS($1:57)),)))</f>
        <v/>
      </c>
      <c r="F70" s="151">
        <f ca="1">IF(ROWS($1:57)&gt;COUNT(_DNL1),0,OFFSET(TH!J$1,SMALL(_DNL1,ROWS($1:57)),))</f>
        <v>0</v>
      </c>
      <c r="G70" s="151">
        <f ca="1">IF(ROWS($1:57)&gt;COUNT(_DNL1),0,IF(OFFSET(TH!K$1,SMALL(_DNL1,ROWS($1:57)),)&lt;&gt;0,OFFSET(TH!K$1,SMALL(_DNL1,ROWS($1:57)),),0))</f>
        <v>0</v>
      </c>
      <c r="H70" s="146">
        <f t="shared" ca="1" si="11"/>
        <v>0</v>
      </c>
      <c r="I70" s="151">
        <f ca="1">IF(ROWS($1:57)&gt;COUNT(_DNL1),0,IF(OFFSET(TH!M$1,SMALL(_DNL1,ROWS($1:57)),)&lt;&gt;0,OFFSET(TH!M$1,SMALL(_DNL1,ROWS($1:57)),),0))</f>
        <v>0</v>
      </c>
      <c r="J70" s="146">
        <f t="shared" ca="1" si="12"/>
        <v>0</v>
      </c>
      <c r="K70" s="146">
        <f t="shared" ca="1" si="13"/>
        <v>0</v>
      </c>
      <c r="L70" s="146">
        <f t="shared" ca="1" si="14"/>
        <v>0</v>
      </c>
      <c r="M70" s="146"/>
      <c r="N70" s="230"/>
    </row>
    <row r="71" spans="1:14" hidden="1">
      <c r="A71" s="24" t="str">
        <f t="shared" ca="1" si="10"/>
        <v/>
      </c>
      <c r="B71" s="148" t="str">
        <f ca="1">IF(ROWS($1:58)&gt;COUNT(_DNL1),"",OFFSET(TH!D$1,SMALL(_DNL1,ROWS($1:58)),)&amp;"/"&amp;OFFSET(TH!C$1,SMALL(_DNL1,ROWS($1:58)),))</f>
        <v/>
      </c>
      <c r="C71" s="149" t="str">
        <f ca="1">IF(ROWS($1:58)&gt;COUNT(_DNL1),"",OFFSET(TH!E$1,SMALL(_DNL1,ROWS($1:58)),))</f>
        <v/>
      </c>
      <c r="D71" s="150" t="str">
        <f ca="1">IF(ROWS($1:58)&gt;COUNT(_DNL1),"",OFFSET(TH!F$1,SMALL(_DNL1,ROWS($1:58)),))</f>
        <v/>
      </c>
      <c r="E71" s="148" t="str">
        <f ca="1">IF(ROWS($1:58)&gt;COUNT(_DNL1),"",IF(OFFSET(TH!H$1,SMALL(_DNL1,ROWS($1:58)),)="1521",OFFSET(TH!I$1,SMALL(_DNL1,ROWS($1:58)),),OFFSET(TH!H$1,SMALL(_DNL1,ROWS($1:58)),)))</f>
        <v/>
      </c>
      <c r="F71" s="151">
        <f ca="1">IF(ROWS($1:58)&gt;COUNT(_DNL1),0,OFFSET(TH!J$1,SMALL(_DNL1,ROWS($1:58)),))</f>
        <v>0</v>
      </c>
      <c r="G71" s="151">
        <f ca="1">IF(ROWS($1:58)&gt;COUNT(_DNL1),0,IF(OFFSET(TH!K$1,SMALL(_DNL1,ROWS($1:58)),)&lt;&gt;0,OFFSET(TH!K$1,SMALL(_DNL1,ROWS($1:58)),),0))</f>
        <v>0</v>
      </c>
      <c r="H71" s="146">
        <f t="shared" ca="1" si="11"/>
        <v>0</v>
      </c>
      <c r="I71" s="151">
        <f ca="1">IF(ROWS($1:58)&gt;COUNT(_DNL1),0,IF(OFFSET(TH!M$1,SMALL(_DNL1,ROWS($1:58)),)&lt;&gt;0,OFFSET(TH!M$1,SMALL(_DNL1,ROWS($1:58)),),0))</f>
        <v>0</v>
      </c>
      <c r="J71" s="146">
        <f t="shared" ca="1" si="12"/>
        <v>0</v>
      </c>
      <c r="K71" s="146">
        <f t="shared" ca="1" si="13"/>
        <v>0</v>
      </c>
      <c r="L71" s="146">
        <f t="shared" ca="1" si="14"/>
        <v>0</v>
      </c>
      <c r="M71" s="146"/>
      <c r="N71" s="230"/>
    </row>
    <row r="72" spans="1:14" hidden="1">
      <c r="A72" s="24" t="str">
        <f t="shared" ref="A72:A101" ca="1" si="15">IF(D72&lt;&gt;"",A71+1,"")</f>
        <v/>
      </c>
      <c r="B72" s="148" t="str">
        <f ca="1">IF(ROWS($1:59)&gt;COUNT(_DNL1),"",OFFSET(TH!D$1,SMALL(_DNL1,ROWS($1:59)),)&amp;"/"&amp;OFFSET(TH!C$1,SMALL(_DNL1,ROWS($1:59)),))</f>
        <v/>
      </c>
      <c r="C72" s="149" t="str">
        <f ca="1">IF(ROWS($1:59)&gt;COUNT(_DNL1),"",OFFSET(TH!E$1,SMALL(_DNL1,ROWS($1:59)),))</f>
        <v/>
      </c>
      <c r="D72" s="150" t="str">
        <f ca="1">IF(ROWS($1:59)&gt;COUNT(_DNL1),"",OFFSET(TH!F$1,SMALL(_DNL1,ROWS($1:59)),))</f>
        <v/>
      </c>
      <c r="E72" s="148" t="str">
        <f ca="1">IF(ROWS($1:59)&gt;COUNT(_DNL1),"",IF(OFFSET(TH!H$1,SMALL(_DNL1,ROWS($1:59)),)="1521",OFFSET(TH!I$1,SMALL(_DNL1,ROWS($1:59)),),OFFSET(TH!H$1,SMALL(_DNL1,ROWS($1:59)),)))</f>
        <v/>
      </c>
      <c r="F72" s="151">
        <f ca="1">IF(ROWS($1:59)&gt;COUNT(_DNL1),0,OFFSET(TH!J$1,SMALL(_DNL1,ROWS($1:59)),))</f>
        <v>0</v>
      </c>
      <c r="G72" s="151">
        <f ca="1">IF(ROWS($1:59)&gt;COUNT(_DNL1),0,IF(OFFSET(TH!K$1,SMALL(_DNL1,ROWS($1:59)),)&lt;&gt;0,OFFSET(TH!K$1,SMALL(_DNL1,ROWS($1:59)),),0))</f>
        <v>0</v>
      </c>
      <c r="H72" s="146">
        <f t="shared" ref="H72:H101" ca="1" si="16">ROUND(F72*G72,0)</f>
        <v>0</v>
      </c>
      <c r="I72" s="151">
        <f ca="1">IF(ROWS($1:59)&gt;COUNT(_DNL1),0,IF(OFFSET(TH!M$1,SMALL(_DNL1,ROWS($1:59)),)&lt;&gt;0,OFFSET(TH!M$1,SMALL(_DNL1,ROWS($1:59)),),0))</f>
        <v>0</v>
      </c>
      <c r="J72" s="146">
        <f t="shared" ref="J72:J101" ca="1" si="17">ROUND(F72*I72,0)</f>
        <v>0</v>
      </c>
      <c r="K72" s="146">
        <f t="shared" ref="K72:K101" ca="1" si="18">IF(D72&lt;&gt;"",K71+G72-I72,0)</f>
        <v>0</v>
      </c>
      <c r="L72" s="146">
        <f t="shared" ref="L72:L101" ca="1" si="19">IF(D72&lt;&gt;"",L71+H72-J72,0)</f>
        <v>0</v>
      </c>
      <c r="M72" s="146"/>
      <c r="N72" s="230"/>
    </row>
    <row r="73" spans="1:14" hidden="1">
      <c r="A73" s="24" t="str">
        <f t="shared" ca="1" si="15"/>
        <v/>
      </c>
      <c r="B73" s="148" t="str">
        <f ca="1">IF(ROWS($1:60)&gt;COUNT(_DNL1),"",OFFSET(TH!D$1,SMALL(_DNL1,ROWS($1:60)),)&amp;"/"&amp;OFFSET(TH!C$1,SMALL(_DNL1,ROWS($1:60)),))</f>
        <v/>
      </c>
      <c r="C73" s="149" t="str">
        <f ca="1">IF(ROWS($1:60)&gt;COUNT(_DNL1),"",OFFSET(TH!E$1,SMALL(_DNL1,ROWS($1:60)),))</f>
        <v/>
      </c>
      <c r="D73" s="150" t="str">
        <f ca="1">IF(ROWS($1:60)&gt;COUNT(_DNL1),"",OFFSET(TH!F$1,SMALL(_DNL1,ROWS($1:60)),))</f>
        <v/>
      </c>
      <c r="E73" s="148" t="str">
        <f ca="1">IF(ROWS($1:60)&gt;COUNT(_DNL1),"",IF(OFFSET(TH!H$1,SMALL(_DNL1,ROWS($1:60)),)="1521",OFFSET(TH!I$1,SMALL(_DNL1,ROWS($1:60)),),OFFSET(TH!H$1,SMALL(_DNL1,ROWS($1:60)),)))</f>
        <v/>
      </c>
      <c r="F73" s="151">
        <f ca="1">IF(ROWS($1:60)&gt;COUNT(_DNL1),0,OFFSET(TH!J$1,SMALL(_DNL1,ROWS($1:60)),))</f>
        <v>0</v>
      </c>
      <c r="G73" s="151">
        <f ca="1">IF(ROWS($1:60)&gt;COUNT(_DNL1),0,IF(OFFSET(TH!K$1,SMALL(_DNL1,ROWS($1:60)),)&lt;&gt;0,OFFSET(TH!K$1,SMALL(_DNL1,ROWS($1:60)),),0))</f>
        <v>0</v>
      </c>
      <c r="H73" s="146">
        <f t="shared" ca="1" si="16"/>
        <v>0</v>
      </c>
      <c r="I73" s="151">
        <f ca="1">IF(ROWS($1:60)&gt;COUNT(_DNL1),0,IF(OFFSET(TH!M$1,SMALL(_DNL1,ROWS($1:60)),)&lt;&gt;0,OFFSET(TH!M$1,SMALL(_DNL1,ROWS($1:60)),),0))</f>
        <v>0</v>
      </c>
      <c r="J73" s="146">
        <f t="shared" ca="1" si="17"/>
        <v>0</v>
      </c>
      <c r="K73" s="146">
        <f t="shared" ca="1" si="18"/>
        <v>0</v>
      </c>
      <c r="L73" s="146">
        <f t="shared" ca="1" si="19"/>
        <v>0</v>
      </c>
      <c r="M73" s="146"/>
      <c r="N73" s="230"/>
    </row>
    <row r="74" spans="1:14" hidden="1">
      <c r="A74" s="24" t="str">
        <f t="shared" ca="1" si="15"/>
        <v/>
      </c>
      <c r="B74" s="148" t="str">
        <f ca="1">IF(ROWS($1:61)&gt;COUNT(_DNL1),"",OFFSET(TH!D$1,SMALL(_DNL1,ROWS($1:61)),)&amp;"/"&amp;OFFSET(TH!C$1,SMALL(_DNL1,ROWS($1:61)),))</f>
        <v/>
      </c>
      <c r="C74" s="149" t="str">
        <f ca="1">IF(ROWS($1:61)&gt;COUNT(_DNL1),"",OFFSET(TH!E$1,SMALL(_DNL1,ROWS($1:61)),))</f>
        <v/>
      </c>
      <c r="D74" s="150" t="str">
        <f ca="1">IF(ROWS($1:61)&gt;COUNT(_DNL1),"",OFFSET(TH!F$1,SMALL(_DNL1,ROWS($1:61)),))</f>
        <v/>
      </c>
      <c r="E74" s="148" t="str">
        <f ca="1">IF(ROWS($1:61)&gt;COUNT(_DNL1),"",IF(OFFSET(TH!H$1,SMALL(_DNL1,ROWS($1:61)),)="1521",OFFSET(TH!I$1,SMALL(_DNL1,ROWS($1:61)),),OFFSET(TH!H$1,SMALL(_DNL1,ROWS($1:61)),)))</f>
        <v/>
      </c>
      <c r="F74" s="151">
        <f ca="1">IF(ROWS($1:61)&gt;COUNT(_DNL1),0,OFFSET(TH!J$1,SMALL(_DNL1,ROWS($1:61)),))</f>
        <v>0</v>
      </c>
      <c r="G74" s="151">
        <f ca="1">IF(ROWS($1:61)&gt;COUNT(_DNL1),0,IF(OFFSET(TH!K$1,SMALL(_DNL1,ROWS($1:61)),)&lt;&gt;0,OFFSET(TH!K$1,SMALL(_DNL1,ROWS($1:61)),),0))</f>
        <v>0</v>
      </c>
      <c r="H74" s="146">
        <f t="shared" ca="1" si="16"/>
        <v>0</v>
      </c>
      <c r="I74" s="151">
        <f ca="1">IF(ROWS($1:61)&gt;COUNT(_DNL1),0,IF(OFFSET(TH!M$1,SMALL(_DNL1,ROWS($1:61)),)&lt;&gt;0,OFFSET(TH!M$1,SMALL(_DNL1,ROWS($1:61)),),0))</f>
        <v>0</v>
      </c>
      <c r="J74" s="146">
        <f t="shared" ca="1" si="17"/>
        <v>0</v>
      </c>
      <c r="K74" s="146">
        <f t="shared" ca="1" si="18"/>
        <v>0</v>
      </c>
      <c r="L74" s="146">
        <f t="shared" ca="1" si="19"/>
        <v>0</v>
      </c>
      <c r="M74" s="146"/>
      <c r="N74" s="230"/>
    </row>
    <row r="75" spans="1:14" hidden="1">
      <c r="A75" s="24" t="str">
        <f t="shared" ca="1" si="15"/>
        <v/>
      </c>
      <c r="B75" s="148" t="str">
        <f ca="1">IF(ROWS($1:62)&gt;COUNT(_DNL1),"",OFFSET(TH!D$1,SMALL(_DNL1,ROWS($1:62)),)&amp;"/"&amp;OFFSET(TH!C$1,SMALL(_DNL1,ROWS($1:62)),))</f>
        <v/>
      </c>
      <c r="C75" s="149" t="str">
        <f ca="1">IF(ROWS($1:62)&gt;COUNT(_DNL1),"",OFFSET(TH!E$1,SMALL(_DNL1,ROWS($1:62)),))</f>
        <v/>
      </c>
      <c r="D75" s="150" t="str">
        <f ca="1">IF(ROWS($1:62)&gt;COUNT(_DNL1),"",OFFSET(TH!F$1,SMALL(_DNL1,ROWS($1:62)),))</f>
        <v/>
      </c>
      <c r="E75" s="148" t="str">
        <f ca="1">IF(ROWS($1:62)&gt;COUNT(_DNL1),"",IF(OFFSET(TH!H$1,SMALL(_DNL1,ROWS($1:62)),)="1521",OFFSET(TH!I$1,SMALL(_DNL1,ROWS($1:62)),),OFFSET(TH!H$1,SMALL(_DNL1,ROWS($1:62)),)))</f>
        <v/>
      </c>
      <c r="F75" s="151">
        <f ca="1">IF(ROWS($1:62)&gt;COUNT(_DNL1),0,OFFSET(TH!J$1,SMALL(_DNL1,ROWS($1:62)),))</f>
        <v>0</v>
      </c>
      <c r="G75" s="151">
        <f ca="1">IF(ROWS($1:62)&gt;COUNT(_DNL1),0,IF(OFFSET(TH!K$1,SMALL(_DNL1,ROWS($1:62)),)&lt;&gt;0,OFFSET(TH!K$1,SMALL(_DNL1,ROWS($1:62)),),0))</f>
        <v>0</v>
      </c>
      <c r="H75" s="146">
        <f t="shared" ca="1" si="16"/>
        <v>0</v>
      </c>
      <c r="I75" s="151">
        <f ca="1">IF(ROWS($1:62)&gt;COUNT(_DNL1),0,IF(OFFSET(TH!M$1,SMALL(_DNL1,ROWS($1:62)),)&lt;&gt;0,OFFSET(TH!M$1,SMALL(_DNL1,ROWS($1:62)),),0))</f>
        <v>0</v>
      </c>
      <c r="J75" s="146">
        <f t="shared" ca="1" si="17"/>
        <v>0</v>
      </c>
      <c r="K75" s="146">
        <f t="shared" ca="1" si="18"/>
        <v>0</v>
      </c>
      <c r="L75" s="146">
        <f t="shared" ca="1" si="19"/>
        <v>0</v>
      </c>
      <c r="M75" s="146"/>
      <c r="N75" s="230"/>
    </row>
    <row r="76" spans="1:14" hidden="1">
      <c r="A76" s="24" t="str">
        <f t="shared" ca="1" si="15"/>
        <v/>
      </c>
      <c r="B76" s="148" t="str">
        <f ca="1">IF(ROWS($1:63)&gt;COUNT(_DNL1),"",OFFSET(TH!D$1,SMALL(_DNL1,ROWS($1:63)),)&amp;"/"&amp;OFFSET(TH!C$1,SMALL(_DNL1,ROWS($1:63)),))</f>
        <v/>
      </c>
      <c r="C76" s="149" t="str">
        <f ca="1">IF(ROWS($1:63)&gt;COUNT(_DNL1),"",OFFSET(TH!E$1,SMALL(_DNL1,ROWS($1:63)),))</f>
        <v/>
      </c>
      <c r="D76" s="150" t="str">
        <f ca="1">IF(ROWS($1:63)&gt;COUNT(_DNL1),"",OFFSET(TH!F$1,SMALL(_DNL1,ROWS($1:63)),))</f>
        <v/>
      </c>
      <c r="E76" s="148" t="str">
        <f ca="1">IF(ROWS($1:63)&gt;COUNT(_DNL1),"",IF(OFFSET(TH!H$1,SMALL(_DNL1,ROWS($1:63)),)="1521",OFFSET(TH!I$1,SMALL(_DNL1,ROWS($1:63)),),OFFSET(TH!H$1,SMALL(_DNL1,ROWS($1:63)),)))</f>
        <v/>
      </c>
      <c r="F76" s="151">
        <f ca="1">IF(ROWS($1:63)&gt;COUNT(_DNL1),0,OFFSET(TH!J$1,SMALL(_DNL1,ROWS($1:63)),))</f>
        <v>0</v>
      </c>
      <c r="G76" s="151">
        <f ca="1">IF(ROWS($1:63)&gt;COUNT(_DNL1),0,IF(OFFSET(TH!K$1,SMALL(_DNL1,ROWS($1:63)),)&lt;&gt;0,OFFSET(TH!K$1,SMALL(_DNL1,ROWS($1:63)),),0))</f>
        <v>0</v>
      </c>
      <c r="H76" s="146">
        <f t="shared" ca="1" si="16"/>
        <v>0</v>
      </c>
      <c r="I76" s="151">
        <f ca="1">IF(ROWS($1:63)&gt;COUNT(_DNL1),0,IF(OFFSET(TH!M$1,SMALL(_DNL1,ROWS($1:63)),)&lt;&gt;0,OFFSET(TH!M$1,SMALL(_DNL1,ROWS($1:63)),),0))</f>
        <v>0</v>
      </c>
      <c r="J76" s="146">
        <f t="shared" ca="1" si="17"/>
        <v>0</v>
      </c>
      <c r="K76" s="146">
        <f t="shared" ca="1" si="18"/>
        <v>0</v>
      </c>
      <c r="L76" s="146">
        <f t="shared" ca="1" si="19"/>
        <v>0</v>
      </c>
      <c r="M76" s="146"/>
      <c r="N76" s="230"/>
    </row>
    <row r="77" spans="1:14" hidden="1">
      <c r="A77" s="24" t="str">
        <f t="shared" ca="1" si="15"/>
        <v/>
      </c>
      <c r="B77" s="148" t="str">
        <f ca="1">IF(ROWS($1:64)&gt;COUNT(_DNL1),"",OFFSET(TH!D$1,SMALL(_DNL1,ROWS($1:64)),)&amp;"/"&amp;OFFSET(TH!C$1,SMALL(_DNL1,ROWS($1:64)),))</f>
        <v/>
      </c>
      <c r="C77" s="149" t="str">
        <f ca="1">IF(ROWS($1:64)&gt;COUNT(_DNL1),"",OFFSET(TH!E$1,SMALL(_DNL1,ROWS($1:64)),))</f>
        <v/>
      </c>
      <c r="D77" s="150" t="str">
        <f ca="1">IF(ROWS($1:64)&gt;COUNT(_DNL1),"",OFFSET(TH!F$1,SMALL(_DNL1,ROWS($1:64)),))</f>
        <v/>
      </c>
      <c r="E77" s="148" t="str">
        <f ca="1">IF(ROWS($1:64)&gt;COUNT(_DNL1),"",IF(OFFSET(TH!H$1,SMALL(_DNL1,ROWS($1:64)),)="1521",OFFSET(TH!I$1,SMALL(_DNL1,ROWS($1:64)),),OFFSET(TH!H$1,SMALL(_DNL1,ROWS($1:64)),)))</f>
        <v/>
      </c>
      <c r="F77" s="151">
        <f ca="1">IF(ROWS($1:64)&gt;COUNT(_DNL1),0,OFFSET(TH!J$1,SMALL(_DNL1,ROWS($1:64)),))</f>
        <v>0</v>
      </c>
      <c r="G77" s="151">
        <f ca="1">IF(ROWS($1:64)&gt;COUNT(_DNL1),0,IF(OFFSET(TH!K$1,SMALL(_DNL1,ROWS($1:64)),)&lt;&gt;0,OFFSET(TH!K$1,SMALL(_DNL1,ROWS($1:64)),),0))</f>
        <v>0</v>
      </c>
      <c r="H77" s="146">
        <f t="shared" ca="1" si="16"/>
        <v>0</v>
      </c>
      <c r="I77" s="151">
        <f ca="1">IF(ROWS($1:64)&gt;COUNT(_DNL1),0,IF(OFFSET(TH!M$1,SMALL(_DNL1,ROWS($1:64)),)&lt;&gt;0,OFFSET(TH!M$1,SMALL(_DNL1,ROWS($1:64)),),0))</f>
        <v>0</v>
      </c>
      <c r="J77" s="146">
        <f t="shared" ca="1" si="17"/>
        <v>0</v>
      </c>
      <c r="K77" s="146">
        <f t="shared" ca="1" si="18"/>
        <v>0</v>
      </c>
      <c r="L77" s="146">
        <f t="shared" ca="1" si="19"/>
        <v>0</v>
      </c>
      <c r="M77" s="146"/>
      <c r="N77" s="230"/>
    </row>
    <row r="78" spans="1:14" hidden="1">
      <c r="A78" s="24" t="str">
        <f t="shared" ca="1" si="15"/>
        <v/>
      </c>
      <c r="B78" s="148" t="str">
        <f ca="1">IF(ROWS($1:65)&gt;COUNT(_DNL1),"",OFFSET(TH!D$1,SMALL(_DNL1,ROWS($1:65)),)&amp;"/"&amp;OFFSET(TH!C$1,SMALL(_DNL1,ROWS($1:65)),))</f>
        <v/>
      </c>
      <c r="C78" s="149" t="str">
        <f ca="1">IF(ROWS($1:65)&gt;COUNT(_DNL1),"",OFFSET(TH!E$1,SMALL(_DNL1,ROWS($1:65)),))</f>
        <v/>
      </c>
      <c r="D78" s="150" t="str">
        <f ca="1">IF(ROWS($1:65)&gt;COUNT(_DNL1),"",OFFSET(TH!F$1,SMALL(_DNL1,ROWS($1:65)),))</f>
        <v/>
      </c>
      <c r="E78" s="148" t="str">
        <f ca="1">IF(ROWS($1:65)&gt;COUNT(_DNL1),"",IF(OFFSET(TH!H$1,SMALL(_DNL1,ROWS($1:65)),)="1521",OFFSET(TH!I$1,SMALL(_DNL1,ROWS($1:65)),),OFFSET(TH!H$1,SMALL(_DNL1,ROWS($1:65)),)))</f>
        <v/>
      </c>
      <c r="F78" s="151">
        <f ca="1">IF(ROWS($1:65)&gt;COUNT(_DNL1),0,OFFSET(TH!J$1,SMALL(_DNL1,ROWS($1:65)),))</f>
        <v>0</v>
      </c>
      <c r="G78" s="151">
        <f ca="1">IF(ROWS($1:65)&gt;COUNT(_DNL1),0,IF(OFFSET(TH!K$1,SMALL(_DNL1,ROWS($1:65)),)&lt;&gt;0,OFFSET(TH!K$1,SMALL(_DNL1,ROWS($1:65)),),0))</f>
        <v>0</v>
      </c>
      <c r="H78" s="146">
        <f t="shared" ca="1" si="16"/>
        <v>0</v>
      </c>
      <c r="I78" s="151">
        <f ca="1">IF(ROWS($1:65)&gt;COUNT(_DNL1),0,IF(OFFSET(TH!M$1,SMALL(_DNL1,ROWS($1:65)),)&lt;&gt;0,OFFSET(TH!M$1,SMALL(_DNL1,ROWS($1:65)),),0))</f>
        <v>0</v>
      </c>
      <c r="J78" s="146">
        <f t="shared" ca="1" si="17"/>
        <v>0</v>
      </c>
      <c r="K78" s="146">
        <f t="shared" ca="1" si="18"/>
        <v>0</v>
      </c>
      <c r="L78" s="146">
        <f t="shared" ca="1" si="19"/>
        <v>0</v>
      </c>
      <c r="M78" s="146"/>
      <c r="N78" s="230"/>
    </row>
    <row r="79" spans="1:14" hidden="1">
      <c r="A79" s="24" t="str">
        <f t="shared" ca="1" si="15"/>
        <v/>
      </c>
      <c r="B79" s="148" t="str">
        <f ca="1">IF(ROWS($1:66)&gt;COUNT(_DNL1),"",OFFSET(TH!D$1,SMALL(_DNL1,ROWS($1:66)),)&amp;"/"&amp;OFFSET(TH!C$1,SMALL(_DNL1,ROWS($1:66)),))</f>
        <v/>
      </c>
      <c r="C79" s="149" t="str">
        <f ca="1">IF(ROWS($1:66)&gt;COUNT(_DNL1),"",OFFSET(TH!E$1,SMALL(_DNL1,ROWS($1:66)),))</f>
        <v/>
      </c>
      <c r="D79" s="150" t="str">
        <f ca="1">IF(ROWS($1:66)&gt;COUNT(_DNL1),"",OFFSET(TH!F$1,SMALL(_DNL1,ROWS($1:66)),))</f>
        <v/>
      </c>
      <c r="E79" s="148" t="str">
        <f ca="1">IF(ROWS($1:66)&gt;COUNT(_DNL1),"",IF(OFFSET(TH!H$1,SMALL(_DNL1,ROWS($1:66)),)="1521",OFFSET(TH!I$1,SMALL(_DNL1,ROWS($1:66)),),OFFSET(TH!H$1,SMALL(_DNL1,ROWS($1:66)),)))</f>
        <v/>
      </c>
      <c r="F79" s="151">
        <f ca="1">IF(ROWS($1:66)&gt;COUNT(_DNL1),0,OFFSET(TH!J$1,SMALL(_DNL1,ROWS($1:66)),))</f>
        <v>0</v>
      </c>
      <c r="G79" s="151">
        <f ca="1">IF(ROWS($1:66)&gt;COUNT(_DNL1),0,IF(OFFSET(TH!K$1,SMALL(_DNL1,ROWS($1:66)),)&lt;&gt;0,OFFSET(TH!K$1,SMALL(_DNL1,ROWS($1:66)),),0))</f>
        <v>0</v>
      </c>
      <c r="H79" s="146">
        <f t="shared" ca="1" si="16"/>
        <v>0</v>
      </c>
      <c r="I79" s="151">
        <f ca="1">IF(ROWS($1:66)&gt;COUNT(_DNL1),0,IF(OFFSET(TH!M$1,SMALL(_DNL1,ROWS($1:66)),)&lt;&gt;0,OFFSET(TH!M$1,SMALL(_DNL1,ROWS($1:66)),),0))</f>
        <v>0</v>
      </c>
      <c r="J79" s="146">
        <f t="shared" ca="1" si="17"/>
        <v>0</v>
      </c>
      <c r="K79" s="146">
        <f t="shared" ca="1" si="18"/>
        <v>0</v>
      </c>
      <c r="L79" s="146">
        <f t="shared" ca="1" si="19"/>
        <v>0</v>
      </c>
      <c r="M79" s="146"/>
      <c r="N79" s="230"/>
    </row>
    <row r="80" spans="1:14" hidden="1">
      <c r="A80" s="24" t="str">
        <f t="shared" ca="1" si="15"/>
        <v/>
      </c>
      <c r="B80" s="148" t="str">
        <f ca="1">IF(ROWS($1:67)&gt;COUNT(_DNL1),"",OFFSET(TH!D$1,SMALL(_DNL1,ROWS($1:67)),)&amp;"/"&amp;OFFSET(TH!C$1,SMALL(_DNL1,ROWS($1:67)),))</f>
        <v/>
      </c>
      <c r="C80" s="149" t="str">
        <f ca="1">IF(ROWS($1:67)&gt;COUNT(_DNL1),"",OFFSET(TH!E$1,SMALL(_DNL1,ROWS($1:67)),))</f>
        <v/>
      </c>
      <c r="D80" s="150" t="str">
        <f ca="1">IF(ROWS($1:67)&gt;COUNT(_DNL1),"",OFFSET(TH!F$1,SMALL(_DNL1,ROWS($1:67)),))</f>
        <v/>
      </c>
      <c r="E80" s="148" t="str">
        <f ca="1">IF(ROWS($1:67)&gt;COUNT(_DNL1),"",IF(OFFSET(TH!H$1,SMALL(_DNL1,ROWS($1:67)),)="1521",OFFSET(TH!I$1,SMALL(_DNL1,ROWS($1:67)),),OFFSET(TH!H$1,SMALL(_DNL1,ROWS($1:67)),)))</f>
        <v/>
      </c>
      <c r="F80" s="151">
        <f ca="1">IF(ROWS($1:67)&gt;COUNT(_DNL1),0,OFFSET(TH!J$1,SMALL(_DNL1,ROWS($1:67)),))</f>
        <v>0</v>
      </c>
      <c r="G80" s="151">
        <f ca="1">IF(ROWS($1:67)&gt;COUNT(_DNL1),0,IF(OFFSET(TH!K$1,SMALL(_DNL1,ROWS($1:67)),)&lt;&gt;0,OFFSET(TH!K$1,SMALL(_DNL1,ROWS($1:67)),),0))</f>
        <v>0</v>
      </c>
      <c r="H80" s="146">
        <f t="shared" ca="1" si="16"/>
        <v>0</v>
      </c>
      <c r="I80" s="151">
        <f ca="1">IF(ROWS($1:67)&gt;COUNT(_DNL1),0,IF(OFFSET(TH!M$1,SMALL(_DNL1,ROWS($1:67)),)&lt;&gt;0,OFFSET(TH!M$1,SMALL(_DNL1,ROWS($1:67)),),0))</f>
        <v>0</v>
      </c>
      <c r="J80" s="146">
        <f t="shared" ca="1" si="17"/>
        <v>0</v>
      </c>
      <c r="K80" s="146">
        <f t="shared" ca="1" si="18"/>
        <v>0</v>
      </c>
      <c r="L80" s="146">
        <f t="shared" ca="1" si="19"/>
        <v>0</v>
      </c>
      <c r="M80" s="146"/>
      <c r="N80" s="230"/>
    </row>
    <row r="81" spans="1:14" hidden="1">
      <c r="A81" s="24" t="str">
        <f t="shared" ca="1" si="15"/>
        <v/>
      </c>
      <c r="B81" s="148" t="str">
        <f ca="1">IF(ROWS($1:68)&gt;COUNT(_DNL1),"",OFFSET(TH!D$1,SMALL(_DNL1,ROWS($1:68)),)&amp;"/"&amp;OFFSET(TH!C$1,SMALL(_DNL1,ROWS($1:68)),))</f>
        <v/>
      </c>
      <c r="C81" s="149" t="str">
        <f ca="1">IF(ROWS($1:68)&gt;COUNT(_DNL1),"",OFFSET(TH!E$1,SMALL(_DNL1,ROWS($1:68)),))</f>
        <v/>
      </c>
      <c r="D81" s="150" t="str">
        <f ca="1">IF(ROWS($1:68)&gt;COUNT(_DNL1),"",OFFSET(TH!F$1,SMALL(_DNL1,ROWS($1:68)),))</f>
        <v/>
      </c>
      <c r="E81" s="148" t="str">
        <f ca="1">IF(ROWS($1:68)&gt;COUNT(_DNL1),"",IF(OFFSET(TH!H$1,SMALL(_DNL1,ROWS($1:68)),)="1521",OFFSET(TH!I$1,SMALL(_DNL1,ROWS($1:68)),),OFFSET(TH!H$1,SMALL(_DNL1,ROWS($1:68)),)))</f>
        <v/>
      </c>
      <c r="F81" s="151">
        <f ca="1">IF(ROWS($1:68)&gt;COUNT(_DNL1),0,OFFSET(TH!J$1,SMALL(_DNL1,ROWS($1:68)),))</f>
        <v>0</v>
      </c>
      <c r="G81" s="151">
        <f ca="1">IF(ROWS($1:68)&gt;COUNT(_DNL1),0,IF(OFFSET(TH!K$1,SMALL(_DNL1,ROWS($1:68)),)&lt;&gt;0,OFFSET(TH!K$1,SMALL(_DNL1,ROWS($1:68)),),0))</f>
        <v>0</v>
      </c>
      <c r="H81" s="146">
        <f t="shared" ca="1" si="16"/>
        <v>0</v>
      </c>
      <c r="I81" s="151">
        <f ca="1">IF(ROWS($1:68)&gt;COUNT(_DNL1),0,IF(OFFSET(TH!M$1,SMALL(_DNL1,ROWS($1:68)),)&lt;&gt;0,OFFSET(TH!M$1,SMALL(_DNL1,ROWS($1:68)),),0))</f>
        <v>0</v>
      </c>
      <c r="J81" s="146">
        <f t="shared" ca="1" si="17"/>
        <v>0</v>
      </c>
      <c r="K81" s="146">
        <f t="shared" ca="1" si="18"/>
        <v>0</v>
      </c>
      <c r="L81" s="146">
        <f t="shared" ca="1" si="19"/>
        <v>0</v>
      </c>
      <c r="M81" s="146"/>
      <c r="N81" s="230"/>
    </row>
    <row r="82" spans="1:14" hidden="1">
      <c r="A82" s="24" t="str">
        <f t="shared" ca="1" si="15"/>
        <v/>
      </c>
      <c r="B82" s="148" t="str">
        <f ca="1">IF(ROWS($1:69)&gt;COUNT(_DNL1),"",OFFSET(TH!D$1,SMALL(_DNL1,ROWS($1:69)),)&amp;"/"&amp;OFFSET(TH!C$1,SMALL(_DNL1,ROWS($1:69)),))</f>
        <v/>
      </c>
      <c r="C82" s="149" t="str">
        <f ca="1">IF(ROWS($1:69)&gt;COUNT(_DNL1),"",OFFSET(TH!E$1,SMALL(_DNL1,ROWS($1:69)),))</f>
        <v/>
      </c>
      <c r="D82" s="150" t="str">
        <f ca="1">IF(ROWS($1:69)&gt;COUNT(_DNL1),"",OFFSET(TH!F$1,SMALL(_DNL1,ROWS($1:69)),))</f>
        <v/>
      </c>
      <c r="E82" s="148" t="str">
        <f ca="1">IF(ROWS($1:69)&gt;COUNT(_DNL1),"",IF(OFFSET(TH!H$1,SMALL(_DNL1,ROWS($1:69)),)="1521",OFFSET(TH!I$1,SMALL(_DNL1,ROWS($1:69)),),OFFSET(TH!H$1,SMALL(_DNL1,ROWS($1:69)),)))</f>
        <v/>
      </c>
      <c r="F82" s="151">
        <f ca="1">IF(ROWS($1:69)&gt;COUNT(_DNL1),0,OFFSET(TH!J$1,SMALL(_DNL1,ROWS($1:69)),))</f>
        <v>0</v>
      </c>
      <c r="G82" s="151">
        <f ca="1">IF(ROWS($1:69)&gt;COUNT(_DNL1),0,IF(OFFSET(TH!K$1,SMALL(_DNL1,ROWS($1:69)),)&lt;&gt;0,OFFSET(TH!K$1,SMALL(_DNL1,ROWS($1:69)),),0))</f>
        <v>0</v>
      </c>
      <c r="H82" s="146">
        <f t="shared" ca="1" si="16"/>
        <v>0</v>
      </c>
      <c r="I82" s="151">
        <f ca="1">IF(ROWS($1:69)&gt;COUNT(_DNL1),0,IF(OFFSET(TH!M$1,SMALL(_DNL1,ROWS($1:69)),)&lt;&gt;0,OFFSET(TH!M$1,SMALL(_DNL1,ROWS($1:69)),),0))</f>
        <v>0</v>
      </c>
      <c r="J82" s="146">
        <f t="shared" ca="1" si="17"/>
        <v>0</v>
      </c>
      <c r="K82" s="146">
        <f t="shared" ca="1" si="18"/>
        <v>0</v>
      </c>
      <c r="L82" s="146">
        <f t="shared" ca="1" si="19"/>
        <v>0</v>
      </c>
      <c r="M82" s="146"/>
      <c r="N82" s="230"/>
    </row>
    <row r="83" spans="1:14" hidden="1">
      <c r="A83" s="24" t="str">
        <f t="shared" ca="1" si="15"/>
        <v/>
      </c>
      <c r="B83" s="148" t="str">
        <f ca="1">IF(ROWS($1:70)&gt;COUNT(_DNL1),"",OFFSET(TH!D$1,SMALL(_DNL1,ROWS($1:70)),)&amp;"/"&amp;OFFSET(TH!C$1,SMALL(_DNL1,ROWS($1:70)),))</f>
        <v/>
      </c>
      <c r="C83" s="149" t="str">
        <f ca="1">IF(ROWS($1:70)&gt;COUNT(_DNL1),"",OFFSET(TH!E$1,SMALL(_DNL1,ROWS($1:70)),))</f>
        <v/>
      </c>
      <c r="D83" s="150" t="str">
        <f ca="1">IF(ROWS($1:70)&gt;COUNT(_DNL1),"",OFFSET(TH!F$1,SMALL(_DNL1,ROWS($1:70)),))</f>
        <v/>
      </c>
      <c r="E83" s="148" t="str">
        <f ca="1">IF(ROWS($1:70)&gt;COUNT(_DNL1),"",IF(OFFSET(TH!H$1,SMALL(_DNL1,ROWS($1:70)),)="1521",OFFSET(TH!I$1,SMALL(_DNL1,ROWS($1:70)),),OFFSET(TH!H$1,SMALL(_DNL1,ROWS($1:70)),)))</f>
        <v/>
      </c>
      <c r="F83" s="151">
        <f ca="1">IF(ROWS($1:70)&gt;COUNT(_DNL1),0,OFFSET(TH!J$1,SMALL(_DNL1,ROWS($1:70)),))</f>
        <v>0</v>
      </c>
      <c r="G83" s="151">
        <f ca="1">IF(ROWS($1:70)&gt;COUNT(_DNL1),0,IF(OFFSET(TH!K$1,SMALL(_DNL1,ROWS($1:70)),)&lt;&gt;0,OFFSET(TH!K$1,SMALL(_DNL1,ROWS($1:70)),),0))</f>
        <v>0</v>
      </c>
      <c r="H83" s="146">
        <f t="shared" ca="1" si="16"/>
        <v>0</v>
      </c>
      <c r="I83" s="151">
        <f ca="1">IF(ROWS($1:70)&gt;COUNT(_DNL1),0,IF(OFFSET(TH!M$1,SMALL(_DNL1,ROWS($1:70)),)&lt;&gt;0,OFFSET(TH!M$1,SMALL(_DNL1,ROWS($1:70)),),0))</f>
        <v>0</v>
      </c>
      <c r="J83" s="146">
        <f t="shared" ca="1" si="17"/>
        <v>0</v>
      </c>
      <c r="K83" s="146">
        <f t="shared" ca="1" si="18"/>
        <v>0</v>
      </c>
      <c r="L83" s="146">
        <f t="shared" ca="1" si="19"/>
        <v>0</v>
      </c>
      <c r="M83" s="146"/>
      <c r="N83" s="230"/>
    </row>
    <row r="84" spans="1:14" hidden="1">
      <c r="A84" s="24" t="str">
        <f t="shared" ca="1" si="15"/>
        <v/>
      </c>
      <c r="B84" s="148" t="str">
        <f ca="1">IF(ROWS($1:71)&gt;COUNT(_DNL1),"",OFFSET(TH!D$1,SMALL(_DNL1,ROWS($1:71)),)&amp;"/"&amp;OFFSET(TH!C$1,SMALL(_DNL1,ROWS($1:71)),))</f>
        <v/>
      </c>
      <c r="C84" s="149" t="str">
        <f ca="1">IF(ROWS($1:71)&gt;COUNT(_DNL1),"",OFFSET(TH!E$1,SMALL(_DNL1,ROWS($1:71)),))</f>
        <v/>
      </c>
      <c r="D84" s="150" t="str">
        <f ca="1">IF(ROWS($1:71)&gt;COUNT(_DNL1),"",OFFSET(TH!F$1,SMALL(_DNL1,ROWS($1:71)),))</f>
        <v/>
      </c>
      <c r="E84" s="148" t="str">
        <f ca="1">IF(ROWS($1:71)&gt;COUNT(_DNL1),"",IF(OFFSET(TH!H$1,SMALL(_DNL1,ROWS($1:71)),)="1521",OFFSET(TH!I$1,SMALL(_DNL1,ROWS($1:71)),),OFFSET(TH!H$1,SMALL(_DNL1,ROWS($1:71)),)))</f>
        <v/>
      </c>
      <c r="F84" s="151">
        <f ca="1">IF(ROWS($1:71)&gt;COUNT(_DNL1),0,OFFSET(TH!J$1,SMALL(_DNL1,ROWS($1:71)),))</f>
        <v>0</v>
      </c>
      <c r="G84" s="151">
        <f ca="1">IF(ROWS($1:71)&gt;COUNT(_DNL1),0,IF(OFFSET(TH!K$1,SMALL(_DNL1,ROWS($1:71)),)&lt;&gt;0,OFFSET(TH!K$1,SMALL(_DNL1,ROWS($1:71)),),0))</f>
        <v>0</v>
      </c>
      <c r="H84" s="146">
        <f t="shared" ca="1" si="16"/>
        <v>0</v>
      </c>
      <c r="I84" s="151">
        <f ca="1">IF(ROWS($1:71)&gt;COUNT(_DNL1),0,IF(OFFSET(TH!M$1,SMALL(_DNL1,ROWS($1:71)),)&lt;&gt;0,OFFSET(TH!M$1,SMALL(_DNL1,ROWS($1:71)),),0))</f>
        <v>0</v>
      </c>
      <c r="J84" s="146">
        <f t="shared" ca="1" si="17"/>
        <v>0</v>
      </c>
      <c r="K84" s="146">
        <f t="shared" ca="1" si="18"/>
        <v>0</v>
      </c>
      <c r="L84" s="146">
        <f t="shared" ca="1" si="19"/>
        <v>0</v>
      </c>
      <c r="M84" s="146"/>
      <c r="N84" s="230"/>
    </row>
    <row r="85" spans="1:14" hidden="1">
      <c r="A85" s="24" t="str">
        <f t="shared" ca="1" si="15"/>
        <v/>
      </c>
      <c r="B85" s="148" t="str">
        <f ca="1">IF(ROWS($1:72)&gt;COUNT(_DNL1),"",OFFSET(TH!D$1,SMALL(_DNL1,ROWS($1:72)),)&amp;"/"&amp;OFFSET(TH!C$1,SMALL(_DNL1,ROWS($1:72)),))</f>
        <v/>
      </c>
      <c r="C85" s="149" t="str">
        <f ca="1">IF(ROWS($1:72)&gt;COUNT(_DNL1),"",OFFSET(TH!E$1,SMALL(_DNL1,ROWS($1:72)),))</f>
        <v/>
      </c>
      <c r="D85" s="150" t="str">
        <f ca="1">IF(ROWS($1:72)&gt;COUNT(_DNL1),"",OFFSET(TH!F$1,SMALL(_DNL1,ROWS($1:72)),))</f>
        <v/>
      </c>
      <c r="E85" s="148" t="str">
        <f ca="1">IF(ROWS($1:72)&gt;COUNT(_DNL1),"",IF(OFFSET(TH!H$1,SMALL(_DNL1,ROWS($1:72)),)="1521",OFFSET(TH!I$1,SMALL(_DNL1,ROWS($1:72)),),OFFSET(TH!H$1,SMALL(_DNL1,ROWS($1:72)),)))</f>
        <v/>
      </c>
      <c r="F85" s="151">
        <f ca="1">IF(ROWS($1:72)&gt;COUNT(_DNL1),0,OFFSET(TH!J$1,SMALL(_DNL1,ROWS($1:72)),))</f>
        <v>0</v>
      </c>
      <c r="G85" s="151">
        <f ca="1">IF(ROWS($1:72)&gt;COUNT(_DNL1),0,IF(OFFSET(TH!K$1,SMALL(_DNL1,ROWS($1:72)),)&lt;&gt;0,OFFSET(TH!K$1,SMALL(_DNL1,ROWS($1:72)),),0))</f>
        <v>0</v>
      </c>
      <c r="H85" s="146">
        <f t="shared" ca="1" si="16"/>
        <v>0</v>
      </c>
      <c r="I85" s="151">
        <f ca="1">IF(ROWS($1:72)&gt;COUNT(_DNL1),0,IF(OFFSET(TH!M$1,SMALL(_DNL1,ROWS($1:72)),)&lt;&gt;0,OFFSET(TH!M$1,SMALL(_DNL1,ROWS($1:72)),),0))</f>
        <v>0</v>
      </c>
      <c r="J85" s="146">
        <f t="shared" ca="1" si="17"/>
        <v>0</v>
      </c>
      <c r="K85" s="146">
        <f t="shared" ca="1" si="18"/>
        <v>0</v>
      </c>
      <c r="L85" s="146">
        <f t="shared" ca="1" si="19"/>
        <v>0</v>
      </c>
      <c r="M85" s="146"/>
      <c r="N85" s="230"/>
    </row>
    <row r="86" spans="1:14" hidden="1">
      <c r="A86" s="24" t="str">
        <f t="shared" ca="1" si="15"/>
        <v/>
      </c>
      <c r="B86" s="148" t="str">
        <f ca="1">IF(ROWS($1:73)&gt;COUNT(_DNL1),"",OFFSET(TH!D$1,SMALL(_DNL1,ROWS($1:73)),)&amp;"/"&amp;OFFSET(TH!C$1,SMALL(_DNL1,ROWS($1:73)),))</f>
        <v/>
      </c>
      <c r="C86" s="149" t="str">
        <f ca="1">IF(ROWS($1:73)&gt;COUNT(_DNL1),"",OFFSET(TH!E$1,SMALL(_DNL1,ROWS($1:73)),))</f>
        <v/>
      </c>
      <c r="D86" s="150" t="str">
        <f ca="1">IF(ROWS($1:73)&gt;COUNT(_DNL1),"",OFFSET(TH!F$1,SMALL(_DNL1,ROWS($1:73)),))</f>
        <v/>
      </c>
      <c r="E86" s="148" t="str">
        <f ca="1">IF(ROWS($1:73)&gt;COUNT(_DNL1),"",IF(OFFSET(TH!H$1,SMALL(_DNL1,ROWS($1:73)),)="1521",OFFSET(TH!I$1,SMALL(_DNL1,ROWS($1:73)),),OFFSET(TH!H$1,SMALL(_DNL1,ROWS($1:73)),)))</f>
        <v/>
      </c>
      <c r="F86" s="151">
        <f ca="1">IF(ROWS($1:73)&gt;COUNT(_DNL1),0,OFFSET(TH!J$1,SMALL(_DNL1,ROWS($1:73)),))</f>
        <v>0</v>
      </c>
      <c r="G86" s="151">
        <f ca="1">IF(ROWS($1:73)&gt;COUNT(_DNL1),0,IF(OFFSET(TH!K$1,SMALL(_DNL1,ROWS($1:73)),)&lt;&gt;0,OFFSET(TH!K$1,SMALL(_DNL1,ROWS($1:73)),),0))</f>
        <v>0</v>
      </c>
      <c r="H86" s="146">
        <f t="shared" ca="1" si="16"/>
        <v>0</v>
      </c>
      <c r="I86" s="151">
        <f ca="1">IF(ROWS($1:73)&gt;COUNT(_DNL1),0,IF(OFFSET(TH!M$1,SMALL(_DNL1,ROWS($1:73)),)&lt;&gt;0,OFFSET(TH!M$1,SMALL(_DNL1,ROWS($1:73)),),0))</f>
        <v>0</v>
      </c>
      <c r="J86" s="146">
        <f t="shared" ca="1" si="17"/>
        <v>0</v>
      </c>
      <c r="K86" s="146">
        <f t="shared" ca="1" si="18"/>
        <v>0</v>
      </c>
      <c r="L86" s="146">
        <f t="shared" ca="1" si="19"/>
        <v>0</v>
      </c>
      <c r="M86" s="146"/>
      <c r="N86" s="230"/>
    </row>
    <row r="87" spans="1:14" hidden="1">
      <c r="A87" s="24" t="str">
        <f t="shared" ca="1" si="15"/>
        <v/>
      </c>
      <c r="B87" s="148" t="str">
        <f ca="1">IF(ROWS($1:74)&gt;COUNT(_DNL1),"",OFFSET(TH!D$1,SMALL(_DNL1,ROWS($1:74)),)&amp;"/"&amp;OFFSET(TH!C$1,SMALL(_DNL1,ROWS($1:74)),))</f>
        <v/>
      </c>
      <c r="C87" s="149" t="str">
        <f ca="1">IF(ROWS($1:74)&gt;COUNT(_DNL1),"",OFFSET(TH!E$1,SMALL(_DNL1,ROWS($1:74)),))</f>
        <v/>
      </c>
      <c r="D87" s="150" t="str">
        <f ca="1">IF(ROWS($1:74)&gt;COUNT(_DNL1),"",OFFSET(TH!F$1,SMALL(_DNL1,ROWS($1:74)),))</f>
        <v/>
      </c>
      <c r="E87" s="148" t="str">
        <f ca="1">IF(ROWS($1:74)&gt;COUNT(_DNL1),"",IF(OFFSET(TH!H$1,SMALL(_DNL1,ROWS($1:74)),)="1521",OFFSET(TH!I$1,SMALL(_DNL1,ROWS($1:74)),),OFFSET(TH!H$1,SMALL(_DNL1,ROWS($1:74)),)))</f>
        <v/>
      </c>
      <c r="F87" s="151">
        <f ca="1">IF(ROWS($1:74)&gt;COUNT(_DNL1),0,OFFSET(TH!J$1,SMALL(_DNL1,ROWS($1:74)),))</f>
        <v>0</v>
      </c>
      <c r="G87" s="151">
        <f ca="1">IF(ROWS($1:74)&gt;COUNT(_DNL1),0,IF(OFFSET(TH!K$1,SMALL(_DNL1,ROWS($1:74)),)&lt;&gt;0,OFFSET(TH!K$1,SMALL(_DNL1,ROWS($1:74)),),0))</f>
        <v>0</v>
      </c>
      <c r="H87" s="146">
        <f t="shared" ca="1" si="16"/>
        <v>0</v>
      </c>
      <c r="I87" s="151">
        <f ca="1">IF(ROWS($1:74)&gt;COUNT(_DNL1),0,IF(OFFSET(TH!M$1,SMALL(_DNL1,ROWS($1:74)),)&lt;&gt;0,OFFSET(TH!M$1,SMALL(_DNL1,ROWS($1:74)),),0))</f>
        <v>0</v>
      </c>
      <c r="J87" s="146">
        <f t="shared" ca="1" si="17"/>
        <v>0</v>
      </c>
      <c r="K87" s="146">
        <f t="shared" ca="1" si="18"/>
        <v>0</v>
      </c>
      <c r="L87" s="146">
        <f t="shared" ca="1" si="19"/>
        <v>0</v>
      </c>
      <c r="M87" s="146"/>
      <c r="N87" s="230"/>
    </row>
    <row r="88" spans="1:14" hidden="1">
      <c r="A88" s="24" t="str">
        <f t="shared" ca="1" si="15"/>
        <v/>
      </c>
      <c r="B88" s="148" t="str">
        <f ca="1">IF(ROWS($1:75)&gt;COUNT(_DNL1),"",OFFSET(TH!D$1,SMALL(_DNL1,ROWS($1:75)),)&amp;"/"&amp;OFFSET(TH!C$1,SMALL(_DNL1,ROWS($1:75)),))</f>
        <v/>
      </c>
      <c r="C88" s="149" t="str">
        <f ca="1">IF(ROWS($1:75)&gt;COUNT(_DNL1),"",OFFSET(TH!E$1,SMALL(_DNL1,ROWS($1:75)),))</f>
        <v/>
      </c>
      <c r="D88" s="150" t="str">
        <f ca="1">IF(ROWS($1:75)&gt;COUNT(_DNL1),"",OFFSET(TH!F$1,SMALL(_DNL1,ROWS($1:75)),))</f>
        <v/>
      </c>
      <c r="E88" s="148" t="str">
        <f ca="1">IF(ROWS($1:75)&gt;COUNT(_DNL1),"",IF(OFFSET(TH!H$1,SMALL(_DNL1,ROWS($1:75)),)="1521",OFFSET(TH!I$1,SMALL(_DNL1,ROWS($1:75)),),OFFSET(TH!H$1,SMALL(_DNL1,ROWS($1:75)),)))</f>
        <v/>
      </c>
      <c r="F88" s="151">
        <f ca="1">IF(ROWS($1:75)&gt;COUNT(_DNL1),0,OFFSET(TH!J$1,SMALL(_DNL1,ROWS($1:75)),))</f>
        <v>0</v>
      </c>
      <c r="G88" s="151">
        <f ca="1">IF(ROWS($1:75)&gt;COUNT(_DNL1),0,IF(OFFSET(TH!K$1,SMALL(_DNL1,ROWS($1:75)),)&lt;&gt;0,OFFSET(TH!K$1,SMALL(_DNL1,ROWS($1:75)),),0))</f>
        <v>0</v>
      </c>
      <c r="H88" s="146">
        <f t="shared" ca="1" si="16"/>
        <v>0</v>
      </c>
      <c r="I88" s="151">
        <f ca="1">IF(ROWS($1:75)&gt;COUNT(_DNL1),0,IF(OFFSET(TH!M$1,SMALL(_DNL1,ROWS($1:75)),)&lt;&gt;0,OFFSET(TH!M$1,SMALL(_DNL1,ROWS($1:75)),),0))</f>
        <v>0</v>
      </c>
      <c r="J88" s="146">
        <f t="shared" ca="1" si="17"/>
        <v>0</v>
      </c>
      <c r="K88" s="146">
        <f t="shared" ca="1" si="18"/>
        <v>0</v>
      </c>
      <c r="L88" s="146">
        <f t="shared" ca="1" si="19"/>
        <v>0</v>
      </c>
      <c r="M88" s="146"/>
      <c r="N88" s="230"/>
    </row>
    <row r="89" spans="1:14" hidden="1">
      <c r="A89" s="24" t="str">
        <f t="shared" ca="1" si="15"/>
        <v/>
      </c>
      <c r="B89" s="148" t="str">
        <f ca="1">IF(ROWS($1:76)&gt;COUNT(_DNL1),"",OFFSET(TH!D$1,SMALL(_DNL1,ROWS($1:76)),)&amp;"/"&amp;OFFSET(TH!C$1,SMALL(_DNL1,ROWS($1:76)),))</f>
        <v/>
      </c>
      <c r="C89" s="149" t="str">
        <f ca="1">IF(ROWS($1:76)&gt;COUNT(_DNL1),"",OFFSET(TH!E$1,SMALL(_DNL1,ROWS($1:76)),))</f>
        <v/>
      </c>
      <c r="D89" s="150" t="str">
        <f ca="1">IF(ROWS($1:76)&gt;COUNT(_DNL1),"",OFFSET(TH!F$1,SMALL(_DNL1,ROWS($1:76)),))</f>
        <v/>
      </c>
      <c r="E89" s="148" t="str">
        <f ca="1">IF(ROWS($1:76)&gt;COUNT(_DNL1),"",IF(OFFSET(TH!H$1,SMALL(_DNL1,ROWS($1:76)),)="1521",OFFSET(TH!I$1,SMALL(_DNL1,ROWS($1:76)),),OFFSET(TH!H$1,SMALL(_DNL1,ROWS($1:76)),)))</f>
        <v/>
      </c>
      <c r="F89" s="151">
        <f ca="1">IF(ROWS($1:76)&gt;COUNT(_DNL1),0,OFFSET(TH!J$1,SMALL(_DNL1,ROWS($1:76)),))</f>
        <v>0</v>
      </c>
      <c r="G89" s="151">
        <f ca="1">IF(ROWS($1:76)&gt;COUNT(_DNL1),0,IF(OFFSET(TH!K$1,SMALL(_DNL1,ROWS($1:76)),)&lt;&gt;0,OFFSET(TH!K$1,SMALL(_DNL1,ROWS($1:76)),),0))</f>
        <v>0</v>
      </c>
      <c r="H89" s="146">
        <f t="shared" ca="1" si="16"/>
        <v>0</v>
      </c>
      <c r="I89" s="151">
        <f ca="1">IF(ROWS($1:76)&gt;COUNT(_DNL1),0,IF(OFFSET(TH!M$1,SMALL(_DNL1,ROWS($1:76)),)&lt;&gt;0,OFFSET(TH!M$1,SMALL(_DNL1,ROWS($1:76)),),0))</f>
        <v>0</v>
      </c>
      <c r="J89" s="146">
        <f t="shared" ca="1" si="17"/>
        <v>0</v>
      </c>
      <c r="K89" s="146">
        <f t="shared" ca="1" si="18"/>
        <v>0</v>
      </c>
      <c r="L89" s="146">
        <f t="shared" ca="1" si="19"/>
        <v>0</v>
      </c>
      <c r="M89" s="146"/>
      <c r="N89" s="230"/>
    </row>
    <row r="90" spans="1:14" hidden="1">
      <c r="A90" s="24" t="str">
        <f t="shared" ca="1" si="15"/>
        <v/>
      </c>
      <c r="B90" s="148" t="str">
        <f ca="1">IF(ROWS($1:77)&gt;COUNT(_DNL1),"",OFFSET(TH!D$1,SMALL(_DNL1,ROWS($1:77)),)&amp;"/"&amp;OFFSET(TH!C$1,SMALL(_DNL1,ROWS($1:77)),))</f>
        <v/>
      </c>
      <c r="C90" s="149" t="str">
        <f ca="1">IF(ROWS($1:77)&gt;COUNT(_DNL1),"",OFFSET(TH!E$1,SMALL(_DNL1,ROWS($1:77)),))</f>
        <v/>
      </c>
      <c r="D90" s="150" t="str">
        <f ca="1">IF(ROWS($1:77)&gt;COUNT(_DNL1),"",OFFSET(TH!F$1,SMALL(_DNL1,ROWS($1:77)),))</f>
        <v/>
      </c>
      <c r="E90" s="148" t="str">
        <f ca="1">IF(ROWS($1:77)&gt;COUNT(_DNL1),"",IF(OFFSET(TH!H$1,SMALL(_DNL1,ROWS($1:77)),)="1521",OFFSET(TH!I$1,SMALL(_DNL1,ROWS($1:77)),),OFFSET(TH!H$1,SMALL(_DNL1,ROWS($1:77)),)))</f>
        <v/>
      </c>
      <c r="F90" s="151">
        <f ca="1">IF(ROWS($1:77)&gt;COUNT(_DNL1),0,OFFSET(TH!J$1,SMALL(_DNL1,ROWS($1:77)),))</f>
        <v>0</v>
      </c>
      <c r="G90" s="151">
        <f ca="1">IF(ROWS($1:77)&gt;COUNT(_DNL1),0,IF(OFFSET(TH!K$1,SMALL(_DNL1,ROWS($1:77)),)&lt;&gt;0,OFFSET(TH!K$1,SMALL(_DNL1,ROWS($1:77)),),0))</f>
        <v>0</v>
      </c>
      <c r="H90" s="146">
        <f t="shared" ca="1" si="16"/>
        <v>0</v>
      </c>
      <c r="I90" s="151">
        <f ca="1">IF(ROWS($1:77)&gt;COUNT(_DNL1),0,IF(OFFSET(TH!M$1,SMALL(_DNL1,ROWS($1:77)),)&lt;&gt;0,OFFSET(TH!M$1,SMALL(_DNL1,ROWS($1:77)),),0))</f>
        <v>0</v>
      </c>
      <c r="J90" s="146">
        <f t="shared" ca="1" si="17"/>
        <v>0</v>
      </c>
      <c r="K90" s="146">
        <f t="shared" ca="1" si="18"/>
        <v>0</v>
      </c>
      <c r="L90" s="146">
        <f t="shared" ca="1" si="19"/>
        <v>0</v>
      </c>
      <c r="M90" s="146"/>
      <c r="N90" s="230"/>
    </row>
    <row r="91" spans="1:14" hidden="1">
      <c r="A91" s="24" t="str">
        <f t="shared" ca="1" si="15"/>
        <v/>
      </c>
      <c r="B91" s="148" t="str">
        <f ca="1">IF(ROWS($1:78)&gt;COUNT(_DNL1),"",OFFSET(TH!D$1,SMALL(_DNL1,ROWS($1:78)),)&amp;"/"&amp;OFFSET(TH!C$1,SMALL(_DNL1,ROWS($1:78)),))</f>
        <v/>
      </c>
      <c r="C91" s="149" t="str">
        <f ca="1">IF(ROWS($1:78)&gt;COUNT(_DNL1),"",OFFSET(TH!E$1,SMALL(_DNL1,ROWS($1:78)),))</f>
        <v/>
      </c>
      <c r="D91" s="150" t="str">
        <f ca="1">IF(ROWS($1:78)&gt;COUNT(_DNL1),"",OFFSET(TH!F$1,SMALL(_DNL1,ROWS($1:78)),))</f>
        <v/>
      </c>
      <c r="E91" s="148" t="str">
        <f ca="1">IF(ROWS($1:78)&gt;COUNT(_DNL1),"",IF(OFFSET(TH!H$1,SMALL(_DNL1,ROWS($1:78)),)="1521",OFFSET(TH!I$1,SMALL(_DNL1,ROWS($1:78)),),OFFSET(TH!H$1,SMALL(_DNL1,ROWS($1:78)),)))</f>
        <v/>
      </c>
      <c r="F91" s="151">
        <f ca="1">IF(ROWS($1:78)&gt;COUNT(_DNL1),0,OFFSET(TH!J$1,SMALL(_DNL1,ROWS($1:78)),))</f>
        <v>0</v>
      </c>
      <c r="G91" s="151">
        <f ca="1">IF(ROWS($1:78)&gt;COUNT(_DNL1),0,IF(OFFSET(TH!K$1,SMALL(_DNL1,ROWS($1:78)),)&lt;&gt;0,OFFSET(TH!K$1,SMALL(_DNL1,ROWS($1:78)),),0))</f>
        <v>0</v>
      </c>
      <c r="H91" s="146">
        <f t="shared" ca="1" si="16"/>
        <v>0</v>
      </c>
      <c r="I91" s="151">
        <f ca="1">IF(ROWS($1:78)&gt;COUNT(_DNL1),0,IF(OFFSET(TH!M$1,SMALL(_DNL1,ROWS($1:78)),)&lt;&gt;0,OFFSET(TH!M$1,SMALL(_DNL1,ROWS($1:78)),),0))</f>
        <v>0</v>
      </c>
      <c r="J91" s="146">
        <f t="shared" ca="1" si="17"/>
        <v>0</v>
      </c>
      <c r="K91" s="146">
        <f t="shared" ca="1" si="18"/>
        <v>0</v>
      </c>
      <c r="L91" s="146">
        <f t="shared" ca="1" si="19"/>
        <v>0</v>
      </c>
      <c r="M91" s="146"/>
      <c r="N91" s="230"/>
    </row>
    <row r="92" spans="1:14" hidden="1">
      <c r="A92" s="24" t="str">
        <f t="shared" ca="1" si="15"/>
        <v/>
      </c>
      <c r="B92" s="148" t="str">
        <f ca="1">IF(ROWS($1:79)&gt;COUNT(_DNL1),"",OFFSET(TH!D$1,SMALL(_DNL1,ROWS($1:79)),)&amp;"/"&amp;OFFSET(TH!C$1,SMALL(_DNL1,ROWS($1:79)),))</f>
        <v/>
      </c>
      <c r="C92" s="149" t="str">
        <f ca="1">IF(ROWS($1:79)&gt;COUNT(_DNL1),"",OFFSET(TH!E$1,SMALL(_DNL1,ROWS($1:79)),))</f>
        <v/>
      </c>
      <c r="D92" s="150" t="str">
        <f ca="1">IF(ROWS($1:79)&gt;COUNT(_DNL1),"",OFFSET(TH!F$1,SMALL(_DNL1,ROWS($1:79)),))</f>
        <v/>
      </c>
      <c r="E92" s="148" t="str">
        <f ca="1">IF(ROWS($1:79)&gt;COUNT(_DNL1),"",IF(OFFSET(TH!H$1,SMALL(_DNL1,ROWS($1:79)),)="1521",OFFSET(TH!I$1,SMALL(_DNL1,ROWS($1:79)),),OFFSET(TH!H$1,SMALL(_DNL1,ROWS($1:79)),)))</f>
        <v/>
      </c>
      <c r="F92" s="151">
        <f ca="1">IF(ROWS($1:79)&gt;COUNT(_DNL1),0,OFFSET(TH!J$1,SMALL(_DNL1,ROWS($1:79)),))</f>
        <v>0</v>
      </c>
      <c r="G92" s="151">
        <f ca="1">IF(ROWS($1:79)&gt;COUNT(_DNL1),0,IF(OFFSET(TH!K$1,SMALL(_DNL1,ROWS($1:79)),)&lt;&gt;0,OFFSET(TH!K$1,SMALL(_DNL1,ROWS($1:79)),),0))</f>
        <v>0</v>
      </c>
      <c r="H92" s="146">
        <f t="shared" ca="1" si="16"/>
        <v>0</v>
      </c>
      <c r="I92" s="151">
        <f ca="1">IF(ROWS($1:79)&gt;COUNT(_DNL1),0,IF(OFFSET(TH!M$1,SMALL(_DNL1,ROWS($1:79)),)&lt;&gt;0,OFFSET(TH!M$1,SMALL(_DNL1,ROWS($1:79)),),0))</f>
        <v>0</v>
      </c>
      <c r="J92" s="146">
        <f t="shared" ca="1" si="17"/>
        <v>0</v>
      </c>
      <c r="K92" s="146">
        <f t="shared" ca="1" si="18"/>
        <v>0</v>
      </c>
      <c r="L92" s="146">
        <f t="shared" ca="1" si="19"/>
        <v>0</v>
      </c>
      <c r="M92" s="146"/>
      <c r="N92" s="230"/>
    </row>
    <row r="93" spans="1:14" hidden="1">
      <c r="A93" s="24" t="str">
        <f t="shared" ca="1" si="15"/>
        <v/>
      </c>
      <c r="B93" s="148" t="str">
        <f ca="1">IF(ROWS($1:80)&gt;COUNT(_DNL1),"",OFFSET(TH!D$1,SMALL(_DNL1,ROWS($1:80)),)&amp;"/"&amp;OFFSET(TH!C$1,SMALL(_DNL1,ROWS($1:80)),))</f>
        <v/>
      </c>
      <c r="C93" s="149" t="str">
        <f ca="1">IF(ROWS($1:80)&gt;COUNT(_DNL1),"",OFFSET(TH!E$1,SMALL(_DNL1,ROWS($1:80)),))</f>
        <v/>
      </c>
      <c r="D93" s="150" t="str">
        <f ca="1">IF(ROWS($1:80)&gt;COUNT(_DNL1),"",OFFSET(TH!F$1,SMALL(_DNL1,ROWS($1:80)),))</f>
        <v/>
      </c>
      <c r="E93" s="148" t="str">
        <f ca="1">IF(ROWS($1:80)&gt;COUNT(_DNL1),"",IF(OFFSET(TH!H$1,SMALL(_DNL1,ROWS($1:80)),)="1521",OFFSET(TH!I$1,SMALL(_DNL1,ROWS($1:80)),),OFFSET(TH!H$1,SMALL(_DNL1,ROWS($1:80)),)))</f>
        <v/>
      </c>
      <c r="F93" s="151">
        <f ca="1">IF(ROWS($1:80)&gt;COUNT(_DNL1),0,OFFSET(TH!J$1,SMALL(_DNL1,ROWS($1:80)),))</f>
        <v>0</v>
      </c>
      <c r="G93" s="151">
        <f ca="1">IF(ROWS($1:80)&gt;COUNT(_DNL1),0,IF(OFFSET(TH!K$1,SMALL(_DNL1,ROWS($1:80)),)&lt;&gt;0,OFFSET(TH!K$1,SMALL(_DNL1,ROWS($1:80)),),0))</f>
        <v>0</v>
      </c>
      <c r="H93" s="146">
        <f t="shared" ca="1" si="16"/>
        <v>0</v>
      </c>
      <c r="I93" s="151">
        <f ca="1">IF(ROWS($1:80)&gt;COUNT(_DNL1),0,IF(OFFSET(TH!M$1,SMALL(_DNL1,ROWS($1:80)),)&lt;&gt;0,OFFSET(TH!M$1,SMALL(_DNL1,ROWS($1:80)),),0))</f>
        <v>0</v>
      </c>
      <c r="J93" s="146">
        <f t="shared" ca="1" si="17"/>
        <v>0</v>
      </c>
      <c r="K93" s="146">
        <f t="shared" ca="1" si="18"/>
        <v>0</v>
      </c>
      <c r="L93" s="146">
        <f t="shared" ca="1" si="19"/>
        <v>0</v>
      </c>
      <c r="M93" s="146"/>
      <c r="N93" s="230"/>
    </row>
    <row r="94" spans="1:14" hidden="1">
      <c r="A94" s="24" t="str">
        <f t="shared" ca="1" si="15"/>
        <v/>
      </c>
      <c r="B94" s="148" t="str">
        <f ca="1">IF(ROWS($1:81)&gt;COUNT(_DNL1),"",OFFSET(TH!D$1,SMALL(_DNL1,ROWS($1:81)),)&amp;"/"&amp;OFFSET(TH!C$1,SMALL(_DNL1,ROWS($1:81)),))</f>
        <v/>
      </c>
      <c r="C94" s="149" t="str">
        <f ca="1">IF(ROWS($1:81)&gt;COUNT(_DNL1),"",OFFSET(TH!E$1,SMALL(_DNL1,ROWS($1:81)),))</f>
        <v/>
      </c>
      <c r="D94" s="150" t="str">
        <f ca="1">IF(ROWS($1:81)&gt;COUNT(_DNL1),"",OFFSET(TH!F$1,SMALL(_DNL1,ROWS($1:81)),))</f>
        <v/>
      </c>
      <c r="E94" s="148" t="str">
        <f ca="1">IF(ROWS($1:81)&gt;COUNT(_DNL1),"",IF(OFFSET(TH!H$1,SMALL(_DNL1,ROWS($1:81)),)="1521",OFFSET(TH!I$1,SMALL(_DNL1,ROWS($1:81)),),OFFSET(TH!H$1,SMALL(_DNL1,ROWS($1:81)),)))</f>
        <v/>
      </c>
      <c r="F94" s="151">
        <f ca="1">IF(ROWS($1:81)&gt;COUNT(_DNL1),0,OFFSET(TH!J$1,SMALL(_DNL1,ROWS($1:81)),))</f>
        <v>0</v>
      </c>
      <c r="G94" s="151">
        <f ca="1">IF(ROWS($1:81)&gt;COUNT(_DNL1),0,IF(OFFSET(TH!K$1,SMALL(_DNL1,ROWS($1:81)),)&lt;&gt;0,OFFSET(TH!K$1,SMALL(_DNL1,ROWS($1:81)),),0))</f>
        <v>0</v>
      </c>
      <c r="H94" s="146">
        <f t="shared" ca="1" si="16"/>
        <v>0</v>
      </c>
      <c r="I94" s="151">
        <f ca="1">IF(ROWS($1:81)&gt;COUNT(_DNL1),0,IF(OFFSET(TH!M$1,SMALL(_DNL1,ROWS($1:81)),)&lt;&gt;0,OFFSET(TH!M$1,SMALL(_DNL1,ROWS($1:81)),),0))</f>
        <v>0</v>
      </c>
      <c r="J94" s="146">
        <f t="shared" ca="1" si="17"/>
        <v>0</v>
      </c>
      <c r="K94" s="146">
        <f t="shared" ca="1" si="18"/>
        <v>0</v>
      </c>
      <c r="L94" s="146">
        <f t="shared" ca="1" si="19"/>
        <v>0</v>
      </c>
      <c r="M94" s="146"/>
      <c r="N94" s="230"/>
    </row>
    <row r="95" spans="1:14" hidden="1">
      <c r="A95" s="24" t="str">
        <f t="shared" ca="1" si="15"/>
        <v/>
      </c>
      <c r="B95" s="148" t="str">
        <f ca="1">IF(ROWS($1:82)&gt;COUNT(_DNL1),"",OFFSET(TH!D$1,SMALL(_DNL1,ROWS($1:82)),)&amp;"/"&amp;OFFSET(TH!C$1,SMALL(_DNL1,ROWS($1:82)),))</f>
        <v/>
      </c>
      <c r="C95" s="149" t="str">
        <f ca="1">IF(ROWS($1:82)&gt;COUNT(_DNL1),"",OFFSET(TH!E$1,SMALL(_DNL1,ROWS($1:82)),))</f>
        <v/>
      </c>
      <c r="D95" s="150" t="str">
        <f ca="1">IF(ROWS($1:82)&gt;COUNT(_DNL1),"",OFFSET(TH!F$1,SMALL(_DNL1,ROWS($1:82)),))</f>
        <v/>
      </c>
      <c r="E95" s="148" t="str">
        <f ca="1">IF(ROWS($1:82)&gt;COUNT(_DNL1),"",IF(OFFSET(TH!H$1,SMALL(_DNL1,ROWS($1:82)),)="1521",OFFSET(TH!I$1,SMALL(_DNL1,ROWS($1:82)),),OFFSET(TH!H$1,SMALL(_DNL1,ROWS($1:82)),)))</f>
        <v/>
      </c>
      <c r="F95" s="151">
        <f ca="1">IF(ROWS($1:82)&gt;COUNT(_DNL1),0,OFFSET(TH!J$1,SMALL(_DNL1,ROWS($1:82)),))</f>
        <v>0</v>
      </c>
      <c r="G95" s="151">
        <f ca="1">IF(ROWS($1:82)&gt;COUNT(_DNL1),0,IF(OFFSET(TH!K$1,SMALL(_DNL1,ROWS($1:82)),)&lt;&gt;0,OFFSET(TH!K$1,SMALL(_DNL1,ROWS($1:82)),),0))</f>
        <v>0</v>
      </c>
      <c r="H95" s="146">
        <f t="shared" ca="1" si="16"/>
        <v>0</v>
      </c>
      <c r="I95" s="151">
        <f ca="1">IF(ROWS($1:82)&gt;COUNT(_DNL1),0,IF(OFFSET(TH!M$1,SMALL(_DNL1,ROWS($1:82)),)&lt;&gt;0,OFFSET(TH!M$1,SMALL(_DNL1,ROWS($1:82)),),0))</f>
        <v>0</v>
      </c>
      <c r="J95" s="146">
        <f t="shared" ca="1" si="17"/>
        <v>0</v>
      </c>
      <c r="K95" s="146">
        <f t="shared" ca="1" si="18"/>
        <v>0</v>
      </c>
      <c r="L95" s="146">
        <f t="shared" ca="1" si="19"/>
        <v>0</v>
      </c>
      <c r="M95" s="146"/>
      <c r="N95" s="230"/>
    </row>
    <row r="96" spans="1:14" hidden="1">
      <c r="A96" s="24" t="str">
        <f t="shared" ca="1" si="15"/>
        <v/>
      </c>
      <c r="B96" s="148" t="str">
        <f ca="1">IF(ROWS($1:83)&gt;COUNT(_DNL1),"",OFFSET(TH!D$1,SMALL(_DNL1,ROWS($1:83)),)&amp;"/"&amp;OFFSET(TH!C$1,SMALL(_DNL1,ROWS($1:83)),))</f>
        <v/>
      </c>
      <c r="C96" s="149" t="str">
        <f ca="1">IF(ROWS($1:83)&gt;COUNT(_DNL1),"",OFFSET(TH!E$1,SMALL(_DNL1,ROWS($1:83)),))</f>
        <v/>
      </c>
      <c r="D96" s="150" t="str">
        <f ca="1">IF(ROWS($1:83)&gt;COUNT(_DNL1),"",OFFSET(TH!F$1,SMALL(_DNL1,ROWS($1:83)),))</f>
        <v/>
      </c>
      <c r="E96" s="148" t="str">
        <f ca="1">IF(ROWS($1:83)&gt;COUNT(_DNL1),"",IF(OFFSET(TH!H$1,SMALL(_DNL1,ROWS($1:83)),)="1521",OFFSET(TH!I$1,SMALL(_DNL1,ROWS($1:83)),),OFFSET(TH!H$1,SMALL(_DNL1,ROWS($1:83)),)))</f>
        <v/>
      </c>
      <c r="F96" s="151">
        <f ca="1">IF(ROWS($1:83)&gt;COUNT(_DNL1),0,OFFSET(TH!J$1,SMALL(_DNL1,ROWS($1:83)),))</f>
        <v>0</v>
      </c>
      <c r="G96" s="151">
        <f ca="1">IF(ROWS($1:83)&gt;COUNT(_DNL1),0,IF(OFFSET(TH!K$1,SMALL(_DNL1,ROWS($1:83)),)&lt;&gt;0,OFFSET(TH!K$1,SMALL(_DNL1,ROWS($1:83)),),0))</f>
        <v>0</v>
      </c>
      <c r="H96" s="146">
        <f t="shared" ca="1" si="16"/>
        <v>0</v>
      </c>
      <c r="I96" s="151">
        <f ca="1">IF(ROWS($1:83)&gt;COUNT(_DNL1),0,IF(OFFSET(TH!M$1,SMALL(_DNL1,ROWS($1:83)),)&lt;&gt;0,OFFSET(TH!M$1,SMALL(_DNL1,ROWS($1:83)),),0))</f>
        <v>0</v>
      </c>
      <c r="J96" s="146">
        <f t="shared" ca="1" si="17"/>
        <v>0</v>
      </c>
      <c r="K96" s="146">
        <f t="shared" ca="1" si="18"/>
        <v>0</v>
      </c>
      <c r="L96" s="146">
        <f t="shared" ca="1" si="19"/>
        <v>0</v>
      </c>
      <c r="M96" s="146"/>
      <c r="N96" s="230"/>
    </row>
    <row r="97" spans="1:14" hidden="1">
      <c r="A97" s="24" t="str">
        <f t="shared" ca="1" si="15"/>
        <v/>
      </c>
      <c r="B97" s="148" t="str">
        <f ca="1">IF(ROWS($1:84)&gt;COUNT(_DNL1),"",OFFSET(TH!D$1,SMALL(_DNL1,ROWS($1:84)),)&amp;"/"&amp;OFFSET(TH!C$1,SMALL(_DNL1,ROWS($1:84)),))</f>
        <v/>
      </c>
      <c r="C97" s="149" t="str">
        <f ca="1">IF(ROWS($1:84)&gt;COUNT(_DNL1),"",OFFSET(TH!E$1,SMALL(_DNL1,ROWS($1:84)),))</f>
        <v/>
      </c>
      <c r="D97" s="150" t="str">
        <f ca="1">IF(ROWS($1:84)&gt;COUNT(_DNL1),"",OFFSET(TH!F$1,SMALL(_DNL1,ROWS($1:84)),))</f>
        <v/>
      </c>
      <c r="E97" s="148" t="str">
        <f ca="1">IF(ROWS($1:84)&gt;COUNT(_DNL1),"",IF(OFFSET(TH!H$1,SMALL(_DNL1,ROWS($1:84)),)="1521",OFFSET(TH!I$1,SMALL(_DNL1,ROWS($1:84)),),OFFSET(TH!H$1,SMALL(_DNL1,ROWS($1:84)),)))</f>
        <v/>
      </c>
      <c r="F97" s="151">
        <f ca="1">IF(ROWS($1:84)&gt;COUNT(_DNL1),0,OFFSET(TH!J$1,SMALL(_DNL1,ROWS($1:84)),))</f>
        <v>0</v>
      </c>
      <c r="G97" s="151">
        <f ca="1">IF(ROWS($1:84)&gt;COUNT(_DNL1),0,IF(OFFSET(TH!K$1,SMALL(_DNL1,ROWS($1:84)),)&lt;&gt;0,OFFSET(TH!K$1,SMALL(_DNL1,ROWS($1:84)),),0))</f>
        <v>0</v>
      </c>
      <c r="H97" s="146">
        <f t="shared" ca="1" si="16"/>
        <v>0</v>
      </c>
      <c r="I97" s="151">
        <f ca="1">IF(ROWS($1:84)&gt;COUNT(_DNL1),0,IF(OFFSET(TH!M$1,SMALL(_DNL1,ROWS($1:84)),)&lt;&gt;0,OFFSET(TH!M$1,SMALL(_DNL1,ROWS($1:84)),),0))</f>
        <v>0</v>
      </c>
      <c r="J97" s="146">
        <f t="shared" ca="1" si="17"/>
        <v>0</v>
      </c>
      <c r="K97" s="146">
        <f t="shared" ca="1" si="18"/>
        <v>0</v>
      </c>
      <c r="L97" s="146">
        <f t="shared" ca="1" si="19"/>
        <v>0</v>
      </c>
      <c r="M97" s="146"/>
      <c r="N97" s="230"/>
    </row>
    <row r="98" spans="1:14" hidden="1">
      <c r="A98" s="24" t="str">
        <f t="shared" ca="1" si="15"/>
        <v/>
      </c>
      <c r="B98" s="148" t="str">
        <f ca="1">IF(ROWS($1:85)&gt;COUNT(_DNL1),"",OFFSET(TH!D$1,SMALL(_DNL1,ROWS($1:85)),)&amp;"/"&amp;OFFSET(TH!C$1,SMALL(_DNL1,ROWS($1:85)),))</f>
        <v/>
      </c>
      <c r="C98" s="149" t="str">
        <f ca="1">IF(ROWS($1:85)&gt;COUNT(_DNL1),"",OFFSET(TH!E$1,SMALL(_DNL1,ROWS($1:85)),))</f>
        <v/>
      </c>
      <c r="D98" s="150" t="str">
        <f ca="1">IF(ROWS($1:85)&gt;COUNT(_DNL1),"",OFFSET(TH!F$1,SMALL(_DNL1,ROWS($1:85)),))</f>
        <v/>
      </c>
      <c r="E98" s="148" t="str">
        <f ca="1">IF(ROWS($1:85)&gt;COUNT(_DNL1),"",IF(OFFSET(TH!H$1,SMALL(_DNL1,ROWS($1:85)),)="1521",OFFSET(TH!I$1,SMALL(_DNL1,ROWS($1:85)),),OFFSET(TH!H$1,SMALL(_DNL1,ROWS($1:85)),)))</f>
        <v/>
      </c>
      <c r="F98" s="151">
        <f ca="1">IF(ROWS($1:85)&gt;COUNT(_DNL1),0,OFFSET(TH!J$1,SMALL(_DNL1,ROWS($1:85)),))</f>
        <v>0</v>
      </c>
      <c r="G98" s="151">
        <f ca="1">IF(ROWS($1:85)&gt;COUNT(_DNL1),0,IF(OFFSET(TH!K$1,SMALL(_DNL1,ROWS($1:85)),)&lt;&gt;0,OFFSET(TH!K$1,SMALL(_DNL1,ROWS($1:85)),),0))</f>
        <v>0</v>
      </c>
      <c r="H98" s="146">
        <f t="shared" ca="1" si="16"/>
        <v>0</v>
      </c>
      <c r="I98" s="151">
        <f ca="1">IF(ROWS($1:85)&gt;COUNT(_DNL1),0,IF(OFFSET(TH!M$1,SMALL(_DNL1,ROWS($1:85)),)&lt;&gt;0,OFFSET(TH!M$1,SMALL(_DNL1,ROWS($1:85)),),0))</f>
        <v>0</v>
      </c>
      <c r="J98" s="146">
        <f t="shared" ca="1" si="17"/>
        <v>0</v>
      </c>
      <c r="K98" s="146">
        <f t="shared" ca="1" si="18"/>
        <v>0</v>
      </c>
      <c r="L98" s="146">
        <f t="shared" ca="1" si="19"/>
        <v>0</v>
      </c>
      <c r="M98" s="146"/>
      <c r="N98" s="230"/>
    </row>
    <row r="99" spans="1:14" hidden="1">
      <c r="A99" s="24" t="str">
        <f t="shared" ca="1" si="15"/>
        <v/>
      </c>
      <c r="B99" s="148" t="str">
        <f ca="1">IF(ROWS($1:86)&gt;COUNT(_DNL1),"",OFFSET(TH!D$1,SMALL(_DNL1,ROWS($1:86)),)&amp;"/"&amp;OFFSET(TH!C$1,SMALL(_DNL1,ROWS($1:86)),))</f>
        <v/>
      </c>
      <c r="C99" s="149" t="str">
        <f ca="1">IF(ROWS($1:86)&gt;COUNT(_DNL1),"",OFFSET(TH!E$1,SMALL(_DNL1,ROWS($1:86)),))</f>
        <v/>
      </c>
      <c r="D99" s="150" t="str">
        <f ca="1">IF(ROWS($1:86)&gt;COUNT(_DNL1),"",OFFSET(TH!F$1,SMALL(_DNL1,ROWS($1:86)),))</f>
        <v/>
      </c>
      <c r="E99" s="148" t="str">
        <f ca="1">IF(ROWS($1:86)&gt;COUNT(_DNL1),"",IF(OFFSET(TH!H$1,SMALL(_DNL1,ROWS($1:86)),)="1521",OFFSET(TH!I$1,SMALL(_DNL1,ROWS($1:86)),),OFFSET(TH!H$1,SMALL(_DNL1,ROWS($1:86)),)))</f>
        <v/>
      </c>
      <c r="F99" s="151">
        <f ca="1">IF(ROWS($1:86)&gt;COUNT(_DNL1),0,OFFSET(TH!J$1,SMALL(_DNL1,ROWS($1:86)),))</f>
        <v>0</v>
      </c>
      <c r="G99" s="151">
        <f ca="1">IF(ROWS($1:86)&gt;COUNT(_DNL1),0,IF(OFFSET(TH!K$1,SMALL(_DNL1,ROWS($1:86)),)&lt;&gt;0,OFFSET(TH!K$1,SMALL(_DNL1,ROWS($1:86)),),0))</f>
        <v>0</v>
      </c>
      <c r="H99" s="146">
        <f t="shared" ca="1" si="16"/>
        <v>0</v>
      </c>
      <c r="I99" s="151">
        <f ca="1">IF(ROWS($1:86)&gt;COUNT(_DNL1),0,IF(OFFSET(TH!M$1,SMALL(_DNL1,ROWS($1:86)),)&lt;&gt;0,OFFSET(TH!M$1,SMALL(_DNL1,ROWS($1:86)),),0))</f>
        <v>0</v>
      </c>
      <c r="J99" s="146">
        <f t="shared" ca="1" si="17"/>
        <v>0</v>
      </c>
      <c r="K99" s="146">
        <f t="shared" ca="1" si="18"/>
        <v>0</v>
      </c>
      <c r="L99" s="146">
        <f t="shared" ca="1" si="19"/>
        <v>0</v>
      </c>
      <c r="M99" s="146"/>
      <c r="N99" s="230"/>
    </row>
    <row r="100" spans="1:14">
      <c r="A100" s="24" t="str">
        <f t="shared" ca="1" si="15"/>
        <v/>
      </c>
      <c r="B100" s="148" t="str">
        <f ca="1">IF(ROWS($1:87)&gt;COUNT(_DNL1),"",OFFSET(TH!D$1,SMALL(_DNL1,ROWS($1:87)),)&amp;"/"&amp;OFFSET(TH!C$1,SMALL(_DNL1,ROWS($1:87)),))</f>
        <v/>
      </c>
      <c r="C100" s="149" t="str">
        <f ca="1">IF(ROWS($1:87)&gt;COUNT(_DNL1),"",OFFSET(TH!E$1,SMALL(_DNL1,ROWS($1:87)),))</f>
        <v/>
      </c>
      <c r="D100" s="150" t="str">
        <f ca="1">IF(ROWS($1:87)&gt;COUNT(_DNL1),"",OFFSET(TH!F$1,SMALL(_DNL1,ROWS($1:87)),))</f>
        <v/>
      </c>
      <c r="E100" s="148" t="str">
        <f ca="1">IF(ROWS($1:87)&gt;COUNT(_DNL1),"",IF(OFFSET(TH!H$1,SMALL(_DNL1,ROWS($1:87)),)="1521",OFFSET(TH!I$1,SMALL(_DNL1,ROWS($1:87)),),OFFSET(TH!H$1,SMALL(_DNL1,ROWS($1:87)),)))</f>
        <v/>
      </c>
      <c r="F100" s="151">
        <f ca="1">IF(ROWS($1:87)&gt;COUNT(_DNL1),0,OFFSET(TH!J$1,SMALL(_DNL1,ROWS($1:87)),))</f>
        <v>0</v>
      </c>
      <c r="G100" s="151">
        <f ca="1">IF(ROWS($1:87)&gt;COUNT(_DNL1),0,IF(OFFSET(TH!K$1,SMALL(_DNL1,ROWS($1:87)),)&lt;&gt;0,OFFSET(TH!K$1,SMALL(_DNL1,ROWS($1:87)),),0))</f>
        <v>0</v>
      </c>
      <c r="H100" s="146">
        <f t="shared" ca="1" si="16"/>
        <v>0</v>
      </c>
      <c r="I100" s="151">
        <f ca="1">IF(ROWS($1:87)&gt;COUNT(_DNL1),0,IF(OFFSET(TH!M$1,SMALL(_DNL1,ROWS($1:87)),)&lt;&gt;0,OFFSET(TH!M$1,SMALL(_DNL1,ROWS($1:87)),),0))</f>
        <v>0</v>
      </c>
      <c r="J100" s="146">
        <f t="shared" ca="1" si="17"/>
        <v>0</v>
      </c>
      <c r="K100" s="146">
        <f t="shared" ca="1" si="18"/>
        <v>0</v>
      </c>
      <c r="L100" s="146">
        <f t="shared" ca="1" si="19"/>
        <v>0</v>
      </c>
      <c r="M100" s="146"/>
      <c r="N100" s="230"/>
    </row>
    <row r="101" spans="1:14">
      <c r="A101" s="24" t="str">
        <f t="shared" ca="1" si="15"/>
        <v/>
      </c>
      <c r="B101" s="148" t="str">
        <f ca="1">IF(ROWS($1:88)&gt;COUNT(_DNL1),"",OFFSET(TH!D$1,SMALL(_DNL1,ROWS($1:88)),)&amp;"/"&amp;OFFSET(TH!C$1,SMALL(_DNL1,ROWS($1:88)),))</f>
        <v/>
      </c>
      <c r="C101" s="149" t="str">
        <f ca="1">IF(ROWS($1:88)&gt;COUNT(_DNL1),"",OFFSET(TH!E$1,SMALL(_DNL1,ROWS($1:88)),))</f>
        <v/>
      </c>
      <c r="D101" s="150" t="str">
        <f ca="1">IF(ROWS($1:88)&gt;COUNT(_DNL1),"",OFFSET(TH!F$1,SMALL(_DNL1,ROWS($1:88)),))</f>
        <v/>
      </c>
      <c r="E101" s="148" t="str">
        <f ca="1">IF(ROWS($1:88)&gt;COUNT(_DNL1),"",IF(OFFSET(TH!H$1,SMALL(_DNL1,ROWS($1:88)),)="1521",OFFSET(TH!I$1,SMALL(_DNL1,ROWS($1:88)),),OFFSET(TH!H$1,SMALL(_DNL1,ROWS($1:88)),)))</f>
        <v/>
      </c>
      <c r="F101" s="151">
        <f ca="1">IF(ROWS($1:88)&gt;COUNT(_DNL1),0,OFFSET(TH!J$1,SMALL(_DNL1,ROWS($1:88)),))</f>
        <v>0</v>
      </c>
      <c r="G101" s="151">
        <f ca="1">IF(ROWS($1:88)&gt;COUNT(_DNL1),0,IF(OFFSET(TH!K$1,SMALL(_DNL1,ROWS($1:88)),)&lt;&gt;0,OFFSET(TH!K$1,SMALL(_DNL1,ROWS($1:88)),),0))</f>
        <v>0</v>
      </c>
      <c r="H101" s="146">
        <f t="shared" ca="1" si="16"/>
        <v>0</v>
      </c>
      <c r="I101" s="151">
        <f ca="1">IF(ROWS($1:88)&gt;COUNT(_DNL1),0,IF(OFFSET(TH!M$1,SMALL(_DNL1,ROWS($1:88)),)&lt;&gt;0,OFFSET(TH!M$1,SMALL(_DNL1,ROWS($1:88)),),0))</f>
        <v>0</v>
      </c>
      <c r="J101" s="146">
        <f t="shared" ca="1" si="17"/>
        <v>0</v>
      </c>
      <c r="K101" s="146">
        <f t="shared" ca="1" si="18"/>
        <v>0</v>
      </c>
      <c r="L101" s="146">
        <f t="shared" ca="1" si="19"/>
        <v>0</v>
      </c>
      <c r="M101" s="146"/>
      <c r="N101" s="230"/>
    </row>
    <row r="102" spans="1:14">
      <c r="A102" s="24"/>
      <c r="B102" s="17"/>
      <c r="C102" s="18"/>
      <c r="D102" s="19"/>
      <c r="E102" s="56"/>
      <c r="F102" s="68"/>
      <c r="G102" s="15"/>
      <c r="H102" s="15"/>
      <c r="I102" s="15"/>
      <c r="J102" s="15"/>
      <c r="K102" s="15"/>
      <c r="L102" s="15"/>
      <c r="M102" s="25"/>
      <c r="N102" s="230"/>
    </row>
    <row r="103" spans="1:14">
      <c r="A103" s="20"/>
      <c r="B103" s="20"/>
      <c r="C103" s="20"/>
      <c r="D103" s="20" t="s">
        <v>21</v>
      </c>
      <c r="E103" s="12" t="s">
        <v>22</v>
      </c>
      <c r="F103" s="12" t="s">
        <v>22</v>
      </c>
      <c r="G103" s="21">
        <f ca="1">SUM(G14:G102)</f>
        <v>2000</v>
      </c>
      <c r="H103" s="21">
        <f ca="1">SUM(H14:H102)</f>
        <v>28000000</v>
      </c>
      <c r="I103" s="21">
        <f ca="1">SUM(I14:I102)</f>
        <v>2125</v>
      </c>
      <c r="J103" s="21">
        <f ca="1">SUM(J14:J102)</f>
        <v>32348000</v>
      </c>
      <c r="K103" s="21">
        <f ca="1">K13+G103-I103</f>
        <v>945</v>
      </c>
      <c r="L103" s="21">
        <f ca="1">L13+H103-J103</f>
        <v>13230000</v>
      </c>
      <c r="M103" s="20"/>
      <c r="N103" s="230"/>
    </row>
    <row r="104" spans="1:14">
      <c r="B104" s="22" t="s">
        <v>41</v>
      </c>
      <c r="G104" s="26"/>
      <c r="N104" s="230"/>
    </row>
    <row r="105" spans="1:14">
      <c r="B105" s="103" t="str">
        <f ca="1">IF(ISERROR(" - Ngày mở sổ: ngày "&amp;DAY(C14)&amp;" tháng "&amp;MONTH(C14)&amp;" năm "&amp;YEAR(C14))," - Ngày mở sổ: ngày 01 tháng  01 năm 2015 "," - Ngày mở sổ: ngày "&amp;DAY(C14)&amp;" tháng "&amp;MONTH(C14)&amp;" năm "&amp;YEAR(C14))</f>
        <v xml:space="preserve"> - Ngày mở sổ: ngày 2 tháng 1 năm 2013</v>
      </c>
      <c r="G105" s="26"/>
      <c r="I105" s="26"/>
      <c r="N105" s="230"/>
    </row>
    <row r="106" spans="1:14">
      <c r="B106" s="23"/>
      <c r="C106" s="23"/>
      <c r="D106" s="23"/>
      <c r="F106" s="23"/>
      <c r="G106" s="27"/>
      <c r="H106" s="10"/>
      <c r="I106" s="29"/>
      <c r="J106" s="504" t="s">
        <v>95</v>
      </c>
      <c r="K106" s="504"/>
      <c r="L106" s="504"/>
      <c r="M106" s="504"/>
      <c r="N106" s="230"/>
    </row>
    <row r="107" spans="1:14">
      <c r="B107" s="504" t="s">
        <v>23</v>
      </c>
      <c r="C107" s="504"/>
      <c r="D107" s="504"/>
      <c r="E107" s="504" t="s">
        <v>24</v>
      </c>
      <c r="F107" s="504"/>
      <c r="G107" s="504"/>
      <c r="H107" s="504"/>
      <c r="I107" s="504"/>
      <c r="J107" s="504" t="s">
        <v>25</v>
      </c>
      <c r="K107" s="504"/>
      <c r="L107" s="504"/>
      <c r="M107" s="504"/>
      <c r="N107" s="230"/>
    </row>
    <row r="108" spans="1:14">
      <c r="B108" s="504" t="s">
        <v>26</v>
      </c>
      <c r="C108" s="504" t="s">
        <v>27</v>
      </c>
      <c r="D108" s="504" t="s">
        <v>26</v>
      </c>
      <c r="E108" s="504" t="s">
        <v>26</v>
      </c>
      <c r="F108" s="504"/>
      <c r="G108" s="504"/>
      <c r="H108" s="504" t="s">
        <v>28</v>
      </c>
      <c r="I108" s="504"/>
      <c r="J108" s="504" t="s">
        <v>28</v>
      </c>
      <c r="K108" s="504"/>
      <c r="L108" s="504"/>
      <c r="M108" s="504"/>
      <c r="N108" s="230"/>
    </row>
    <row r="109" spans="1:14">
      <c r="N109" s="231"/>
    </row>
    <row r="110" spans="1:14">
      <c r="E110" s="9"/>
    </row>
    <row r="112" spans="1:14" customFormat="1" ht="12.75">
      <c r="E112" s="60"/>
    </row>
  </sheetData>
  <mergeCells count="21">
    <mergeCell ref="J108:M108"/>
    <mergeCell ref="I10:J10"/>
    <mergeCell ref="B108:D108"/>
    <mergeCell ref="E108:I108"/>
    <mergeCell ref="D10:D11"/>
    <mergeCell ref="B10:C10"/>
    <mergeCell ref="E10:E11"/>
    <mergeCell ref="G10:H10"/>
    <mergeCell ref="J107:M107"/>
    <mergeCell ref="J106:M106"/>
    <mergeCell ref="M10:M11"/>
    <mergeCell ref="B107:D107"/>
    <mergeCell ref="E107:I107"/>
    <mergeCell ref="A10:A11"/>
    <mergeCell ref="J8:L8"/>
    <mergeCell ref="K10:L10"/>
    <mergeCell ref="F10:F11"/>
    <mergeCell ref="J2:M2"/>
    <mergeCell ref="J3:M4"/>
    <mergeCell ref="B5:M5"/>
    <mergeCell ref="B6:M6"/>
  </mergeCells>
  <phoneticPr fontId="30" type="noConversion"/>
  <conditionalFormatting sqref="B14:G101 I14:M10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1" customWidth="1"/>
    <col min="2" max="2" width="9.140625" style="91"/>
    <col min="3" max="3" width="9.140625" style="141" customWidth="1"/>
    <col min="4" max="4" width="10.85546875" style="141" customWidth="1"/>
    <col min="5" max="5" width="39.42578125" style="142" customWidth="1"/>
    <col min="6" max="6" width="10.85546875" style="143" customWidth="1"/>
    <col min="7" max="7" width="9" style="144" customWidth="1"/>
    <col min="8" max="8" width="9.5703125" style="144" customWidth="1"/>
    <col min="9" max="9" width="10" style="144" customWidth="1"/>
    <col min="10" max="10" width="8" style="91" customWidth="1"/>
    <col min="11" max="11" width="2.42578125" style="91" customWidth="1"/>
    <col min="12" max="12" width="6.5703125" style="91" customWidth="1"/>
    <col min="13" max="16384" width="9.140625" style="91"/>
  </cols>
  <sheetData>
    <row r="1" spans="1:12" ht="15" customHeight="1">
      <c r="A1" s="86" t="s">
        <v>70</v>
      </c>
      <c r="B1" s="87"/>
      <c r="C1" s="87"/>
      <c r="D1" s="87"/>
      <c r="E1" s="88"/>
      <c r="F1" s="87"/>
      <c r="G1" s="89"/>
      <c r="H1" s="90" t="s">
        <v>118</v>
      </c>
      <c r="I1" s="91"/>
      <c r="J1" s="92"/>
      <c r="K1" s="92"/>
      <c r="L1" s="235"/>
    </row>
    <row r="2" spans="1:12" ht="15" customHeight="1">
      <c r="A2" s="93" t="s">
        <v>42</v>
      </c>
      <c r="B2" s="94"/>
      <c r="C2" s="94"/>
      <c r="D2" s="94"/>
      <c r="E2" s="95"/>
      <c r="F2" s="96"/>
      <c r="G2" s="97"/>
      <c r="H2" s="98" t="s">
        <v>96</v>
      </c>
      <c r="I2" s="91"/>
      <c r="J2" s="92"/>
      <c r="K2" s="92"/>
    </row>
    <row r="3" spans="1:12" ht="15">
      <c r="A3" s="94"/>
      <c r="B3" s="94"/>
      <c r="C3" s="94"/>
      <c r="D3" s="94"/>
      <c r="E3" s="95"/>
      <c r="F3" s="96"/>
      <c r="G3" s="97"/>
      <c r="H3" s="98" t="s">
        <v>104</v>
      </c>
      <c r="I3" s="91"/>
      <c r="J3" s="92"/>
      <c r="K3" s="92"/>
    </row>
    <row r="4" spans="1:12" ht="18.75" customHeight="1">
      <c r="A4" s="99"/>
      <c r="B4" s="99"/>
      <c r="C4" s="99"/>
      <c r="D4" s="99"/>
      <c r="E4" s="100" t="s">
        <v>71</v>
      </c>
      <c r="F4" s="99"/>
      <c r="G4" s="99"/>
      <c r="H4" s="99"/>
      <c r="I4" s="99"/>
      <c r="J4" s="92"/>
      <c r="K4" s="92"/>
    </row>
    <row r="5" spans="1:12" ht="15">
      <c r="A5" s="101"/>
      <c r="B5" s="101"/>
      <c r="C5" s="101"/>
      <c r="D5" s="101"/>
      <c r="E5" s="102" t="str">
        <f ca="1">IF(ISERROR("Ngày lập thẻ: ngày "&amp;DAY(B14)&amp;"/"&amp;MONTH(B14)&amp;"/"&amp;YEAR(B14)),"Ngày lập thẻ: ngày 01/ 01/2015 ","Ngày lập thẻ: ngày "&amp;DAY(B14)&amp;"/"&amp;MONTH(B14)&amp;"/"&amp;YEAR(B14))</f>
        <v>Ngày lập thẻ: ngày 2/1/2013</v>
      </c>
      <c r="F5" s="101"/>
      <c r="G5" s="101"/>
      <c r="H5" s="101"/>
      <c r="I5" s="101"/>
      <c r="J5" s="92"/>
      <c r="K5" s="92"/>
    </row>
    <row r="6" spans="1:12" ht="15">
      <c r="A6" s="101"/>
      <c r="B6" s="101"/>
      <c r="C6" s="101"/>
      <c r="D6" s="101"/>
      <c r="E6" s="102" t="s">
        <v>72</v>
      </c>
      <c r="F6" s="101"/>
      <c r="G6" s="101"/>
      <c r="H6" s="101"/>
      <c r="I6" s="101"/>
      <c r="J6" s="92"/>
      <c r="K6" s="92"/>
    </row>
    <row r="7" spans="1:12" ht="15">
      <c r="A7" s="103" t="s">
        <v>82</v>
      </c>
      <c r="B7" s="103"/>
      <c r="C7" s="104"/>
      <c r="D7" s="104"/>
      <c r="E7" s="105" t="s">
        <v>46</v>
      </c>
      <c r="F7" s="96"/>
      <c r="G7" s="106"/>
      <c r="H7" s="106"/>
      <c r="I7" s="106"/>
      <c r="J7" s="92"/>
      <c r="K7" s="92"/>
    </row>
    <row r="8" spans="1:12" ht="15">
      <c r="A8" s="103" t="s">
        <v>86</v>
      </c>
      <c r="B8" s="103"/>
      <c r="C8" s="92" t="str">
        <f>VLOOKUP($E$7,NXT!$C$12:$L$126,2,0)</f>
        <v>kg</v>
      </c>
      <c r="D8" s="103"/>
      <c r="E8" s="105"/>
      <c r="F8" s="96"/>
      <c r="G8" s="106"/>
      <c r="H8" s="106"/>
      <c r="I8" s="106"/>
      <c r="J8" s="92"/>
      <c r="K8" s="92"/>
    </row>
    <row r="9" spans="1:12" ht="15">
      <c r="A9" s="508" t="s">
        <v>73</v>
      </c>
      <c r="B9" s="509"/>
      <c r="C9" s="509"/>
      <c r="D9" s="509"/>
      <c r="E9" s="105"/>
      <c r="F9" s="96"/>
      <c r="G9" s="106"/>
      <c r="H9" s="106"/>
      <c r="I9" s="106"/>
      <c r="J9" s="107"/>
      <c r="K9" s="107"/>
    </row>
    <row r="10" spans="1:12" ht="19.5" customHeight="1">
      <c r="A10" s="510" t="s">
        <v>74</v>
      </c>
      <c r="B10" s="515" t="s">
        <v>75</v>
      </c>
      <c r="C10" s="511" t="s">
        <v>9</v>
      </c>
      <c r="D10" s="512"/>
      <c r="E10" s="513" t="s">
        <v>2</v>
      </c>
      <c r="F10" s="522" t="s">
        <v>89</v>
      </c>
      <c r="G10" s="521" t="s">
        <v>11</v>
      </c>
      <c r="H10" s="521"/>
      <c r="I10" s="512"/>
      <c r="J10" s="517" t="s">
        <v>208</v>
      </c>
      <c r="K10" s="223"/>
      <c r="L10" s="236" t="s">
        <v>153</v>
      </c>
    </row>
    <row r="11" spans="1:12" ht="19.5" customHeight="1">
      <c r="A11" s="510"/>
      <c r="B11" s="516"/>
      <c r="C11" s="108" t="s">
        <v>5</v>
      </c>
      <c r="D11" s="108" t="s">
        <v>6</v>
      </c>
      <c r="E11" s="514"/>
      <c r="F11" s="523"/>
      <c r="G11" s="109" t="s">
        <v>5</v>
      </c>
      <c r="H11" s="109" t="s">
        <v>6</v>
      </c>
      <c r="I11" s="109" t="s">
        <v>7</v>
      </c>
      <c r="J11" s="518"/>
      <c r="K11" s="223"/>
    </row>
    <row r="12" spans="1:12" ht="15">
      <c r="A12" s="110" t="s">
        <v>13</v>
      </c>
      <c r="B12" s="111" t="s">
        <v>14</v>
      </c>
      <c r="C12" s="112" t="s">
        <v>15</v>
      </c>
      <c r="D12" s="112" t="s">
        <v>16</v>
      </c>
      <c r="E12" s="113" t="s">
        <v>76</v>
      </c>
      <c r="F12" s="111" t="s">
        <v>77</v>
      </c>
      <c r="G12" s="114">
        <v>1</v>
      </c>
      <c r="H12" s="114">
        <v>2</v>
      </c>
      <c r="I12" s="114">
        <v>3</v>
      </c>
      <c r="J12" s="112" t="s">
        <v>78</v>
      </c>
      <c r="K12" s="224"/>
    </row>
    <row r="13" spans="1:12" ht="16.5" customHeight="1">
      <c r="A13" s="115"/>
      <c r="B13" s="116"/>
      <c r="C13" s="117"/>
      <c r="D13" s="117"/>
      <c r="E13" s="118" t="s">
        <v>35</v>
      </c>
      <c r="F13" s="116"/>
      <c r="G13" s="119"/>
      <c r="H13" s="119"/>
      <c r="I13" s="120">
        <f>VLOOKUP($E$7,NXT!$C$12:$L$126,3,0)</f>
        <v>77</v>
      </c>
      <c r="J13" s="115"/>
      <c r="K13" s="225"/>
    </row>
    <row r="14" spans="1:12" ht="16.5" customHeight="1">
      <c r="A14" s="121">
        <f ca="1">IF(B14&lt;&gt;"",ROW()-(ROW()-1),"")</f>
        <v>1</v>
      </c>
      <c r="B14" s="122">
        <f ca="1">IF(ROWS($1:1)&gt;COUNT(Dong3),"",OFFSET(TH!E$1,SMALL(Dong3,ROWS($1:1)),))</f>
        <v>41276</v>
      </c>
      <c r="C14" s="122" t="str">
        <f ca="1">IF(ROWS($1:1)&gt;COUNT(Dong3),"",IF(LEFT((OFFSET(TH!D$1,SMALL(Dong3,ROWS($1:1)),)),1)&lt;&gt;"N","",(OFFSET(TH!D$1,SMALL(Dong3,ROWS($1:1)),)&amp;"/"&amp;OFFSET(TH!C$1,SMALL(Dong3,ROWS($1:1)),))))</f>
        <v/>
      </c>
      <c r="D14" s="122" t="str">
        <f ca="1">IF(ROWS($1:1)&gt;COUNT(Dong3),"",IF(LEFT((OFFSET(TH!D$1,SMALL(Dong3,ROWS($1:1)),)),1)&lt;&gt;"X","",(OFFSET(TH!D$1,SMALL(Dong3,ROWS($1:1)),)&amp;"/"&amp;OFFSET(TH!C$1,SMALL(Dong3,ROWS($1:1)),))))</f>
        <v>X02/VL</v>
      </c>
      <c r="E14" s="123" t="str">
        <f ca="1">IF(ROWS($1:1)&gt;COUNT(Dong3),"",OFFSET(TH!F$1,SMALL(Dong3,ROWS($1:1)),))</f>
        <v>Bột biến tính</v>
      </c>
      <c r="F14" s="122">
        <f ca="1">B14</f>
        <v>41276</v>
      </c>
      <c r="G14" s="124">
        <f ca="1">IF(ROWS($1:1)&gt;COUNT(Dong3),0,IF(OFFSET(TH!K$1,SMALL(Dong3,ROWS($1:1)),)&lt;&gt;0,OFFSET(TH!K$1,SMALL(Dong3,ROWS($1:1)),),0))</f>
        <v>0</v>
      </c>
      <c r="H14" s="124">
        <f ca="1">IF(ROWS($1:1)&gt;COUNT(Dong3),0,IF(OFFSET(TH!M$1,SMALL(Dong3,ROWS($1:1)),)&lt;&gt;0,OFFSET(TH!M$1,SMALL(Dong3,ROWS($1:1)),),0))</f>
        <v>20</v>
      </c>
      <c r="I14" s="125">
        <f ca="1">IF(E14&lt;&gt;"",I13+G14-H14,0)</f>
        <v>57</v>
      </c>
      <c r="J14" s="126"/>
      <c r="K14" s="226"/>
    </row>
    <row r="15" spans="1:12" ht="16.5" customHeight="1">
      <c r="A15" s="127">
        <f ca="1">IF(B15&lt;&gt;"",A14+1,"")</f>
        <v>2</v>
      </c>
      <c r="B15" s="122">
        <f ca="1">IF(ROWS($1:2)&gt;COUNT(Dong3),"",OFFSET(TH!E$1,SMALL(Dong3,ROWS($1:2)),))</f>
        <v>41335</v>
      </c>
      <c r="C15" s="122" t="str">
        <f ca="1">IF(ROWS($1:2)&gt;COUNT(Dong3),"",IF(LEFT((OFFSET(TH!D$1,SMALL(Dong3,ROWS($1:2)),)),1)&lt;&gt;"N","",(OFFSET(TH!D$1,SMALL(Dong3,ROWS($1:2)),)&amp;"/"&amp;OFFSET(TH!C$1,SMALL(Dong3,ROWS($1:2)),))))</f>
        <v/>
      </c>
      <c r="D15" s="122" t="str">
        <f ca="1">IF(ROWS($1:2)&gt;COUNT(Dong3),"",IF(LEFT((OFFSET(TH!D$1,SMALL(Dong3,ROWS($1:2)),)),1)&lt;&gt;"X","",(OFFSET(TH!D$1,SMALL(Dong3,ROWS($1:2)),)&amp;"/"&amp;OFFSET(TH!C$1,SMALL(Dong3,ROWS($1:2)),))))</f>
        <v>X02/VL</v>
      </c>
      <c r="E15" s="123" t="str">
        <f ca="1">IF(ROWS($1:2)&gt;COUNT(Dong3),"",OFFSET(TH!F$1,SMALL(Dong3,ROWS($1:2)),))</f>
        <v>Bột biến tính</v>
      </c>
      <c r="F15" s="122">
        <f t="shared" ref="F15:F23" ca="1" si="0">B15</f>
        <v>41335</v>
      </c>
      <c r="G15" s="124">
        <f ca="1">IF(ROWS($1:2)&gt;COUNT(Dong3),0,IF(OFFSET(TH!K$1,SMALL(Dong3,ROWS($1:2)),)&lt;&gt;0,OFFSET(TH!K$1,SMALL(Dong3,ROWS($1:2)),),0))</f>
        <v>0</v>
      </c>
      <c r="H15" s="124">
        <f ca="1">IF(ROWS($1:2)&gt;COUNT(Dong3),0,IF(OFFSET(TH!M$1,SMALL(Dong3,ROWS($1:2)),)&lt;&gt;0,OFFSET(TH!M$1,SMALL(Dong3,ROWS($1:2)),),0))</f>
        <v>27</v>
      </c>
      <c r="I15" s="125">
        <f t="shared" ref="I15:I23" ca="1" si="1">IF(E15&lt;&gt;"",I14+G15-H15,0)</f>
        <v>30</v>
      </c>
      <c r="J15" s="126"/>
      <c r="K15" s="226"/>
    </row>
    <row r="16" spans="1:12" ht="16.5" customHeight="1">
      <c r="A16" s="127">
        <f t="shared" ref="A16:A23" ca="1" si="2">IF(B16&lt;&gt;"",A15+1,"")</f>
        <v>3</v>
      </c>
      <c r="B16" s="122">
        <f ca="1">IF(ROWS($1:3)&gt;COUNT(Dong3),"",OFFSET(TH!E$1,SMALL(Dong3,ROWS($1:3)),))</f>
        <v>41365</v>
      </c>
      <c r="C16" s="122" t="str">
        <f ca="1">IF(ROWS($1:3)&gt;COUNT(Dong3),"",IF(LEFT((OFFSET(TH!D$1,SMALL(Dong3,ROWS($1:3)),)),1)&lt;&gt;"N","",(OFFSET(TH!D$1,SMALL(Dong3,ROWS($1:3)),)&amp;"/"&amp;OFFSET(TH!C$1,SMALL(Dong3,ROWS($1:3)),))))</f>
        <v/>
      </c>
      <c r="D16" s="122" t="str">
        <f ca="1">IF(ROWS($1:3)&gt;COUNT(Dong3),"",IF(LEFT((OFFSET(TH!D$1,SMALL(Dong3,ROWS($1:3)),)),1)&lt;&gt;"X","",(OFFSET(TH!D$1,SMALL(Dong3,ROWS($1:3)),)&amp;"/"&amp;OFFSET(TH!C$1,SMALL(Dong3,ROWS($1:3)),))))</f>
        <v>X01/VL</v>
      </c>
      <c r="E16" s="123" t="str">
        <f ca="1">IF(ROWS($1:3)&gt;COUNT(Dong3),"",OFFSET(TH!F$1,SMALL(Dong3,ROWS($1:3)),))</f>
        <v>Bột biến tính</v>
      </c>
      <c r="F16" s="122">
        <f t="shared" ca="1" si="0"/>
        <v>41365</v>
      </c>
      <c r="G16" s="124">
        <f ca="1">IF(ROWS($1:3)&gt;COUNT(Dong3),0,IF(OFFSET(TH!K$1,SMALL(Dong3,ROWS($1:3)),)&lt;&gt;0,OFFSET(TH!K$1,SMALL(Dong3,ROWS($1:3)),),0))</f>
        <v>0</v>
      </c>
      <c r="H16" s="124">
        <f ca="1">IF(ROWS($1:3)&gt;COUNT(Dong3),0,IF(OFFSET(TH!M$1,SMALL(Dong3,ROWS($1:3)),)&lt;&gt;0,OFFSET(TH!M$1,SMALL(Dong3,ROWS($1:3)),),0))</f>
        <v>30</v>
      </c>
      <c r="I16" s="125">
        <f t="shared" ca="1" si="1"/>
        <v>0</v>
      </c>
      <c r="J16" s="126"/>
      <c r="K16" s="226"/>
    </row>
    <row r="17" spans="1:11" ht="16.5" customHeight="1">
      <c r="A17" s="127" t="str">
        <f t="shared" ca="1" si="2"/>
        <v/>
      </c>
      <c r="B17" s="122" t="str">
        <f ca="1">IF(ROWS($1:4)&gt;COUNT(Dong3),"",OFFSET(TH!E$1,SMALL(Dong3,ROWS($1:4)),))</f>
        <v/>
      </c>
      <c r="C17" s="122" t="str">
        <f ca="1">IF(ROWS($1:4)&gt;COUNT(Dong3),"",IF(LEFT((OFFSET(TH!D$1,SMALL(Dong3,ROWS($1:4)),)),1)&lt;&gt;"N","",(OFFSET(TH!D$1,SMALL(Dong3,ROWS($1:4)),)&amp;"/"&amp;OFFSET(TH!C$1,SMALL(Dong3,ROWS($1:4)),))))</f>
        <v/>
      </c>
      <c r="D17" s="122" t="str">
        <f ca="1">IF(ROWS($1:4)&gt;COUNT(Dong3),"",IF(LEFT((OFFSET(TH!D$1,SMALL(Dong3,ROWS($1:4)),)),1)&lt;&gt;"X","",(OFFSET(TH!D$1,SMALL(Dong3,ROWS($1:4)),)&amp;"/"&amp;OFFSET(TH!C$1,SMALL(Dong3,ROWS($1:4)),))))</f>
        <v/>
      </c>
      <c r="E17" s="123" t="str">
        <f ca="1">IF(ROWS($1:4)&gt;COUNT(Dong3),"",OFFSET(TH!F$1,SMALL(Dong3,ROWS($1:4)),))</f>
        <v/>
      </c>
      <c r="F17" s="122" t="str">
        <f t="shared" ca="1" si="0"/>
        <v/>
      </c>
      <c r="G17" s="124">
        <f ca="1">IF(ROWS($1:4)&gt;COUNT(Dong3),0,IF(OFFSET(TH!K$1,SMALL(Dong3,ROWS($1:4)),)&lt;&gt;0,OFFSET(TH!K$1,SMALL(Dong3,ROWS($1:4)),),0))</f>
        <v>0</v>
      </c>
      <c r="H17" s="124">
        <f ca="1">IF(ROWS($1:4)&gt;COUNT(Dong3),0,IF(OFFSET(TH!M$1,SMALL(Dong3,ROWS($1:4)),)&lt;&gt;0,OFFSET(TH!M$1,SMALL(Dong3,ROWS($1:4)),),0))</f>
        <v>0</v>
      </c>
      <c r="I17" s="125">
        <f t="shared" ca="1" si="1"/>
        <v>0</v>
      </c>
      <c r="J17" s="126"/>
      <c r="K17" s="226"/>
    </row>
    <row r="18" spans="1:11" ht="16.5" customHeight="1">
      <c r="A18" s="127" t="str">
        <f t="shared" ca="1" si="2"/>
        <v/>
      </c>
      <c r="B18" s="122" t="str">
        <f ca="1">IF(ROWS($1:5)&gt;COUNT(Dong3),"",OFFSET(TH!E$1,SMALL(Dong3,ROWS($1:5)),))</f>
        <v/>
      </c>
      <c r="C18" s="122" t="str">
        <f ca="1">IF(ROWS($1:5)&gt;COUNT(Dong3),"",IF(LEFT((OFFSET(TH!D$1,SMALL(Dong3,ROWS($1:5)),)),1)&lt;&gt;"N","",(OFFSET(TH!D$1,SMALL(Dong3,ROWS($1:5)),)&amp;"/"&amp;OFFSET(TH!C$1,SMALL(Dong3,ROWS($1:5)),))))</f>
        <v/>
      </c>
      <c r="D18" s="122" t="str">
        <f ca="1">IF(ROWS($1:5)&gt;COUNT(Dong3),"",IF(LEFT((OFFSET(TH!D$1,SMALL(Dong3,ROWS($1:5)),)),1)&lt;&gt;"X","",(OFFSET(TH!D$1,SMALL(Dong3,ROWS($1:5)),)&amp;"/"&amp;OFFSET(TH!C$1,SMALL(Dong3,ROWS($1:5)),))))</f>
        <v/>
      </c>
      <c r="E18" s="123" t="str">
        <f ca="1">IF(ROWS($1:5)&gt;COUNT(Dong3),"",OFFSET(TH!F$1,SMALL(Dong3,ROWS($1:5)),))</f>
        <v/>
      </c>
      <c r="F18" s="122" t="str">
        <f t="shared" ca="1" si="0"/>
        <v/>
      </c>
      <c r="G18" s="124">
        <f ca="1">IF(ROWS($1:5)&gt;COUNT(Dong3),0,IF(OFFSET(TH!K$1,SMALL(Dong3,ROWS($1:5)),)&lt;&gt;0,OFFSET(TH!K$1,SMALL(Dong3,ROWS($1:5)),),0))</f>
        <v>0</v>
      </c>
      <c r="H18" s="124">
        <f ca="1">IF(ROWS($1:5)&gt;COUNT(Dong3),0,IF(OFFSET(TH!M$1,SMALL(Dong3,ROWS($1:5)),)&lt;&gt;0,OFFSET(TH!M$1,SMALL(Dong3,ROWS($1:5)),),0))</f>
        <v>0</v>
      </c>
      <c r="I18" s="125">
        <f t="shared" ca="1" si="1"/>
        <v>0</v>
      </c>
      <c r="J18" s="126"/>
      <c r="K18" s="226"/>
    </row>
    <row r="19" spans="1:11" ht="16.5" customHeight="1">
      <c r="A19" s="127" t="str">
        <f t="shared" ca="1" si="2"/>
        <v/>
      </c>
      <c r="B19" s="122" t="str">
        <f ca="1">IF(ROWS($1:6)&gt;COUNT(Dong3),"",OFFSET(TH!E$1,SMALL(Dong3,ROWS($1:6)),))</f>
        <v/>
      </c>
      <c r="C19" s="122" t="str">
        <f ca="1">IF(ROWS($1:6)&gt;COUNT(Dong3),"",IF(LEFT((OFFSET(TH!D$1,SMALL(Dong3,ROWS($1:6)),)),1)&lt;&gt;"N","",(OFFSET(TH!D$1,SMALL(Dong3,ROWS($1:6)),)&amp;"/"&amp;OFFSET(TH!C$1,SMALL(Dong3,ROWS($1:6)),))))</f>
        <v/>
      </c>
      <c r="D19" s="122" t="str">
        <f ca="1">IF(ROWS($1:6)&gt;COUNT(Dong3),"",IF(LEFT((OFFSET(TH!D$1,SMALL(Dong3,ROWS($1:6)),)),1)&lt;&gt;"X","",(OFFSET(TH!D$1,SMALL(Dong3,ROWS($1:6)),)&amp;"/"&amp;OFFSET(TH!C$1,SMALL(Dong3,ROWS($1:6)),))))</f>
        <v/>
      </c>
      <c r="E19" s="123" t="str">
        <f ca="1">IF(ROWS($1:6)&gt;COUNT(Dong3),"",OFFSET(TH!F$1,SMALL(Dong3,ROWS($1:6)),))</f>
        <v/>
      </c>
      <c r="F19" s="122" t="str">
        <f t="shared" ca="1" si="0"/>
        <v/>
      </c>
      <c r="G19" s="124">
        <f ca="1">IF(ROWS($1:6)&gt;COUNT(Dong3),0,IF(OFFSET(TH!K$1,SMALL(Dong3,ROWS($1:6)),)&lt;&gt;0,OFFSET(TH!K$1,SMALL(Dong3,ROWS($1:6)),),0))</f>
        <v>0</v>
      </c>
      <c r="H19" s="124">
        <f ca="1">IF(ROWS($1:6)&gt;COUNT(Dong3),0,IF(OFFSET(TH!M$1,SMALL(Dong3,ROWS($1:6)),)&lt;&gt;0,OFFSET(TH!M$1,SMALL(Dong3,ROWS($1:6)),),0))</f>
        <v>0</v>
      </c>
      <c r="I19" s="125">
        <f t="shared" ca="1" si="1"/>
        <v>0</v>
      </c>
      <c r="J19" s="126"/>
      <c r="K19" s="226"/>
    </row>
    <row r="20" spans="1:11" ht="16.5" customHeight="1">
      <c r="A20" s="127" t="str">
        <f t="shared" ca="1" si="2"/>
        <v/>
      </c>
      <c r="B20" s="122" t="str">
        <f ca="1">IF(ROWS($1:7)&gt;COUNT(Dong3),"",OFFSET(TH!E$1,SMALL(Dong3,ROWS($1:7)),))</f>
        <v/>
      </c>
      <c r="C20" s="122" t="str">
        <f ca="1">IF(ROWS($1:7)&gt;COUNT(Dong3),"",IF(LEFT((OFFSET(TH!D$1,SMALL(Dong3,ROWS($1:7)),)),1)&lt;&gt;"N","",(OFFSET(TH!D$1,SMALL(Dong3,ROWS($1:7)),)&amp;"/"&amp;OFFSET(TH!C$1,SMALL(Dong3,ROWS($1:7)),))))</f>
        <v/>
      </c>
      <c r="D20" s="122" t="str">
        <f ca="1">IF(ROWS($1:7)&gt;COUNT(Dong3),"",IF(LEFT((OFFSET(TH!D$1,SMALL(Dong3,ROWS($1:7)),)),1)&lt;&gt;"X","",(OFFSET(TH!D$1,SMALL(Dong3,ROWS($1:7)),)&amp;"/"&amp;OFFSET(TH!C$1,SMALL(Dong3,ROWS($1:7)),))))</f>
        <v/>
      </c>
      <c r="E20" s="123" t="str">
        <f ca="1">IF(ROWS($1:7)&gt;COUNT(Dong3),"",OFFSET(TH!F$1,SMALL(Dong3,ROWS($1:7)),))</f>
        <v/>
      </c>
      <c r="F20" s="122" t="str">
        <f t="shared" ca="1" si="0"/>
        <v/>
      </c>
      <c r="G20" s="124">
        <f ca="1">IF(ROWS($1:7)&gt;COUNT(Dong3),0,IF(OFFSET(TH!K$1,SMALL(Dong3,ROWS($1:7)),)&lt;&gt;0,OFFSET(TH!K$1,SMALL(Dong3,ROWS($1:7)),),0))</f>
        <v>0</v>
      </c>
      <c r="H20" s="124">
        <f ca="1">IF(ROWS($1:7)&gt;COUNT(Dong3),0,IF(OFFSET(TH!M$1,SMALL(Dong3,ROWS($1:7)),)&lt;&gt;0,OFFSET(TH!M$1,SMALL(Dong3,ROWS($1:7)),),0))</f>
        <v>0</v>
      </c>
      <c r="I20" s="125">
        <f t="shared" ca="1" si="1"/>
        <v>0</v>
      </c>
      <c r="J20" s="126"/>
      <c r="K20" s="226"/>
    </row>
    <row r="21" spans="1:11" ht="16.5" customHeight="1">
      <c r="A21" s="127" t="str">
        <f t="shared" ca="1" si="2"/>
        <v/>
      </c>
      <c r="B21" s="122" t="str">
        <f ca="1">IF(ROWS($1:8)&gt;COUNT(Dong3),"",OFFSET(TH!E$1,SMALL(Dong3,ROWS($1:8)),))</f>
        <v/>
      </c>
      <c r="C21" s="122" t="str">
        <f ca="1">IF(ROWS($1:8)&gt;COUNT(Dong3),"",IF(LEFT((OFFSET(TH!D$1,SMALL(Dong3,ROWS($1:8)),)),1)&lt;&gt;"N","",(OFFSET(TH!D$1,SMALL(Dong3,ROWS($1:8)),)&amp;"/"&amp;OFFSET(TH!C$1,SMALL(Dong3,ROWS($1:8)),))))</f>
        <v/>
      </c>
      <c r="D21" s="122" t="str">
        <f ca="1">IF(ROWS($1:8)&gt;COUNT(Dong3),"",IF(LEFT((OFFSET(TH!D$1,SMALL(Dong3,ROWS($1:8)),)),1)&lt;&gt;"X","",(OFFSET(TH!D$1,SMALL(Dong3,ROWS($1:8)),)&amp;"/"&amp;OFFSET(TH!C$1,SMALL(Dong3,ROWS($1:8)),))))</f>
        <v/>
      </c>
      <c r="E21" s="123" t="str">
        <f ca="1">IF(ROWS($1:8)&gt;COUNT(Dong3),"",OFFSET(TH!F$1,SMALL(Dong3,ROWS($1:8)),))</f>
        <v/>
      </c>
      <c r="F21" s="122" t="str">
        <f t="shared" ca="1" si="0"/>
        <v/>
      </c>
      <c r="G21" s="124">
        <f ca="1">IF(ROWS($1:8)&gt;COUNT(Dong3),0,IF(OFFSET(TH!K$1,SMALL(Dong3,ROWS($1:8)),)&lt;&gt;0,OFFSET(TH!K$1,SMALL(Dong3,ROWS($1:8)),),0))</f>
        <v>0</v>
      </c>
      <c r="H21" s="124">
        <f ca="1">IF(ROWS($1:8)&gt;COUNT(Dong3),0,IF(OFFSET(TH!M$1,SMALL(Dong3,ROWS($1:8)),)&lt;&gt;0,OFFSET(TH!M$1,SMALL(Dong3,ROWS($1:8)),),0))</f>
        <v>0</v>
      </c>
      <c r="I21" s="125">
        <f t="shared" ca="1" si="1"/>
        <v>0</v>
      </c>
      <c r="J21" s="126"/>
      <c r="K21" s="226"/>
    </row>
    <row r="22" spans="1:11" ht="16.5" customHeight="1">
      <c r="A22" s="127" t="str">
        <f t="shared" ca="1" si="2"/>
        <v/>
      </c>
      <c r="B22" s="122" t="str">
        <f ca="1">IF(ROWS($1:9)&gt;COUNT(Dong3),"",OFFSET(TH!E$1,SMALL(Dong3,ROWS($1:9)),))</f>
        <v/>
      </c>
      <c r="C22" s="122" t="str">
        <f ca="1">IF(ROWS($1:9)&gt;COUNT(Dong3),"",IF(LEFT((OFFSET(TH!D$1,SMALL(Dong3,ROWS($1:9)),)),1)&lt;&gt;"N","",(OFFSET(TH!D$1,SMALL(Dong3,ROWS($1:9)),)&amp;"/"&amp;OFFSET(TH!C$1,SMALL(Dong3,ROWS($1:9)),))))</f>
        <v/>
      </c>
      <c r="D22" s="122" t="str">
        <f ca="1">IF(ROWS($1:9)&gt;COUNT(Dong3),"",IF(LEFT((OFFSET(TH!D$1,SMALL(Dong3,ROWS($1:9)),)),1)&lt;&gt;"X","",(OFFSET(TH!D$1,SMALL(Dong3,ROWS($1:9)),)&amp;"/"&amp;OFFSET(TH!C$1,SMALL(Dong3,ROWS($1:9)),))))</f>
        <v/>
      </c>
      <c r="E22" s="123" t="str">
        <f ca="1">IF(ROWS($1:9)&gt;COUNT(Dong3),"",OFFSET(TH!F$1,SMALL(Dong3,ROWS($1:9)),))</f>
        <v/>
      </c>
      <c r="F22" s="122" t="str">
        <f t="shared" ca="1" si="0"/>
        <v/>
      </c>
      <c r="G22" s="124">
        <f ca="1">IF(ROWS($1:9)&gt;COUNT(Dong3),0,IF(OFFSET(TH!K$1,SMALL(Dong3,ROWS($1:9)),)&lt;&gt;0,OFFSET(TH!K$1,SMALL(Dong3,ROWS($1:9)),),0))</f>
        <v>0</v>
      </c>
      <c r="H22" s="124">
        <f ca="1">IF(ROWS($1:9)&gt;COUNT(Dong3),0,IF(OFFSET(TH!M$1,SMALL(Dong3,ROWS($1:9)),)&lt;&gt;0,OFFSET(TH!M$1,SMALL(Dong3,ROWS($1:9)),),0))</f>
        <v>0</v>
      </c>
      <c r="I22" s="125">
        <f t="shared" ca="1" si="1"/>
        <v>0</v>
      </c>
      <c r="J22" s="126"/>
      <c r="K22" s="226"/>
    </row>
    <row r="23" spans="1:11" ht="16.5" customHeight="1">
      <c r="A23" s="127" t="str">
        <f t="shared" ca="1" si="2"/>
        <v/>
      </c>
      <c r="B23" s="122" t="str">
        <f ca="1">IF(ROWS($1:10)&gt;COUNT(Dong3),"",OFFSET(TH!E$1,SMALL(Dong3,ROWS($1:10)),))</f>
        <v/>
      </c>
      <c r="C23" s="122" t="str">
        <f ca="1">IF(ROWS($1:10)&gt;COUNT(Dong3),"",IF(LEFT((OFFSET(TH!D$1,SMALL(Dong3,ROWS($1:10)),)),1)&lt;&gt;"N","",(OFFSET(TH!D$1,SMALL(Dong3,ROWS($1:10)),)&amp;"/"&amp;OFFSET(TH!C$1,SMALL(Dong3,ROWS($1:10)),))))</f>
        <v/>
      </c>
      <c r="D23" s="122" t="str">
        <f ca="1">IF(ROWS($1:10)&gt;COUNT(Dong3),"",IF(LEFT((OFFSET(TH!D$1,SMALL(Dong3,ROWS($1:10)),)),1)&lt;&gt;"X","",(OFFSET(TH!D$1,SMALL(Dong3,ROWS($1:10)),)&amp;"/"&amp;OFFSET(TH!C$1,SMALL(Dong3,ROWS($1:10)),))))</f>
        <v/>
      </c>
      <c r="E23" s="123" t="str">
        <f ca="1">IF(ROWS($1:10)&gt;COUNT(Dong3),"",OFFSET(TH!F$1,SMALL(Dong3,ROWS($1:10)),))</f>
        <v/>
      </c>
      <c r="F23" s="122" t="str">
        <f t="shared" ca="1" si="0"/>
        <v/>
      </c>
      <c r="G23" s="124">
        <f ca="1">IF(ROWS($1:10)&gt;COUNT(Dong3),0,IF(OFFSET(TH!K$1,SMALL(Dong3,ROWS($1:10)),)&lt;&gt;0,OFFSET(TH!K$1,SMALL(Dong3,ROWS($1:10)),),0))</f>
        <v>0</v>
      </c>
      <c r="H23" s="124">
        <f ca="1">IF(ROWS($1:10)&gt;COUNT(Dong3),0,IF(OFFSET(TH!M$1,SMALL(Dong3,ROWS($1:10)),)&lt;&gt;0,OFFSET(TH!M$1,SMALL(Dong3,ROWS($1:10)),),0))</f>
        <v>0</v>
      </c>
      <c r="I23" s="125">
        <f t="shared" ca="1" si="1"/>
        <v>0</v>
      </c>
      <c r="J23" s="126"/>
      <c r="K23" s="226"/>
    </row>
    <row r="24" spans="1:11" ht="16.5" customHeight="1">
      <c r="A24" s="127" t="str">
        <f t="shared" ref="A24:A59" ca="1" si="3">IF(B24&lt;&gt;"",A23+1,"")</f>
        <v/>
      </c>
      <c r="B24" s="122" t="str">
        <f ca="1">IF(ROWS($1:11)&gt;COUNT(Dong3),"",OFFSET(TH!E$1,SMALL(Dong3,ROWS($1:11)),))</f>
        <v/>
      </c>
      <c r="C24" s="122" t="str">
        <f ca="1">IF(ROWS($1:11)&gt;COUNT(Dong3),"",IF(LEFT((OFFSET(TH!D$1,SMALL(Dong3,ROWS($1:11)),)),1)&lt;&gt;"N","",(OFFSET(TH!D$1,SMALL(Dong3,ROWS($1:11)),)&amp;"/"&amp;OFFSET(TH!C$1,SMALL(Dong3,ROWS($1:11)),))))</f>
        <v/>
      </c>
      <c r="D24" s="122" t="str">
        <f ca="1">IF(ROWS($1:11)&gt;COUNT(Dong3),"",IF(LEFT((OFFSET(TH!D$1,SMALL(Dong3,ROWS($1:11)),)),1)&lt;&gt;"X","",(OFFSET(TH!D$1,SMALL(Dong3,ROWS($1:11)),)&amp;"/"&amp;OFFSET(TH!C$1,SMALL(Dong3,ROWS($1:11)),))))</f>
        <v/>
      </c>
      <c r="E24" s="123" t="str">
        <f ca="1">IF(ROWS($1:11)&gt;COUNT(Dong3),"",OFFSET(TH!F$1,SMALL(Dong3,ROWS($1:11)),))</f>
        <v/>
      </c>
      <c r="F24" s="122" t="str">
        <f t="shared" ref="F24:F59" ca="1" si="4">B24</f>
        <v/>
      </c>
      <c r="G24" s="124">
        <f ca="1">IF(ROWS($1:11)&gt;COUNT(Dong3),0,IF(OFFSET(TH!K$1,SMALL(Dong3,ROWS($1:11)),)&lt;&gt;0,OFFSET(TH!K$1,SMALL(Dong3,ROWS($1:11)),),0))</f>
        <v>0</v>
      </c>
      <c r="H24" s="124">
        <f ca="1">IF(ROWS($1:11)&gt;COUNT(Dong3),0,IF(OFFSET(TH!M$1,SMALL(Dong3,ROWS($1:11)),)&lt;&gt;0,OFFSET(TH!M$1,SMALL(Dong3,ROWS($1:11)),),0))</f>
        <v>0</v>
      </c>
      <c r="I24" s="125">
        <f t="shared" ref="I24:I59" ca="1" si="5">IF(E24&lt;&gt;"",I23+G24-H24,0)</f>
        <v>0</v>
      </c>
      <c r="J24" s="126"/>
      <c r="K24" s="226"/>
    </row>
    <row r="25" spans="1:11" ht="16.5" customHeight="1">
      <c r="A25" s="127" t="str">
        <f t="shared" ca="1" si="3"/>
        <v/>
      </c>
      <c r="B25" s="122" t="str">
        <f ca="1">IF(ROWS($1:12)&gt;COUNT(Dong3),"",OFFSET(TH!E$1,SMALL(Dong3,ROWS($1:12)),))</f>
        <v/>
      </c>
      <c r="C25" s="122" t="str">
        <f ca="1">IF(ROWS($1:12)&gt;COUNT(Dong3),"",IF(LEFT((OFFSET(TH!D$1,SMALL(Dong3,ROWS($1:12)),)),1)&lt;&gt;"N","",(OFFSET(TH!D$1,SMALL(Dong3,ROWS($1:12)),)&amp;"/"&amp;OFFSET(TH!C$1,SMALL(Dong3,ROWS($1:12)),))))</f>
        <v/>
      </c>
      <c r="D25" s="122" t="str">
        <f ca="1">IF(ROWS($1:12)&gt;COUNT(Dong3),"",IF(LEFT((OFFSET(TH!D$1,SMALL(Dong3,ROWS($1:12)),)),1)&lt;&gt;"X","",(OFFSET(TH!D$1,SMALL(Dong3,ROWS($1:12)),)&amp;"/"&amp;OFFSET(TH!C$1,SMALL(Dong3,ROWS($1:12)),))))</f>
        <v/>
      </c>
      <c r="E25" s="123" t="str">
        <f ca="1">IF(ROWS($1:12)&gt;COUNT(Dong3),"",OFFSET(TH!F$1,SMALL(Dong3,ROWS($1:12)),))</f>
        <v/>
      </c>
      <c r="F25" s="122" t="str">
        <f t="shared" ca="1" si="4"/>
        <v/>
      </c>
      <c r="G25" s="124">
        <f ca="1">IF(ROWS($1:12)&gt;COUNT(Dong3),0,IF(OFFSET(TH!K$1,SMALL(Dong3,ROWS($1:12)),)&lt;&gt;0,OFFSET(TH!K$1,SMALL(Dong3,ROWS($1:12)),),0))</f>
        <v>0</v>
      </c>
      <c r="H25" s="124">
        <f ca="1">IF(ROWS($1:12)&gt;COUNT(Dong3),0,IF(OFFSET(TH!M$1,SMALL(Dong3,ROWS($1:12)),)&lt;&gt;0,OFFSET(TH!M$1,SMALL(Dong3,ROWS($1:12)),),0))</f>
        <v>0</v>
      </c>
      <c r="I25" s="125">
        <f t="shared" ca="1" si="5"/>
        <v>0</v>
      </c>
      <c r="J25" s="126"/>
      <c r="K25" s="226"/>
    </row>
    <row r="26" spans="1:11" ht="16.5" customHeight="1">
      <c r="A26" s="127" t="str">
        <f t="shared" ca="1" si="3"/>
        <v/>
      </c>
      <c r="B26" s="122" t="str">
        <f ca="1">IF(ROWS($1:13)&gt;COUNT(Dong3),"",OFFSET(TH!E$1,SMALL(Dong3,ROWS($1:13)),))</f>
        <v/>
      </c>
      <c r="C26" s="122" t="str">
        <f ca="1">IF(ROWS($1:13)&gt;COUNT(Dong3),"",IF(LEFT((OFFSET(TH!D$1,SMALL(Dong3,ROWS($1:13)),)),1)&lt;&gt;"N","",(OFFSET(TH!D$1,SMALL(Dong3,ROWS($1:13)),)&amp;"/"&amp;OFFSET(TH!C$1,SMALL(Dong3,ROWS($1:13)),))))</f>
        <v/>
      </c>
      <c r="D26" s="122" t="str">
        <f ca="1">IF(ROWS($1:13)&gt;COUNT(Dong3),"",IF(LEFT((OFFSET(TH!D$1,SMALL(Dong3,ROWS($1:13)),)),1)&lt;&gt;"X","",(OFFSET(TH!D$1,SMALL(Dong3,ROWS($1:13)),)&amp;"/"&amp;OFFSET(TH!C$1,SMALL(Dong3,ROWS($1:13)),))))</f>
        <v/>
      </c>
      <c r="E26" s="123" t="str">
        <f ca="1">IF(ROWS($1:13)&gt;COUNT(Dong3),"",OFFSET(TH!F$1,SMALL(Dong3,ROWS($1:13)),))</f>
        <v/>
      </c>
      <c r="F26" s="122" t="str">
        <f t="shared" ca="1" si="4"/>
        <v/>
      </c>
      <c r="G26" s="124">
        <f ca="1">IF(ROWS($1:13)&gt;COUNT(Dong3),0,IF(OFFSET(TH!K$1,SMALL(Dong3,ROWS($1:13)),)&lt;&gt;0,OFFSET(TH!K$1,SMALL(Dong3,ROWS($1:13)),),0))</f>
        <v>0</v>
      </c>
      <c r="H26" s="124">
        <f ca="1">IF(ROWS($1:13)&gt;COUNT(Dong3),0,IF(OFFSET(TH!M$1,SMALL(Dong3,ROWS($1:13)),)&lt;&gt;0,OFFSET(TH!M$1,SMALL(Dong3,ROWS($1:13)),),0))</f>
        <v>0</v>
      </c>
      <c r="I26" s="125">
        <f t="shared" ca="1" si="5"/>
        <v>0</v>
      </c>
      <c r="J26" s="126"/>
      <c r="K26" s="226"/>
    </row>
    <row r="27" spans="1:11" ht="16.5" customHeight="1">
      <c r="A27" s="127" t="str">
        <f t="shared" ca="1" si="3"/>
        <v/>
      </c>
      <c r="B27" s="122" t="str">
        <f ca="1">IF(ROWS($1:14)&gt;COUNT(Dong3),"",OFFSET(TH!E$1,SMALL(Dong3,ROWS($1:14)),))</f>
        <v/>
      </c>
      <c r="C27" s="122" t="str">
        <f ca="1">IF(ROWS($1:14)&gt;COUNT(Dong3),"",IF(LEFT((OFFSET(TH!D$1,SMALL(Dong3,ROWS($1:14)),)),1)&lt;&gt;"N","",(OFFSET(TH!D$1,SMALL(Dong3,ROWS($1:14)),)&amp;"/"&amp;OFFSET(TH!C$1,SMALL(Dong3,ROWS($1:14)),))))</f>
        <v/>
      </c>
      <c r="D27" s="122" t="str">
        <f ca="1">IF(ROWS($1:14)&gt;COUNT(Dong3),"",IF(LEFT((OFFSET(TH!D$1,SMALL(Dong3,ROWS($1:14)),)),1)&lt;&gt;"X","",(OFFSET(TH!D$1,SMALL(Dong3,ROWS($1:14)),)&amp;"/"&amp;OFFSET(TH!C$1,SMALL(Dong3,ROWS($1:14)),))))</f>
        <v/>
      </c>
      <c r="E27" s="123" t="str">
        <f ca="1">IF(ROWS($1:14)&gt;COUNT(Dong3),"",OFFSET(TH!F$1,SMALL(Dong3,ROWS($1:14)),))</f>
        <v/>
      </c>
      <c r="F27" s="122" t="str">
        <f t="shared" ca="1" si="4"/>
        <v/>
      </c>
      <c r="G27" s="124">
        <f ca="1">IF(ROWS($1:14)&gt;COUNT(Dong3),0,IF(OFFSET(TH!K$1,SMALL(Dong3,ROWS($1:14)),)&lt;&gt;0,OFFSET(TH!K$1,SMALL(Dong3,ROWS($1:14)),),0))</f>
        <v>0</v>
      </c>
      <c r="H27" s="124">
        <f ca="1">IF(ROWS($1:14)&gt;COUNT(Dong3),0,IF(OFFSET(TH!M$1,SMALL(Dong3,ROWS($1:14)),)&lt;&gt;0,OFFSET(TH!M$1,SMALL(Dong3,ROWS($1:14)),),0))</f>
        <v>0</v>
      </c>
      <c r="I27" s="125">
        <f t="shared" ca="1" si="5"/>
        <v>0</v>
      </c>
      <c r="J27" s="126"/>
      <c r="K27" s="226"/>
    </row>
    <row r="28" spans="1:11" ht="16.5" customHeight="1">
      <c r="A28" s="127" t="str">
        <f t="shared" ca="1" si="3"/>
        <v/>
      </c>
      <c r="B28" s="122" t="str">
        <f ca="1">IF(ROWS($1:15)&gt;COUNT(Dong3),"",OFFSET(TH!E$1,SMALL(Dong3,ROWS($1:15)),))</f>
        <v/>
      </c>
      <c r="C28" s="122" t="str">
        <f ca="1">IF(ROWS($1:15)&gt;COUNT(Dong3),"",IF(LEFT((OFFSET(TH!D$1,SMALL(Dong3,ROWS($1:15)),)),1)&lt;&gt;"N","",(OFFSET(TH!D$1,SMALL(Dong3,ROWS($1:15)),)&amp;"/"&amp;OFFSET(TH!C$1,SMALL(Dong3,ROWS($1:15)),))))</f>
        <v/>
      </c>
      <c r="D28" s="122" t="str">
        <f ca="1">IF(ROWS($1:15)&gt;COUNT(Dong3),"",IF(LEFT((OFFSET(TH!D$1,SMALL(Dong3,ROWS($1:15)),)),1)&lt;&gt;"X","",(OFFSET(TH!D$1,SMALL(Dong3,ROWS($1:15)),)&amp;"/"&amp;OFFSET(TH!C$1,SMALL(Dong3,ROWS($1:15)),))))</f>
        <v/>
      </c>
      <c r="E28" s="123" t="str">
        <f ca="1">IF(ROWS($1:15)&gt;COUNT(Dong3),"",OFFSET(TH!F$1,SMALL(Dong3,ROWS($1:15)),))</f>
        <v/>
      </c>
      <c r="F28" s="122" t="str">
        <f t="shared" ca="1" si="4"/>
        <v/>
      </c>
      <c r="G28" s="124">
        <f ca="1">IF(ROWS($1:15)&gt;COUNT(Dong3),0,IF(OFFSET(TH!K$1,SMALL(Dong3,ROWS($1:15)),)&lt;&gt;0,OFFSET(TH!K$1,SMALL(Dong3,ROWS($1:15)),),0))</f>
        <v>0</v>
      </c>
      <c r="H28" s="124">
        <f ca="1">IF(ROWS($1:15)&gt;COUNT(Dong3),0,IF(OFFSET(TH!M$1,SMALL(Dong3,ROWS($1:15)),)&lt;&gt;0,OFFSET(TH!M$1,SMALL(Dong3,ROWS($1:15)),),0))</f>
        <v>0</v>
      </c>
      <c r="I28" s="125">
        <f t="shared" ca="1" si="5"/>
        <v>0</v>
      </c>
      <c r="J28" s="126"/>
      <c r="K28" s="226"/>
    </row>
    <row r="29" spans="1:11" ht="16.5" customHeight="1">
      <c r="A29" s="127" t="str">
        <f t="shared" ca="1" si="3"/>
        <v/>
      </c>
      <c r="B29" s="122" t="str">
        <f ca="1">IF(ROWS($1:16)&gt;COUNT(Dong3),"",OFFSET(TH!E$1,SMALL(Dong3,ROWS($1:16)),))</f>
        <v/>
      </c>
      <c r="C29" s="122" t="str">
        <f ca="1">IF(ROWS($1:16)&gt;COUNT(Dong3),"",IF(LEFT((OFFSET(TH!D$1,SMALL(Dong3,ROWS($1:16)),)),1)&lt;&gt;"N","",(OFFSET(TH!D$1,SMALL(Dong3,ROWS($1:16)),)&amp;"/"&amp;OFFSET(TH!C$1,SMALL(Dong3,ROWS($1:16)),))))</f>
        <v/>
      </c>
      <c r="D29" s="122" t="str">
        <f ca="1">IF(ROWS($1:16)&gt;COUNT(Dong3),"",IF(LEFT((OFFSET(TH!D$1,SMALL(Dong3,ROWS($1:16)),)),1)&lt;&gt;"X","",(OFFSET(TH!D$1,SMALL(Dong3,ROWS($1:16)),)&amp;"/"&amp;OFFSET(TH!C$1,SMALL(Dong3,ROWS($1:16)),))))</f>
        <v/>
      </c>
      <c r="E29" s="123" t="str">
        <f ca="1">IF(ROWS($1:16)&gt;COUNT(Dong3),"",OFFSET(TH!F$1,SMALL(Dong3,ROWS($1:16)),))</f>
        <v/>
      </c>
      <c r="F29" s="122" t="str">
        <f t="shared" ca="1" si="4"/>
        <v/>
      </c>
      <c r="G29" s="124">
        <f ca="1">IF(ROWS($1:16)&gt;COUNT(Dong3),0,IF(OFFSET(TH!K$1,SMALL(Dong3,ROWS($1:16)),)&lt;&gt;0,OFFSET(TH!K$1,SMALL(Dong3,ROWS($1:16)),),0))</f>
        <v>0</v>
      </c>
      <c r="H29" s="124">
        <f ca="1">IF(ROWS($1:16)&gt;COUNT(Dong3),0,IF(OFFSET(TH!M$1,SMALL(Dong3,ROWS($1:16)),)&lt;&gt;0,OFFSET(TH!M$1,SMALL(Dong3,ROWS($1:16)),),0))</f>
        <v>0</v>
      </c>
      <c r="I29" s="125">
        <f t="shared" ca="1" si="5"/>
        <v>0</v>
      </c>
      <c r="J29" s="126"/>
      <c r="K29" s="226"/>
    </row>
    <row r="30" spans="1:11" ht="16.5" customHeight="1">
      <c r="A30" s="127" t="str">
        <f t="shared" ca="1" si="3"/>
        <v/>
      </c>
      <c r="B30" s="122" t="str">
        <f ca="1">IF(ROWS($1:17)&gt;COUNT(Dong3),"",OFFSET(TH!E$1,SMALL(Dong3,ROWS($1:17)),))</f>
        <v/>
      </c>
      <c r="C30" s="122" t="str">
        <f ca="1">IF(ROWS($1:17)&gt;COUNT(Dong3),"",IF(LEFT((OFFSET(TH!D$1,SMALL(Dong3,ROWS($1:17)),)),1)&lt;&gt;"N","",(OFFSET(TH!D$1,SMALL(Dong3,ROWS($1:17)),)&amp;"/"&amp;OFFSET(TH!C$1,SMALL(Dong3,ROWS($1:17)),))))</f>
        <v/>
      </c>
      <c r="D30" s="122" t="str">
        <f ca="1">IF(ROWS($1:17)&gt;COUNT(Dong3),"",IF(LEFT((OFFSET(TH!D$1,SMALL(Dong3,ROWS($1:17)),)),1)&lt;&gt;"X","",(OFFSET(TH!D$1,SMALL(Dong3,ROWS($1:17)),)&amp;"/"&amp;OFFSET(TH!C$1,SMALL(Dong3,ROWS($1:17)),))))</f>
        <v/>
      </c>
      <c r="E30" s="123" t="str">
        <f ca="1">IF(ROWS($1:17)&gt;COUNT(Dong3),"",OFFSET(TH!F$1,SMALL(Dong3,ROWS($1:17)),))</f>
        <v/>
      </c>
      <c r="F30" s="122" t="str">
        <f t="shared" ca="1" si="4"/>
        <v/>
      </c>
      <c r="G30" s="124">
        <f ca="1">IF(ROWS($1:17)&gt;COUNT(Dong3),0,IF(OFFSET(TH!K$1,SMALL(Dong3,ROWS($1:17)),)&lt;&gt;0,OFFSET(TH!K$1,SMALL(Dong3,ROWS($1:17)),),0))</f>
        <v>0</v>
      </c>
      <c r="H30" s="124">
        <f ca="1">IF(ROWS($1:17)&gt;COUNT(Dong3),0,IF(OFFSET(TH!M$1,SMALL(Dong3,ROWS($1:17)),)&lt;&gt;0,OFFSET(TH!M$1,SMALL(Dong3,ROWS($1:17)),),0))</f>
        <v>0</v>
      </c>
      <c r="I30" s="125">
        <f t="shared" ca="1" si="5"/>
        <v>0</v>
      </c>
      <c r="J30" s="126"/>
      <c r="K30" s="226"/>
    </row>
    <row r="31" spans="1:11" ht="16.5" customHeight="1">
      <c r="A31" s="127" t="str">
        <f t="shared" ca="1" si="3"/>
        <v/>
      </c>
      <c r="B31" s="122" t="str">
        <f ca="1">IF(ROWS($1:18)&gt;COUNT(Dong3),"",OFFSET(TH!E$1,SMALL(Dong3,ROWS($1:18)),))</f>
        <v/>
      </c>
      <c r="C31" s="122" t="str">
        <f ca="1">IF(ROWS($1:18)&gt;COUNT(Dong3),"",IF(LEFT((OFFSET(TH!D$1,SMALL(Dong3,ROWS($1:18)),)),1)&lt;&gt;"N","",(OFFSET(TH!D$1,SMALL(Dong3,ROWS($1:18)),)&amp;"/"&amp;OFFSET(TH!C$1,SMALL(Dong3,ROWS($1:18)),))))</f>
        <v/>
      </c>
      <c r="D31" s="122" t="str">
        <f ca="1">IF(ROWS($1:18)&gt;COUNT(Dong3),"",IF(LEFT((OFFSET(TH!D$1,SMALL(Dong3,ROWS($1:18)),)),1)&lt;&gt;"X","",(OFFSET(TH!D$1,SMALL(Dong3,ROWS($1:18)),)&amp;"/"&amp;OFFSET(TH!C$1,SMALL(Dong3,ROWS($1:18)),))))</f>
        <v/>
      </c>
      <c r="E31" s="123" t="str">
        <f ca="1">IF(ROWS($1:18)&gt;COUNT(Dong3),"",OFFSET(TH!F$1,SMALL(Dong3,ROWS($1:18)),))</f>
        <v/>
      </c>
      <c r="F31" s="122" t="str">
        <f t="shared" ca="1" si="4"/>
        <v/>
      </c>
      <c r="G31" s="124">
        <f ca="1">IF(ROWS($1:18)&gt;COUNT(Dong3),0,IF(OFFSET(TH!K$1,SMALL(Dong3,ROWS($1:18)),)&lt;&gt;0,OFFSET(TH!K$1,SMALL(Dong3,ROWS($1:18)),),0))</f>
        <v>0</v>
      </c>
      <c r="H31" s="124">
        <f ca="1">IF(ROWS($1:18)&gt;COUNT(Dong3),0,IF(OFFSET(TH!M$1,SMALL(Dong3,ROWS($1:18)),)&lt;&gt;0,OFFSET(TH!M$1,SMALL(Dong3,ROWS($1:18)),),0))</f>
        <v>0</v>
      </c>
      <c r="I31" s="125">
        <f t="shared" ca="1" si="5"/>
        <v>0</v>
      </c>
      <c r="J31" s="126"/>
      <c r="K31" s="226"/>
    </row>
    <row r="32" spans="1:11" ht="16.5" customHeight="1">
      <c r="A32" s="127" t="str">
        <f t="shared" ca="1" si="3"/>
        <v/>
      </c>
      <c r="B32" s="122" t="str">
        <f ca="1">IF(ROWS($1:19)&gt;COUNT(Dong3),"",OFFSET(TH!E$1,SMALL(Dong3,ROWS($1:19)),))</f>
        <v/>
      </c>
      <c r="C32" s="122" t="str">
        <f ca="1">IF(ROWS($1:19)&gt;COUNT(Dong3),"",IF(LEFT((OFFSET(TH!D$1,SMALL(Dong3,ROWS($1:19)),)),1)&lt;&gt;"N","",(OFFSET(TH!D$1,SMALL(Dong3,ROWS($1:19)),)&amp;"/"&amp;OFFSET(TH!C$1,SMALL(Dong3,ROWS($1:19)),))))</f>
        <v/>
      </c>
      <c r="D32" s="122" t="str">
        <f ca="1">IF(ROWS($1:19)&gt;COUNT(Dong3),"",IF(LEFT((OFFSET(TH!D$1,SMALL(Dong3,ROWS($1:19)),)),1)&lt;&gt;"X","",(OFFSET(TH!D$1,SMALL(Dong3,ROWS($1:19)),)&amp;"/"&amp;OFFSET(TH!C$1,SMALL(Dong3,ROWS($1:19)),))))</f>
        <v/>
      </c>
      <c r="E32" s="123" t="str">
        <f ca="1">IF(ROWS($1:19)&gt;COUNT(Dong3),"",OFFSET(TH!F$1,SMALL(Dong3,ROWS($1:19)),))</f>
        <v/>
      </c>
      <c r="F32" s="122" t="str">
        <f t="shared" ca="1" si="4"/>
        <v/>
      </c>
      <c r="G32" s="124">
        <f ca="1">IF(ROWS($1:19)&gt;COUNT(Dong3),0,IF(OFFSET(TH!K$1,SMALL(Dong3,ROWS($1:19)),)&lt;&gt;0,OFFSET(TH!K$1,SMALL(Dong3,ROWS($1:19)),),0))</f>
        <v>0</v>
      </c>
      <c r="H32" s="124">
        <f ca="1">IF(ROWS($1:19)&gt;COUNT(Dong3),0,IF(OFFSET(TH!M$1,SMALL(Dong3,ROWS($1:19)),)&lt;&gt;0,OFFSET(TH!M$1,SMALL(Dong3,ROWS($1:19)),),0))</f>
        <v>0</v>
      </c>
      <c r="I32" s="125">
        <f t="shared" ca="1" si="5"/>
        <v>0</v>
      </c>
      <c r="J32" s="126"/>
      <c r="K32" s="226"/>
    </row>
    <row r="33" spans="1:11" ht="16.5" customHeight="1">
      <c r="A33" s="127" t="str">
        <f t="shared" ca="1" si="3"/>
        <v/>
      </c>
      <c r="B33" s="122" t="str">
        <f ca="1">IF(ROWS($1:20)&gt;COUNT(Dong3),"",OFFSET(TH!E$1,SMALL(Dong3,ROWS($1:20)),))</f>
        <v/>
      </c>
      <c r="C33" s="122" t="str">
        <f ca="1">IF(ROWS($1:20)&gt;COUNT(Dong3),"",IF(LEFT((OFFSET(TH!D$1,SMALL(Dong3,ROWS($1:20)),)),1)&lt;&gt;"N","",(OFFSET(TH!D$1,SMALL(Dong3,ROWS($1:20)),)&amp;"/"&amp;OFFSET(TH!C$1,SMALL(Dong3,ROWS($1:20)),))))</f>
        <v/>
      </c>
      <c r="D33" s="122" t="str">
        <f ca="1">IF(ROWS($1:20)&gt;COUNT(Dong3),"",IF(LEFT((OFFSET(TH!D$1,SMALL(Dong3,ROWS($1:20)),)),1)&lt;&gt;"X","",(OFFSET(TH!D$1,SMALL(Dong3,ROWS($1:20)),)&amp;"/"&amp;OFFSET(TH!C$1,SMALL(Dong3,ROWS($1:20)),))))</f>
        <v/>
      </c>
      <c r="E33" s="123" t="str">
        <f ca="1">IF(ROWS($1:20)&gt;COUNT(Dong3),"",OFFSET(TH!F$1,SMALL(Dong3,ROWS($1:20)),))</f>
        <v/>
      </c>
      <c r="F33" s="122" t="str">
        <f t="shared" ca="1" si="4"/>
        <v/>
      </c>
      <c r="G33" s="124">
        <f ca="1">IF(ROWS($1:20)&gt;COUNT(Dong3),0,IF(OFFSET(TH!K$1,SMALL(Dong3,ROWS($1:20)),)&lt;&gt;0,OFFSET(TH!K$1,SMALL(Dong3,ROWS($1:20)),),0))</f>
        <v>0</v>
      </c>
      <c r="H33" s="124">
        <f ca="1">IF(ROWS($1:20)&gt;COUNT(Dong3),0,IF(OFFSET(TH!M$1,SMALL(Dong3,ROWS($1:20)),)&lt;&gt;0,OFFSET(TH!M$1,SMALL(Dong3,ROWS($1:20)),),0))</f>
        <v>0</v>
      </c>
      <c r="I33" s="125">
        <f t="shared" ca="1" si="5"/>
        <v>0</v>
      </c>
      <c r="J33" s="126"/>
      <c r="K33" s="226"/>
    </row>
    <row r="34" spans="1:11" ht="16.5" customHeight="1">
      <c r="A34" s="127" t="str">
        <f t="shared" ca="1" si="3"/>
        <v/>
      </c>
      <c r="B34" s="122" t="str">
        <f ca="1">IF(ROWS($1:21)&gt;COUNT(Dong3),"",OFFSET(TH!E$1,SMALL(Dong3,ROWS($1:21)),))</f>
        <v/>
      </c>
      <c r="C34" s="122" t="str">
        <f ca="1">IF(ROWS($1:21)&gt;COUNT(Dong3),"",IF(LEFT((OFFSET(TH!D$1,SMALL(Dong3,ROWS($1:21)),)),1)&lt;&gt;"N","",(OFFSET(TH!D$1,SMALL(Dong3,ROWS($1:21)),)&amp;"/"&amp;OFFSET(TH!C$1,SMALL(Dong3,ROWS($1:21)),))))</f>
        <v/>
      </c>
      <c r="D34" s="122" t="str">
        <f ca="1">IF(ROWS($1:21)&gt;COUNT(Dong3),"",IF(LEFT((OFFSET(TH!D$1,SMALL(Dong3,ROWS($1:21)),)),1)&lt;&gt;"X","",(OFFSET(TH!D$1,SMALL(Dong3,ROWS($1:21)),)&amp;"/"&amp;OFFSET(TH!C$1,SMALL(Dong3,ROWS($1:21)),))))</f>
        <v/>
      </c>
      <c r="E34" s="123" t="str">
        <f ca="1">IF(ROWS($1:21)&gt;COUNT(Dong3),"",OFFSET(TH!F$1,SMALL(Dong3,ROWS($1:21)),))</f>
        <v/>
      </c>
      <c r="F34" s="122" t="str">
        <f t="shared" ca="1" si="4"/>
        <v/>
      </c>
      <c r="G34" s="124">
        <f ca="1">IF(ROWS($1:21)&gt;COUNT(Dong3),0,IF(OFFSET(TH!K$1,SMALL(Dong3,ROWS($1:21)),)&lt;&gt;0,OFFSET(TH!K$1,SMALL(Dong3,ROWS($1:21)),),0))</f>
        <v>0</v>
      </c>
      <c r="H34" s="124">
        <f ca="1">IF(ROWS($1:21)&gt;COUNT(Dong3),0,IF(OFFSET(TH!M$1,SMALL(Dong3,ROWS($1:21)),)&lt;&gt;0,OFFSET(TH!M$1,SMALL(Dong3,ROWS($1:21)),),0))</f>
        <v>0</v>
      </c>
      <c r="I34" s="125">
        <f t="shared" ca="1" si="5"/>
        <v>0</v>
      </c>
      <c r="J34" s="126"/>
      <c r="K34" s="226"/>
    </row>
    <row r="35" spans="1:11" ht="16.5" customHeight="1">
      <c r="A35" s="127" t="str">
        <f t="shared" ca="1" si="3"/>
        <v/>
      </c>
      <c r="B35" s="122" t="str">
        <f ca="1">IF(ROWS($1:22)&gt;COUNT(Dong3),"",OFFSET(TH!E$1,SMALL(Dong3,ROWS($1:22)),))</f>
        <v/>
      </c>
      <c r="C35" s="122" t="str">
        <f ca="1">IF(ROWS($1:22)&gt;COUNT(Dong3),"",IF(LEFT((OFFSET(TH!D$1,SMALL(Dong3,ROWS($1:22)),)),1)&lt;&gt;"N","",(OFFSET(TH!D$1,SMALL(Dong3,ROWS($1:22)),)&amp;"/"&amp;OFFSET(TH!C$1,SMALL(Dong3,ROWS($1:22)),))))</f>
        <v/>
      </c>
      <c r="D35" s="122" t="str">
        <f ca="1">IF(ROWS($1:22)&gt;COUNT(Dong3),"",IF(LEFT((OFFSET(TH!D$1,SMALL(Dong3,ROWS($1:22)),)),1)&lt;&gt;"X","",(OFFSET(TH!D$1,SMALL(Dong3,ROWS($1:22)),)&amp;"/"&amp;OFFSET(TH!C$1,SMALL(Dong3,ROWS($1:22)),))))</f>
        <v/>
      </c>
      <c r="E35" s="123" t="str">
        <f ca="1">IF(ROWS($1:22)&gt;COUNT(Dong3),"",OFFSET(TH!F$1,SMALL(Dong3,ROWS($1:22)),))</f>
        <v/>
      </c>
      <c r="F35" s="122" t="str">
        <f t="shared" ca="1" si="4"/>
        <v/>
      </c>
      <c r="G35" s="124">
        <f ca="1">IF(ROWS($1:22)&gt;COUNT(Dong3),0,IF(OFFSET(TH!K$1,SMALL(Dong3,ROWS($1:22)),)&lt;&gt;0,OFFSET(TH!K$1,SMALL(Dong3,ROWS($1:22)),),0))</f>
        <v>0</v>
      </c>
      <c r="H35" s="124">
        <f ca="1">IF(ROWS($1:22)&gt;COUNT(Dong3),0,IF(OFFSET(TH!M$1,SMALL(Dong3,ROWS($1:22)),)&lt;&gt;0,OFFSET(TH!M$1,SMALL(Dong3,ROWS($1:22)),),0))</f>
        <v>0</v>
      </c>
      <c r="I35" s="125">
        <f t="shared" ca="1" si="5"/>
        <v>0</v>
      </c>
      <c r="J35" s="126"/>
      <c r="K35" s="226"/>
    </row>
    <row r="36" spans="1:11" ht="16.5" customHeight="1">
      <c r="A36" s="127" t="str">
        <f t="shared" ca="1" si="3"/>
        <v/>
      </c>
      <c r="B36" s="122" t="str">
        <f ca="1">IF(ROWS($1:23)&gt;COUNT(Dong3),"",OFFSET(TH!E$1,SMALL(Dong3,ROWS($1:23)),))</f>
        <v/>
      </c>
      <c r="C36" s="122" t="str">
        <f ca="1">IF(ROWS($1:23)&gt;COUNT(Dong3),"",IF(LEFT((OFFSET(TH!D$1,SMALL(Dong3,ROWS($1:23)),)),1)&lt;&gt;"N","",(OFFSET(TH!D$1,SMALL(Dong3,ROWS($1:23)),)&amp;"/"&amp;OFFSET(TH!C$1,SMALL(Dong3,ROWS($1:23)),))))</f>
        <v/>
      </c>
      <c r="D36" s="122" t="str">
        <f ca="1">IF(ROWS($1:23)&gt;COUNT(Dong3),"",IF(LEFT((OFFSET(TH!D$1,SMALL(Dong3,ROWS($1:23)),)),1)&lt;&gt;"X","",(OFFSET(TH!D$1,SMALL(Dong3,ROWS($1:23)),)&amp;"/"&amp;OFFSET(TH!C$1,SMALL(Dong3,ROWS($1:23)),))))</f>
        <v/>
      </c>
      <c r="E36" s="123" t="str">
        <f ca="1">IF(ROWS($1:23)&gt;COUNT(Dong3),"",OFFSET(TH!F$1,SMALL(Dong3,ROWS($1:23)),))</f>
        <v/>
      </c>
      <c r="F36" s="122" t="str">
        <f t="shared" ca="1" si="4"/>
        <v/>
      </c>
      <c r="G36" s="124">
        <f ca="1">IF(ROWS($1:23)&gt;COUNT(Dong3),0,IF(OFFSET(TH!K$1,SMALL(Dong3,ROWS($1:23)),)&lt;&gt;0,OFFSET(TH!K$1,SMALL(Dong3,ROWS($1:23)),),0))</f>
        <v>0</v>
      </c>
      <c r="H36" s="124">
        <f ca="1">IF(ROWS($1:23)&gt;COUNT(Dong3),0,IF(OFFSET(TH!M$1,SMALL(Dong3,ROWS($1:23)),)&lt;&gt;0,OFFSET(TH!M$1,SMALL(Dong3,ROWS($1:23)),),0))</f>
        <v>0</v>
      </c>
      <c r="I36" s="125">
        <f t="shared" ca="1" si="5"/>
        <v>0</v>
      </c>
      <c r="J36" s="126"/>
      <c r="K36" s="226"/>
    </row>
    <row r="37" spans="1:11" ht="16.5" customHeight="1">
      <c r="A37" s="127" t="str">
        <f t="shared" ca="1" si="3"/>
        <v/>
      </c>
      <c r="B37" s="122" t="str">
        <f ca="1">IF(ROWS($1:24)&gt;COUNT(Dong3),"",OFFSET(TH!E$1,SMALL(Dong3,ROWS($1:24)),))</f>
        <v/>
      </c>
      <c r="C37" s="122" t="str">
        <f ca="1">IF(ROWS($1:24)&gt;COUNT(Dong3),"",IF(LEFT((OFFSET(TH!D$1,SMALL(Dong3,ROWS($1:24)),)),1)&lt;&gt;"N","",(OFFSET(TH!D$1,SMALL(Dong3,ROWS($1:24)),)&amp;"/"&amp;OFFSET(TH!C$1,SMALL(Dong3,ROWS($1:24)),))))</f>
        <v/>
      </c>
      <c r="D37" s="122" t="str">
        <f ca="1">IF(ROWS($1:24)&gt;COUNT(Dong3),"",IF(LEFT((OFFSET(TH!D$1,SMALL(Dong3,ROWS($1:24)),)),1)&lt;&gt;"X","",(OFFSET(TH!D$1,SMALL(Dong3,ROWS($1:24)),)&amp;"/"&amp;OFFSET(TH!C$1,SMALL(Dong3,ROWS($1:24)),))))</f>
        <v/>
      </c>
      <c r="E37" s="123" t="str">
        <f ca="1">IF(ROWS($1:24)&gt;COUNT(Dong3),"",OFFSET(TH!F$1,SMALL(Dong3,ROWS($1:24)),))</f>
        <v/>
      </c>
      <c r="F37" s="122" t="str">
        <f t="shared" ca="1" si="4"/>
        <v/>
      </c>
      <c r="G37" s="124">
        <f ca="1">IF(ROWS($1:24)&gt;COUNT(Dong3),0,IF(OFFSET(TH!K$1,SMALL(Dong3,ROWS($1:24)),)&lt;&gt;0,OFFSET(TH!K$1,SMALL(Dong3,ROWS($1:24)),),0))</f>
        <v>0</v>
      </c>
      <c r="H37" s="124">
        <f ca="1">IF(ROWS($1:24)&gt;COUNT(Dong3),0,IF(OFFSET(TH!M$1,SMALL(Dong3,ROWS($1:24)),)&lt;&gt;0,OFFSET(TH!M$1,SMALL(Dong3,ROWS($1:24)),),0))</f>
        <v>0</v>
      </c>
      <c r="I37" s="125">
        <f t="shared" ca="1" si="5"/>
        <v>0</v>
      </c>
      <c r="J37" s="126"/>
      <c r="K37" s="226"/>
    </row>
    <row r="38" spans="1:11" ht="16.5" customHeight="1">
      <c r="A38" s="127" t="str">
        <f t="shared" ca="1" si="3"/>
        <v/>
      </c>
      <c r="B38" s="122" t="str">
        <f ca="1">IF(ROWS($1:25)&gt;COUNT(Dong3),"",OFFSET(TH!E$1,SMALL(Dong3,ROWS($1:25)),))</f>
        <v/>
      </c>
      <c r="C38" s="122" t="str">
        <f ca="1">IF(ROWS($1:25)&gt;COUNT(Dong3),"",IF(LEFT((OFFSET(TH!D$1,SMALL(Dong3,ROWS($1:25)),)),1)&lt;&gt;"N","",(OFFSET(TH!D$1,SMALL(Dong3,ROWS($1:25)),)&amp;"/"&amp;OFFSET(TH!C$1,SMALL(Dong3,ROWS($1:25)),))))</f>
        <v/>
      </c>
      <c r="D38" s="122" t="str">
        <f ca="1">IF(ROWS($1:25)&gt;COUNT(Dong3),"",IF(LEFT((OFFSET(TH!D$1,SMALL(Dong3,ROWS($1:25)),)),1)&lt;&gt;"X","",(OFFSET(TH!D$1,SMALL(Dong3,ROWS($1:25)),)&amp;"/"&amp;OFFSET(TH!C$1,SMALL(Dong3,ROWS($1:25)),))))</f>
        <v/>
      </c>
      <c r="E38" s="123" t="str">
        <f ca="1">IF(ROWS($1:25)&gt;COUNT(Dong3),"",OFFSET(TH!F$1,SMALL(Dong3,ROWS($1:25)),))</f>
        <v/>
      </c>
      <c r="F38" s="122" t="str">
        <f t="shared" ca="1" si="4"/>
        <v/>
      </c>
      <c r="G38" s="124">
        <f ca="1">IF(ROWS($1:25)&gt;COUNT(Dong3),0,IF(OFFSET(TH!K$1,SMALL(Dong3,ROWS($1:25)),)&lt;&gt;0,OFFSET(TH!K$1,SMALL(Dong3,ROWS($1:25)),),0))</f>
        <v>0</v>
      </c>
      <c r="H38" s="124">
        <f ca="1">IF(ROWS($1:25)&gt;COUNT(Dong3),0,IF(OFFSET(TH!M$1,SMALL(Dong3,ROWS($1:25)),)&lt;&gt;0,OFFSET(TH!M$1,SMALL(Dong3,ROWS($1:25)),),0))</f>
        <v>0</v>
      </c>
      <c r="I38" s="125">
        <f t="shared" ca="1" si="5"/>
        <v>0</v>
      </c>
      <c r="J38" s="126"/>
      <c r="K38" s="226"/>
    </row>
    <row r="39" spans="1:11" ht="16.5" customHeight="1">
      <c r="A39" s="127" t="str">
        <f t="shared" ca="1" si="3"/>
        <v/>
      </c>
      <c r="B39" s="122" t="str">
        <f ca="1">IF(ROWS($1:26)&gt;COUNT(Dong3),"",OFFSET(TH!E$1,SMALL(Dong3,ROWS($1:26)),))</f>
        <v/>
      </c>
      <c r="C39" s="122" t="str">
        <f ca="1">IF(ROWS($1:26)&gt;COUNT(Dong3),"",IF(LEFT((OFFSET(TH!D$1,SMALL(Dong3,ROWS($1:26)),)),1)&lt;&gt;"N","",(OFFSET(TH!D$1,SMALL(Dong3,ROWS($1:26)),)&amp;"/"&amp;OFFSET(TH!C$1,SMALL(Dong3,ROWS($1:26)),))))</f>
        <v/>
      </c>
      <c r="D39" s="122" t="str">
        <f ca="1">IF(ROWS($1:26)&gt;COUNT(Dong3),"",IF(LEFT((OFFSET(TH!D$1,SMALL(Dong3,ROWS($1:26)),)),1)&lt;&gt;"X","",(OFFSET(TH!D$1,SMALL(Dong3,ROWS($1:26)),)&amp;"/"&amp;OFFSET(TH!C$1,SMALL(Dong3,ROWS($1:26)),))))</f>
        <v/>
      </c>
      <c r="E39" s="123" t="str">
        <f ca="1">IF(ROWS($1:26)&gt;COUNT(Dong3),"",OFFSET(TH!F$1,SMALL(Dong3,ROWS($1:26)),))</f>
        <v/>
      </c>
      <c r="F39" s="122" t="str">
        <f t="shared" ca="1" si="4"/>
        <v/>
      </c>
      <c r="G39" s="124">
        <f ca="1">IF(ROWS($1:26)&gt;COUNT(Dong3),0,IF(OFFSET(TH!K$1,SMALL(Dong3,ROWS($1:26)),)&lt;&gt;0,OFFSET(TH!K$1,SMALL(Dong3,ROWS($1:26)),),0))</f>
        <v>0</v>
      </c>
      <c r="H39" s="124">
        <f ca="1">IF(ROWS($1:26)&gt;COUNT(Dong3),0,IF(OFFSET(TH!M$1,SMALL(Dong3,ROWS($1:26)),)&lt;&gt;0,OFFSET(TH!M$1,SMALL(Dong3,ROWS($1:26)),),0))</f>
        <v>0</v>
      </c>
      <c r="I39" s="125">
        <f t="shared" ca="1" si="5"/>
        <v>0</v>
      </c>
      <c r="J39" s="126"/>
      <c r="K39" s="226"/>
    </row>
    <row r="40" spans="1:11" ht="16.5" customHeight="1">
      <c r="A40" s="127" t="str">
        <f t="shared" ca="1" si="3"/>
        <v/>
      </c>
      <c r="B40" s="122" t="str">
        <f ca="1">IF(ROWS($1:27)&gt;COUNT(Dong3),"",OFFSET(TH!E$1,SMALL(Dong3,ROWS($1:27)),))</f>
        <v/>
      </c>
      <c r="C40" s="122" t="str">
        <f ca="1">IF(ROWS($1:27)&gt;COUNT(Dong3),"",IF(LEFT((OFFSET(TH!D$1,SMALL(Dong3,ROWS($1:27)),)),1)&lt;&gt;"N","",(OFFSET(TH!D$1,SMALL(Dong3,ROWS($1:27)),)&amp;"/"&amp;OFFSET(TH!C$1,SMALL(Dong3,ROWS($1:27)),))))</f>
        <v/>
      </c>
      <c r="D40" s="122" t="str">
        <f ca="1">IF(ROWS($1:27)&gt;COUNT(Dong3),"",IF(LEFT((OFFSET(TH!D$1,SMALL(Dong3,ROWS($1:27)),)),1)&lt;&gt;"X","",(OFFSET(TH!D$1,SMALL(Dong3,ROWS($1:27)),)&amp;"/"&amp;OFFSET(TH!C$1,SMALL(Dong3,ROWS($1:27)),))))</f>
        <v/>
      </c>
      <c r="E40" s="123" t="str">
        <f ca="1">IF(ROWS($1:27)&gt;COUNT(Dong3),"",OFFSET(TH!F$1,SMALL(Dong3,ROWS($1:27)),))</f>
        <v/>
      </c>
      <c r="F40" s="122" t="str">
        <f t="shared" ca="1" si="4"/>
        <v/>
      </c>
      <c r="G40" s="124">
        <f ca="1">IF(ROWS($1:27)&gt;COUNT(Dong3),0,IF(OFFSET(TH!K$1,SMALL(Dong3,ROWS($1:27)),)&lt;&gt;0,OFFSET(TH!K$1,SMALL(Dong3,ROWS($1:27)),),0))</f>
        <v>0</v>
      </c>
      <c r="H40" s="124">
        <f ca="1">IF(ROWS($1:27)&gt;COUNT(Dong3),0,IF(OFFSET(TH!M$1,SMALL(Dong3,ROWS($1:27)),)&lt;&gt;0,OFFSET(TH!M$1,SMALL(Dong3,ROWS($1:27)),),0))</f>
        <v>0</v>
      </c>
      <c r="I40" s="125">
        <f t="shared" ca="1" si="5"/>
        <v>0</v>
      </c>
      <c r="J40" s="126"/>
      <c r="K40" s="226"/>
    </row>
    <row r="41" spans="1:11" ht="16.5" customHeight="1">
      <c r="A41" s="127" t="str">
        <f t="shared" ca="1" si="3"/>
        <v/>
      </c>
      <c r="B41" s="122" t="str">
        <f ca="1">IF(ROWS($1:28)&gt;COUNT(Dong3),"",OFFSET(TH!E$1,SMALL(Dong3,ROWS($1:28)),))</f>
        <v/>
      </c>
      <c r="C41" s="122" t="str">
        <f ca="1">IF(ROWS($1:28)&gt;COUNT(Dong3),"",IF(LEFT((OFFSET(TH!D$1,SMALL(Dong3,ROWS($1:28)),)),1)&lt;&gt;"N","",(OFFSET(TH!D$1,SMALL(Dong3,ROWS($1:28)),)&amp;"/"&amp;OFFSET(TH!C$1,SMALL(Dong3,ROWS($1:28)),))))</f>
        <v/>
      </c>
      <c r="D41" s="122" t="str">
        <f ca="1">IF(ROWS($1:28)&gt;COUNT(Dong3),"",IF(LEFT((OFFSET(TH!D$1,SMALL(Dong3,ROWS($1:28)),)),1)&lt;&gt;"X","",(OFFSET(TH!D$1,SMALL(Dong3,ROWS($1:28)),)&amp;"/"&amp;OFFSET(TH!C$1,SMALL(Dong3,ROWS($1:28)),))))</f>
        <v/>
      </c>
      <c r="E41" s="123" t="str">
        <f ca="1">IF(ROWS($1:28)&gt;COUNT(Dong3),"",OFFSET(TH!F$1,SMALL(Dong3,ROWS($1:28)),))</f>
        <v/>
      </c>
      <c r="F41" s="122" t="str">
        <f t="shared" ca="1" si="4"/>
        <v/>
      </c>
      <c r="G41" s="124">
        <f ca="1">IF(ROWS($1:28)&gt;COUNT(Dong3),0,IF(OFFSET(TH!K$1,SMALL(Dong3,ROWS($1:28)),)&lt;&gt;0,OFFSET(TH!K$1,SMALL(Dong3,ROWS($1:28)),),0))</f>
        <v>0</v>
      </c>
      <c r="H41" s="124">
        <f ca="1">IF(ROWS($1:28)&gt;COUNT(Dong3),0,IF(OFFSET(TH!M$1,SMALL(Dong3,ROWS($1:28)),)&lt;&gt;0,OFFSET(TH!M$1,SMALL(Dong3,ROWS($1:28)),),0))</f>
        <v>0</v>
      </c>
      <c r="I41" s="125">
        <f t="shared" ca="1" si="5"/>
        <v>0</v>
      </c>
      <c r="J41" s="126"/>
      <c r="K41" s="226"/>
    </row>
    <row r="42" spans="1:11" ht="16.5" customHeight="1">
      <c r="A42" s="127" t="str">
        <f t="shared" ca="1" si="3"/>
        <v/>
      </c>
      <c r="B42" s="122" t="str">
        <f ca="1">IF(ROWS($1:29)&gt;COUNT(Dong3),"",OFFSET(TH!E$1,SMALL(Dong3,ROWS($1:29)),))</f>
        <v/>
      </c>
      <c r="C42" s="122" t="str">
        <f ca="1">IF(ROWS($1:29)&gt;COUNT(Dong3),"",IF(LEFT((OFFSET(TH!D$1,SMALL(Dong3,ROWS($1:29)),)),1)&lt;&gt;"N","",(OFFSET(TH!D$1,SMALL(Dong3,ROWS($1:29)),)&amp;"/"&amp;OFFSET(TH!C$1,SMALL(Dong3,ROWS($1:29)),))))</f>
        <v/>
      </c>
      <c r="D42" s="122" t="str">
        <f ca="1">IF(ROWS($1:29)&gt;COUNT(Dong3),"",IF(LEFT((OFFSET(TH!D$1,SMALL(Dong3,ROWS($1:29)),)),1)&lt;&gt;"X","",(OFFSET(TH!D$1,SMALL(Dong3,ROWS($1:29)),)&amp;"/"&amp;OFFSET(TH!C$1,SMALL(Dong3,ROWS($1:29)),))))</f>
        <v/>
      </c>
      <c r="E42" s="123" t="str">
        <f ca="1">IF(ROWS($1:29)&gt;COUNT(Dong3),"",OFFSET(TH!F$1,SMALL(Dong3,ROWS($1:29)),))</f>
        <v/>
      </c>
      <c r="F42" s="122" t="str">
        <f t="shared" ca="1" si="4"/>
        <v/>
      </c>
      <c r="G42" s="124">
        <f ca="1">IF(ROWS($1:29)&gt;COUNT(Dong3),0,IF(OFFSET(TH!K$1,SMALL(Dong3,ROWS($1:29)),)&lt;&gt;0,OFFSET(TH!K$1,SMALL(Dong3,ROWS($1:29)),),0))</f>
        <v>0</v>
      </c>
      <c r="H42" s="124">
        <f ca="1">IF(ROWS($1:29)&gt;COUNT(Dong3),0,IF(OFFSET(TH!M$1,SMALL(Dong3,ROWS($1:29)),)&lt;&gt;0,OFFSET(TH!M$1,SMALL(Dong3,ROWS($1:29)),),0))</f>
        <v>0</v>
      </c>
      <c r="I42" s="125">
        <f t="shared" ca="1" si="5"/>
        <v>0</v>
      </c>
      <c r="J42" s="126"/>
      <c r="K42" s="226"/>
    </row>
    <row r="43" spans="1:11" ht="16.5" customHeight="1">
      <c r="A43" s="127" t="str">
        <f t="shared" ca="1" si="3"/>
        <v/>
      </c>
      <c r="B43" s="122" t="str">
        <f ca="1">IF(ROWS($1:30)&gt;COUNT(Dong3),"",OFFSET(TH!E$1,SMALL(Dong3,ROWS($1:30)),))</f>
        <v/>
      </c>
      <c r="C43" s="122" t="str">
        <f ca="1">IF(ROWS($1:30)&gt;COUNT(Dong3),"",IF(LEFT((OFFSET(TH!D$1,SMALL(Dong3,ROWS($1:30)),)),1)&lt;&gt;"N","",(OFFSET(TH!D$1,SMALL(Dong3,ROWS($1:30)),)&amp;"/"&amp;OFFSET(TH!C$1,SMALL(Dong3,ROWS($1:30)),))))</f>
        <v/>
      </c>
      <c r="D43" s="122" t="str">
        <f ca="1">IF(ROWS($1:30)&gt;COUNT(Dong3),"",IF(LEFT((OFFSET(TH!D$1,SMALL(Dong3,ROWS($1:30)),)),1)&lt;&gt;"X","",(OFFSET(TH!D$1,SMALL(Dong3,ROWS($1:30)),)&amp;"/"&amp;OFFSET(TH!C$1,SMALL(Dong3,ROWS($1:30)),))))</f>
        <v/>
      </c>
      <c r="E43" s="123" t="str">
        <f ca="1">IF(ROWS($1:30)&gt;COUNT(Dong3),"",OFFSET(TH!F$1,SMALL(Dong3,ROWS($1:30)),))</f>
        <v/>
      </c>
      <c r="F43" s="122" t="str">
        <f t="shared" ca="1" si="4"/>
        <v/>
      </c>
      <c r="G43" s="124">
        <f ca="1">IF(ROWS($1:30)&gt;COUNT(Dong3),0,IF(OFFSET(TH!K$1,SMALL(Dong3,ROWS($1:30)),)&lt;&gt;0,OFFSET(TH!K$1,SMALL(Dong3,ROWS($1:30)),),0))</f>
        <v>0</v>
      </c>
      <c r="H43" s="124">
        <f ca="1">IF(ROWS($1:30)&gt;COUNT(Dong3),0,IF(OFFSET(TH!M$1,SMALL(Dong3,ROWS($1:30)),)&lt;&gt;0,OFFSET(TH!M$1,SMALL(Dong3,ROWS($1:30)),),0))</f>
        <v>0</v>
      </c>
      <c r="I43" s="125">
        <f t="shared" ca="1" si="5"/>
        <v>0</v>
      </c>
      <c r="J43" s="126"/>
      <c r="K43" s="226"/>
    </row>
    <row r="44" spans="1:11" ht="16.5" customHeight="1">
      <c r="A44" s="127" t="str">
        <f t="shared" ca="1" si="3"/>
        <v/>
      </c>
      <c r="B44" s="122" t="str">
        <f ca="1">IF(ROWS($1:31)&gt;COUNT(Dong3),"",OFFSET(TH!E$1,SMALL(Dong3,ROWS($1:31)),))</f>
        <v/>
      </c>
      <c r="C44" s="122" t="str">
        <f ca="1">IF(ROWS($1:31)&gt;COUNT(Dong3),"",IF(LEFT((OFFSET(TH!D$1,SMALL(Dong3,ROWS($1:31)),)),1)&lt;&gt;"N","",(OFFSET(TH!D$1,SMALL(Dong3,ROWS($1:31)),)&amp;"/"&amp;OFFSET(TH!C$1,SMALL(Dong3,ROWS($1:31)),))))</f>
        <v/>
      </c>
      <c r="D44" s="122" t="str">
        <f ca="1">IF(ROWS($1:31)&gt;COUNT(Dong3),"",IF(LEFT((OFFSET(TH!D$1,SMALL(Dong3,ROWS($1:31)),)),1)&lt;&gt;"X","",(OFFSET(TH!D$1,SMALL(Dong3,ROWS($1:31)),)&amp;"/"&amp;OFFSET(TH!C$1,SMALL(Dong3,ROWS($1:31)),))))</f>
        <v/>
      </c>
      <c r="E44" s="123" t="str">
        <f ca="1">IF(ROWS($1:31)&gt;COUNT(Dong3),"",OFFSET(TH!F$1,SMALL(Dong3,ROWS($1:31)),))</f>
        <v/>
      </c>
      <c r="F44" s="122" t="str">
        <f t="shared" ca="1" si="4"/>
        <v/>
      </c>
      <c r="G44" s="124">
        <f ca="1">IF(ROWS($1:31)&gt;COUNT(Dong3),0,IF(OFFSET(TH!K$1,SMALL(Dong3,ROWS($1:31)),)&lt;&gt;0,OFFSET(TH!K$1,SMALL(Dong3,ROWS($1:31)),),0))</f>
        <v>0</v>
      </c>
      <c r="H44" s="124">
        <f ca="1">IF(ROWS($1:31)&gt;COUNT(Dong3),0,IF(OFFSET(TH!M$1,SMALL(Dong3,ROWS($1:31)),)&lt;&gt;0,OFFSET(TH!M$1,SMALL(Dong3,ROWS($1:31)),),0))</f>
        <v>0</v>
      </c>
      <c r="I44" s="125">
        <f t="shared" ca="1" si="5"/>
        <v>0</v>
      </c>
      <c r="J44" s="126"/>
      <c r="K44" s="226"/>
    </row>
    <row r="45" spans="1:11" ht="16.5" customHeight="1">
      <c r="A45" s="127" t="str">
        <f t="shared" ca="1" si="3"/>
        <v/>
      </c>
      <c r="B45" s="122" t="str">
        <f ca="1">IF(ROWS($1:32)&gt;COUNT(Dong3),"",OFFSET(TH!E$1,SMALL(Dong3,ROWS($1:32)),))</f>
        <v/>
      </c>
      <c r="C45" s="122" t="str">
        <f ca="1">IF(ROWS($1:32)&gt;COUNT(Dong3),"",IF(LEFT((OFFSET(TH!D$1,SMALL(Dong3,ROWS($1:32)),)),1)&lt;&gt;"N","",(OFFSET(TH!D$1,SMALL(Dong3,ROWS($1:32)),)&amp;"/"&amp;OFFSET(TH!C$1,SMALL(Dong3,ROWS($1:32)),))))</f>
        <v/>
      </c>
      <c r="D45" s="122" t="str">
        <f ca="1">IF(ROWS($1:32)&gt;COUNT(Dong3),"",IF(LEFT((OFFSET(TH!D$1,SMALL(Dong3,ROWS($1:32)),)),1)&lt;&gt;"X","",(OFFSET(TH!D$1,SMALL(Dong3,ROWS($1:32)),)&amp;"/"&amp;OFFSET(TH!C$1,SMALL(Dong3,ROWS($1:32)),))))</f>
        <v/>
      </c>
      <c r="E45" s="123" t="str">
        <f ca="1">IF(ROWS($1:32)&gt;COUNT(Dong3),"",OFFSET(TH!F$1,SMALL(Dong3,ROWS($1:32)),))</f>
        <v/>
      </c>
      <c r="F45" s="122" t="str">
        <f t="shared" ca="1" si="4"/>
        <v/>
      </c>
      <c r="G45" s="124">
        <f ca="1">IF(ROWS($1:32)&gt;COUNT(Dong3),0,IF(OFFSET(TH!K$1,SMALL(Dong3,ROWS($1:32)),)&lt;&gt;0,OFFSET(TH!K$1,SMALL(Dong3,ROWS($1:32)),),0))</f>
        <v>0</v>
      </c>
      <c r="H45" s="124">
        <f ca="1">IF(ROWS($1:32)&gt;COUNT(Dong3),0,IF(OFFSET(TH!M$1,SMALL(Dong3,ROWS($1:32)),)&lt;&gt;0,OFFSET(TH!M$1,SMALL(Dong3,ROWS($1:32)),),0))</f>
        <v>0</v>
      </c>
      <c r="I45" s="125">
        <f t="shared" ca="1" si="5"/>
        <v>0</v>
      </c>
      <c r="J45" s="126"/>
      <c r="K45" s="226"/>
    </row>
    <row r="46" spans="1:11" ht="16.5" customHeight="1">
      <c r="A46" s="127" t="str">
        <f t="shared" ca="1" si="3"/>
        <v/>
      </c>
      <c r="B46" s="122" t="str">
        <f ca="1">IF(ROWS($1:33)&gt;COUNT(Dong3),"",OFFSET(TH!E$1,SMALL(Dong3,ROWS($1:33)),))</f>
        <v/>
      </c>
      <c r="C46" s="122" t="str">
        <f ca="1">IF(ROWS($1:33)&gt;COUNT(Dong3),"",IF(LEFT((OFFSET(TH!D$1,SMALL(Dong3,ROWS($1:33)),)),1)&lt;&gt;"N","",(OFFSET(TH!D$1,SMALL(Dong3,ROWS($1:33)),)&amp;"/"&amp;OFFSET(TH!C$1,SMALL(Dong3,ROWS($1:33)),))))</f>
        <v/>
      </c>
      <c r="D46" s="122" t="str">
        <f ca="1">IF(ROWS($1:33)&gt;COUNT(Dong3),"",IF(LEFT((OFFSET(TH!D$1,SMALL(Dong3,ROWS($1:33)),)),1)&lt;&gt;"X","",(OFFSET(TH!D$1,SMALL(Dong3,ROWS($1:33)),)&amp;"/"&amp;OFFSET(TH!C$1,SMALL(Dong3,ROWS($1:33)),))))</f>
        <v/>
      </c>
      <c r="E46" s="123" t="str">
        <f ca="1">IF(ROWS($1:33)&gt;COUNT(Dong3),"",OFFSET(TH!F$1,SMALL(Dong3,ROWS($1:33)),))</f>
        <v/>
      </c>
      <c r="F46" s="122" t="str">
        <f t="shared" ca="1" si="4"/>
        <v/>
      </c>
      <c r="G46" s="124">
        <f ca="1">IF(ROWS($1:33)&gt;COUNT(Dong3),0,IF(OFFSET(TH!K$1,SMALL(Dong3,ROWS($1:33)),)&lt;&gt;0,OFFSET(TH!K$1,SMALL(Dong3,ROWS($1:33)),),0))</f>
        <v>0</v>
      </c>
      <c r="H46" s="124">
        <f ca="1">IF(ROWS($1:33)&gt;COUNT(Dong3),0,IF(OFFSET(TH!M$1,SMALL(Dong3,ROWS($1:33)),)&lt;&gt;0,OFFSET(TH!M$1,SMALL(Dong3,ROWS($1:33)),),0))</f>
        <v>0</v>
      </c>
      <c r="I46" s="125">
        <f t="shared" ca="1" si="5"/>
        <v>0</v>
      </c>
      <c r="J46" s="126"/>
      <c r="K46" s="226"/>
    </row>
    <row r="47" spans="1:11" ht="16.5" customHeight="1">
      <c r="A47" s="127" t="str">
        <f t="shared" ca="1" si="3"/>
        <v/>
      </c>
      <c r="B47" s="122" t="str">
        <f ca="1">IF(ROWS($1:34)&gt;COUNT(Dong3),"",OFFSET(TH!E$1,SMALL(Dong3,ROWS($1:34)),))</f>
        <v/>
      </c>
      <c r="C47" s="122" t="str">
        <f ca="1">IF(ROWS($1:34)&gt;COUNT(Dong3),"",IF(LEFT((OFFSET(TH!D$1,SMALL(Dong3,ROWS($1:34)),)),1)&lt;&gt;"N","",(OFFSET(TH!D$1,SMALL(Dong3,ROWS($1:34)),)&amp;"/"&amp;OFFSET(TH!C$1,SMALL(Dong3,ROWS($1:34)),))))</f>
        <v/>
      </c>
      <c r="D47" s="122" t="str">
        <f ca="1">IF(ROWS($1:34)&gt;COUNT(Dong3),"",IF(LEFT((OFFSET(TH!D$1,SMALL(Dong3,ROWS($1:34)),)),1)&lt;&gt;"X","",(OFFSET(TH!D$1,SMALL(Dong3,ROWS($1:34)),)&amp;"/"&amp;OFFSET(TH!C$1,SMALL(Dong3,ROWS($1:34)),))))</f>
        <v/>
      </c>
      <c r="E47" s="123" t="str">
        <f ca="1">IF(ROWS($1:34)&gt;COUNT(Dong3),"",OFFSET(TH!F$1,SMALL(Dong3,ROWS($1:34)),))</f>
        <v/>
      </c>
      <c r="F47" s="122" t="str">
        <f t="shared" ca="1" si="4"/>
        <v/>
      </c>
      <c r="G47" s="124">
        <f ca="1">IF(ROWS($1:34)&gt;COUNT(Dong3),0,IF(OFFSET(TH!K$1,SMALL(Dong3,ROWS($1:34)),)&lt;&gt;0,OFFSET(TH!K$1,SMALL(Dong3,ROWS($1:34)),),0))</f>
        <v>0</v>
      </c>
      <c r="H47" s="124">
        <f ca="1">IF(ROWS($1:34)&gt;COUNT(Dong3),0,IF(OFFSET(TH!M$1,SMALL(Dong3,ROWS($1:34)),)&lt;&gt;0,OFFSET(TH!M$1,SMALL(Dong3,ROWS($1:34)),),0))</f>
        <v>0</v>
      </c>
      <c r="I47" s="125">
        <f t="shared" ca="1" si="5"/>
        <v>0</v>
      </c>
      <c r="J47" s="126"/>
      <c r="K47" s="226"/>
    </row>
    <row r="48" spans="1:11" ht="16.5" customHeight="1">
      <c r="A48" s="127" t="str">
        <f t="shared" ca="1" si="3"/>
        <v/>
      </c>
      <c r="B48" s="122" t="str">
        <f ca="1">IF(ROWS($1:35)&gt;COUNT(Dong3),"",OFFSET(TH!E$1,SMALL(Dong3,ROWS($1:35)),))</f>
        <v/>
      </c>
      <c r="C48" s="122" t="str">
        <f ca="1">IF(ROWS($1:35)&gt;COUNT(Dong3),"",IF(LEFT((OFFSET(TH!D$1,SMALL(Dong3,ROWS($1:35)),)),1)&lt;&gt;"N","",(OFFSET(TH!D$1,SMALL(Dong3,ROWS($1:35)),)&amp;"/"&amp;OFFSET(TH!C$1,SMALL(Dong3,ROWS($1:35)),))))</f>
        <v/>
      </c>
      <c r="D48" s="122" t="str">
        <f ca="1">IF(ROWS($1:35)&gt;COUNT(Dong3),"",IF(LEFT((OFFSET(TH!D$1,SMALL(Dong3,ROWS($1:35)),)),1)&lt;&gt;"X","",(OFFSET(TH!D$1,SMALL(Dong3,ROWS($1:35)),)&amp;"/"&amp;OFFSET(TH!C$1,SMALL(Dong3,ROWS($1:35)),))))</f>
        <v/>
      </c>
      <c r="E48" s="123" t="str">
        <f ca="1">IF(ROWS($1:35)&gt;COUNT(Dong3),"",OFFSET(TH!F$1,SMALL(Dong3,ROWS($1:35)),))</f>
        <v/>
      </c>
      <c r="F48" s="122" t="str">
        <f t="shared" ca="1" si="4"/>
        <v/>
      </c>
      <c r="G48" s="124">
        <f ca="1">IF(ROWS($1:35)&gt;COUNT(Dong3),0,IF(OFFSET(TH!K$1,SMALL(Dong3,ROWS($1:35)),)&lt;&gt;0,OFFSET(TH!K$1,SMALL(Dong3,ROWS($1:35)),),0))</f>
        <v>0</v>
      </c>
      <c r="H48" s="124">
        <f ca="1">IF(ROWS($1:35)&gt;COUNT(Dong3),0,IF(OFFSET(TH!M$1,SMALL(Dong3,ROWS($1:35)),)&lt;&gt;0,OFFSET(TH!M$1,SMALL(Dong3,ROWS($1:35)),),0))</f>
        <v>0</v>
      </c>
      <c r="I48" s="125">
        <f t="shared" ca="1" si="5"/>
        <v>0</v>
      </c>
      <c r="J48" s="126"/>
      <c r="K48" s="226"/>
    </row>
    <row r="49" spans="1:11" ht="16.5" customHeight="1">
      <c r="A49" s="127" t="str">
        <f t="shared" ca="1" si="3"/>
        <v/>
      </c>
      <c r="B49" s="122" t="str">
        <f ca="1">IF(ROWS($1:36)&gt;COUNT(Dong3),"",OFFSET(TH!E$1,SMALL(Dong3,ROWS($1:36)),))</f>
        <v/>
      </c>
      <c r="C49" s="122" t="str">
        <f ca="1">IF(ROWS($1:36)&gt;COUNT(Dong3),"",IF(LEFT((OFFSET(TH!D$1,SMALL(Dong3,ROWS($1:36)),)),1)&lt;&gt;"N","",(OFFSET(TH!D$1,SMALL(Dong3,ROWS($1:36)),)&amp;"/"&amp;OFFSET(TH!C$1,SMALL(Dong3,ROWS($1:36)),))))</f>
        <v/>
      </c>
      <c r="D49" s="122" t="str">
        <f ca="1">IF(ROWS($1:36)&gt;COUNT(Dong3),"",IF(LEFT((OFFSET(TH!D$1,SMALL(Dong3,ROWS($1:36)),)),1)&lt;&gt;"X","",(OFFSET(TH!D$1,SMALL(Dong3,ROWS($1:36)),)&amp;"/"&amp;OFFSET(TH!C$1,SMALL(Dong3,ROWS($1:36)),))))</f>
        <v/>
      </c>
      <c r="E49" s="123" t="str">
        <f ca="1">IF(ROWS($1:36)&gt;COUNT(Dong3),"",OFFSET(TH!F$1,SMALL(Dong3,ROWS($1:36)),))</f>
        <v/>
      </c>
      <c r="F49" s="122" t="str">
        <f t="shared" ca="1" si="4"/>
        <v/>
      </c>
      <c r="G49" s="124">
        <f ca="1">IF(ROWS($1:36)&gt;COUNT(Dong3),0,IF(OFFSET(TH!K$1,SMALL(Dong3,ROWS($1:36)),)&lt;&gt;0,OFFSET(TH!K$1,SMALL(Dong3,ROWS($1:36)),),0))</f>
        <v>0</v>
      </c>
      <c r="H49" s="124">
        <f ca="1">IF(ROWS($1:36)&gt;COUNT(Dong3),0,IF(OFFSET(TH!M$1,SMALL(Dong3,ROWS($1:36)),)&lt;&gt;0,OFFSET(TH!M$1,SMALL(Dong3,ROWS($1:36)),),0))</f>
        <v>0</v>
      </c>
      <c r="I49" s="125">
        <f t="shared" ca="1" si="5"/>
        <v>0</v>
      </c>
      <c r="J49" s="126"/>
      <c r="K49" s="226"/>
    </row>
    <row r="50" spans="1:11" ht="16.5" customHeight="1">
      <c r="A50" s="127" t="str">
        <f t="shared" ca="1" si="3"/>
        <v/>
      </c>
      <c r="B50" s="122" t="str">
        <f ca="1">IF(ROWS($1:37)&gt;COUNT(Dong3),"",OFFSET(TH!E$1,SMALL(Dong3,ROWS($1:37)),))</f>
        <v/>
      </c>
      <c r="C50" s="122" t="str">
        <f ca="1">IF(ROWS($1:37)&gt;COUNT(Dong3),"",IF(LEFT((OFFSET(TH!D$1,SMALL(Dong3,ROWS($1:37)),)),1)&lt;&gt;"N","",(OFFSET(TH!D$1,SMALL(Dong3,ROWS($1:37)),)&amp;"/"&amp;OFFSET(TH!C$1,SMALL(Dong3,ROWS($1:37)),))))</f>
        <v/>
      </c>
      <c r="D50" s="122" t="str">
        <f ca="1">IF(ROWS($1:37)&gt;COUNT(Dong3),"",IF(LEFT((OFFSET(TH!D$1,SMALL(Dong3,ROWS($1:37)),)),1)&lt;&gt;"X","",(OFFSET(TH!D$1,SMALL(Dong3,ROWS($1:37)),)&amp;"/"&amp;OFFSET(TH!C$1,SMALL(Dong3,ROWS($1:37)),))))</f>
        <v/>
      </c>
      <c r="E50" s="123" t="str">
        <f ca="1">IF(ROWS($1:37)&gt;COUNT(Dong3),"",OFFSET(TH!F$1,SMALL(Dong3,ROWS($1:37)),))</f>
        <v/>
      </c>
      <c r="F50" s="122" t="str">
        <f t="shared" ca="1" si="4"/>
        <v/>
      </c>
      <c r="G50" s="124">
        <f ca="1">IF(ROWS($1:37)&gt;COUNT(Dong3),0,IF(OFFSET(TH!K$1,SMALL(Dong3,ROWS($1:37)),)&lt;&gt;0,OFFSET(TH!K$1,SMALL(Dong3,ROWS($1:37)),),0))</f>
        <v>0</v>
      </c>
      <c r="H50" s="124">
        <f ca="1">IF(ROWS($1:37)&gt;COUNT(Dong3),0,IF(OFFSET(TH!M$1,SMALL(Dong3,ROWS($1:37)),)&lt;&gt;0,OFFSET(TH!M$1,SMALL(Dong3,ROWS($1:37)),),0))</f>
        <v>0</v>
      </c>
      <c r="I50" s="125">
        <f t="shared" ca="1" si="5"/>
        <v>0</v>
      </c>
      <c r="J50" s="126"/>
      <c r="K50" s="226"/>
    </row>
    <row r="51" spans="1:11" ht="16.5" customHeight="1">
      <c r="A51" s="127" t="str">
        <f t="shared" ca="1" si="3"/>
        <v/>
      </c>
      <c r="B51" s="122" t="str">
        <f ca="1">IF(ROWS($1:38)&gt;COUNT(Dong3),"",OFFSET(TH!E$1,SMALL(Dong3,ROWS($1:38)),))</f>
        <v/>
      </c>
      <c r="C51" s="122" t="str">
        <f ca="1">IF(ROWS($1:38)&gt;COUNT(Dong3),"",IF(LEFT((OFFSET(TH!D$1,SMALL(Dong3,ROWS($1:38)),)),1)&lt;&gt;"N","",(OFFSET(TH!D$1,SMALL(Dong3,ROWS($1:38)),)&amp;"/"&amp;OFFSET(TH!C$1,SMALL(Dong3,ROWS($1:38)),))))</f>
        <v/>
      </c>
      <c r="D51" s="122" t="str">
        <f ca="1">IF(ROWS($1:38)&gt;COUNT(Dong3),"",IF(LEFT((OFFSET(TH!D$1,SMALL(Dong3,ROWS($1:38)),)),1)&lt;&gt;"X","",(OFFSET(TH!D$1,SMALL(Dong3,ROWS($1:38)),)&amp;"/"&amp;OFFSET(TH!C$1,SMALL(Dong3,ROWS($1:38)),))))</f>
        <v/>
      </c>
      <c r="E51" s="123" t="str">
        <f ca="1">IF(ROWS($1:38)&gt;COUNT(Dong3),"",OFFSET(TH!F$1,SMALL(Dong3,ROWS($1:38)),))</f>
        <v/>
      </c>
      <c r="F51" s="122" t="str">
        <f t="shared" ca="1" si="4"/>
        <v/>
      </c>
      <c r="G51" s="124">
        <f ca="1">IF(ROWS($1:38)&gt;COUNT(Dong3),0,IF(OFFSET(TH!K$1,SMALL(Dong3,ROWS($1:38)),)&lt;&gt;0,OFFSET(TH!K$1,SMALL(Dong3,ROWS($1:38)),),0))</f>
        <v>0</v>
      </c>
      <c r="H51" s="124">
        <f ca="1">IF(ROWS($1:38)&gt;COUNT(Dong3),0,IF(OFFSET(TH!M$1,SMALL(Dong3,ROWS($1:38)),)&lt;&gt;0,OFFSET(TH!M$1,SMALL(Dong3,ROWS($1:38)),),0))</f>
        <v>0</v>
      </c>
      <c r="I51" s="125">
        <f t="shared" ca="1" si="5"/>
        <v>0</v>
      </c>
      <c r="J51" s="126"/>
      <c r="K51" s="226"/>
    </row>
    <row r="52" spans="1:11" ht="16.5" customHeight="1">
      <c r="A52" s="127" t="str">
        <f t="shared" ca="1" si="3"/>
        <v/>
      </c>
      <c r="B52" s="122" t="str">
        <f ca="1">IF(ROWS($1:39)&gt;COUNT(Dong3),"",OFFSET(TH!E$1,SMALL(Dong3,ROWS($1:39)),))</f>
        <v/>
      </c>
      <c r="C52" s="122" t="str">
        <f ca="1">IF(ROWS($1:39)&gt;COUNT(Dong3),"",IF(LEFT((OFFSET(TH!D$1,SMALL(Dong3,ROWS($1:39)),)),1)&lt;&gt;"N","",(OFFSET(TH!D$1,SMALL(Dong3,ROWS($1:39)),)&amp;"/"&amp;OFFSET(TH!C$1,SMALL(Dong3,ROWS($1:39)),))))</f>
        <v/>
      </c>
      <c r="D52" s="122" t="str">
        <f ca="1">IF(ROWS($1:39)&gt;COUNT(Dong3),"",IF(LEFT((OFFSET(TH!D$1,SMALL(Dong3,ROWS($1:39)),)),1)&lt;&gt;"X","",(OFFSET(TH!D$1,SMALL(Dong3,ROWS($1:39)),)&amp;"/"&amp;OFFSET(TH!C$1,SMALL(Dong3,ROWS($1:39)),))))</f>
        <v/>
      </c>
      <c r="E52" s="123" t="str">
        <f ca="1">IF(ROWS($1:39)&gt;COUNT(Dong3),"",OFFSET(TH!F$1,SMALL(Dong3,ROWS($1:39)),))</f>
        <v/>
      </c>
      <c r="F52" s="122" t="str">
        <f t="shared" ca="1" si="4"/>
        <v/>
      </c>
      <c r="G52" s="124">
        <f ca="1">IF(ROWS($1:39)&gt;COUNT(Dong3),0,IF(OFFSET(TH!K$1,SMALL(Dong3,ROWS($1:39)),)&lt;&gt;0,OFFSET(TH!K$1,SMALL(Dong3,ROWS($1:39)),),0))</f>
        <v>0</v>
      </c>
      <c r="H52" s="124">
        <f ca="1">IF(ROWS($1:39)&gt;COUNT(Dong3),0,IF(OFFSET(TH!M$1,SMALL(Dong3,ROWS($1:39)),)&lt;&gt;0,OFFSET(TH!M$1,SMALL(Dong3,ROWS($1:39)),),0))</f>
        <v>0</v>
      </c>
      <c r="I52" s="125">
        <f t="shared" ca="1" si="5"/>
        <v>0</v>
      </c>
      <c r="J52" s="126"/>
      <c r="K52" s="226"/>
    </row>
    <row r="53" spans="1:11" ht="16.5" customHeight="1">
      <c r="A53" s="127" t="str">
        <f t="shared" ca="1" si="3"/>
        <v/>
      </c>
      <c r="B53" s="122" t="str">
        <f ca="1">IF(ROWS($1:40)&gt;COUNT(Dong3),"",OFFSET(TH!E$1,SMALL(Dong3,ROWS($1:40)),))</f>
        <v/>
      </c>
      <c r="C53" s="122" t="str">
        <f ca="1">IF(ROWS($1:40)&gt;COUNT(Dong3),"",IF(LEFT((OFFSET(TH!D$1,SMALL(Dong3,ROWS($1:40)),)),1)&lt;&gt;"N","",(OFFSET(TH!D$1,SMALL(Dong3,ROWS($1:40)),)&amp;"/"&amp;OFFSET(TH!C$1,SMALL(Dong3,ROWS($1:40)),))))</f>
        <v/>
      </c>
      <c r="D53" s="122" t="str">
        <f ca="1">IF(ROWS($1:40)&gt;COUNT(Dong3),"",IF(LEFT((OFFSET(TH!D$1,SMALL(Dong3,ROWS($1:40)),)),1)&lt;&gt;"X","",(OFFSET(TH!D$1,SMALL(Dong3,ROWS($1:40)),)&amp;"/"&amp;OFFSET(TH!C$1,SMALL(Dong3,ROWS($1:40)),))))</f>
        <v/>
      </c>
      <c r="E53" s="123" t="str">
        <f ca="1">IF(ROWS($1:40)&gt;COUNT(Dong3),"",OFFSET(TH!F$1,SMALL(Dong3,ROWS($1:40)),))</f>
        <v/>
      </c>
      <c r="F53" s="122" t="str">
        <f t="shared" ca="1" si="4"/>
        <v/>
      </c>
      <c r="G53" s="124">
        <f ca="1">IF(ROWS($1:40)&gt;COUNT(Dong3),0,IF(OFFSET(TH!K$1,SMALL(Dong3,ROWS($1:40)),)&lt;&gt;0,OFFSET(TH!K$1,SMALL(Dong3,ROWS($1:40)),),0))</f>
        <v>0</v>
      </c>
      <c r="H53" s="124">
        <f ca="1">IF(ROWS($1:40)&gt;COUNT(Dong3),0,IF(OFFSET(TH!M$1,SMALL(Dong3,ROWS($1:40)),)&lt;&gt;0,OFFSET(TH!M$1,SMALL(Dong3,ROWS($1:40)),),0))</f>
        <v>0</v>
      </c>
      <c r="I53" s="125">
        <f t="shared" ca="1" si="5"/>
        <v>0</v>
      </c>
      <c r="J53" s="126"/>
      <c r="K53" s="226"/>
    </row>
    <row r="54" spans="1:11" ht="16.5" customHeight="1">
      <c r="A54" s="127" t="str">
        <f t="shared" ca="1" si="3"/>
        <v/>
      </c>
      <c r="B54" s="122" t="str">
        <f ca="1">IF(ROWS($1:41)&gt;COUNT(Dong3),"",OFFSET(TH!E$1,SMALL(Dong3,ROWS($1:41)),))</f>
        <v/>
      </c>
      <c r="C54" s="122" t="str">
        <f ca="1">IF(ROWS($1:41)&gt;COUNT(Dong3),"",IF(LEFT((OFFSET(TH!D$1,SMALL(Dong3,ROWS($1:41)),)),1)&lt;&gt;"N","",(OFFSET(TH!D$1,SMALL(Dong3,ROWS($1:41)),)&amp;"/"&amp;OFFSET(TH!C$1,SMALL(Dong3,ROWS($1:41)),))))</f>
        <v/>
      </c>
      <c r="D54" s="122" t="str">
        <f ca="1">IF(ROWS($1:41)&gt;COUNT(Dong3),"",IF(LEFT((OFFSET(TH!D$1,SMALL(Dong3,ROWS($1:41)),)),1)&lt;&gt;"X","",(OFFSET(TH!D$1,SMALL(Dong3,ROWS($1:41)),)&amp;"/"&amp;OFFSET(TH!C$1,SMALL(Dong3,ROWS($1:41)),))))</f>
        <v/>
      </c>
      <c r="E54" s="123" t="str">
        <f ca="1">IF(ROWS($1:41)&gt;COUNT(Dong3),"",OFFSET(TH!F$1,SMALL(Dong3,ROWS($1:41)),))</f>
        <v/>
      </c>
      <c r="F54" s="122" t="str">
        <f t="shared" ca="1" si="4"/>
        <v/>
      </c>
      <c r="G54" s="124">
        <f ca="1">IF(ROWS($1:41)&gt;COUNT(Dong3),0,IF(OFFSET(TH!K$1,SMALL(Dong3,ROWS($1:41)),)&lt;&gt;0,OFFSET(TH!K$1,SMALL(Dong3,ROWS($1:41)),),0))</f>
        <v>0</v>
      </c>
      <c r="H54" s="124">
        <f ca="1">IF(ROWS($1:41)&gt;COUNT(Dong3),0,IF(OFFSET(TH!M$1,SMALL(Dong3,ROWS($1:41)),)&lt;&gt;0,OFFSET(TH!M$1,SMALL(Dong3,ROWS($1:41)),),0))</f>
        <v>0</v>
      </c>
      <c r="I54" s="125">
        <f t="shared" ca="1" si="5"/>
        <v>0</v>
      </c>
      <c r="J54" s="126"/>
      <c r="K54" s="226"/>
    </row>
    <row r="55" spans="1:11" ht="16.5" customHeight="1">
      <c r="A55" s="127" t="str">
        <f t="shared" ca="1" si="3"/>
        <v/>
      </c>
      <c r="B55" s="122" t="str">
        <f ca="1">IF(ROWS($1:42)&gt;COUNT(Dong3),"",OFFSET(TH!E$1,SMALL(Dong3,ROWS($1:42)),))</f>
        <v/>
      </c>
      <c r="C55" s="122" t="str">
        <f ca="1">IF(ROWS($1:42)&gt;COUNT(Dong3),"",IF(LEFT((OFFSET(TH!D$1,SMALL(Dong3,ROWS($1:42)),)),1)&lt;&gt;"N","",(OFFSET(TH!D$1,SMALL(Dong3,ROWS($1:42)),)&amp;"/"&amp;OFFSET(TH!C$1,SMALL(Dong3,ROWS($1:42)),))))</f>
        <v/>
      </c>
      <c r="D55" s="122" t="str">
        <f ca="1">IF(ROWS($1:42)&gt;COUNT(Dong3),"",IF(LEFT((OFFSET(TH!D$1,SMALL(Dong3,ROWS($1:42)),)),1)&lt;&gt;"X","",(OFFSET(TH!D$1,SMALL(Dong3,ROWS($1:42)),)&amp;"/"&amp;OFFSET(TH!C$1,SMALL(Dong3,ROWS($1:42)),))))</f>
        <v/>
      </c>
      <c r="E55" s="123" t="str">
        <f ca="1">IF(ROWS($1:42)&gt;COUNT(Dong3),"",OFFSET(TH!F$1,SMALL(Dong3,ROWS($1:42)),))</f>
        <v/>
      </c>
      <c r="F55" s="122" t="str">
        <f t="shared" ca="1" si="4"/>
        <v/>
      </c>
      <c r="G55" s="124">
        <f ca="1">IF(ROWS($1:42)&gt;COUNT(Dong3),0,IF(OFFSET(TH!K$1,SMALL(Dong3,ROWS($1:42)),)&lt;&gt;0,OFFSET(TH!K$1,SMALL(Dong3,ROWS($1:42)),),0))</f>
        <v>0</v>
      </c>
      <c r="H55" s="124">
        <f ca="1">IF(ROWS($1:42)&gt;COUNT(Dong3),0,IF(OFFSET(TH!M$1,SMALL(Dong3,ROWS($1:42)),)&lt;&gt;0,OFFSET(TH!M$1,SMALL(Dong3,ROWS($1:42)),),0))</f>
        <v>0</v>
      </c>
      <c r="I55" s="125">
        <f t="shared" ca="1" si="5"/>
        <v>0</v>
      </c>
      <c r="J55" s="126"/>
      <c r="K55" s="226"/>
    </row>
    <row r="56" spans="1:11" ht="16.5" customHeight="1">
      <c r="A56" s="127" t="str">
        <f t="shared" ca="1" si="3"/>
        <v/>
      </c>
      <c r="B56" s="122" t="str">
        <f ca="1">IF(ROWS($1:43)&gt;COUNT(Dong3),"",OFFSET(TH!E$1,SMALL(Dong3,ROWS($1:43)),))</f>
        <v/>
      </c>
      <c r="C56" s="122" t="str">
        <f ca="1">IF(ROWS($1:43)&gt;COUNT(Dong3),"",IF(LEFT((OFFSET(TH!D$1,SMALL(Dong3,ROWS($1:43)),)),1)&lt;&gt;"N","",(OFFSET(TH!D$1,SMALL(Dong3,ROWS($1:43)),)&amp;"/"&amp;OFFSET(TH!C$1,SMALL(Dong3,ROWS($1:43)),))))</f>
        <v/>
      </c>
      <c r="D56" s="122" t="str">
        <f ca="1">IF(ROWS($1:43)&gt;COUNT(Dong3),"",IF(LEFT((OFFSET(TH!D$1,SMALL(Dong3,ROWS($1:43)),)),1)&lt;&gt;"X","",(OFFSET(TH!D$1,SMALL(Dong3,ROWS($1:43)),)&amp;"/"&amp;OFFSET(TH!C$1,SMALL(Dong3,ROWS($1:43)),))))</f>
        <v/>
      </c>
      <c r="E56" s="123" t="str">
        <f ca="1">IF(ROWS($1:43)&gt;COUNT(Dong3),"",OFFSET(TH!F$1,SMALL(Dong3,ROWS($1:43)),))</f>
        <v/>
      </c>
      <c r="F56" s="122" t="str">
        <f t="shared" ca="1" si="4"/>
        <v/>
      </c>
      <c r="G56" s="124">
        <f ca="1">IF(ROWS($1:43)&gt;COUNT(Dong3),0,IF(OFFSET(TH!K$1,SMALL(Dong3,ROWS($1:43)),)&lt;&gt;0,OFFSET(TH!K$1,SMALL(Dong3,ROWS($1:43)),),0))</f>
        <v>0</v>
      </c>
      <c r="H56" s="124">
        <f ca="1">IF(ROWS($1:43)&gt;COUNT(Dong3),0,IF(OFFSET(TH!M$1,SMALL(Dong3,ROWS($1:43)),)&lt;&gt;0,OFFSET(TH!M$1,SMALL(Dong3,ROWS($1:43)),),0))</f>
        <v>0</v>
      </c>
      <c r="I56" s="125">
        <f t="shared" ca="1" si="5"/>
        <v>0</v>
      </c>
      <c r="J56" s="126"/>
      <c r="K56" s="226"/>
    </row>
    <row r="57" spans="1:11" ht="16.5" customHeight="1">
      <c r="A57" s="127" t="str">
        <f t="shared" ca="1" si="3"/>
        <v/>
      </c>
      <c r="B57" s="122" t="str">
        <f ca="1">IF(ROWS($1:44)&gt;COUNT(Dong3),"",OFFSET(TH!E$1,SMALL(Dong3,ROWS($1:44)),))</f>
        <v/>
      </c>
      <c r="C57" s="122" t="str">
        <f ca="1">IF(ROWS($1:44)&gt;COUNT(Dong3),"",IF(LEFT((OFFSET(TH!D$1,SMALL(Dong3,ROWS($1:44)),)),1)&lt;&gt;"N","",(OFFSET(TH!D$1,SMALL(Dong3,ROWS($1:44)),)&amp;"/"&amp;OFFSET(TH!C$1,SMALL(Dong3,ROWS($1:44)),))))</f>
        <v/>
      </c>
      <c r="D57" s="122" t="str">
        <f ca="1">IF(ROWS($1:44)&gt;COUNT(Dong3),"",IF(LEFT((OFFSET(TH!D$1,SMALL(Dong3,ROWS($1:44)),)),1)&lt;&gt;"X","",(OFFSET(TH!D$1,SMALL(Dong3,ROWS($1:44)),)&amp;"/"&amp;OFFSET(TH!C$1,SMALL(Dong3,ROWS($1:44)),))))</f>
        <v/>
      </c>
      <c r="E57" s="123" t="str">
        <f ca="1">IF(ROWS($1:44)&gt;COUNT(Dong3),"",OFFSET(TH!F$1,SMALL(Dong3,ROWS($1:44)),))</f>
        <v/>
      </c>
      <c r="F57" s="122" t="str">
        <f t="shared" ca="1" si="4"/>
        <v/>
      </c>
      <c r="G57" s="124">
        <f ca="1">IF(ROWS($1:44)&gt;COUNT(Dong3),0,IF(OFFSET(TH!K$1,SMALL(Dong3,ROWS($1:44)),)&lt;&gt;0,OFFSET(TH!K$1,SMALL(Dong3,ROWS($1:44)),),0))</f>
        <v>0</v>
      </c>
      <c r="H57" s="124">
        <f ca="1">IF(ROWS($1:44)&gt;COUNT(Dong3),0,IF(OFFSET(TH!M$1,SMALL(Dong3,ROWS($1:44)),)&lt;&gt;0,OFFSET(TH!M$1,SMALL(Dong3,ROWS($1:44)),),0))</f>
        <v>0</v>
      </c>
      <c r="I57" s="125">
        <f t="shared" ca="1" si="5"/>
        <v>0</v>
      </c>
      <c r="J57" s="126"/>
      <c r="K57" s="226"/>
    </row>
    <row r="58" spans="1:11" ht="16.5" customHeight="1">
      <c r="A58" s="127" t="str">
        <f t="shared" ca="1" si="3"/>
        <v/>
      </c>
      <c r="B58" s="239" t="str">
        <f ca="1">IF(ROWS($1:45)&gt;COUNT(Dong3),"",OFFSET(TH!E$1,SMALL(Dong3,ROWS($1:45)),))</f>
        <v/>
      </c>
      <c r="C58" s="239" t="str">
        <f ca="1">IF(ROWS($1:45)&gt;COUNT(Dong3),"",IF(LEFT((OFFSET(TH!D$1,SMALL(Dong3,ROWS($1:45)),)),1)&lt;&gt;"N","",(OFFSET(TH!D$1,SMALL(Dong3,ROWS($1:45)),)&amp;"/"&amp;OFFSET(TH!C$1,SMALL(Dong3,ROWS($1:45)),))))</f>
        <v/>
      </c>
      <c r="D58" s="239" t="str">
        <f ca="1">IF(ROWS($1:45)&gt;COUNT(Dong3),"",IF(LEFT((OFFSET(TH!D$1,SMALL(Dong3,ROWS($1:45)),)),1)&lt;&gt;"X","",(OFFSET(TH!D$1,SMALL(Dong3,ROWS($1:45)),)&amp;"/"&amp;OFFSET(TH!C$1,SMALL(Dong3,ROWS($1:45)),))))</f>
        <v/>
      </c>
      <c r="E58" s="240" t="str">
        <f ca="1">IF(ROWS($1:45)&gt;COUNT(Dong3),"",OFFSET(TH!F$1,SMALL(Dong3,ROWS($1:45)),))</f>
        <v/>
      </c>
      <c r="F58" s="239" t="str">
        <f t="shared" ca="1" si="4"/>
        <v/>
      </c>
      <c r="G58" s="241">
        <f ca="1">IF(ROWS($1:45)&gt;COUNT(Dong3),0,IF(OFFSET(TH!K$1,SMALL(Dong3,ROWS($1:45)),)&lt;&gt;0,OFFSET(TH!K$1,SMALL(Dong3,ROWS($1:45)),),0))</f>
        <v>0</v>
      </c>
      <c r="H58" s="241">
        <f ca="1">IF(ROWS($1:45)&gt;COUNT(Dong3),0,IF(OFFSET(TH!M$1,SMALL(Dong3,ROWS($1:45)),)&lt;&gt;0,OFFSET(TH!M$1,SMALL(Dong3,ROWS($1:45)),),0))</f>
        <v>0</v>
      </c>
      <c r="I58" s="125">
        <f t="shared" ca="1" si="5"/>
        <v>0</v>
      </c>
      <c r="J58" s="128"/>
      <c r="K58" s="226"/>
    </row>
    <row r="59" spans="1:11" ht="16.5" customHeight="1">
      <c r="A59" s="127" t="str">
        <f t="shared" ca="1" si="3"/>
        <v/>
      </c>
      <c r="B59" s="239" t="str">
        <f ca="1">IF(ROWS($1:46)&gt;COUNT(Dong3),"",OFFSET(TH!E$1,SMALL(Dong3,ROWS($1:46)),))</f>
        <v/>
      </c>
      <c r="C59" s="239" t="str">
        <f ca="1">IF(ROWS($1:46)&gt;COUNT(Dong3),"",IF(LEFT((OFFSET(TH!D$1,SMALL(Dong3,ROWS($1:46)),)),1)&lt;&gt;"N","",(OFFSET(TH!D$1,SMALL(Dong3,ROWS($1:46)),)&amp;"/"&amp;OFFSET(TH!C$1,SMALL(Dong3,ROWS($1:46)),))))</f>
        <v/>
      </c>
      <c r="D59" s="239" t="str">
        <f ca="1">IF(ROWS($1:46)&gt;COUNT(Dong3),"",IF(LEFT((OFFSET(TH!D$1,SMALL(Dong3,ROWS($1:46)),)),1)&lt;&gt;"X","",(OFFSET(TH!D$1,SMALL(Dong3,ROWS($1:46)),)&amp;"/"&amp;OFFSET(TH!C$1,SMALL(Dong3,ROWS($1:46)),))))</f>
        <v/>
      </c>
      <c r="E59" s="240" t="str">
        <f ca="1">IF(ROWS($1:46)&gt;COUNT(Dong3),"",OFFSET(TH!F$1,SMALL(Dong3,ROWS($1:46)),))</f>
        <v/>
      </c>
      <c r="F59" s="239" t="str">
        <f t="shared" ca="1" si="4"/>
        <v/>
      </c>
      <c r="G59" s="241">
        <f ca="1">IF(ROWS($1:46)&gt;COUNT(Dong3),0,IF(OFFSET(TH!K$1,SMALL(Dong3,ROWS($1:46)),)&lt;&gt;0,OFFSET(TH!K$1,SMALL(Dong3,ROWS($1:46)),),0))</f>
        <v>0</v>
      </c>
      <c r="H59" s="241">
        <f ca="1">IF(ROWS($1:46)&gt;COUNT(Dong3),0,IF(OFFSET(TH!M$1,SMALL(Dong3,ROWS($1:46)),)&lt;&gt;0,OFFSET(TH!M$1,SMALL(Dong3,ROWS($1:46)),),0))</f>
        <v>0</v>
      </c>
      <c r="I59" s="125">
        <f t="shared" ca="1" si="5"/>
        <v>0</v>
      </c>
      <c r="J59" s="128"/>
      <c r="K59" s="226"/>
    </row>
    <row r="60" spans="1:11" ht="16.5" customHeight="1">
      <c r="A60" s="127" t="str">
        <f t="shared" ref="A60:A123" ca="1" si="6">IF(B60&lt;&gt;"",A59+1,"")</f>
        <v/>
      </c>
      <c r="B60" s="239" t="str">
        <f ca="1">IF(ROWS($1:47)&gt;COUNT(Dong3),"",OFFSET(TH!E$1,SMALL(Dong3,ROWS($1:47)),))</f>
        <v/>
      </c>
      <c r="C60" s="239" t="str">
        <f ca="1">IF(ROWS($1:47)&gt;COUNT(Dong3),"",IF(LEFT((OFFSET(TH!D$1,SMALL(Dong3,ROWS($1:47)),)),1)&lt;&gt;"N","",(OFFSET(TH!D$1,SMALL(Dong3,ROWS($1:47)),)&amp;"/"&amp;OFFSET(TH!C$1,SMALL(Dong3,ROWS($1:47)),))))</f>
        <v/>
      </c>
      <c r="D60" s="239" t="str">
        <f ca="1">IF(ROWS($1:47)&gt;COUNT(Dong3),"",IF(LEFT((OFFSET(TH!D$1,SMALL(Dong3,ROWS($1:47)),)),1)&lt;&gt;"X","",(OFFSET(TH!D$1,SMALL(Dong3,ROWS($1:47)),)&amp;"/"&amp;OFFSET(TH!C$1,SMALL(Dong3,ROWS($1:47)),))))</f>
        <v/>
      </c>
      <c r="E60" s="240" t="str">
        <f ca="1">IF(ROWS($1:47)&gt;COUNT(Dong3),"",OFFSET(TH!F$1,SMALL(Dong3,ROWS($1:47)),))</f>
        <v/>
      </c>
      <c r="F60" s="239" t="str">
        <f t="shared" ref="F60:F123" ca="1" si="7">B60</f>
        <v/>
      </c>
      <c r="G60" s="241">
        <f ca="1">IF(ROWS($1:47)&gt;COUNT(Dong3),0,IF(OFFSET(TH!K$1,SMALL(Dong3,ROWS($1:47)),)&lt;&gt;0,OFFSET(TH!K$1,SMALL(Dong3,ROWS($1:47)),),0))</f>
        <v>0</v>
      </c>
      <c r="H60" s="241">
        <f ca="1">IF(ROWS($1:47)&gt;COUNT(Dong3),0,IF(OFFSET(TH!M$1,SMALL(Dong3,ROWS($1:47)),)&lt;&gt;0,OFFSET(TH!M$1,SMALL(Dong3,ROWS($1:47)),),0))</f>
        <v>0</v>
      </c>
      <c r="I60" s="125">
        <f t="shared" ref="I60:I123" ca="1" si="8">IF(E60&lt;&gt;"",I59+G60-H60,0)</f>
        <v>0</v>
      </c>
      <c r="J60" s="128"/>
      <c r="K60" s="226"/>
    </row>
    <row r="61" spans="1:11" ht="16.5" customHeight="1">
      <c r="A61" s="127" t="str">
        <f t="shared" ca="1" si="6"/>
        <v/>
      </c>
      <c r="B61" s="239" t="str">
        <f ca="1">IF(ROWS($1:48)&gt;COUNT(Dong3),"",OFFSET(TH!E$1,SMALL(Dong3,ROWS($1:48)),))</f>
        <v/>
      </c>
      <c r="C61" s="239" t="str">
        <f ca="1">IF(ROWS($1:48)&gt;COUNT(Dong3),"",IF(LEFT((OFFSET(TH!D$1,SMALL(Dong3,ROWS($1:48)),)),1)&lt;&gt;"N","",(OFFSET(TH!D$1,SMALL(Dong3,ROWS($1:48)),)&amp;"/"&amp;OFFSET(TH!C$1,SMALL(Dong3,ROWS($1:48)),))))</f>
        <v/>
      </c>
      <c r="D61" s="239" t="str">
        <f ca="1">IF(ROWS($1:48)&gt;COUNT(Dong3),"",IF(LEFT((OFFSET(TH!D$1,SMALL(Dong3,ROWS($1:48)),)),1)&lt;&gt;"X","",(OFFSET(TH!D$1,SMALL(Dong3,ROWS($1:48)),)&amp;"/"&amp;OFFSET(TH!C$1,SMALL(Dong3,ROWS($1:48)),))))</f>
        <v/>
      </c>
      <c r="E61" s="240" t="str">
        <f ca="1">IF(ROWS($1:48)&gt;COUNT(Dong3),"",OFFSET(TH!F$1,SMALL(Dong3,ROWS($1:48)),))</f>
        <v/>
      </c>
      <c r="F61" s="239" t="str">
        <f t="shared" ca="1" si="7"/>
        <v/>
      </c>
      <c r="G61" s="241">
        <f ca="1">IF(ROWS($1:48)&gt;COUNT(Dong3),0,IF(OFFSET(TH!K$1,SMALL(Dong3,ROWS($1:48)),)&lt;&gt;0,OFFSET(TH!K$1,SMALL(Dong3,ROWS($1:48)),),0))</f>
        <v>0</v>
      </c>
      <c r="H61" s="241">
        <f ca="1">IF(ROWS($1:48)&gt;COUNT(Dong3),0,IF(OFFSET(TH!M$1,SMALL(Dong3,ROWS($1:48)),)&lt;&gt;0,OFFSET(TH!M$1,SMALL(Dong3,ROWS($1:48)),),0))</f>
        <v>0</v>
      </c>
      <c r="I61" s="125">
        <f t="shared" ca="1" si="8"/>
        <v>0</v>
      </c>
      <c r="J61" s="128"/>
      <c r="K61" s="226"/>
    </row>
    <row r="62" spans="1:11" ht="16.5" customHeight="1">
      <c r="A62" s="127" t="str">
        <f t="shared" ca="1" si="6"/>
        <v/>
      </c>
      <c r="B62" s="239" t="str">
        <f ca="1">IF(ROWS($1:49)&gt;COUNT(Dong3),"",OFFSET(TH!E$1,SMALL(Dong3,ROWS($1:49)),))</f>
        <v/>
      </c>
      <c r="C62" s="239" t="str">
        <f ca="1">IF(ROWS($1:49)&gt;COUNT(Dong3),"",IF(LEFT((OFFSET(TH!D$1,SMALL(Dong3,ROWS($1:49)),)),1)&lt;&gt;"N","",(OFFSET(TH!D$1,SMALL(Dong3,ROWS($1:49)),)&amp;"/"&amp;OFFSET(TH!C$1,SMALL(Dong3,ROWS($1:49)),))))</f>
        <v/>
      </c>
      <c r="D62" s="239" t="str">
        <f ca="1">IF(ROWS($1:49)&gt;COUNT(Dong3),"",IF(LEFT((OFFSET(TH!D$1,SMALL(Dong3,ROWS($1:49)),)),1)&lt;&gt;"X","",(OFFSET(TH!D$1,SMALL(Dong3,ROWS($1:49)),)&amp;"/"&amp;OFFSET(TH!C$1,SMALL(Dong3,ROWS($1:49)),))))</f>
        <v/>
      </c>
      <c r="E62" s="240" t="str">
        <f ca="1">IF(ROWS($1:49)&gt;COUNT(Dong3),"",OFFSET(TH!F$1,SMALL(Dong3,ROWS($1:49)),))</f>
        <v/>
      </c>
      <c r="F62" s="239" t="str">
        <f t="shared" ca="1" si="7"/>
        <v/>
      </c>
      <c r="G62" s="241">
        <f ca="1">IF(ROWS($1:49)&gt;COUNT(Dong3),0,IF(OFFSET(TH!K$1,SMALL(Dong3,ROWS($1:49)),)&lt;&gt;0,OFFSET(TH!K$1,SMALL(Dong3,ROWS($1:49)),),0))</f>
        <v>0</v>
      </c>
      <c r="H62" s="241">
        <f ca="1">IF(ROWS($1:49)&gt;COUNT(Dong3),0,IF(OFFSET(TH!M$1,SMALL(Dong3,ROWS($1:49)),)&lt;&gt;0,OFFSET(TH!M$1,SMALL(Dong3,ROWS($1:49)),),0))</f>
        <v>0</v>
      </c>
      <c r="I62" s="125">
        <f t="shared" ca="1" si="8"/>
        <v>0</v>
      </c>
      <c r="J62" s="128"/>
      <c r="K62" s="226"/>
    </row>
    <row r="63" spans="1:11" ht="16.5" customHeight="1">
      <c r="A63" s="127" t="str">
        <f t="shared" ca="1" si="6"/>
        <v/>
      </c>
      <c r="B63" s="239" t="str">
        <f ca="1">IF(ROWS($1:50)&gt;COUNT(Dong3),"",OFFSET(TH!E$1,SMALL(Dong3,ROWS($1:50)),))</f>
        <v/>
      </c>
      <c r="C63" s="239" t="str">
        <f ca="1">IF(ROWS($1:50)&gt;COUNT(Dong3),"",IF(LEFT((OFFSET(TH!D$1,SMALL(Dong3,ROWS($1:50)),)),1)&lt;&gt;"N","",(OFFSET(TH!D$1,SMALL(Dong3,ROWS($1:50)),)&amp;"/"&amp;OFFSET(TH!C$1,SMALL(Dong3,ROWS($1:50)),))))</f>
        <v/>
      </c>
      <c r="D63" s="239" t="str">
        <f ca="1">IF(ROWS($1:50)&gt;COUNT(Dong3),"",IF(LEFT((OFFSET(TH!D$1,SMALL(Dong3,ROWS($1:50)),)),1)&lt;&gt;"X","",(OFFSET(TH!D$1,SMALL(Dong3,ROWS($1:50)),)&amp;"/"&amp;OFFSET(TH!C$1,SMALL(Dong3,ROWS($1:50)),))))</f>
        <v/>
      </c>
      <c r="E63" s="240" t="str">
        <f ca="1">IF(ROWS($1:50)&gt;COUNT(Dong3),"",OFFSET(TH!F$1,SMALL(Dong3,ROWS($1:50)),))</f>
        <v/>
      </c>
      <c r="F63" s="239" t="str">
        <f t="shared" ca="1" si="7"/>
        <v/>
      </c>
      <c r="G63" s="241">
        <f ca="1">IF(ROWS($1:50)&gt;COUNT(Dong3),0,IF(OFFSET(TH!K$1,SMALL(Dong3,ROWS($1:50)),)&lt;&gt;0,OFFSET(TH!K$1,SMALL(Dong3,ROWS($1:50)),),0))</f>
        <v>0</v>
      </c>
      <c r="H63" s="241">
        <f ca="1">IF(ROWS($1:50)&gt;COUNT(Dong3),0,IF(OFFSET(TH!M$1,SMALL(Dong3,ROWS($1:50)),)&lt;&gt;0,OFFSET(TH!M$1,SMALL(Dong3,ROWS($1:50)),),0))</f>
        <v>0</v>
      </c>
      <c r="I63" s="125">
        <f t="shared" ca="1" si="8"/>
        <v>0</v>
      </c>
      <c r="J63" s="128"/>
      <c r="K63" s="226"/>
    </row>
    <row r="64" spans="1:11" ht="16.5" customHeight="1">
      <c r="A64" s="127" t="str">
        <f t="shared" ca="1" si="6"/>
        <v/>
      </c>
      <c r="B64" s="239" t="str">
        <f ca="1">IF(ROWS($1:51)&gt;COUNT(Dong3),"",OFFSET(TH!E$1,SMALL(Dong3,ROWS($1:51)),))</f>
        <v/>
      </c>
      <c r="C64" s="239" t="str">
        <f ca="1">IF(ROWS($1:51)&gt;COUNT(Dong3),"",IF(LEFT((OFFSET(TH!D$1,SMALL(Dong3,ROWS($1:51)),)),1)&lt;&gt;"N","",(OFFSET(TH!D$1,SMALL(Dong3,ROWS($1:51)),)&amp;"/"&amp;OFFSET(TH!C$1,SMALL(Dong3,ROWS($1:51)),))))</f>
        <v/>
      </c>
      <c r="D64" s="239" t="str">
        <f ca="1">IF(ROWS($1:51)&gt;COUNT(Dong3),"",IF(LEFT((OFFSET(TH!D$1,SMALL(Dong3,ROWS($1:51)),)),1)&lt;&gt;"X","",(OFFSET(TH!D$1,SMALL(Dong3,ROWS($1:51)),)&amp;"/"&amp;OFFSET(TH!C$1,SMALL(Dong3,ROWS($1:51)),))))</f>
        <v/>
      </c>
      <c r="E64" s="240" t="str">
        <f ca="1">IF(ROWS($1:51)&gt;COUNT(Dong3),"",OFFSET(TH!F$1,SMALL(Dong3,ROWS($1:51)),))</f>
        <v/>
      </c>
      <c r="F64" s="239" t="str">
        <f t="shared" ca="1" si="7"/>
        <v/>
      </c>
      <c r="G64" s="241">
        <f ca="1">IF(ROWS($1:51)&gt;COUNT(Dong3),0,IF(OFFSET(TH!K$1,SMALL(Dong3,ROWS($1:51)),)&lt;&gt;0,OFFSET(TH!K$1,SMALL(Dong3,ROWS($1:51)),),0))</f>
        <v>0</v>
      </c>
      <c r="H64" s="241">
        <f ca="1">IF(ROWS($1:51)&gt;COUNT(Dong3),0,IF(OFFSET(TH!M$1,SMALL(Dong3,ROWS($1:51)),)&lt;&gt;0,OFFSET(TH!M$1,SMALL(Dong3,ROWS($1:51)),),0))</f>
        <v>0</v>
      </c>
      <c r="I64" s="125">
        <f t="shared" ca="1" si="8"/>
        <v>0</v>
      </c>
      <c r="J64" s="128"/>
      <c r="K64" s="226"/>
    </row>
    <row r="65" spans="1:11" ht="16.5" customHeight="1">
      <c r="A65" s="127" t="str">
        <f t="shared" ca="1" si="6"/>
        <v/>
      </c>
      <c r="B65" s="239" t="str">
        <f ca="1">IF(ROWS($1:52)&gt;COUNT(Dong3),"",OFFSET(TH!E$1,SMALL(Dong3,ROWS($1:52)),))</f>
        <v/>
      </c>
      <c r="C65" s="239" t="str">
        <f ca="1">IF(ROWS($1:52)&gt;COUNT(Dong3),"",IF(LEFT((OFFSET(TH!D$1,SMALL(Dong3,ROWS($1:52)),)),1)&lt;&gt;"N","",(OFFSET(TH!D$1,SMALL(Dong3,ROWS($1:52)),)&amp;"/"&amp;OFFSET(TH!C$1,SMALL(Dong3,ROWS($1:52)),))))</f>
        <v/>
      </c>
      <c r="D65" s="239" t="str">
        <f ca="1">IF(ROWS($1:52)&gt;COUNT(Dong3),"",IF(LEFT((OFFSET(TH!D$1,SMALL(Dong3,ROWS($1:52)),)),1)&lt;&gt;"X","",(OFFSET(TH!D$1,SMALL(Dong3,ROWS($1:52)),)&amp;"/"&amp;OFFSET(TH!C$1,SMALL(Dong3,ROWS($1:52)),))))</f>
        <v/>
      </c>
      <c r="E65" s="240" t="str">
        <f ca="1">IF(ROWS($1:52)&gt;COUNT(Dong3),"",OFFSET(TH!F$1,SMALL(Dong3,ROWS($1:52)),))</f>
        <v/>
      </c>
      <c r="F65" s="239" t="str">
        <f t="shared" ca="1" si="7"/>
        <v/>
      </c>
      <c r="G65" s="241">
        <f ca="1">IF(ROWS($1:52)&gt;COUNT(Dong3),0,IF(OFFSET(TH!K$1,SMALL(Dong3,ROWS($1:52)),)&lt;&gt;0,OFFSET(TH!K$1,SMALL(Dong3,ROWS($1:52)),),0))</f>
        <v>0</v>
      </c>
      <c r="H65" s="241">
        <f ca="1">IF(ROWS($1:52)&gt;COUNT(Dong3),0,IF(OFFSET(TH!M$1,SMALL(Dong3,ROWS($1:52)),)&lt;&gt;0,OFFSET(TH!M$1,SMALL(Dong3,ROWS($1:52)),),0))</f>
        <v>0</v>
      </c>
      <c r="I65" s="125">
        <f t="shared" ca="1" si="8"/>
        <v>0</v>
      </c>
      <c r="J65" s="128"/>
      <c r="K65" s="226"/>
    </row>
    <row r="66" spans="1:11" ht="16.5" customHeight="1">
      <c r="A66" s="127" t="str">
        <f t="shared" ca="1" si="6"/>
        <v/>
      </c>
      <c r="B66" s="239" t="str">
        <f ca="1">IF(ROWS($1:53)&gt;COUNT(Dong3),"",OFFSET(TH!E$1,SMALL(Dong3,ROWS($1:53)),))</f>
        <v/>
      </c>
      <c r="C66" s="239" t="str">
        <f ca="1">IF(ROWS($1:53)&gt;COUNT(Dong3),"",IF(LEFT((OFFSET(TH!D$1,SMALL(Dong3,ROWS($1:53)),)),1)&lt;&gt;"N","",(OFFSET(TH!D$1,SMALL(Dong3,ROWS($1:53)),)&amp;"/"&amp;OFFSET(TH!C$1,SMALL(Dong3,ROWS($1:53)),))))</f>
        <v/>
      </c>
      <c r="D66" s="239" t="str">
        <f ca="1">IF(ROWS($1:53)&gt;COUNT(Dong3),"",IF(LEFT((OFFSET(TH!D$1,SMALL(Dong3,ROWS($1:53)),)),1)&lt;&gt;"X","",(OFFSET(TH!D$1,SMALL(Dong3,ROWS($1:53)),)&amp;"/"&amp;OFFSET(TH!C$1,SMALL(Dong3,ROWS($1:53)),))))</f>
        <v/>
      </c>
      <c r="E66" s="240" t="str">
        <f ca="1">IF(ROWS($1:53)&gt;COUNT(Dong3),"",OFFSET(TH!F$1,SMALL(Dong3,ROWS($1:53)),))</f>
        <v/>
      </c>
      <c r="F66" s="239" t="str">
        <f t="shared" ca="1" si="7"/>
        <v/>
      </c>
      <c r="G66" s="241">
        <f ca="1">IF(ROWS($1:53)&gt;COUNT(Dong3),0,IF(OFFSET(TH!K$1,SMALL(Dong3,ROWS($1:53)),)&lt;&gt;0,OFFSET(TH!K$1,SMALL(Dong3,ROWS($1:53)),),0))</f>
        <v>0</v>
      </c>
      <c r="H66" s="241">
        <f ca="1">IF(ROWS($1:53)&gt;COUNT(Dong3),0,IF(OFFSET(TH!M$1,SMALL(Dong3,ROWS($1:53)),)&lt;&gt;0,OFFSET(TH!M$1,SMALL(Dong3,ROWS($1:53)),),0))</f>
        <v>0</v>
      </c>
      <c r="I66" s="125">
        <f t="shared" ca="1" si="8"/>
        <v>0</v>
      </c>
      <c r="J66" s="128"/>
      <c r="K66" s="226"/>
    </row>
    <row r="67" spans="1:11" ht="16.5" customHeight="1">
      <c r="A67" s="127" t="str">
        <f t="shared" ca="1" si="6"/>
        <v/>
      </c>
      <c r="B67" s="239" t="str">
        <f ca="1">IF(ROWS($1:54)&gt;COUNT(Dong3),"",OFFSET(TH!E$1,SMALL(Dong3,ROWS($1:54)),))</f>
        <v/>
      </c>
      <c r="C67" s="239" t="str">
        <f ca="1">IF(ROWS($1:54)&gt;COUNT(Dong3),"",IF(LEFT((OFFSET(TH!D$1,SMALL(Dong3,ROWS($1:54)),)),1)&lt;&gt;"N","",(OFFSET(TH!D$1,SMALL(Dong3,ROWS($1:54)),)&amp;"/"&amp;OFFSET(TH!C$1,SMALL(Dong3,ROWS($1:54)),))))</f>
        <v/>
      </c>
      <c r="D67" s="239" t="str">
        <f ca="1">IF(ROWS($1:54)&gt;COUNT(Dong3),"",IF(LEFT((OFFSET(TH!D$1,SMALL(Dong3,ROWS($1:54)),)),1)&lt;&gt;"X","",(OFFSET(TH!D$1,SMALL(Dong3,ROWS($1:54)),)&amp;"/"&amp;OFFSET(TH!C$1,SMALL(Dong3,ROWS($1:54)),))))</f>
        <v/>
      </c>
      <c r="E67" s="240" t="str">
        <f ca="1">IF(ROWS($1:54)&gt;COUNT(Dong3),"",OFFSET(TH!F$1,SMALL(Dong3,ROWS($1:54)),))</f>
        <v/>
      </c>
      <c r="F67" s="239" t="str">
        <f t="shared" ca="1" si="7"/>
        <v/>
      </c>
      <c r="G67" s="241">
        <f ca="1">IF(ROWS($1:54)&gt;COUNT(Dong3),0,IF(OFFSET(TH!K$1,SMALL(Dong3,ROWS($1:54)),)&lt;&gt;0,OFFSET(TH!K$1,SMALL(Dong3,ROWS($1:54)),),0))</f>
        <v>0</v>
      </c>
      <c r="H67" s="241">
        <f ca="1">IF(ROWS($1:54)&gt;COUNT(Dong3),0,IF(OFFSET(TH!M$1,SMALL(Dong3,ROWS($1:54)),)&lt;&gt;0,OFFSET(TH!M$1,SMALL(Dong3,ROWS($1:54)),),0))</f>
        <v>0</v>
      </c>
      <c r="I67" s="125">
        <f t="shared" ca="1" si="8"/>
        <v>0</v>
      </c>
      <c r="J67" s="128"/>
      <c r="K67" s="226"/>
    </row>
    <row r="68" spans="1:11" ht="16.5" customHeight="1">
      <c r="A68" s="127" t="str">
        <f t="shared" ca="1" si="6"/>
        <v/>
      </c>
      <c r="B68" s="239" t="str">
        <f ca="1">IF(ROWS($1:55)&gt;COUNT(Dong3),"",OFFSET(TH!E$1,SMALL(Dong3,ROWS($1:55)),))</f>
        <v/>
      </c>
      <c r="C68" s="239" t="str">
        <f ca="1">IF(ROWS($1:55)&gt;COUNT(Dong3),"",IF(LEFT((OFFSET(TH!D$1,SMALL(Dong3,ROWS($1:55)),)),1)&lt;&gt;"N","",(OFFSET(TH!D$1,SMALL(Dong3,ROWS($1:55)),)&amp;"/"&amp;OFFSET(TH!C$1,SMALL(Dong3,ROWS($1:55)),))))</f>
        <v/>
      </c>
      <c r="D68" s="239" t="str">
        <f ca="1">IF(ROWS($1:55)&gt;COUNT(Dong3),"",IF(LEFT((OFFSET(TH!D$1,SMALL(Dong3,ROWS($1:55)),)),1)&lt;&gt;"X","",(OFFSET(TH!D$1,SMALL(Dong3,ROWS($1:55)),)&amp;"/"&amp;OFFSET(TH!C$1,SMALL(Dong3,ROWS($1:55)),))))</f>
        <v/>
      </c>
      <c r="E68" s="240" t="str">
        <f ca="1">IF(ROWS($1:55)&gt;COUNT(Dong3),"",OFFSET(TH!F$1,SMALL(Dong3,ROWS($1:55)),))</f>
        <v/>
      </c>
      <c r="F68" s="239" t="str">
        <f t="shared" ca="1" si="7"/>
        <v/>
      </c>
      <c r="G68" s="241">
        <f ca="1">IF(ROWS($1:55)&gt;COUNT(Dong3),0,IF(OFFSET(TH!K$1,SMALL(Dong3,ROWS($1:55)),)&lt;&gt;0,OFFSET(TH!K$1,SMALL(Dong3,ROWS($1:55)),),0))</f>
        <v>0</v>
      </c>
      <c r="H68" s="241">
        <f ca="1">IF(ROWS($1:55)&gt;COUNT(Dong3),0,IF(OFFSET(TH!M$1,SMALL(Dong3,ROWS($1:55)),)&lt;&gt;0,OFFSET(TH!M$1,SMALL(Dong3,ROWS($1:55)),),0))</f>
        <v>0</v>
      </c>
      <c r="I68" s="125">
        <f t="shared" ca="1" si="8"/>
        <v>0</v>
      </c>
      <c r="J68" s="128"/>
      <c r="K68" s="226"/>
    </row>
    <row r="69" spans="1:11" ht="16.5" customHeight="1">
      <c r="A69" s="127" t="str">
        <f t="shared" ca="1" si="6"/>
        <v/>
      </c>
      <c r="B69" s="239" t="str">
        <f ca="1">IF(ROWS($1:56)&gt;COUNT(Dong3),"",OFFSET(TH!E$1,SMALL(Dong3,ROWS($1:56)),))</f>
        <v/>
      </c>
      <c r="C69" s="239" t="str">
        <f ca="1">IF(ROWS($1:56)&gt;COUNT(Dong3),"",IF(LEFT((OFFSET(TH!D$1,SMALL(Dong3,ROWS($1:56)),)),1)&lt;&gt;"N","",(OFFSET(TH!D$1,SMALL(Dong3,ROWS($1:56)),)&amp;"/"&amp;OFFSET(TH!C$1,SMALL(Dong3,ROWS($1:56)),))))</f>
        <v/>
      </c>
      <c r="D69" s="239" t="str">
        <f ca="1">IF(ROWS($1:56)&gt;COUNT(Dong3),"",IF(LEFT((OFFSET(TH!D$1,SMALL(Dong3,ROWS($1:56)),)),1)&lt;&gt;"X","",(OFFSET(TH!D$1,SMALL(Dong3,ROWS($1:56)),)&amp;"/"&amp;OFFSET(TH!C$1,SMALL(Dong3,ROWS($1:56)),))))</f>
        <v/>
      </c>
      <c r="E69" s="240" t="str">
        <f ca="1">IF(ROWS($1:56)&gt;COUNT(Dong3),"",OFFSET(TH!F$1,SMALL(Dong3,ROWS($1:56)),))</f>
        <v/>
      </c>
      <c r="F69" s="239" t="str">
        <f t="shared" ca="1" si="7"/>
        <v/>
      </c>
      <c r="G69" s="241">
        <f ca="1">IF(ROWS($1:56)&gt;COUNT(Dong3),0,IF(OFFSET(TH!K$1,SMALL(Dong3,ROWS($1:56)),)&lt;&gt;0,OFFSET(TH!K$1,SMALL(Dong3,ROWS($1:56)),),0))</f>
        <v>0</v>
      </c>
      <c r="H69" s="241">
        <f ca="1">IF(ROWS($1:56)&gt;COUNT(Dong3),0,IF(OFFSET(TH!M$1,SMALL(Dong3,ROWS($1:56)),)&lt;&gt;0,OFFSET(TH!M$1,SMALL(Dong3,ROWS($1:56)),),0))</f>
        <v>0</v>
      </c>
      <c r="I69" s="125">
        <f t="shared" ca="1" si="8"/>
        <v>0</v>
      </c>
      <c r="J69" s="128"/>
      <c r="K69" s="226"/>
    </row>
    <row r="70" spans="1:11" ht="16.5" customHeight="1">
      <c r="A70" s="127" t="str">
        <f t="shared" ca="1" si="6"/>
        <v/>
      </c>
      <c r="B70" s="239" t="str">
        <f ca="1">IF(ROWS($1:57)&gt;COUNT(Dong3),"",OFFSET(TH!E$1,SMALL(Dong3,ROWS($1:57)),))</f>
        <v/>
      </c>
      <c r="C70" s="239" t="str">
        <f ca="1">IF(ROWS($1:57)&gt;COUNT(Dong3),"",IF(LEFT((OFFSET(TH!D$1,SMALL(Dong3,ROWS($1:57)),)),1)&lt;&gt;"N","",(OFFSET(TH!D$1,SMALL(Dong3,ROWS($1:57)),)&amp;"/"&amp;OFFSET(TH!C$1,SMALL(Dong3,ROWS($1:57)),))))</f>
        <v/>
      </c>
      <c r="D70" s="239" t="str">
        <f ca="1">IF(ROWS($1:57)&gt;COUNT(Dong3),"",IF(LEFT((OFFSET(TH!D$1,SMALL(Dong3,ROWS($1:57)),)),1)&lt;&gt;"X","",(OFFSET(TH!D$1,SMALL(Dong3,ROWS($1:57)),)&amp;"/"&amp;OFFSET(TH!C$1,SMALL(Dong3,ROWS($1:57)),))))</f>
        <v/>
      </c>
      <c r="E70" s="240" t="str">
        <f ca="1">IF(ROWS($1:57)&gt;COUNT(Dong3),"",OFFSET(TH!F$1,SMALL(Dong3,ROWS($1:57)),))</f>
        <v/>
      </c>
      <c r="F70" s="239" t="str">
        <f t="shared" ca="1" si="7"/>
        <v/>
      </c>
      <c r="G70" s="241">
        <f ca="1">IF(ROWS($1:57)&gt;COUNT(Dong3),0,IF(OFFSET(TH!K$1,SMALL(Dong3,ROWS($1:57)),)&lt;&gt;0,OFFSET(TH!K$1,SMALL(Dong3,ROWS($1:57)),),0))</f>
        <v>0</v>
      </c>
      <c r="H70" s="241">
        <f ca="1">IF(ROWS($1:57)&gt;COUNT(Dong3),0,IF(OFFSET(TH!M$1,SMALL(Dong3,ROWS($1:57)),)&lt;&gt;0,OFFSET(TH!M$1,SMALL(Dong3,ROWS($1:57)),),0))</f>
        <v>0</v>
      </c>
      <c r="I70" s="125">
        <f t="shared" ca="1" si="8"/>
        <v>0</v>
      </c>
      <c r="J70" s="128"/>
      <c r="K70" s="226"/>
    </row>
    <row r="71" spans="1:11" ht="16.5" customHeight="1">
      <c r="A71" s="127" t="str">
        <f t="shared" ca="1" si="6"/>
        <v/>
      </c>
      <c r="B71" s="239" t="str">
        <f ca="1">IF(ROWS($1:58)&gt;COUNT(Dong3),"",OFFSET(TH!E$1,SMALL(Dong3,ROWS($1:58)),))</f>
        <v/>
      </c>
      <c r="C71" s="239" t="str">
        <f ca="1">IF(ROWS($1:58)&gt;COUNT(Dong3),"",IF(LEFT((OFFSET(TH!D$1,SMALL(Dong3,ROWS($1:58)),)),1)&lt;&gt;"N","",(OFFSET(TH!D$1,SMALL(Dong3,ROWS($1:58)),)&amp;"/"&amp;OFFSET(TH!C$1,SMALL(Dong3,ROWS($1:58)),))))</f>
        <v/>
      </c>
      <c r="D71" s="239" t="str">
        <f ca="1">IF(ROWS($1:58)&gt;COUNT(Dong3),"",IF(LEFT((OFFSET(TH!D$1,SMALL(Dong3,ROWS($1:58)),)),1)&lt;&gt;"X","",(OFFSET(TH!D$1,SMALL(Dong3,ROWS($1:58)),)&amp;"/"&amp;OFFSET(TH!C$1,SMALL(Dong3,ROWS($1:58)),))))</f>
        <v/>
      </c>
      <c r="E71" s="240" t="str">
        <f ca="1">IF(ROWS($1:58)&gt;COUNT(Dong3),"",OFFSET(TH!F$1,SMALL(Dong3,ROWS($1:58)),))</f>
        <v/>
      </c>
      <c r="F71" s="239" t="str">
        <f t="shared" ca="1" si="7"/>
        <v/>
      </c>
      <c r="G71" s="241">
        <f ca="1">IF(ROWS($1:58)&gt;COUNT(Dong3),0,IF(OFFSET(TH!K$1,SMALL(Dong3,ROWS($1:58)),)&lt;&gt;0,OFFSET(TH!K$1,SMALL(Dong3,ROWS($1:58)),),0))</f>
        <v>0</v>
      </c>
      <c r="H71" s="241">
        <f ca="1">IF(ROWS($1:58)&gt;COUNT(Dong3),0,IF(OFFSET(TH!M$1,SMALL(Dong3,ROWS($1:58)),)&lt;&gt;0,OFFSET(TH!M$1,SMALL(Dong3,ROWS($1:58)),),0))</f>
        <v>0</v>
      </c>
      <c r="I71" s="125">
        <f t="shared" ca="1" si="8"/>
        <v>0</v>
      </c>
      <c r="J71" s="128"/>
      <c r="K71" s="226"/>
    </row>
    <row r="72" spans="1:11" ht="16.5" customHeight="1">
      <c r="A72" s="127" t="str">
        <f t="shared" ca="1" si="6"/>
        <v/>
      </c>
      <c r="B72" s="239" t="str">
        <f ca="1">IF(ROWS($1:59)&gt;COUNT(Dong3),"",OFFSET(TH!E$1,SMALL(Dong3,ROWS($1:59)),))</f>
        <v/>
      </c>
      <c r="C72" s="239" t="str">
        <f ca="1">IF(ROWS($1:59)&gt;COUNT(Dong3),"",IF(LEFT((OFFSET(TH!D$1,SMALL(Dong3,ROWS($1:59)),)),1)&lt;&gt;"N","",(OFFSET(TH!D$1,SMALL(Dong3,ROWS($1:59)),)&amp;"/"&amp;OFFSET(TH!C$1,SMALL(Dong3,ROWS($1:59)),))))</f>
        <v/>
      </c>
      <c r="D72" s="239" t="str">
        <f ca="1">IF(ROWS($1:59)&gt;COUNT(Dong3),"",IF(LEFT((OFFSET(TH!D$1,SMALL(Dong3,ROWS($1:59)),)),1)&lt;&gt;"X","",(OFFSET(TH!D$1,SMALL(Dong3,ROWS($1:59)),)&amp;"/"&amp;OFFSET(TH!C$1,SMALL(Dong3,ROWS($1:59)),))))</f>
        <v/>
      </c>
      <c r="E72" s="240" t="str">
        <f ca="1">IF(ROWS($1:59)&gt;COUNT(Dong3),"",OFFSET(TH!F$1,SMALL(Dong3,ROWS($1:59)),))</f>
        <v/>
      </c>
      <c r="F72" s="239" t="str">
        <f t="shared" ca="1" si="7"/>
        <v/>
      </c>
      <c r="G72" s="241">
        <f ca="1">IF(ROWS($1:59)&gt;COUNT(Dong3),0,IF(OFFSET(TH!K$1,SMALL(Dong3,ROWS($1:59)),)&lt;&gt;0,OFFSET(TH!K$1,SMALL(Dong3,ROWS($1:59)),),0))</f>
        <v>0</v>
      </c>
      <c r="H72" s="241">
        <f ca="1">IF(ROWS($1:59)&gt;COUNT(Dong3),0,IF(OFFSET(TH!M$1,SMALL(Dong3,ROWS($1:59)),)&lt;&gt;0,OFFSET(TH!M$1,SMALL(Dong3,ROWS($1:59)),),0))</f>
        <v>0</v>
      </c>
      <c r="I72" s="125">
        <f t="shared" ca="1" si="8"/>
        <v>0</v>
      </c>
      <c r="J72" s="128"/>
      <c r="K72" s="226"/>
    </row>
    <row r="73" spans="1:11" ht="16.5" customHeight="1">
      <c r="A73" s="127" t="str">
        <f t="shared" ca="1" si="6"/>
        <v/>
      </c>
      <c r="B73" s="239" t="str">
        <f ca="1">IF(ROWS($1:60)&gt;COUNT(Dong3),"",OFFSET(TH!E$1,SMALL(Dong3,ROWS($1:60)),))</f>
        <v/>
      </c>
      <c r="C73" s="239" t="str">
        <f ca="1">IF(ROWS($1:60)&gt;COUNT(Dong3),"",IF(LEFT((OFFSET(TH!D$1,SMALL(Dong3,ROWS($1:60)),)),1)&lt;&gt;"N","",(OFFSET(TH!D$1,SMALL(Dong3,ROWS($1:60)),)&amp;"/"&amp;OFFSET(TH!C$1,SMALL(Dong3,ROWS($1:60)),))))</f>
        <v/>
      </c>
      <c r="D73" s="239" t="str">
        <f ca="1">IF(ROWS($1:60)&gt;COUNT(Dong3),"",IF(LEFT((OFFSET(TH!D$1,SMALL(Dong3,ROWS($1:60)),)),1)&lt;&gt;"X","",(OFFSET(TH!D$1,SMALL(Dong3,ROWS($1:60)),)&amp;"/"&amp;OFFSET(TH!C$1,SMALL(Dong3,ROWS($1:60)),))))</f>
        <v/>
      </c>
      <c r="E73" s="240" t="str">
        <f ca="1">IF(ROWS($1:60)&gt;COUNT(Dong3),"",OFFSET(TH!F$1,SMALL(Dong3,ROWS($1:60)),))</f>
        <v/>
      </c>
      <c r="F73" s="239" t="str">
        <f t="shared" ca="1" si="7"/>
        <v/>
      </c>
      <c r="G73" s="241">
        <f ca="1">IF(ROWS($1:60)&gt;COUNT(Dong3),0,IF(OFFSET(TH!K$1,SMALL(Dong3,ROWS($1:60)),)&lt;&gt;0,OFFSET(TH!K$1,SMALL(Dong3,ROWS($1:60)),),0))</f>
        <v>0</v>
      </c>
      <c r="H73" s="241">
        <f ca="1">IF(ROWS($1:60)&gt;COUNT(Dong3),0,IF(OFFSET(TH!M$1,SMALL(Dong3,ROWS($1:60)),)&lt;&gt;0,OFFSET(TH!M$1,SMALL(Dong3,ROWS($1:60)),),0))</f>
        <v>0</v>
      </c>
      <c r="I73" s="125">
        <f t="shared" ca="1" si="8"/>
        <v>0</v>
      </c>
      <c r="J73" s="128"/>
      <c r="K73" s="226"/>
    </row>
    <row r="74" spans="1:11" ht="16.5" customHeight="1">
      <c r="A74" s="127" t="str">
        <f t="shared" ca="1" si="6"/>
        <v/>
      </c>
      <c r="B74" s="239" t="str">
        <f ca="1">IF(ROWS($1:61)&gt;COUNT(Dong3),"",OFFSET(TH!E$1,SMALL(Dong3,ROWS($1:61)),))</f>
        <v/>
      </c>
      <c r="C74" s="239" t="str">
        <f ca="1">IF(ROWS($1:61)&gt;COUNT(Dong3),"",IF(LEFT((OFFSET(TH!D$1,SMALL(Dong3,ROWS($1:61)),)),1)&lt;&gt;"N","",(OFFSET(TH!D$1,SMALL(Dong3,ROWS($1:61)),)&amp;"/"&amp;OFFSET(TH!C$1,SMALL(Dong3,ROWS($1:61)),))))</f>
        <v/>
      </c>
      <c r="D74" s="239" t="str">
        <f ca="1">IF(ROWS($1:61)&gt;COUNT(Dong3),"",IF(LEFT((OFFSET(TH!D$1,SMALL(Dong3,ROWS($1:61)),)),1)&lt;&gt;"X","",(OFFSET(TH!D$1,SMALL(Dong3,ROWS($1:61)),)&amp;"/"&amp;OFFSET(TH!C$1,SMALL(Dong3,ROWS($1:61)),))))</f>
        <v/>
      </c>
      <c r="E74" s="240" t="str">
        <f ca="1">IF(ROWS($1:61)&gt;COUNT(Dong3),"",OFFSET(TH!F$1,SMALL(Dong3,ROWS($1:61)),))</f>
        <v/>
      </c>
      <c r="F74" s="239" t="str">
        <f t="shared" ca="1" si="7"/>
        <v/>
      </c>
      <c r="G74" s="241">
        <f ca="1">IF(ROWS($1:61)&gt;COUNT(Dong3),0,IF(OFFSET(TH!K$1,SMALL(Dong3,ROWS($1:61)),)&lt;&gt;0,OFFSET(TH!K$1,SMALL(Dong3,ROWS($1:61)),),0))</f>
        <v>0</v>
      </c>
      <c r="H74" s="241">
        <f ca="1">IF(ROWS($1:61)&gt;COUNT(Dong3),0,IF(OFFSET(TH!M$1,SMALL(Dong3,ROWS($1:61)),)&lt;&gt;0,OFFSET(TH!M$1,SMALL(Dong3,ROWS($1:61)),),0))</f>
        <v>0</v>
      </c>
      <c r="I74" s="125">
        <f t="shared" ca="1" si="8"/>
        <v>0</v>
      </c>
      <c r="J74" s="128"/>
      <c r="K74" s="226"/>
    </row>
    <row r="75" spans="1:11" ht="16.5" customHeight="1">
      <c r="A75" s="127" t="str">
        <f t="shared" ca="1" si="6"/>
        <v/>
      </c>
      <c r="B75" s="239" t="str">
        <f ca="1">IF(ROWS($1:62)&gt;COUNT(Dong3),"",OFFSET(TH!E$1,SMALL(Dong3,ROWS($1:62)),))</f>
        <v/>
      </c>
      <c r="C75" s="239" t="str">
        <f ca="1">IF(ROWS($1:62)&gt;COUNT(Dong3),"",IF(LEFT((OFFSET(TH!D$1,SMALL(Dong3,ROWS($1:62)),)),1)&lt;&gt;"N","",(OFFSET(TH!D$1,SMALL(Dong3,ROWS($1:62)),)&amp;"/"&amp;OFFSET(TH!C$1,SMALL(Dong3,ROWS($1:62)),))))</f>
        <v/>
      </c>
      <c r="D75" s="239" t="str">
        <f ca="1">IF(ROWS($1:62)&gt;COUNT(Dong3),"",IF(LEFT((OFFSET(TH!D$1,SMALL(Dong3,ROWS($1:62)),)),1)&lt;&gt;"X","",(OFFSET(TH!D$1,SMALL(Dong3,ROWS($1:62)),)&amp;"/"&amp;OFFSET(TH!C$1,SMALL(Dong3,ROWS($1:62)),))))</f>
        <v/>
      </c>
      <c r="E75" s="240" t="str">
        <f ca="1">IF(ROWS($1:62)&gt;COUNT(Dong3),"",OFFSET(TH!F$1,SMALL(Dong3,ROWS($1:62)),))</f>
        <v/>
      </c>
      <c r="F75" s="239" t="str">
        <f t="shared" ca="1" si="7"/>
        <v/>
      </c>
      <c r="G75" s="241">
        <f ca="1">IF(ROWS($1:62)&gt;COUNT(Dong3),0,IF(OFFSET(TH!K$1,SMALL(Dong3,ROWS($1:62)),)&lt;&gt;0,OFFSET(TH!K$1,SMALL(Dong3,ROWS($1:62)),),0))</f>
        <v>0</v>
      </c>
      <c r="H75" s="241">
        <f ca="1">IF(ROWS($1:62)&gt;COUNT(Dong3),0,IF(OFFSET(TH!M$1,SMALL(Dong3,ROWS($1:62)),)&lt;&gt;0,OFFSET(TH!M$1,SMALL(Dong3,ROWS($1:62)),),0))</f>
        <v>0</v>
      </c>
      <c r="I75" s="125">
        <f t="shared" ca="1" si="8"/>
        <v>0</v>
      </c>
      <c r="J75" s="128"/>
      <c r="K75" s="226"/>
    </row>
    <row r="76" spans="1:11" ht="16.5" customHeight="1">
      <c r="A76" s="127" t="str">
        <f t="shared" ca="1" si="6"/>
        <v/>
      </c>
      <c r="B76" s="239" t="str">
        <f ca="1">IF(ROWS($1:63)&gt;COUNT(Dong3),"",OFFSET(TH!E$1,SMALL(Dong3,ROWS($1:63)),))</f>
        <v/>
      </c>
      <c r="C76" s="239" t="str">
        <f ca="1">IF(ROWS($1:63)&gt;COUNT(Dong3),"",IF(LEFT((OFFSET(TH!D$1,SMALL(Dong3,ROWS($1:63)),)),1)&lt;&gt;"N","",(OFFSET(TH!D$1,SMALL(Dong3,ROWS($1:63)),)&amp;"/"&amp;OFFSET(TH!C$1,SMALL(Dong3,ROWS($1:63)),))))</f>
        <v/>
      </c>
      <c r="D76" s="239" t="str">
        <f ca="1">IF(ROWS($1:63)&gt;COUNT(Dong3),"",IF(LEFT((OFFSET(TH!D$1,SMALL(Dong3,ROWS($1:63)),)),1)&lt;&gt;"X","",(OFFSET(TH!D$1,SMALL(Dong3,ROWS($1:63)),)&amp;"/"&amp;OFFSET(TH!C$1,SMALL(Dong3,ROWS($1:63)),))))</f>
        <v/>
      </c>
      <c r="E76" s="240" t="str">
        <f ca="1">IF(ROWS($1:63)&gt;COUNT(Dong3),"",OFFSET(TH!F$1,SMALL(Dong3,ROWS($1:63)),))</f>
        <v/>
      </c>
      <c r="F76" s="239" t="str">
        <f t="shared" ca="1" si="7"/>
        <v/>
      </c>
      <c r="G76" s="241">
        <f ca="1">IF(ROWS($1:63)&gt;COUNT(Dong3),0,IF(OFFSET(TH!K$1,SMALL(Dong3,ROWS($1:63)),)&lt;&gt;0,OFFSET(TH!K$1,SMALL(Dong3,ROWS($1:63)),),0))</f>
        <v>0</v>
      </c>
      <c r="H76" s="241">
        <f ca="1">IF(ROWS($1:63)&gt;COUNT(Dong3),0,IF(OFFSET(TH!M$1,SMALL(Dong3,ROWS($1:63)),)&lt;&gt;0,OFFSET(TH!M$1,SMALL(Dong3,ROWS($1:63)),),0))</f>
        <v>0</v>
      </c>
      <c r="I76" s="125">
        <f t="shared" ca="1" si="8"/>
        <v>0</v>
      </c>
      <c r="J76" s="128"/>
      <c r="K76" s="226"/>
    </row>
    <row r="77" spans="1:11" ht="16.5" customHeight="1">
      <c r="A77" s="127" t="str">
        <f t="shared" ca="1" si="6"/>
        <v/>
      </c>
      <c r="B77" s="239" t="str">
        <f ca="1">IF(ROWS($1:64)&gt;COUNT(Dong3),"",OFFSET(TH!E$1,SMALL(Dong3,ROWS($1:64)),))</f>
        <v/>
      </c>
      <c r="C77" s="239" t="str">
        <f ca="1">IF(ROWS($1:64)&gt;COUNT(Dong3),"",IF(LEFT((OFFSET(TH!D$1,SMALL(Dong3,ROWS($1:64)),)),1)&lt;&gt;"N","",(OFFSET(TH!D$1,SMALL(Dong3,ROWS($1:64)),)&amp;"/"&amp;OFFSET(TH!C$1,SMALL(Dong3,ROWS($1:64)),))))</f>
        <v/>
      </c>
      <c r="D77" s="239" t="str">
        <f ca="1">IF(ROWS($1:64)&gt;COUNT(Dong3),"",IF(LEFT((OFFSET(TH!D$1,SMALL(Dong3,ROWS($1:64)),)),1)&lt;&gt;"X","",(OFFSET(TH!D$1,SMALL(Dong3,ROWS($1:64)),)&amp;"/"&amp;OFFSET(TH!C$1,SMALL(Dong3,ROWS($1:64)),))))</f>
        <v/>
      </c>
      <c r="E77" s="240" t="str">
        <f ca="1">IF(ROWS($1:64)&gt;COUNT(Dong3),"",OFFSET(TH!F$1,SMALL(Dong3,ROWS($1:64)),))</f>
        <v/>
      </c>
      <c r="F77" s="239" t="str">
        <f t="shared" ca="1" si="7"/>
        <v/>
      </c>
      <c r="G77" s="241">
        <f ca="1">IF(ROWS($1:64)&gt;COUNT(Dong3),0,IF(OFFSET(TH!K$1,SMALL(Dong3,ROWS($1:64)),)&lt;&gt;0,OFFSET(TH!K$1,SMALL(Dong3,ROWS($1:64)),),0))</f>
        <v>0</v>
      </c>
      <c r="H77" s="241">
        <f ca="1">IF(ROWS($1:64)&gt;COUNT(Dong3),0,IF(OFFSET(TH!M$1,SMALL(Dong3,ROWS($1:64)),)&lt;&gt;0,OFFSET(TH!M$1,SMALL(Dong3,ROWS($1:64)),),0))</f>
        <v>0</v>
      </c>
      <c r="I77" s="125">
        <f t="shared" ca="1" si="8"/>
        <v>0</v>
      </c>
      <c r="J77" s="128"/>
      <c r="K77" s="226"/>
    </row>
    <row r="78" spans="1:11" ht="16.5" customHeight="1">
      <c r="A78" s="127" t="str">
        <f t="shared" ca="1" si="6"/>
        <v/>
      </c>
      <c r="B78" s="239" t="str">
        <f ca="1">IF(ROWS($1:65)&gt;COUNT(Dong3),"",OFFSET(TH!E$1,SMALL(Dong3,ROWS($1:65)),))</f>
        <v/>
      </c>
      <c r="C78" s="239" t="str">
        <f ca="1">IF(ROWS($1:65)&gt;COUNT(Dong3),"",IF(LEFT((OFFSET(TH!D$1,SMALL(Dong3,ROWS($1:65)),)),1)&lt;&gt;"N","",(OFFSET(TH!D$1,SMALL(Dong3,ROWS($1:65)),)&amp;"/"&amp;OFFSET(TH!C$1,SMALL(Dong3,ROWS($1:65)),))))</f>
        <v/>
      </c>
      <c r="D78" s="239" t="str">
        <f ca="1">IF(ROWS($1:65)&gt;COUNT(Dong3),"",IF(LEFT((OFFSET(TH!D$1,SMALL(Dong3,ROWS($1:65)),)),1)&lt;&gt;"X","",(OFFSET(TH!D$1,SMALL(Dong3,ROWS($1:65)),)&amp;"/"&amp;OFFSET(TH!C$1,SMALL(Dong3,ROWS($1:65)),))))</f>
        <v/>
      </c>
      <c r="E78" s="240" t="str">
        <f ca="1">IF(ROWS($1:65)&gt;COUNT(Dong3),"",OFFSET(TH!F$1,SMALL(Dong3,ROWS($1:65)),))</f>
        <v/>
      </c>
      <c r="F78" s="239" t="str">
        <f t="shared" ca="1" si="7"/>
        <v/>
      </c>
      <c r="G78" s="241">
        <f ca="1">IF(ROWS($1:65)&gt;COUNT(Dong3),0,IF(OFFSET(TH!K$1,SMALL(Dong3,ROWS($1:65)),)&lt;&gt;0,OFFSET(TH!K$1,SMALL(Dong3,ROWS($1:65)),),0))</f>
        <v>0</v>
      </c>
      <c r="H78" s="241">
        <f ca="1">IF(ROWS($1:65)&gt;COUNT(Dong3),0,IF(OFFSET(TH!M$1,SMALL(Dong3,ROWS($1:65)),)&lt;&gt;0,OFFSET(TH!M$1,SMALL(Dong3,ROWS($1:65)),),0))</f>
        <v>0</v>
      </c>
      <c r="I78" s="125">
        <f t="shared" ca="1" si="8"/>
        <v>0</v>
      </c>
      <c r="J78" s="128"/>
      <c r="K78" s="226"/>
    </row>
    <row r="79" spans="1:11" ht="16.5" customHeight="1">
      <c r="A79" s="127" t="str">
        <f t="shared" ca="1" si="6"/>
        <v/>
      </c>
      <c r="B79" s="239" t="str">
        <f ca="1">IF(ROWS($1:66)&gt;COUNT(Dong3),"",OFFSET(TH!E$1,SMALL(Dong3,ROWS($1:66)),))</f>
        <v/>
      </c>
      <c r="C79" s="239" t="str">
        <f ca="1">IF(ROWS($1:66)&gt;COUNT(Dong3),"",IF(LEFT((OFFSET(TH!D$1,SMALL(Dong3,ROWS($1:66)),)),1)&lt;&gt;"N","",(OFFSET(TH!D$1,SMALL(Dong3,ROWS($1:66)),)&amp;"/"&amp;OFFSET(TH!C$1,SMALL(Dong3,ROWS($1:66)),))))</f>
        <v/>
      </c>
      <c r="D79" s="239" t="str">
        <f ca="1">IF(ROWS($1:66)&gt;COUNT(Dong3),"",IF(LEFT((OFFSET(TH!D$1,SMALL(Dong3,ROWS($1:66)),)),1)&lt;&gt;"X","",(OFFSET(TH!D$1,SMALL(Dong3,ROWS($1:66)),)&amp;"/"&amp;OFFSET(TH!C$1,SMALL(Dong3,ROWS($1:66)),))))</f>
        <v/>
      </c>
      <c r="E79" s="240" t="str">
        <f ca="1">IF(ROWS($1:66)&gt;COUNT(Dong3),"",OFFSET(TH!F$1,SMALL(Dong3,ROWS($1:66)),))</f>
        <v/>
      </c>
      <c r="F79" s="239" t="str">
        <f t="shared" ca="1" si="7"/>
        <v/>
      </c>
      <c r="G79" s="241">
        <f ca="1">IF(ROWS($1:66)&gt;COUNT(Dong3),0,IF(OFFSET(TH!K$1,SMALL(Dong3,ROWS($1:66)),)&lt;&gt;0,OFFSET(TH!K$1,SMALL(Dong3,ROWS($1:66)),),0))</f>
        <v>0</v>
      </c>
      <c r="H79" s="241">
        <f ca="1">IF(ROWS($1:66)&gt;COUNT(Dong3),0,IF(OFFSET(TH!M$1,SMALL(Dong3,ROWS($1:66)),)&lt;&gt;0,OFFSET(TH!M$1,SMALL(Dong3,ROWS($1:66)),),0))</f>
        <v>0</v>
      </c>
      <c r="I79" s="125">
        <f t="shared" ca="1" si="8"/>
        <v>0</v>
      </c>
      <c r="J79" s="128"/>
      <c r="K79" s="226"/>
    </row>
    <row r="80" spans="1:11" ht="16.5" customHeight="1">
      <c r="A80" s="127" t="str">
        <f t="shared" ca="1" si="6"/>
        <v/>
      </c>
      <c r="B80" s="239" t="str">
        <f ca="1">IF(ROWS($1:67)&gt;COUNT(Dong3),"",OFFSET(TH!E$1,SMALL(Dong3,ROWS($1:67)),))</f>
        <v/>
      </c>
      <c r="C80" s="239" t="str">
        <f ca="1">IF(ROWS($1:67)&gt;COUNT(Dong3),"",IF(LEFT((OFFSET(TH!D$1,SMALL(Dong3,ROWS($1:67)),)),1)&lt;&gt;"N","",(OFFSET(TH!D$1,SMALL(Dong3,ROWS($1:67)),)&amp;"/"&amp;OFFSET(TH!C$1,SMALL(Dong3,ROWS($1:67)),))))</f>
        <v/>
      </c>
      <c r="D80" s="239" t="str">
        <f ca="1">IF(ROWS($1:67)&gt;COUNT(Dong3),"",IF(LEFT((OFFSET(TH!D$1,SMALL(Dong3,ROWS($1:67)),)),1)&lt;&gt;"X","",(OFFSET(TH!D$1,SMALL(Dong3,ROWS($1:67)),)&amp;"/"&amp;OFFSET(TH!C$1,SMALL(Dong3,ROWS($1:67)),))))</f>
        <v/>
      </c>
      <c r="E80" s="240" t="str">
        <f ca="1">IF(ROWS($1:67)&gt;COUNT(Dong3),"",OFFSET(TH!F$1,SMALL(Dong3,ROWS($1:67)),))</f>
        <v/>
      </c>
      <c r="F80" s="239" t="str">
        <f t="shared" ca="1" si="7"/>
        <v/>
      </c>
      <c r="G80" s="241">
        <f ca="1">IF(ROWS($1:67)&gt;COUNT(Dong3),0,IF(OFFSET(TH!K$1,SMALL(Dong3,ROWS($1:67)),)&lt;&gt;0,OFFSET(TH!K$1,SMALL(Dong3,ROWS($1:67)),),0))</f>
        <v>0</v>
      </c>
      <c r="H80" s="241">
        <f ca="1">IF(ROWS($1:67)&gt;COUNT(Dong3),0,IF(OFFSET(TH!M$1,SMALL(Dong3,ROWS($1:67)),)&lt;&gt;0,OFFSET(TH!M$1,SMALL(Dong3,ROWS($1:67)),),0))</f>
        <v>0</v>
      </c>
      <c r="I80" s="125">
        <f t="shared" ca="1" si="8"/>
        <v>0</v>
      </c>
      <c r="J80" s="128"/>
      <c r="K80" s="226"/>
    </row>
    <row r="81" spans="1:11" ht="16.5" customHeight="1">
      <c r="A81" s="127" t="str">
        <f t="shared" ca="1" si="6"/>
        <v/>
      </c>
      <c r="B81" s="239" t="str">
        <f ca="1">IF(ROWS($1:68)&gt;COUNT(Dong3),"",OFFSET(TH!E$1,SMALL(Dong3,ROWS($1:68)),))</f>
        <v/>
      </c>
      <c r="C81" s="239" t="str">
        <f ca="1">IF(ROWS($1:68)&gt;COUNT(Dong3),"",IF(LEFT((OFFSET(TH!D$1,SMALL(Dong3,ROWS($1:68)),)),1)&lt;&gt;"N","",(OFFSET(TH!D$1,SMALL(Dong3,ROWS($1:68)),)&amp;"/"&amp;OFFSET(TH!C$1,SMALL(Dong3,ROWS($1:68)),))))</f>
        <v/>
      </c>
      <c r="D81" s="239" t="str">
        <f ca="1">IF(ROWS($1:68)&gt;COUNT(Dong3),"",IF(LEFT((OFFSET(TH!D$1,SMALL(Dong3,ROWS($1:68)),)),1)&lt;&gt;"X","",(OFFSET(TH!D$1,SMALL(Dong3,ROWS($1:68)),)&amp;"/"&amp;OFFSET(TH!C$1,SMALL(Dong3,ROWS($1:68)),))))</f>
        <v/>
      </c>
      <c r="E81" s="240" t="str">
        <f ca="1">IF(ROWS($1:68)&gt;COUNT(Dong3),"",OFFSET(TH!F$1,SMALL(Dong3,ROWS($1:68)),))</f>
        <v/>
      </c>
      <c r="F81" s="239" t="str">
        <f t="shared" ca="1" si="7"/>
        <v/>
      </c>
      <c r="G81" s="241">
        <f ca="1">IF(ROWS($1:68)&gt;COUNT(Dong3),0,IF(OFFSET(TH!K$1,SMALL(Dong3,ROWS($1:68)),)&lt;&gt;0,OFFSET(TH!K$1,SMALL(Dong3,ROWS($1:68)),),0))</f>
        <v>0</v>
      </c>
      <c r="H81" s="241">
        <f ca="1">IF(ROWS($1:68)&gt;COUNT(Dong3),0,IF(OFFSET(TH!M$1,SMALL(Dong3,ROWS($1:68)),)&lt;&gt;0,OFFSET(TH!M$1,SMALL(Dong3,ROWS($1:68)),),0))</f>
        <v>0</v>
      </c>
      <c r="I81" s="125">
        <f t="shared" ca="1" si="8"/>
        <v>0</v>
      </c>
      <c r="J81" s="128"/>
      <c r="K81" s="226"/>
    </row>
    <row r="82" spans="1:11" ht="16.5" customHeight="1">
      <c r="A82" s="127" t="str">
        <f t="shared" ca="1" si="6"/>
        <v/>
      </c>
      <c r="B82" s="239" t="str">
        <f ca="1">IF(ROWS($1:69)&gt;COUNT(Dong3),"",OFFSET(TH!E$1,SMALL(Dong3,ROWS($1:69)),))</f>
        <v/>
      </c>
      <c r="C82" s="239" t="str">
        <f ca="1">IF(ROWS($1:69)&gt;COUNT(Dong3),"",IF(LEFT((OFFSET(TH!D$1,SMALL(Dong3,ROWS($1:69)),)),1)&lt;&gt;"N","",(OFFSET(TH!D$1,SMALL(Dong3,ROWS($1:69)),)&amp;"/"&amp;OFFSET(TH!C$1,SMALL(Dong3,ROWS($1:69)),))))</f>
        <v/>
      </c>
      <c r="D82" s="239" t="str">
        <f ca="1">IF(ROWS($1:69)&gt;COUNT(Dong3),"",IF(LEFT((OFFSET(TH!D$1,SMALL(Dong3,ROWS($1:69)),)),1)&lt;&gt;"X","",(OFFSET(TH!D$1,SMALL(Dong3,ROWS($1:69)),)&amp;"/"&amp;OFFSET(TH!C$1,SMALL(Dong3,ROWS($1:69)),))))</f>
        <v/>
      </c>
      <c r="E82" s="240" t="str">
        <f ca="1">IF(ROWS($1:69)&gt;COUNT(Dong3),"",OFFSET(TH!F$1,SMALL(Dong3,ROWS($1:69)),))</f>
        <v/>
      </c>
      <c r="F82" s="239" t="str">
        <f t="shared" ca="1" si="7"/>
        <v/>
      </c>
      <c r="G82" s="241">
        <f ca="1">IF(ROWS($1:69)&gt;COUNT(Dong3),0,IF(OFFSET(TH!K$1,SMALL(Dong3,ROWS($1:69)),)&lt;&gt;0,OFFSET(TH!K$1,SMALL(Dong3,ROWS($1:69)),),0))</f>
        <v>0</v>
      </c>
      <c r="H82" s="241">
        <f ca="1">IF(ROWS($1:69)&gt;COUNT(Dong3),0,IF(OFFSET(TH!M$1,SMALL(Dong3,ROWS($1:69)),)&lt;&gt;0,OFFSET(TH!M$1,SMALL(Dong3,ROWS($1:69)),),0))</f>
        <v>0</v>
      </c>
      <c r="I82" s="125">
        <f t="shared" ca="1" si="8"/>
        <v>0</v>
      </c>
      <c r="J82" s="128"/>
      <c r="K82" s="226"/>
    </row>
    <row r="83" spans="1:11" ht="16.5" customHeight="1">
      <c r="A83" s="127" t="str">
        <f t="shared" ca="1" si="6"/>
        <v/>
      </c>
      <c r="B83" s="239" t="str">
        <f ca="1">IF(ROWS($1:70)&gt;COUNT(Dong3),"",OFFSET(TH!E$1,SMALL(Dong3,ROWS($1:70)),))</f>
        <v/>
      </c>
      <c r="C83" s="239" t="str">
        <f ca="1">IF(ROWS($1:70)&gt;COUNT(Dong3),"",IF(LEFT((OFFSET(TH!D$1,SMALL(Dong3,ROWS($1:70)),)),1)&lt;&gt;"N","",(OFFSET(TH!D$1,SMALL(Dong3,ROWS($1:70)),)&amp;"/"&amp;OFFSET(TH!C$1,SMALL(Dong3,ROWS($1:70)),))))</f>
        <v/>
      </c>
      <c r="D83" s="239" t="str">
        <f ca="1">IF(ROWS($1:70)&gt;COUNT(Dong3),"",IF(LEFT((OFFSET(TH!D$1,SMALL(Dong3,ROWS($1:70)),)),1)&lt;&gt;"X","",(OFFSET(TH!D$1,SMALL(Dong3,ROWS($1:70)),)&amp;"/"&amp;OFFSET(TH!C$1,SMALL(Dong3,ROWS($1:70)),))))</f>
        <v/>
      </c>
      <c r="E83" s="240" t="str">
        <f ca="1">IF(ROWS($1:70)&gt;COUNT(Dong3),"",OFFSET(TH!F$1,SMALL(Dong3,ROWS($1:70)),))</f>
        <v/>
      </c>
      <c r="F83" s="239" t="str">
        <f t="shared" ca="1" si="7"/>
        <v/>
      </c>
      <c r="G83" s="241">
        <f ca="1">IF(ROWS($1:70)&gt;COUNT(Dong3),0,IF(OFFSET(TH!K$1,SMALL(Dong3,ROWS($1:70)),)&lt;&gt;0,OFFSET(TH!K$1,SMALL(Dong3,ROWS($1:70)),),0))</f>
        <v>0</v>
      </c>
      <c r="H83" s="241">
        <f ca="1">IF(ROWS($1:70)&gt;COUNT(Dong3),0,IF(OFFSET(TH!M$1,SMALL(Dong3,ROWS($1:70)),)&lt;&gt;0,OFFSET(TH!M$1,SMALL(Dong3,ROWS($1:70)),),0))</f>
        <v>0</v>
      </c>
      <c r="I83" s="125">
        <f t="shared" ca="1" si="8"/>
        <v>0</v>
      </c>
      <c r="J83" s="128"/>
      <c r="K83" s="226"/>
    </row>
    <row r="84" spans="1:11" ht="16.5" customHeight="1">
      <c r="A84" s="127" t="str">
        <f t="shared" ca="1" si="6"/>
        <v/>
      </c>
      <c r="B84" s="239" t="str">
        <f ca="1">IF(ROWS($1:71)&gt;COUNT(Dong3),"",OFFSET(TH!E$1,SMALL(Dong3,ROWS($1:71)),))</f>
        <v/>
      </c>
      <c r="C84" s="239" t="str">
        <f ca="1">IF(ROWS($1:71)&gt;COUNT(Dong3),"",IF(LEFT((OFFSET(TH!D$1,SMALL(Dong3,ROWS($1:71)),)),1)&lt;&gt;"N","",(OFFSET(TH!D$1,SMALL(Dong3,ROWS($1:71)),)&amp;"/"&amp;OFFSET(TH!C$1,SMALL(Dong3,ROWS($1:71)),))))</f>
        <v/>
      </c>
      <c r="D84" s="239" t="str">
        <f ca="1">IF(ROWS($1:71)&gt;COUNT(Dong3),"",IF(LEFT((OFFSET(TH!D$1,SMALL(Dong3,ROWS($1:71)),)),1)&lt;&gt;"X","",(OFFSET(TH!D$1,SMALL(Dong3,ROWS($1:71)),)&amp;"/"&amp;OFFSET(TH!C$1,SMALL(Dong3,ROWS($1:71)),))))</f>
        <v/>
      </c>
      <c r="E84" s="240" t="str">
        <f ca="1">IF(ROWS($1:71)&gt;COUNT(Dong3),"",OFFSET(TH!F$1,SMALL(Dong3,ROWS($1:71)),))</f>
        <v/>
      </c>
      <c r="F84" s="239" t="str">
        <f t="shared" ca="1" si="7"/>
        <v/>
      </c>
      <c r="G84" s="241">
        <f ca="1">IF(ROWS($1:71)&gt;COUNT(Dong3),0,IF(OFFSET(TH!K$1,SMALL(Dong3,ROWS($1:71)),)&lt;&gt;0,OFFSET(TH!K$1,SMALL(Dong3,ROWS($1:71)),),0))</f>
        <v>0</v>
      </c>
      <c r="H84" s="241">
        <f ca="1">IF(ROWS($1:71)&gt;COUNT(Dong3),0,IF(OFFSET(TH!M$1,SMALL(Dong3,ROWS($1:71)),)&lt;&gt;0,OFFSET(TH!M$1,SMALL(Dong3,ROWS($1:71)),),0))</f>
        <v>0</v>
      </c>
      <c r="I84" s="125">
        <f t="shared" ca="1" si="8"/>
        <v>0</v>
      </c>
      <c r="J84" s="128"/>
      <c r="K84" s="226"/>
    </row>
    <row r="85" spans="1:11" ht="16.5" customHeight="1">
      <c r="A85" s="127" t="str">
        <f t="shared" ca="1" si="6"/>
        <v/>
      </c>
      <c r="B85" s="239" t="str">
        <f ca="1">IF(ROWS($1:72)&gt;COUNT(Dong3),"",OFFSET(TH!E$1,SMALL(Dong3,ROWS($1:72)),))</f>
        <v/>
      </c>
      <c r="C85" s="239" t="str">
        <f ca="1">IF(ROWS($1:72)&gt;COUNT(Dong3),"",IF(LEFT((OFFSET(TH!D$1,SMALL(Dong3,ROWS($1:72)),)),1)&lt;&gt;"N","",(OFFSET(TH!D$1,SMALL(Dong3,ROWS($1:72)),)&amp;"/"&amp;OFFSET(TH!C$1,SMALL(Dong3,ROWS($1:72)),))))</f>
        <v/>
      </c>
      <c r="D85" s="239" t="str">
        <f ca="1">IF(ROWS($1:72)&gt;COUNT(Dong3),"",IF(LEFT((OFFSET(TH!D$1,SMALL(Dong3,ROWS($1:72)),)),1)&lt;&gt;"X","",(OFFSET(TH!D$1,SMALL(Dong3,ROWS($1:72)),)&amp;"/"&amp;OFFSET(TH!C$1,SMALL(Dong3,ROWS($1:72)),))))</f>
        <v/>
      </c>
      <c r="E85" s="240" t="str">
        <f ca="1">IF(ROWS($1:72)&gt;COUNT(Dong3),"",OFFSET(TH!F$1,SMALL(Dong3,ROWS($1:72)),))</f>
        <v/>
      </c>
      <c r="F85" s="239" t="str">
        <f t="shared" ca="1" si="7"/>
        <v/>
      </c>
      <c r="G85" s="241">
        <f ca="1">IF(ROWS($1:72)&gt;COUNT(Dong3),0,IF(OFFSET(TH!K$1,SMALL(Dong3,ROWS($1:72)),)&lt;&gt;0,OFFSET(TH!K$1,SMALL(Dong3,ROWS($1:72)),),0))</f>
        <v>0</v>
      </c>
      <c r="H85" s="241">
        <f ca="1">IF(ROWS($1:72)&gt;COUNT(Dong3),0,IF(OFFSET(TH!M$1,SMALL(Dong3,ROWS($1:72)),)&lt;&gt;0,OFFSET(TH!M$1,SMALL(Dong3,ROWS($1:72)),),0))</f>
        <v>0</v>
      </c>
      <c r="I85" s="125">
        <f t="shared" ca="1" si="8"/>
        <v>0</v>
      </c>
      <c r="J85" s="128"/>
      <c r="K85" s="226"/>
    </row>
    <row r="86" spans="1:11" ht="16.5" customHeight="1">
      <c r="A86" s="127" t="str">
        <f t="shared" ca="1" si="6"/>
        <v/>
      </c>
      <c r="B86" s="239" t="str">
        <f ca="1">IF(ROWS($1:73)&gt;COUNT(Dong3),"",OFFSET(TH!E$1,SMALL(Dong3,ROWS($1:73)),))</f>
        <v/>
      </c>
      <c r="C86" s="239" t="str">
        <f ca="1">IF(ROWS($1:73)&gt;COUNT(Dong3),"",IF(LEFT((OFFSET(TH!D$1,SMALL(Dong3,ROWS($1:73)),)),1)&lt;&gt;"N","",(OFFSET(TH!D$1,SMALL(Dong3,ROWS($1:73)),)&amp;"/"&amp;OFFSET(TH!C$1,SMALL(Dong3,ROWS($1:73)),))))</f>
        <v/>
      </c>
      <c r="D86" s="239" t="str">
        <f ca="1">IF(ROWS($1:73)&gt;COUNT(Dong3),"",IF(LEFT((OFFSET(TH!D$1,SMALL(Dong3,ROWS($1:73)),)),1)&lt;&gt;"X","",(OFFSET(TH!D$1,SMALL(Dong3,ROWS($1:73)),)&amp;"/"&amp;OFFSET(TH!C$1,SMALL(Dong3,ROWS($1:73)),))))</f>
        <v/>
      </c>
      <c r="E86" s="240" t="str">
        <f ca="1">IF(ROWS($1:73)&gt;COUNT(Dong3),"",OFFSET(TH!F$1,SMALL(Dong3,ROWS($1:73)),))</f>
        <v/>
      </c>
      <c r="F86" s="239" t="str">
        <f t="shared" ca="1" si="7"/>
        <v/>
      </c>
      <c r="G86" s="241">
        <f ca="1">IF(ROWS($1:73)&gt;COUNT(Dong3),0,IF(OFFSET(TH!K$1,SMALL(Dong3,ROWS($1:73)),)&lt;&gt;0,OFFSET(TH!K$1,SMALL(Dong3,ROWS($1:73)),),0))</f>
        <v>0</v>
      </c>
      <c r="H86" s="241">
        <f ca="1">IF(ROWS($1:73)&gt;COUNT(Dong3),0,IF(OFFSET(TH!M$1,SMALL(Dong3,ROWS($1:73)),)&lt;&gt;0,OFFSET(TH!M$1,SMALL(Dong3,ROWS($1:73)),),0))</f>
        <v>0</v>
      </c>
      <c r="I86" s="125">
        <f t="shared" ca="1" si="8"/>
        <v>0</v>
      </c>
      <c r="J86" s="128"/>
      <c r="K86" s="226"/>
    </row>
    <row r="87" spans="1:11" ht="16.5" customHeight="1">
      <c r="A87" s="127" t="str">
        <f t="shared" ca="1" si="6"/>
        <v/>
      </c>
      <c r="B87" s="239" t="str">
        <f ca="1">IF(ROWS($1:74)&gt;COUNT(Dong3),"",OFFSET(TH!E$1,SMALL(Dong3,ROWS($1:74)),))</f>
        <v/>
      </c>
      <c r="C87" s="239" t="str">
        <f ca="1">IF(ROWS($1:74)&gt;COUNT(Dong3),"",IF(LEFT((OFFSET(TH!D$1,SMALL(Dong3,ROWS($1:74)),)),1)&lt;&gt;"N","",(OFFSET(TH!D$1,SMALL(Dong3,ROWS($1:74)),)&amp;"/"&amp;OFFSET(TH!C$1,SMALL(Dong3,ROWS($1:74)),))))</f>
        <v/>
      </c>
      <c r="D87" s="239" t="str">
        <f ca="1">IF(ROWS($1:74)&gt;COUNT(Dong3),"",IF(LEFT((OFFSET(TH!D$1,SMALL(Dong3,ROWS($1:74)),)),1)&lt;&gt;"X","",(OFFSET(TH!D$1,SMALL(Dong3,ROWS($1:74)),)&amp;"/"&amp;OFFSET(TH!C$1,SMALL(Dong3,ROWS($1:74)),))))</f>
        <v/>
      </c>
      <c r="E87" s="240" t="str">
        <f ca="1">IF(ROWS($1:74)&gt;COUNT(Dong3),"",OFFSET(TH!F$1,SMALL(Dong3,ROWS($1:74)),))</f>
        <v/>
      </c>
      <c r="F87" s="239" t="str">
        <f t="shared" ca="1" si="7"/>
        <v/>
      </c>
      <c r="G87" s="241">
        <f ca="1">IF(ROWS($1:74)&gt;COUNT(Dong3),0,IF(OFFSET(TH!K$1,SMALL(Dong3,ROWS($1:74)),)&lt;&gt;0,OFFSET(TH!K$1,SMALL(Dong3,ROWS($1:74)),),0))</f>
        <v>0</v>
      </c>
      <c r="H87" s="241">
        <f ca="1">IF(ROWS($1:74)&gt;COUNT(Dong3),0,IF(OFFSET(TH!M$1,SMALL(Dong3,ROWS($1:74)),)&lt;&gt;0,OFFSET(TH!M$1,SMALL(Dong3,ROWS($1:74)),),0))</f>
        <v>0</v>
      </c>
      <c r="I87" s="125">
        <f t="shared" ca="1" si="8"/>
        <v>0</v>
      </c>
      <c r="J87" s="128"/>
      <c r="K87" s="226"/>
    </row>
    <row r="88" spans="1:11" ht="16.5" customHeight="1">
      <c r="A88" s="127" t="str">
        <f t="shared" ca="1" si="6"/>
        <v/>
      </c>
      <c r="B88" s="239" t="str">
        <f ca="1">IF(ROWS($1:75)&gt;COUNT(Dong3),"",OFFSET(TH!E$1,SMALL(Dong3,ROWS($1:75)),))</f>
        <v/>
      </c>
      <c r="C88" s="239" t="str">
        <f ca="1">IF(ROWS($1:75)&gt;COUNT(Dong3),"",IF(LEFT((OFFSET(TH!D$1,SMALL(Dong3,ROWS($1:75)),)),1)&lt;&gt;"N","",(OFFSET(TH!D$1,SMALL(Dong3,ROWS($1:75)),)&amp;"/"&amp;OFFSET(TH!C$1,SMALL(Dong3,ROWS($1:75)),))))</f>
        <v/>
      </c>
      <c r="D88" s="239" t="str">
        <f ca="1">IF(ROWS($1:75)&gt;COUNT(Dong3),"",IF(LEFT((OFFSET(TH!D$1,SMALL(Dong3,ROWS($1:75)),)),1)&lt;&gt;"X","",(OFFSET(TH!D$1,SMALL(Dong3,ROWS($1:75)),)&amp;"/"&amp;OFFSET(TH!C$1,SMALL(Dong3,ROWS($1:75)),))))</f>
        <v/>
      </c>
      <c r="E88" s="240" t="str">
        <f ca="1">IF(ROWS($1:75)&gt;COUNT(Dong3),"",OFFSET(TH!F$1,SMALL(Dong3,ROWS($1:75)),))</f>
        <v/>
      </c>
      <c r="F88" s="239" t="str">
        <f t="shared" ca="1" si="7"/>
        <v/>
      </c>
      <c r="G88" s="241">
        <f ca="1">IF(ROWS($1:75)&gt;COUNT(Dong3),0,IF(OFFSET(TH!K$1,SMALL(Dong3,ROWS($1:75)),)&lt;&gt;0,OFFSET(TH!K$1,SMALL(Dong3,ROWS($1:75)),),0))</f>
        <v>0</v>
      </c>
      <c r="H88" s="241">
        <f ca="1">IF(ROWS($1:75)&gt;COUNT(Dong3),0,IF(OFFSET(TH!M$1,SMALL(Dong3,ROWS($1:75)),)&lt;&gt;0,OFFSET(TH!M$1,SMALL(Dong3,ROWS($1:75)),),0))</f>
        <v>0</v>
      </c>
      <c r="I88" s="125">
        <f t="shared" ca="1" si="8"/>
        <v>0</v>
      </c>
      <c r="J88" s="128"/>
      <c r="K88" s="226"/>
    </row>
    <row r="89" spans="1:11" ht="16.5" customHeight="1">
      <c r="A89" s="127" t="str">
        <f t="shared" ca="1" si="6"/>
        <v/>
      </c>
      <c r="B89" s="239" t="str">
        <f ca="1">IF(ROWS($1:76)&gt;COUNT(Dong3),"",OFFSET(TH!E$1,SMALL(Dong3,ROWS($1:76)),))</f>
        <v/>
      </c>
      <c r="C89" s="239" t="str">
        <f ca="1">IF(ROWS($1:76)&gt;COUNT(Dong3),"",IF(LEFT((OFFSET(TH!D$1,SMALL(Dong3,ROWS($1:76)),)),1)&lt;&gt;"N","",(OFFSET(TH!D$1,SMALL(Dong3,ROWS($1:76)),)&amp;"/"&amp;OFFSET(TH!C$1,SMALL(Dong3,ROWS($1:76)),))))</f>
        <v/>
      </c>
      <c r="D89" s="239" t="str">
        <f ca="1">IF(ROWS($1:76)&gt;COUNT(Dong3),"",IF(LEFT((OFFSET(TH!D$1,SMALL(Dong3,ROWS($1:76)),)),1)&lt;&gt;"X","",(OFFSET(TH!D$1,SMALL(Dong3,ROWS($1:76)),)&amp;"/"&amp;OFFSET(TH!C$1,SMALL(Dong3,ROWS($1:76)),))))</f>
        <v/>
      </c>
      <c r="E89" s="240" t="str">
        <f ca="1">IF(ROWS($1:76)&gt;COUNT(Dong3),"",OFFSET(TH!F$1,SMALL(Dong3,ROWS($1:76)),))</f>
        <v/>
      </c>
      <c r="F89" s="239" t="str">
        <f t="shared" ca="1" si="7"/>
        <v/>
      </c>
      <c r="G89" s="241">
        <f ca="1">IF(ROWS($1:76)&gt;COUNT(Dong3),0,IF(OFFSET(TH!K$1,SMALL(Dong3,ROWS($1:76)),)&lt;&gt;0,OFFSET(TH!K$1,SMALL(Dong3,ROWS($1:76)),),0))</f>
        <v>0</v>
      </c>
      <c r="H89" s="241">
        <f ca="1">IF(ROWS($1:76)&gt;COUNT(Dong3),0,IF(OFFSET(TH!M$1,SMALL(Dong3,ROWS($1:76)),)&lt;&gt;0,OFFSET(TH!M$1,SMALL(Dong3,ROWS($1:76)),),0))</f>
        <v>0</v>
      </c>
      <c r="I89" s="125">
        <f t="shared" ca="1" si="8"/>
        <v>0</v>
      </c>
      <c r="J89" s="128"/>
      <c r="K89" s="226"/>
    </row>
    <row r="90" spans="1:11" ht="16.5" customHeight="1">
      <c r="A90" s="127" t="str">
        <f t="shared" ca="1" si="6"/>
        <v/>
      </c>
      <c r="B90" s="239" t="str">
        <f ca="1">IF(ROWS($1:77)&gt;COUNT(Dong3),"",OFFSET(TH!E$1,SMALL(Dong3,ROWS($1:77)),))</f>
        <v/>
      </c>
      <c r="C90" s="239" t="str">
        <f ca="1">IF(ROWS($1:77)&gt;COUNT(Dong3),"",IF(LEFT((OFFSET(TH!D$1,SMALL(Dong3,ROWS($1:77)),)),1)&lt;&gt;"N","",(OFFSET(TH!D$1,SMALL(Dong3,ROWS($1:77)),)&amp;"/"&amp;OFFSET(TH!C$1,SMALL(Dong3,ROWS($1:77)),))))</f>
        <v/>
      </c>
      <c r="D90" s="239" t="str">
        <f ca="1">IF(ROWS($1:77)&gt;COUNT(Dong3),"",IF(LEFT((OFFSET(TH!D$1,SMALL(Dong3,ROWS($1:77)),)),1)&lt;&gt;"X","",(OFFSET(TH!D$1,SMALL(Dong3,ROWS($1:77)),)&amp;"/"&amp;OFFSET(TH!C$1,SMALL(Dong3,ROWS($1:77)),))))</f>
        <v/>
      </c>
      <c r="E90" s="240" t="str">
        <f ca="1">IF(ROWS($1:77)&gt;COUNT(Dong3),"",OFFSET(TH!F$1,SMALL(Dong3,ROWS($1:77)),))</f>
        <v/>
      </c>
      <c r="F90" s="239" t="str">
        <f t="shared" ca="1" si="7"/>
        <v/>
      </c>
      <c r="G90" s="241">
        <f ca="1">IF(ROWS($1:77)&gt;COUNT(Dong3),0,IF(OFFSET(TH!K$1,SMALL(Dong3,ROWS($1:77)),)&lt;&gt;0,OFFSET(TH!K$1,SMALL(Dong3,ROWS($1:77)),),0))</f>
        <v>0</v>
      </c>
      <c r="H90" s="241">
        <f ca="1">IF(ROWS($1:77)&gt;COUNT(Dong3),0,IF(OFFSET(TH!M$1,SMALL(Dong3,ROWS($1:77)),)&lt;&gt;0,OFFSET(TH!M$1,SMALL(Dong3,ROWS($1:77)),),0))</f>
        <v>0</v>
      </c>
      <c r="I90" s="125">
        <f t="shared" ca="1" si="8"/>
        <v>0</v>
      </c>
      <c r="J90" s="128"/>
      <c r="K90" s="226"/>
    </row>
    <row r="91" spans="1:11" ht="16.5" customHeight="1">
      <c r="A91" s="127" t="str">
        <f t="shared" ca="1" si="6"/>
        <v/>
      </c>
      <c r="B91" s="239" t="str">
        <f ca="1">IF(ROWS($1:78)&gt;COUNT(Dong3),"",OFFSET(TH!E$1,SMALL(Dong3,ROWS($1:78)),))</f>
        <v/>
      </c>
      <c r="C91" s="239" t="str">
        <f ca="1">IF(ROWS($1:78)&gt;COUNT(Dong3),"",IF(LEFT((OFFSET(TH!D$1,SMALL(Dong3,ROWS($1:78)),)),1)&lt;&gt;"N","",(OFFSET(TH!D$1,SMALL(Dong3,ROWS($1:78)),)&amp;"/"&amp;OFFSET(TH!C$1,SMALL(Dong3,ROWS($1:78)),))))</f>
        <v/>
      </c>
      <c r="D91" s="239" t="str">
        <f ca="1">IF(ROWS($1:78)&gt;COUNT(Dong3),"",IF(LEFT((OFFSET(TH!D$1,SMALL(Dong3,ROWS($1:78)),)),1)&lt;&gt;"X","",(OFFSET(TH!D$1,SMALL(Dong3,ROWS($1:78)),)&amp;"/"&amp;OFFSET(TH!C$1,SMALL(Dong3,ROWS($1:78)),))))</f>
        <v/>
      </c>
      <c r="E91" s="240" t="str">
        <f ca="1">IF(ROWS($1:78)&gt;COUNT(Dong3),"",OFFSET(TH!F$1,SMALL(Dong3,ROWS($1:78)),))</f>
        <v/>
      </c>
      <c r="F91" s="239" t="str">
        <f t="shared" ca="1" si="7"/>
        <v/>
      </c>
      <c r="G91" s="241">
        <f ca="1">IF(ROWS($1:78)&gt;COUNT(Dong3),0,IF(OFFSET(TH!K$1,SMALL(Dong3,ROWS($1:78)),)&lt;&gt;0,OFFSET(TH!K$1,SMALL(Dong3,ROWS($1:78)),),0))</f>
        <v>0</v>
      </c>
      <c r="H91" s="241">
        <f ca="1">IF(ROWS($1:78)&gt;COUNT(Dong3),0,IF(OFFSET(TH!M$1,SMALL(Dong3,ROWS($1:78)),)&lt;&gt;0,OFFSET(TH!M$1,SMALL(Dong3,ROWS($1:78)),),0))</f>
        <v>0</v>
      </c>
      <c r="I91" s="125">
        <f t="shared" ca="1" si="8"/>
        <v>0</v>
      </c>
      <c r="J91" s="128"/>
      <c r="K91" s="226"/>
    </row>
    <row r="92" spans="1:11" ht="16.5" customHeight="1">
      <c r="A92" s="127" t="str">
        <f t="shared" ca="1" si="6"/>
        <v/>
      </c>
      <c r="B92" s="239" t="str">
        <f ca="1">IF(ROWS($1:79)&gt;COUNT(Dong3),"",OFFSET(TH!E$1,SMALL(Dong3,ROWS($1:79)),))</f>
        <v/>
      </c>
      <c r="C92" s="239" t="str">
        <f ca="1">IF(ROWS($1:79)&gt;COUNT(Dong3),"",IF(LEFT((OFFSET(TH!D$1,SMALL(Dong3,ROWS($1:79)),)),1)&lt;&gt;"N","",(OFFSET(TH!D$1,SMALL(Dong3,ROWS($1:79)),)&amp;"/"&amp;OFFSET(TH!C$1,SMALL(Dong3,ROWS($1:79)),))))</f>
        <v/>
      </c>
      <c r="D92" s="239" t="str">
        <f ca="1">IF(ROWS($1:79)&gt;COUNT(Dong3),"",IF(LEFT((OFFSET(TH!D$1,SMALL(Dong3,ROWS($1:79)),)),1)&lt;&gt;"X","",(OFFSET(TH!D$1,SMALL(Dong3,ROWS($1:79)),)&amp;"/"&amp;OFFSET(TH!C$1,SMALL(Dong3,ROWS($1:79)),))))</f>
        <v/>
      </c>
      <c r="E92" s="240" t="str">
        <f ca="1">IF(ROWS($1:79)&gt;COUNT(Dong3),"",OFFSET(TH!F$1,SMALL(Dong3,ROWS($1:79)),))</f>
        <v/>
      </c>
      <c r="F92" s="239" t="str">
        <f t="shared" ca="1" si="7"/>
        <v/>
      </c>
      <c r="G92" s="241">
        <f ca="1">IF(ROWS($1:79)&gt;COUNT(Dong3),0,IF(OFFSET(TH!K$1,SMALL(Dong3,ROWS($1:79)),)&lt;&gt;0,OFFSET(TH!K$1,SMALL(Dong3,ROWS($1:79)),),0))</f>
        <v>0</v>
      </c>
      <c r="H92" s="241">
        <f ca="1">IF(ROWS($1:79)&gt;COUNT(Dong3),0,IF(OFFSET(TH!M$1,SMALL(Dong3,ROWS($1:79)),)&lt;&gt;0,OFFSET(TH!M$1,SMALL(Dong3,ROWS($1:79)),),0))</f>
        <v>0</v>
      </c>
      <c r="I92" s="125">
        <f t="shared" ca="1" si="8"/>
        <v>0</v>
      </c>
      <c r="J92" s="128"/>
      <c r="K92" s="226"/>
    </row>
    <row r="93" spans="1:11" ht="16.5" customHeight="1">
      <c r="A93" s="127" t="str">
        <f t="shared" ca="1" si="6"/>
        <v/>
      </c>
      <c r="B93" s="239" t="str">
        <f ca="1">IF(ROWS($1:80)&gt;COUNT(Dong3),"",OFFSET(TH!E$1,SMALL(Dong3,ROWS($1:80)),))</f>
        <v/>
      </c>
      <c r="C93" s="239" t="str">
        <f ca="1">IF(ROWS($1:80)&gt;COUNT(Dong3),"",IF(LEFT((OFFSET(TH!D$1,SMALL(Dong3,ROWS($1:80)),)),1)&lt;&gt;"N","",(OFFSET(TH!D$1,SMALL(Dong3,ROWS($1:80)),)&amp;"/"&amp;OFFSET(TH!C$1,SMALL(Dong3,ROWS($1:80)),))))</f>
        <v/>
      </c>
      <c r="D93" s="239" t="str">
        <f ca="1">IF(ROWS($1:80)&gt;COUNT(Dong3),"",IF(LEFT((OFFSET(TH!D$1,SMALL(Dong3,ROWS($1:80)),)),1)&lt;&gt;"X","",(OFFSET(TH!D$1,SMALL(Dong3,ROWS($1:80)),)&amp;"/"&amp;OFFSET(TH!C$1,SMALL(Dong3,ROWS($1:80)),))))</f>
        <v/>
      </c>
      <c r="E93" s="240" t="str">
        <f ca="1">IF(ROWS($1:80)&gt;COUNT(Dong3),"",OFFSET(TH!F$1,SMALL(Dong3,ROWS($1:80)),))</f>
        <v/>
      </c>
      <c r="F93" s="239" t="str">
        <f t="shared" ca="1" si="7"/>
        <v/>
      </c>
      <c r="G93" s="241">
        <f ca="1">IF(ROWS($1:80)&gt;COUNT(Dong3),0,IF(OFFSET(TH!K$1,SMALL(Dong3,ROWS($1:80)),)&lt;&gt;0,OFFSET(TH!K$1,SMALL(Dong3,ROWS($1:80)),),0))</f>
        <v>0</v>
      </c>
      <c r="H93" s="241">
        <f ca="1">IF(ROWS($1:80)&gt;COUNT(Dong3),0,IF(OFFSET(TH!M$1,SMALL(Dong3,ROWS($1:80)),)&lt;&gt;0,OFFSET(TH!M$1,SMALL(Dong3,ROWS($1:80)),),0))</f>
        <v>0</v>
      </c>
      <c r="I93" s="125">
        <f t="shared" ca="1" si="8"/>
        <v>0</v>
      </c>
      <c r="J93" s="128"/>
      <c r="K93" s="226"/>
    </row>
    <row r="94" spans="1:11" ht="16.5" customHeight="1">
      <c r="A94" s="127" t="str">
        <f t="shared" ca="1" si="6"/>
        <v/>
      </c>
      <c r="B94" s="239" t="str">
        <f ca="1">IF(ROWS($1:81)&gt;COUNT(Dong3),"",OFFSET(TH!E$1,SMALL(Dong3,ROWS($1:81)),))</f>
        <v/>
      </c>
      <c r="C94" s="239" t="str">
        <f ca="1">IF(ROWS($1:81)&gt;COUNT(Dong3),"",IF(LEFT((OFFSET(TH!D$1,SMALL(Dong3,ROWS($1:81)),)),1)&lt;&gt;"N","",(OFFSET(TH!D$1,SMALL(Dong3,ROWS($1:81)),)&amp;"/"&amp;OFFSET(TH!C$1,SMALL(Dong3,ROWS($1:81)),))))</f>
        <v/>
      </c>
      <c r="D94" s="239" t="str">
        <f ca="1">IF(ROWS($1:81)&gt;COUNT(Dong3),"",IF(LEFT((OFFSET(TH!D$1,SMALL(Dong3,ROWS($1:81)),)),1)&lt;&gt;"X","",(OFFSET(TH!D$1,SMALL(Dong3,ROWS($1:81)),)&amp;"/"&amp;OFFSET(TH!C$1,SMALL(Dong3,ROWS($1:81)),))))</f>
        <v/>
      </c>
      <c r="E94" s="240" t="str">
        <f ca="1">IF(ROWS($1:81)&gt;COUNT(Dong3),"",OFFSET(TH!F$1,SMALL(Dong3,ROWS($1:81)),))</f>
        <v/>
      </c>
      <c r="F94" s="239" t="str">
        <f t="shared" ca="1" si="7"/>
        <v/>
      </c>
      <c r="G94" s="241">
        <f ca="1">IF(ROWS($1:81)&gt;COUNT(Dong3),0,IF(OFFSET(TH!K$1,SMALL(Dong3,ROWS($1:81)),)&lt;&gt;0,OFFSET(TH!K$1,SMALL(Dong3,ROWS($1:81)),),0))</f>
        <v>0</v>
      </c>
      <c r="H94" s="241">
        <f ca="1">IF(ROWS($1:81)&gt;COUNT(Dong3),0,IF(OFFSET(TH!M$1,SMALL(Dong3,ROWS($1:81)),)&lt;&gt;0,OFFSET(TH!M$1,SMALL(Dong3,ROWS($1:81)),),0))</f>
        <v>0</v>
      </c>
      <c r="I94" s="125">
        <f t="shared" ca="1" si="8"/>
        <v>0</v>
      </c>
      <c r="J94" s="128"/>
      <c r="K94" s="226"/>
    </row>
    <row r="95" spans="1:11" ht="16.5" customHeight="1">
      <c r="A95" s="127" t="str">
        <f t="shared" ca="1" si="6"/>
        <v/>
      </c>
      <c r="B95" s="239" t="str">
        <f ca="1">IF(ROWS($1:82)&gt;COUNT(Dong3),"",OFFSET(TH!E$1,SMALL(Dong3,ROWS($1:82)),))</f>
        <v/>
      </c>
      <c r="C95" s="239" t="str">
        <f ca="1">IF(ROWS($1:82)&gt;COUNT(Dong3),"",IF(LEFT((OFFSET(TH!D$1,SMALL(Dong3,ROWS($1:82)),)),1)&lt;&gt;"N","",(OFFSET(TH!D$1,SMALL(Dong3,ROWS($1:82)),)&amp;"/"&amp;OFFSET(TH!C$1,SMALL(Dong3,ROWS($1:82)),))))</f>
        <v/>
      </c>
      <c r="D95" s="239" t="str">
        <f ca="1">IF(ROWS($1:82)&gt;COUNT(Dong3),"",IF(LEFT((OFFSET(TH!D$1,SMALL(Dong3,ROWS($1:82)),)),1)&lt;&gt;"X","",(OFFSET(TH!D$1,SMALL(Dong3,ROWS($1:82)),)&amp;"/"&amp;OFFSET(TH!C$1,SMALL(Dong3,ROWS($1:82)),))))</f>
        <v/>
      </c>
      <c r="E95" s="240" t="str">
        <f ca="1">IF(ROWS($1:82)&gt;COUNT(Dong3),"",OFFSET(TH!F$1,SMALL(Dong3,ROWS($1:82)),))</f>
        <v/>
      </c>
      <c r="F95" s="239" t="str">
        <f t="shared" ca="1" si="7"/>
        <v/>
      </c>
      <c r="G95" s="241">
        <f ca="1">IF(ROWS($1:82)&gt;COUNT(Dong3),0,IF(OFFSET(TH!K$1,SMALL(Dong3,ROWS($1:82)),)&lt;&gt;0,OFFSET(TH!K$1,SMALL(Dong3,ROWS($1:82)),),0))</f>
        <v>0</v>
      </c>
      <c r="H95" s="241">
        <f ca="1">IF(ROWS($1:82)&gt;COUNT(Dong3),0,IF(OFFSET(TH!M$1,SMALL(Dong3,ROWS($1:82)),)&lt;&gt;0,OFFSET(TH!M$1,SMALL(Dong3,ROWS($1:82)),),0))</f>
        <v>0</v>
      </c>
      <c r="I95" s="125">
        <f t="shared" ca="1" si="8"/>
        <v>0</v>
      </c>
      <c r="J95" s="128"/>
      <c r="K95" s="226"/>
    </row>
    <row r="96" spans="1:11" ht="16.5" customHeight="1">
      <c r="A96" s="127" t="str">
        <f t="shared" ca="1" si="6"/>
        <v/>
      </c>
      <c r="B96" s="239" t="str">
        <f ca="1">IF(ROWS($1:83)&gt;COUNT(Dong3),"",OFFSET(TH!E$1,SMALL(Dong3,ROWS($1:83)),))</f>
        <v/>
      </c>
      <c r="C96" s="239" t="str">
        <f ca="1">IF(ROWS($1:83)&gt;COUNT(Dong3),"",IF(LEFT((OFFSET(TH!D$1,SMALL(Dong3,ROWS($1:83)),)),1)&lt;&gt;"N","",(OFFSET(TH!D$1,SMALL(Dong3,ROWS($1:83)),)&amp;"/"&amp;OFFSET(TH!C$1,SMALL(Dong3,ROWS($1:83)),))))</f>
        <v/>
      </c>
      <c r="D96" s="239" t="str">
        <f ca="1">IF(ROWS($1:83)&gt;COUNT(Dong3),"",IF(LEFT((OFFSET(TH!D$1,SMALL(Dong3,ROWS($1:83)),)),1)&lt;&gt;"X","",(OFFSET(TH!D$1,SMALL(Dong3,ROWS($1:83)),)&amp;"/"&amp;OFFSET(TH!C$1,SMALL(Dong3,ROWS($1:83)),))))</f>
        <v/>
      </c>
      <c r="E96" s="240" t="str">
        <f ca="1">IF(ROWS($1:83)&gt;COUNT(Dong3),"",OFFSET(TH!F$1,SMALL(Dong3,ROWS($1:83)),))</f>
        <v/>
      </c>
      <c r="F96" s="239" t="str">
        <f t="shared" ca="1" si="7"/>
        <v/>
      </c>
      <c r="G96" s="241">
        <f ca="1">IF(ROWS($1:83)&gt;COUNT(Dong3),0,IF(OFFSET(TH!K$1,SMALL(Dong3,ROWS($1:83)),)&lt;&gt;0,OFFSET(TH!K$1,SMALL(Dong3,ROWS($1:83)),),0))</f>
        <v>0</v>
      </c>
      <c r="H96" s="241">
        <f ca="1">IF(ROWS($1:83)&gt;COUNT(Dong3),0,IF(OFFSET(TH!M$1,SMALL(Dong3,ROWS($1:83)),)&lt;&gt;0,OFFSET(TH!M$1,SMALL(Dong3,ROWS($1:83)),),0))</f>
        <v>0</v>
      </c>
      <c r="I96" s="125">
        <f t="shared" ca="1" si="8"/>
        <v>0</v>
      </c>
      <c r="J96" s="128"/>
      <c r="K96" s="226"/>
    </row>
    <row r="97" spans="1:11" ht="16.5" customHeight="1">
      <c r="A97" s="127" t="str">
        <f t="shared" ca="1" si="6"/>
        <v/>
      </c>
      <c r="B97" s="239" t="str">
        <f ca="1">IF(ROWS($1:84)&gt;COUNT(Dong3),"",OFFSET(TH!E$1,SMALL(Dong3,ROWS($1:84)),))</f>
        <v/>
      </c>
      <c r="C97" s="239" t="str">
        <f ca="1">IF(ROWS($1:84)&gt;COUNT(Dong3),"",IF(LEFT((OFFSET(TH!D$1,SMALL(Dong3,ROWS($1:84)),)),1)&lt;&gt;"N","",(OFFSET(TH!D$1,SMALL(Dong3,ROWS($1:84)),)&amp;"/"&amp;OFFSET(TH!C$1,SMALL(Dong3,ROWS($1:84)),))))</f>
        <v/>
      </c>
      <c r="D97" s="239" t="str">
        <f ca="1">IF(ROWS($1:84)&gt;COUNT(Dong3),"",IF(LEFT((OFFSET(TH!D$1,SMALL(Dong3,ROWS($1:84)),)),1)&lt;&gt;"X","",(OFFSET(TH!D$1,SMALL(Dong3,ROWS($1:84)),)&amp;"/"&amp;OFFSET(TH!C$1,SMALL(Dong3,ROWS($1:84)),))))</f>
        <v/>
      </c>
      <c r="E97" s="240" t="str">
        <f ca="1">IF(ROWS($1:84)&gt;COUNT(Dong3),"",OFFSET(TH!F$1,SMALL(Dong3,ROWS($1:84)),))</f>
        <v/>
      </c>
      <c r="F97" s="239" t="str">
        <f t="shared" ca="1" si="7"/>
        <v/>
      </c>
      <c r="G97" s="241">
        <f ca="1">IF(ROWS($1:84)&gt;COUNT(Dong3),0,IF(OFFSET(TH!K$1,SMALL(Dong3,ROWS($1:84)),)&lt;&gt;0,OFFSET(TH!K$1,SMALL(Dong3,ROWS($1:84)),),0))</f>
        <v>0</v>
      </c>
      <c r="H97" s="241">
        <f ca="1">IF(ROWS($1:84)&gt;COUNT(Dong3),0,IF(OFFSET(TH!M$1,SMALL(Dong3,ROWS($1:84)),)&lt;&gt;0,OFFSET(TH!M$1,SMALL(Dong3,ROWS($1:84)),),0))</f>
        <v>0</v>
      </c>
      <c r="I97" s="125">
        <f t="shared" ca="1" si="8"/>
        <v>0</v>
      </c>
      <c r="J97" s="128"/>
      <c r="K97" s="226"/>
    </row>
    <row r="98" spans="1:11" ht="16.5" customHeight="1">
      <c r="A98" s="127" t="str">
        <f t="shared" ca="1" si="6"/>
        <v/>
      </c>
      <c r="B98" s="239" t="str">
        <f ca="1">IF(ROWS($1:85)&gt;COUNT(Dong3),"",OFFSET(TH!E$1,SMALL(Dong3,ROWS($1:85)),))</f>
        <v/>
      </c>
      <c r="C98" s="239" t="str">
        <f ca="1">IF(ROWS($1:85)&gt;COUNT(Dong3),"",IF(LEFT((OFFSET(TH!D$1,SMALL(Dong3,ROWS($1:85)),)),1)&lt;&gt;"N","",(OFFSET(TH!D$1,SMALL(Dong3,ROWS($1:85)),)&amp;"/"&amp;OFFSET(TH!C$1,SMALL(Dong3,ROWS($1:85)),))))</f>
        <v/>
      </c>
      <c r="D98" s="239" t="str">
        <f ca="1">IF(ROWS($1:85)&gt;COUNT(Dong3),"",IF(LEFT((OFFSET(TH!D$1,SMALL(Dong3,ROWS($1:85)),)),1)&lt;&gt;"X","",(OFFSET(TH!D$1,SMALL(Dong3,ROWS($1:85)),)&amp;"/"&amp;OFFSET(TH!C$1,SMALL(Dong3,ROWS($1:85)),))))</f>
        <v/>
      </c>
      <c r="E98" s="240" t="str">
        <f ca="1">IF(ROWS($1:85)&gt;COUNT(Dong3),"",OFFSET(TH!F$1,SMALL(Dong3,ROWS($1:85)),))</f>
        <v/>
      </c>
      <c r="F98" s="239" t="str">
        <f t="shared" ca="1" si="7"/>
        <v/>
      </c>
      <c r="G98" s="241">
        <f ca="1">IF(ROWS($1:85)&gt;COUNT(Dong3),0,IF(OFFSET(TH!K$1,SMALL(Dong3,ROWS($1:85)),)&lt;&gt;0,OFFSET(TH!K$1,SMALL(Dong3,ROWS($1:85)),),0))</f>
        <v>0</v>
      </c>
      <c r="H98" s="241">
        <f ca="1">IF(ROWS($1:85)&gt;COUNT(Dong3),0,IF(OFFSET(TH!M$1,SMALL(Dong3,ROWS($1:85)),)&lt;&gt;0,OFFSET(TH!M$1,SMALL(Dong3,ROWS($1:85)),),0))</f>
        <v>0</v>
      </c>
      <c r="I98" s="125">
        <f t="shared" ca="1" si="8"/>
        <v>0</v>
      </c>
      <c r="J98" s="128"/>
      <c r="K98" s="226"/>
    </row>
    <row r="99" spans="1:11" ht="16.5" customHeight="1">
      <c r="A99" s="127" t="str">
        <f t="shared" ca="1" si="6"/>
        <v/>
      </c>
      <c r="B99" s="239" t="str">
        <f ca="1">IF(ROWS($1:86)&gt;COUNT(Dong3),"",OFFSET(TH!E$1,SMALL(Dong3,ROWS($1:86)),))</f>
        <v/>
      </c>
      <c r="C99" s="239" t="str">
        <f ca="1">IF(ROWS($1:86)&gt;COUNT(Dong3),"",IF(LEFT((OFFSET(TH!D$1,SMALL(Dong3,ROWS($1:86)),)),1)&lt;&gt;"N","",(OFFSET(TH!D$1,SMALL(Dong3,ROWS($1:86)),)&amp;"/"&amp;OFFSET(TH!C$1,SMALL(Dong3,ROWS($1:86)),))))</f>
        <v/>
      </c>
      <c r="D99" s="239" t="str">
        <f ca="1">IF(ROWS($1:86)&gt;COUNT(Dong3),"",IF(LEFT((OFFSET(TH!D$1,SMALL(Dong3,ROWS($1:86)),)),1)&lt;&gt;"X","",(OFFSET(TH!D$1,SMALL(Dong3,ROWS($1:86)),)&amp;"/"&amp;OFFSET(TH!C$1,SMALL(Dong3,ROWS($1:86)),))))</f>
        <v/>
      </c>
      <c r="E99" s="240" t="str">
        <f ca="1">IF(ROWS($1:86)&gt;COUNT(Dong3),"",OFFSET(TH!F$1,SMALL(Dong3,ROWS($1:86)),))</f>
        <v/>
      </c>
      <c r="F99" s="239" t="str">
        <f t="shared" ca="1" si="7"/>
        <v/>
      </c>
      <c r="G99" s="241">
        <f ca="1">IF(ROWS($1:86)&gt;COUNT(Dong3),0,IF(OFFSET(TH!K$1,SMALL(Dong3,ROWS($1:86)),)&lt;&gt;0,OFFSET(TH!K$1,SMALL(Dong3,ROWS($1:86)),),0))</f>
        <v>0</v>
      </c>
      <c r="H99" s="241">
        <f ca="1">IF(ROWS($1:86)&gt;COUNT(Dong3),0,IF(OFFSET(TH!M$1,SMALL(Dong3,ROWS($1:86)),)&lt;&gt;0,OFFSET(TH!M$1,SMALL(Dong3,ROWS($1:86)),),0))</f>
        <v>0</v>
      </c>
      <c r="I99" s="125">
        <f t="shared" ca="1" si="8"/>
        <v>0</v>
      </c>
      <c r="J99" s="128"/>
      <c r="K99" s="226"/>
    </row>
    <row r="100" spans="1:11" ht="16.5" customHeight="1">
      <c r="A100" s="127" t="str">
        <f t="shared" ca="1" si="6"/>
        <v/>
      </c>
      <c r="B100" s="239" t="str">
        <f ca="1">IF(ROWS($1:87)&gt;COUNT(Dong3),"",OFFSET(TH!E$1,SMALL(Dong3,ROWS($1:87)),))</f>
        <v/>
      </c>
      <c r="C100" s="239" t="str">
        <f ca="1">IF(ROWS($1:87)&gt;COUNT(Dong3),"",IF(LEFT((OFFSET(TH!D$1,SMALL(Dong3,ROWS($1:87)),)),1)&lt;&gt;"N","",(OFFSET(TH!D$1,SMALL(Dong3,ROWS($1:87)),)&amp;"/"&amp;OFFSET(TH!C$1,SMALL(Dong3,ROWS($1:87)),))))</f>
        <v/>
      </c>
      <c r="D100" s="239" t="str">
        <f ca="1">IF(ROWS($1:87)&gt;COUNT(Dong3),"",IF(LEFT((OFFSET(TH!D$1,SMALL(Dong3,ROWS($1:87)),)),1)&lt;&gt;"X","",(OFFSET(TH!D$1,SMALL(Dong3,ROWS($1:87)),)&amp;"/"&amp;OFFSET(TH!C$1,SMALL(Dong3,ROWS($1:87)),))))</f>
        <v/>
      </c>
      <c r="E100" s="240" t="str">
        <f ca="1">IF(ROWS($1:87)&gt;COUNT(Dong3),"",OFFSET(TH!F$1,SMALL(Dong3,ROWS($1:87)),))</f>
        <v/>
      </c>
      <c r="F100" s="239" t="str">
        <f t="shared" ca="1" si="7"/>
        <v/>
      </c>
      <c r="G100" s="241">
        <f ca="1">IF(ROWS($1:87)&gt;COUNT(Dong3),0,IF(OFFSET(TH!K$1,SMALL(Dong3,ROWS($1:87)),)&lt;&gt;0,OFFSET(TH!K$1,SMALL(Dong3,ROWS($1:87)),),0))</f>
        <v>0</v>
      </c>
      <c r="H100" s="241">
        <f ca="1">IF(ROWS($1:87)&gt;COUNT(Dong3),0,IF(OFFSET(TH!M$1,SMALL(Dong3,ROWS($1:87)),)&lt;&gt;0,OFFSET(TH!M$1,SMALL(Dong3,ROWS($1:87)),),0))</f>
        <v>0</v>
      </c>
      <c r="I100" s="125">
        <f t="shared" ca="1" si="8"/>
        <v>0</v>
      </c>
      <c r="J100" s="128"/>
      <c r="K100" s="226"/>
    </row>
    <row r="101" spans="1:11" ht="16.5" customHeight="1">
      <c r="A101" s="127" t="str">
        <f t="shared" ca="1" si="6"/>
        <v/>
      </c>
      <c r="B101" s="239" t="str">
        <f ca="1">IF(ROWS($1:88)&gt;COUNT(Dong3),"",OFFSET(TH!E$1,SMALL(Dong3,ROWS($1:88)),))</f>
        <v/>
      </c>
      <c r="C101" s="239" t="str">
        <f ca="1">IF(ROWS($1:88)&gt;COUNT(Dong3),"",IF(LEFT((OFFSET(TH!D$1,SMALL(Dong3,ROWS($1:88)),)),1)&lt;&gt;"N","",(OFFSET(TH!D$1,SMALL(Dong3,ROWS($1:88)),)&amp;"/"&amp;OFFSET(TH!C$1,SMALL(Dong3,ROWS($1:88)),))))</f>
        <v/>
      </c>
      <c r="D101" s="239" t="str">
        <f ca="1">IF(ROWS($1:88)&gt;COUNT(Dong3),"",IF(LEFT((OFFSET(TH!D$1,SMALL(Dong3,ROWS($1:88)),)),1)&lt;&gt;"X","",(OFFSET(TH!D$1,SMALL(Dong3,ROWS($1:88)),)&amp;"/"&amp;OFFSET(TH!C$1,SMALL(Dong3,ROWS($1:88)),))))</f>
        <v/>
      </c>
      <c r="E101" s="240" t="str">
        <f ca="1">IF(ROWS($1:88)&gt;COUNT(Dong3),"",OFFSET(TH!F$1,SMALL(Dong3,ROWS($1:88)),))</f>
        <v/>
      </c>
      <c r="F101" s="239" t="str">
        <f t="shared" ca="1" si="7"/>
        <v/>
      </c>
      <c r="G101" s="241">
        <f ca="1">IF(ROWS($1:88)&gt;COUNT(Dong3),0,IF(OFFSET(TH!K$1,SMALL(Dong3,ROWS($1:88)),)&lt;&gt;0,OFFSET(TH!K$1,SMALL(Dong3,ROWS($1:88)),),0))</f>
        <v>0</v>
      </c>
      <c r="H101" s="241">
        <f ca="1">IF(ROWS($1:88)&gt;COUNT(Dong3),0,IF(OFFSET(TH!M$1,SMALL(Dong3,ROWS($1:88)),)&lt;&gt;0,OFFSET(TH!M$1,SMALL(Dong3,ROWS($1:88)),),0))</f>
        <v>0</v>
      </c>
      <c r="I101" s="125">
        <f t="shared" ca="1" si="8"/>
        <v>0</v>
      </c>
      <c r="J101" s="128"/>
      <c r="K101" s="226"/>
    </row>
    <row r="102" spans="1:11" ht="16.5" customHeight="1">
      <c r="A102" s="127" t="str">
        <f t="shared" ca="1" si="6"/>
        <v/>
      </c>
      <c r="B102" s="239" t="str">
        <f ca="1">IF(ROWS($1:89)&gt;COUNT(Dong3),"",OFFSET(TH!E$1,SMALL(Dong3,ROWS($1:89)),))</f>
        <v/>
      </c>
      <c r="C102" s="239" t="str">
        <f ca="1">IF(ROWS($1:89)&gt;COUNT(Dong3),"",IF(LEFT((OFFSET(TH!D$1,SMALL(Dong3,ROWS($1:89)),)),1)&lt;&gt;"N","",(OFFSET(TH!D$1,SMALL(Dong3,ROWS($1:89)),)&amp;"/"&amp;OFFSET(TH!C$1,SMALL(Dong3,ROWS($1:89)),))))</f>
        <v/>
      </c>
      <c r="D102" s="239" t="str">
        <f ca="1">IF(ROWS($1:89)&gt;COUNT(Dong3),"",IF(LEFT((OFFSET(TH!D$1,SMALL(Dong3,ROWS($1:89)),)),1)&lt;&gt;"X","",(OFFSET(TH!D$1,SMALL(Dong3,ROWS($1:89)),)&amp;"/"&amp;OFFSET(TH!C$1,SMALL(Dong3,ROWS($1:89)),))))</f>
        <v/>
      </c>
      <c r="E102" s="240" t="str">
        <f ca="1">IF(ROWS($1:89)&gt;COUNT(Dong3),"",OFFSET(TH!F$1,SMALL(Dong3,ROWS($1:89)),))</f>
        <v/>
      </c>
      <c r="F102" s="239" t="str">
        <f t="shared" ca="1" si="7"/>
        <v/>
      </c>
      <c r="G102" s="241">
        <f ca="1">IF(ROWS($1:89)&gt;COUNT(Dong3),0,IF(OFFSET(TH!K$1,SMALL(Dong3,ROWS($1:89)),)&lt;&gt;0,OFFSET(TH!K$1,SMALL(Dong3,ROWS($1:89)),),0))</f>
        <v>0</v>
      </c>
      <c r="H102" s="241">
        <f ca="1">IF(ROWS($1:89)&gt;COUNT(Dong3),0,IF(OFFSET(TH!M$1,SMALL(Dong3,ROWS($1:89)),)&lt;&gt;0,OFFSET(TH!M$1,SMALL(Dong3,ROWS($1:89)),),0))</f>
        <v>0</v>
      </c>
      <c r="I102" s="125">
        <f t="shared" ca="1" si="8"/>
        <v>0</v>
      </c>
      <c r="J102" s="128"/>
      <c r="K102" s="226"/>
    </row>
    <row r="103" spans="1:11" ht="16.5" customHeight="1">
      <c r="A103" s="127" t="str">
        <f t="shared" ca="1" si="6"/>
        <v/>
      </c>
      <c r="B103" s="239" t="str">
        <f ca="1">IF(ROWS($1:90)&gt;COUNT(Dong3),"",OFFSET(TH!E$1,SMALL(Dong3,ROWS($1:90)),))</f>
        <v/>
      </c>
      <c r="C103" s="239" t="str">
        <f ca="1">IF(ROWS($1:90)&gt;COUNT(Dong3),"",IF(LEFT((OFFSET(TH!D$1,SMALL(Dong3,ROWS($1:90)),)),1)&lt;&gt;"N","",(OFFSET(TH!D$1,SMALL(Dong3,ROWS($1:90)),)&amp;"/"&amp;OFFSET(TH!C$1,SMALL(Dong3,ROWS($1:90)),))))</f>
        <v/>
      </c>
      <c r="D103" s="239" t="str">
        <f ca="1">IF(ROWS($1:90)&gt;COUNT(Dong3),"",IF(LEFT((OFFSET(TH!D$1,SMALL(Dong3,ROWS($1:90)),)),1)&lt;&gt;"X","",(OFFSET(TH!D$1,SMALL(Dong3,ROWS($1:90)),)&amp;"/"&amp;OFFSET(TH!C$1,SMALL(Dong3,ROWS($1:90)),))))</f>
        <v/>
      </c>
      <c r="E103" s="240" t="str">
        <f ca="1">IF(ROWS($1:90)&gt;COUNT(Dong3),"",OFFSET(TH!F$1,SMALL(Dong3,ROWS($1:90)),))</f>
        <v/>
      </c>
      <c r="F103" s="239" t="str">
        <f t="shared" ca="1" si="7"/>
        <v/>
      </c>
      <c r="G103" s="241">
        <f ca="1">IF(ROWS($1:90)&gt;COUNT(Dong3),0,IF(OFFSET(TH!K$1,SMALL(Dong3,ROWS($1:90)),)&lt;&gt;0,OFFSET(TH!K$1,SMALL(Dong3,ROWS($1:90)),),0))</f>
        <v>0</v>
      </c>
      <c r="H103" s="241">
        <f ca="1">IF(ROWS($1:90)&gt;COUNT(Dong3),0,IF(OFFSET(TH!M$1,SMALL(Dong3,ROWS($1:90)),)&lt;&gt;0,OFFSET(TH!M$1,SMALL(Dong3,ROWS($1:90)),),0))</f>
        <v>0</v>
      </c>
      <c r="I103" s="125">
        <f t="shared" ca="1" si="8"/>
        <v>0</v>
      </c>
      <c r="J103" s="128"/>
      <c r="K103" s="226"/>
    </row>
    <row r="104" spans="1:11" ht="16.5" customHeight="1">
      <c r="A104" s="127" t="str">
        <f t="shared" ca="1" si="6"/>
        <v/>
      </c>
      <c r="B104" s="239" t="str">
        <f ca="1">IF(ROWS($1:91)&gt;COUNT(Dong3),"",OFFSET(TH!E$1,SMALL(Dong3,ROWS($1:91)),))</f>
        <v/>
      </c>
      <c r="C104" s="239" t="str">
        <f ca="1">IF(ROWS($1:91)&gt;COUNT(Dong3),"",IF(LEFT((OFFSET(TH!D$1,SMALL(Dong3,ROWS($1:91)),)),1)&lt;&gt;"N","",(OFFSET(TH!D$1,SMALL(Dong3,ROWS($1:91)),)&amp;"/"&amp;OFFSET(TH!C$1,SMALL(Dong3,ROWS($1:91)),))))</f>
        <v/>
      </c>
      <c r="D104" s="239" t="str">
        <f ca="1">IF(ROWS($1:91)&gt;COUNT(Dong3),"",IF(LEFT((OFFSET(TH!D$1,SMALL(Dong3,ROWS($1:91)),)),1)&lt;&gt;"X","",(OFFSET(TH!D$1,SMALL(Dong3,ROWS($1:91)),)&amp;"/"&amp;OFFSET(TH!C$1,SMALL(Dong3,ROWS($1:91)),))))</f>
        <v/>
      </c>
      <c r="E104" s="240" t="str">
        <f ca="1">IF(ROWS($1:91)&gt;COUNT(Dong3),"",OFFSET(TH!F$1,SMALL(Dong3,ROWS($1:91)),))</f>
        <v/>
      </c>
      <c r="F104" s="239" t="str">
        <f t="shared" ca="1" si="7"/>
        <v/>
      </c>
      <c r="G104" s="241">
        <f ca="1">IF(ROWS($1:91)&gt;COUNT(Dong3),0,IF(OFFSET(TH!K$1,SMALL(Dong3,ROWS($1:91)),)&lt;&gt;0,OFFSET(TH!K$1,SMALL(Dong3,ROWS($1:91)),),0))</f>
        <v>0</v>
      </c>
      <c r="H104" s="241">
        <f ca="1">IF(ROWS($1:91)&gt;COUNT(Dong3),0,IF(OFFSET(TH!M$1,SMALL(Dong3,ROWS($1:91)),)&lt;&gt;0,OFFSET(TH!M$1,SMALL(Dong3,ROWS($1:91)),),0))</f>
        <v>0</v>
      </c>
      <c r="I104" s="125">
        <f t="shared" ca="1" si="8"/>
        <v>0</v>
      </c>
      <c r="J104" s="128"/>
      <c r="K104" s="226"/>
    </row>
    <row r="105" spans="1:11" ht="16.5" customHeight="1">
      <c r="A105" s="127" t="str">
        <f t="shared" ca="1" si="6"/>
        <v/>
      </c>
      <c r="B105" s="239" t="str">
        <f ca="1">IF(ROWS($1:92)&gt;COUNT(Dong3),"",OFFSET(TH!E$1,SMALL(Dong3,ROWS($1:92)),))</f>
        <v/>
      </c>
      <c r="C105" s="239" t="str">
        <f ca="1">IF(ROWS($1:92)&gt;COUNT(Dong3),"",IF(LEFT((OFFSET(TH!D$1,SMALL(Dong3,ROWS($1:92)),)),1)&lt;&gt;"N","",(OFFSET(TH!D$1,SMALL(Dong3,ROWS($1:92)),)&amp;"/"&amp;OFFSET(TH!C$1,SMALL(Dong3,ROWS($1:92)),))))</f>
        <v/>
      </c>
      <c r="D105" s="239" t="str">
        <f ca="1">IF(ROWS($1:92)&gt;COUNT(Dong3),"",IF(LEFT((OFFSET(TH!D$1,SMALL(Dong3,ROWS($1:92)),)),1)&lt;&gt;"X","",(OFFSET(TH!D$1,SMALL(Dong3,ROWS($1:92)),)&amp;"/"&amp;OFFSET(TH!C$1,SMALL(Dong3,ROWS($1:92)),))))</f>
        <v/>
      </c>
      <c r="E105" s="240" t="str">
        <f ca="1">IF(ROWS($1:92)&gt;COUNT(Dong3),"",OFFSET(TH!F$1,SMALL(Dong3,ROWS($1:92)),))</f>
        <v/>
      </c>
      <c r="F105" s="239" t="str">
        <f t="shared" ca="1" si="7"/>
        <v/>
      </c>
      <c r="G105" s="241">
        <f ca="1">IF(ROWS($1:92)&gt;COUNT(Dong3),0,IF(OFFSET(TH!K$1,SMALL(Dong3,ROWS($1:92)),)&lt;&gt;0,OFFSET(TH!K$1,SMALL(Dong3,ROWS($1:92)),),0))</f>
        <v>0</v>
      </c>
      <c r="H105" s="241">
        <f ca="1">IF(ROWS($1:92)&gt;COUNT(Dong3),0,IF(OFFSET(TH!M$1,SMALL(Dong3,ROWS($1:92)),)&lt;&gt;0,OFFSET(TH!M$1,SMALL(Dong3,ROWS($1:92)),),0))</f>
        <v>0</v>
      </c>
      <c r="I105" s="125">
        <f t="shared" ca="1" si="8"/>
        <v>0</v>
      </c>
      <c r="J105" s="128"/>
      <c r="K105" s="226"/>
    </row>
    <row r="106" spans="1:11" ht="16.5" customHeight="1">
      <c r="A106" s="127" t="str">
        <f t="shared" ca="1" si="6"/>
        <v/>
      </c>
      <c r="B106" s="239" t="str">
        <f ca="1">IF(ROWS($1:93)&gt;COUNT(Dong3),"",OFFSET(TH!E$1,SMALL(Dong3,ROWS($1:93)),))</f>
        <v/>
      </c>
      <c r="C106" s="239" t="str">
        <f ca="1">IF(ROWS($1:93)&gt;COUNT(Dong3),"",IF(LEFT((OFFSET(TH!D$1,SMALL(Dong3,ROWS($1:93)),)),1)&lt;&gt;"N","",(OFFSET(TH!D$1,SMALL(Dong3,ROWS($1:93)),)&amp;"/"&amp;OFFSET(TH!C$1,SMALL(Dong3,ROWS($1:93)),))))</f>
        <v/>
      </c>
      <c r="D106" s="239" t="str">
        <f ca="1">IF(ROWS($1:93)&gt;COUNT(Dong3),"",IF(LEFT((OFFSET(TH!D$1,SMALL(Dong3,ROWS($1:93)),)),1)&lt;&gt;"X","",(OFFSET(TH!D$1,SMALL(Dong3,ROWS($1:93)),)&amp;"/"&amp;OFFSET(TH!C$1,SMALL(Dong3,ROWS($1:93)),))))</f>
        <v/>
      </c>
      <c r="E106" s="240" t="str">
        <f ca="1">IF(ROWS($1:93)&gt;COUNT(Dong3),"",OFFSET(TH!F$1,SMALL(Dong3,ROWS($1:93)),))</f>
        <v/>
      </c>
      <c r="F106" s="239" t="str">
        <f t="shared" ca="1" si="7"/>
        <v/>
      </c>
      <c r="G106" s="241">
        <f ca="1">IF(ROWS($1:93)&gt;COUNT(Dong3),0,IF(OFFSET(TH!K$1,SMALL(Dong3,ROWS($1:93)),)&lt;&gt;0,OFFSET(TH!K$1,SMALL(Dong3,ROWS($1:93)),),0))</f>
        <v>0</v>
      </c>
      <c r="H106" s="241">
        <f ca="1">IF(ROWS($1:93)&gt;COUNT(Dong3),0,IF(OFFSET(TH!M$1,SMALL(Dong3,ROWS($1:93)),)&lt;&gt;0,OFFSET(TH!M$1,SMALL(Dong3,ROWS($1:93)),),0))</f>
        <v>0</v>
      </c>
      <c r="I106" s="125">
        <f t="shared" ca="1" si="8"/>
        <v>0</v>
      </c>
      <c r="J106" s="128"/>
      <c r="K106" s="226"/>
    </row>
    <row r="107" spans="1:11" ht="16.5" customHeight="1">
      <c r="A107" s="127" t="str">
        <f t="shared" ca="1" si="6"/>
        <v/>
      </c>
      <c r="B107" s="239" t="str">
        <f ca="1">IF(ROWS($1:94)&gt;COUNT(Dong3),"",OFFSET(TH!E$1,SMALL(Dong3,ROWS($1:94)),))</f>
        <v/>
      </c>
      <c r="C107" s="239" t="str">
        <f ca="1">IF(ROWS($1:94)&gt;COUNT(Dong3),"",IF(LEFT((OFFSET(TH!D$1,SMALL(Dong3,ROWS($1:94)),)),1)&lt;&gt;"N","",(OFFSET(TH!D$1,SMALL(Dong3,ROWS($1:94)),)&amp;"/"&amp;OFFSET(TH!C$1,SMALL(Dong3,ROWS($1:94)),))))</f>
        <v/>
      </c>
      <c r="D107" s="239" t="str">
        <f ca="1">IF(ROWS($1:94)&gt;COUNT(Dong3),"",IF(LEFT((OFFSET(TH!D$1,SMALL(Dong3,ROWS($1:94)),)),1)&lt;&gt;"X","",(OFFSET(TH!D$1,SMALL(Dong3,ROWS($1:94)),)&amp;"/"&amp;OFFSET(TH!C$1,SMALL(Dong3,ROWS($1:94)),))))</f>
        <v/>
      </c>
      <c r="E107" s="240" t="str">
        <f ca="1">IF(ROWS($1:94)&gt;COUNT(Dong3),"",OFFSET(TH!F$1,SMALL(Dong3,ROWS($1:94)),))</f>
        <v/>
      </c>
      <c r="F107" s="239" t="str">
        <f t="shared" ca="1" si="7"/>
        <v/>
      </c>
      <c r="G107" s="241">
        <f ca="1">IF(ROWS($1:94)&gt;COUNT(Dong3),0,IF(OFFSET(TH!K$1,SMALL(Dong3,ROWS($1:94)),)&lt;&gt;0,OFFSET(TH!K$1,SMALL(Dong3,ROWS($1:94)),),0))</f>
        <v>0</v>
      </c>
      <c r="H107" s="241">
        <f ca="1">IF(ROWS($1:94)&gt;COUNT(Dong3),0,IF(OFFSET(TH!M$1,SMALL(Dong3,ROWS($1:94)),)&lt;&gt;0,OFFSET(TH!M$1,SMALL(Dong3,ROWS($1:94)),),0))</f>
        <v>0</v>
      </c>
      <c r="I107" s="125">
        <f t="shared" ca="1" si="8"/>
        <v>0</v>
      </c>
      <c r="J107" s="128"/>
      <c r="K107" s="226"/>
    </row>
    <row r="108" spans="1:11" ht="16.5" customHeight="1">
      <c r="A108" s="127" t="str">
        <f t="shared" ca="1" si="6"/>
        <v/>
      </c>
      <c r="B108" s="239" t="str">
        <f ca="1">IF(ROWS($1:95)&gt;COUNT(Dong3),"",OFFSET(TH!E$1,SMALL(Dong3,ROWS($1:95)),))</f>
        <v/>
      </c>
      <c r="C108" s="239" t="str">
        <f ca="1">IF(ROWS($1:95)&gt;COUNT(Dong3),"",IF(LEFT((OFFSET(TH!D$1,SMALL(Dong3,ROWS($1:95)),)),1)&lt;&gt;"N","",(OFFSET(TH!D$1,SMALL(Dong3,ROWS($1:95)),)&amp;"/"&amp;OFFSET(TH!C$1,SMALL(Dong3,ROWS($1:95)),))))</f>
        <v/>
      </c>
      <c r="D108" s="239" t="str">
        <f ca="1">IF(ROWS($1:95)&gt;COUNT(Dong3),"",IF(LEFT((OFFSET(TH!D$1,SMALL(Dong3,ROWS($1:95)),)),1)&lt;&gt;"X","",(OFFSET(TH!D$1,SMALL(Dong3,ROWS($1:95)),)&amp;"/"&amp;OFFSET(TH!C$1,SMALL(Dong3,ROWS($1:95)),))))</f>
        <v/>
      </c>
      <c r="E108" s="240" t="str">
        <f ca="1">IF(ROWS($1:95)&gt;COUNT(Dong3),"",OFFSET(TH!F$1,SMALL(Dong3,ROWS($1:95)),))</f>
        <v/>
      </c>
      <c r="F108" s="239" t="str">
        <f t="shared" ca="1" si="7"/>
        <v/>
      </c>
      <c r="G108" s="241">
        <f ca="1">IF(ROWS($1:95)&gt;COUNT(Dong3),0,IF(OFFSET(TH!K$1,SMALL(Dong3,ROWS($1:95)),)&lt;&gt;0,OFFSET(TH!K$1,SMALL(Dong3,ROWS($1:95)),),0))</f>
        <v>0</v>
      </c>
      <c r="H108" s="241">
        <f ca="1">IF(ROWS($1:95)&gt;COUNT(Dong3),0,IF(OFFSET(TH!M$1,SMALL(Dong3,ROWS($1:95)),)&lt;&gt;0,OFFSET(TH!M$1,SMALL(Dong3,ROWS($1:95)),),0))</f>
        <v>0</v>
      </c>
      <c r="I108" s="125">
        <f t="shared" ca="1" si="8"/>
        <v>0</v>
      </c>
      <c r="J108" s="128"/>
      <c r="K108" s="226"/>
    </row>
    <row r="109" spans="1:11" ht="16.5" customHeight="1">
      <c r="A109" s="127" t="str">
        <f t="shared" ca="1" si="6"/>
        <v/>
      </c>
      <c r="B109" s="239" t="str">
        <f ca="1">IF(ROWS($1:96)&gt;COUNT(Dong3),"",OFFSET(TH!E$1,SMALL(Dong3,ROWS($1:96)),))</f>
        <v/>
      </c>
      <c r="C109" s="239" t="str">
        <f ca="1">IF(ROWS($1:96)&gt;COUNT(Dong3),"",IF(LEFT((OFFSET(TH!D$1,SMALL(Dong3,ROWS($1:96)),)),1)&lt;&gt;"N","",(OFFSET(TH!D$1,SMALL(Dong3,ROWS($1:96)),)&amp;"/"&amp;OFFSET(TH!C$1,SMALL(Dong3,ROWS($1:96)),))))</f>
        <v/>
      </c>
      <c r="D109" s="239" t="str">
        <f ca="1">IF(ROWS($1:96)&gt;COUNT(Dong3),"",IF(LEFT((OFFSET(TH!D$1,SMALL(Dong3,ROWS($1:96)),)),1)&lt;&gt;"X","",(OFFSET(TH!D$1,SMALL(Dong3,ROWS($1:96)),)&amp;"/"&amp;OFFSET(TH!C$1,SMALL(Dong3,ROWS($1:96)),))))</f>
        <v/>
      </c>
      <c r="E109" s="240" t="str">
        <f ca="1">IF(ROWS($1:96)&gt;COUNT(Dong3),"",OFFSET(TH!F$1,SMALL(Dong3,ROWS($1:96)),))</f>
        <v/>
      </c>
      <c r="F109" s="239" t="str">
        <f t="shared" ca="1" si="7"/>
        <v/>
      </c>
      <c r="G109" s="241">
        <f ca="1">IF(ROWS($1:96)&gt;COUNT(Dong3),0,IF(OFFSET(TH!K$1,SMALL(Dong3,ROWS($1:96)),)&lt;&gt;0,OFFSET(TH!K$1,SMALL(Dong3,ROWS($1:96)),),0))</f>
        <v>0</v>
      </c>
      <c r="H109" s="241">
        <f ca="1">IF(ROWS($1:96)&gt;COUNT(Dong3),0,IF(OFFSET(TH!M$1,SMALL(Dong3,ROWS($1:96)),)&lt;&gt;0,OFFSET(TH!M$1,SMALL(Dong3,ROWS($1:96)),),0))</f>
        <v>0</v>
      </c>
      <c r="I109" s="125">
        <f t="shared" ca="1" si="8"/>
        <v>0</v>
      </c>
      <c r="J109" s="128"/>
      <c r="K109" s="226"/>
    </row>
    <row r="110" spans="1:11" ht="16.5" customHeight="1">
      <c r="A110" s="127" t="str">
        <f t="shared" ca="1" si="6"/>
        <v/>
      </c>
      <c r="B110" s="239" t="str">
        <f ca="1">IF(ROWS($1:97)&gt;COUNT(Dong3),"",OFFSET(TH!E$1,SMALL(Dong3,ROWS($1:97)),))</f>
        <v/>
      </c>
      <c r="C110" s="239" t="str">
        <f ca="1">IF(ROWS($1:97)&gt;COUNT(Dong3),"",IF(LEFT((OFFSET(TH!D$1,SMALL(Dong3,ROWS($1:97)),)),1)&lt;&gt;"N","",(OFFSET(TH!D$1,SMALL(Dong3,ROWS($1:97)),)&amp;"/"&amp;OFFSET(TH!C$1,SMALL(Dong3,ROWS($1:97)),))))</f>
        <v/>
      </c>
      <c r="D110" s="239" t="str">
        <f ca="1">IF(ROWS($1:97)&gt;COUNT(Dong3),"",IF(LEFT((OFFSET(TH!D$1,SMALL(Dong3,ROWS($1:97)),)),1)&lt;&gt;"X","",(OFFSET(TH!D$1,SMALL(Dong3,ROWS($1:97)),)&amp;"/"&amp;OFFSET(TH!C$1,SMALL(Dong3,ROWS($1:97)),))))</f>
        <v/>
      </c>
      <c r="E110" s="240" t="str">
        <f ca="1">IF(ROWS($1:97)&gt;COUNT(Dong3),"",OFFSET(TH!F$1,SMALL(Dong3,ROWS($1:97)),))</f>
        <v/>
      </c>
      <c r="F110" s="239" t="str">
        <f t="shared" ca="1" si="7"/>
        <v/>
      </c>
      <c r="G110" s="241">
        <f ca="1">IF(ROWS($1:97)&gt;COUNT(Dong3),0,IF(OFFSET(TH!K$1,SMALL(Dong3,ROWS($1:97)),)&lt;&gt;0,OFFSET(TH!K$1,SMALL(Dong3,ROWS($1:97)),),0))</f>
        <v>0</v>
      </c>
      <c r="H110" s="241">
        <f ca="1">IF(ROWS($1:97)&gt;COUNT(Dong3),0,IF(OFFSET(TH!M$1,SMALL(Dong3,ROWS($1:97)),)&lt;&gt;0,OFFSET(TH!M$1,SMALL(Dong3,ROWS($1:97)),),0))</f>
        <v>0</v>
      </c>
      <c r="I110" s="125">
        <f t="shared" ca="1" si="8"/>
        <v>0</v>
      </c>
      <c r="J110" s="128"/>
      <c r="K110" s="226"/>
    </row>
    <row r="111" spans="1:11" ht="16.5" customHeight="1">
      <c r="A111" s="127" t="str">
        <f t="shared" ca="1" si="6"/>
        <v/>
      </c>
      <c r="B111" s="239" t="str">
        <f ca="1">IF(ROWS($1:98)&gt;COUNT(Dong3),"",OFFSET(TH!E$1,SMALL(Dong3,ROWS($1:98)),))</f>
        <v/>
      </c>
      <c r="C111" s="239" t="str">
        <f ca="1">IF(ROWS($1:98)&gt;COUNT(Dong3),"",IF(LEFT((OFFSET(TH!D$1,SMALL(Dong3,ROWS($1:98)),)),1)&lt;&gt;"N","",(OFFSET(TH!D$1,SMALL(Dong3,ROWS($1:98)),)&amp;"/"&amp;OFFSET(TH!C$1,SMALL(Dong3,ROWS($1:98)),))))</f>
        <v/>
      </c>
      <c r="D111" s="239" t="str">
        <f ca="1">IF(ROWS($1:98)&gt;COUNT(Dong3),"",IF(LEFT((OFFSET(TH!D$1,SMALL(Dong3,ROWS($1:98)),)),1)&lt;&gt;"X","",(OFFSET(TH!D$1,SMALL(Dong3,ROWS($1:98)),)&amp;"/"&amp;OFFSET(TH!C$1,SMALL(Dong3,ROWS($1:98)),))))</f>
        <v/>
      </c>
      <c r="E111" s="240" t="str">
        <f ca="1">IF(ROWS($1:98)&gt;COUNT(Dong3),"",OFFSET(TH!F$1,SMALL(Dong3,ROWS($1:98)),))</f>
        <v/>
      </c>
      <c r="F111" s="239" t="str">
        <f t="shared" ca="1" si="7"/>
        <v/>
      </c>
      <c r="G111" s="241">
        <f ca="1">IF(ROWS($1:98)&gt;COUNT(Dong3),0,IF(OFFSET(TH!K$1,SMALL(Dong3,ROWS($1:98)),)&lt;&gt;0,OFFSET(TH!K$1,SMALL(Dong3,ROWS($1:98)),),0))</f>
        <v>0</v>
      </c>
      <c r="H111" s="241">
        <f ca="1">IF(ROWS($1:98)&gt;COUNT(Dong3),0,IF(OFFSET(TH!M$1,SMALL(Dong3,ROWS($1:98)),)&lt;&gt;0,OFFSET(TH!M$1,SMALL(Dong3,ROWS($1:98)),),0))</f>
        <v>0</v>
      </c>
      <c r="I111" s="125">
        <f t="shared" ca="1" si="8"/>
        <v>0</v>
      </c>
      <c r="J111" s="128"/>
      <c r="K111" s="226"/>
    </row>
    <row r="112" spans="1:11" ht="16.5" customHeight="1">
      <c r="A112" s="127" t="str">
        <f t="shared" ca="1" si="6"/>
        <v/>
      </c>
      <c r="B112" s="239" t="str">
        <f ca="1">IF(ROWS($1:99)&gt;COUNT(Dong3),"",OFFSET(TH!E$1,SMALL(Dong3,ROWS($1:99)),))</f>
        <v/>
      </c>
      <c r="C112" s="239" t="str">
        <f ca="1">IF(ROWS($1:99)&gt;COUNT(Dong3),"",IF(LEFT((OFFSET(TH!D$1,SMALL(Dong3,ROWS($1:99)),)),1)&lt;&gt;"N","",(OFFSET(TH!D$1,SMALL(Dong3,ROWS($1:99)),)&amp;"/"&amp;OFFSET(TH!C$1,SMALL(Dong3,ROWS($1:99)),))))</f>
        <v/>
      </c>
      <c r="D112" s="239" t="str">
        <f ca="1">IF(ROWS($1:99)&gt;COUNT(Dong3),"",IF(LEFT((OFFSET(TH!D$1,SMALL(Dong3,ROWS($1:99)),)),1)&lt;&gt;"X","",(OFFSET(TH!D$1,SMALL(Dong3,ROWS($1:99)),)&amp;"/"&amp;OFFSET(TH!C$1,SMALL(Dong3,ROWS($1:99)),))))</f>
        <v/>
      </c>
      <c r="E112" s="240" t="str">
        <f ca="1">IF(ROWS($1:99)&gt;COUNT(Dong3),"",OFFSET(TH!F$1,SMALL(Dong3,ROWS($1:99)),))</f>
        <v/>
      </c>
      <c r="F112" s="239" t="str">
        <f t="shared" ca="1" si="7"/>
        <v/>
      </c>
      <c r="G112" s="241">
        <f ca="1">IF(ROWS($1:99)&gt;COUNT(Dong3),0,IF(OFFSET(TH!K$1,SMALL(Dong3,ROWS($1:99)),)&lt;&gt;0,OFFSET(TH!K$1,SMALL(Dong3,ROWS($1:99)),),0))</f>
        <v>0</v>
      </c>
      <c r="H112" s="241">
        <f ca="1">IF(ROWS($1:99)&gt;COUNT(Dong3),0,IF(OFFSET(TH!M$1,SMALL(Dong3,ROWS($1:99)),)&lt;&gt;0,OFFSET(TH!M$1,SMALL(Dong3,ROWS($1:99)),),0))</f>
        <v>0</v>
      </c>
      <c r="I112" s="125">
        <f t="shared" ca="1" si="8"/>
        <v>0</v>
      </c>
      <c r="J112" s="128"/>
      <c r="K112" s="226"/>
    </row>
    <row r="113" spans="1:11" ht="16.5" customHeight="1">
      <c r="A113" s="127" t="str">
        <f t="shared" ca="1" si="6"/>
        <v/>
      </c>
      <c r="B113" s="239" t="str">
        <f ca="1">IF(ROWS($1:100)&gt;COUNT(Dong3),"",OFFSET(TH!E$1,SMALL(Dong3,ROWS($1:100)),))</f>
        <v/>
      </c>
      <c r="C113" s="239" t="str">
        <f ca="1">IF(ROWS($1:100)&gt;COUNT(Dong3),"",IF(LEFT((OFFSET(TH!D$1,SMALL(Dong3,ROWS($1:100)),)),1)&lt;&gt;"N","",(OFFSET(TH!D$1,SMALL(Dong3,ROWS($1:100)),)&amp;"/"&amp;OFFSET(TH!C$1,SMALL(Dong3,ROWS($1:100)),))))</f>
        <v/>
      </c>
      <c r="D113" s="239" t="str">
        <f ca="1">IF(ROWS($1:100)&gt;COUNT(Dong3),"",IF(LEFT((OFFSET(TH!D$1,SMALL(Dong3,ROWS($1:100)),)),1)&lt;&gt;"X","",(OFFSET(TH!D$1,SMALL(Dong3,ROWS($1:100)),)&amp;"/"&amp;OFFSET(TH!C$1,SMALL(Dong3,ROWS($1:100)),))))</f>
        <v/>
      </c>
      <c r="E113" s="240" t="str">
        <f ca="1">IF(ROWS($1:100)&gt;COUNT(Dong3),"",OFFSET(TH!F$1,SMALL(Dong3,ROWS($1:100)),))</f>
        <v/>
      </c>
      <c r="F113" s="239" t="str">
        <f t="shared" ca="1" si="7"/>
        <v/>
      </c>
      <c r="G113" s="241">
        <f ca="1">IF(ROWS($1:100)&gt;COUNT(Dong3),0,IF(OFFSET(TH!K$1,SMALL(Dong3,ROWS($1:100)),)&lt;&gt;0,OFFSET(TH!K$1,SMALL(Dong3,ROWS($1:100)),),0))</f>
        <v>0</v>
      </c>
      <c r="H113" s="241">
        <f ca="1">IF(ROWS($1:100)&gt;COUNT(Dong3),0,IF(OFFSET(TH!M$1,SMALL(Dong3,ROWS($1:100)),)&lt;&gt;0,OFFSET(TH!M$1,SMALL(Dong3,ROWS($1:100)),),0))</f>
        <v>0</v>
      </c>
      <c r="I113" s="125">
        <f t="shared" ca="1" si="8"/>
        <v>0</v>
      </c>
      <c r="J113" s="128"/>
      <c r="K113" s="226"/>
    </row>
    <row r="114" spans="1:11" ht="16.5" customHeight="1">
      <c r="A114" s="127" t="str">
        <f t="shared" ca="1" si="6"/>
        <v/>
      </c>
      <c r="B114" s="239" t="str">
        <f ca="1">IF(ROWS($1:101)&gt;COUNT(Dong3),"",OFFSET(TH!E$1,SMALL(Dong3,ROWS($1:101)),))</f>
        <v/>
      </c>
      <c r="C114" s="239" t="str">
        <f ca="1">IF(ROWS($1:101)&gt;COUNT(Dong3),"",IF(LEFT((OFFSET(TH!D$1,SMALL(Dong3,ROWS($1:101)),)),1)&lt;&gt;"N","",(OFFSET(TH!D$1,SMALL(Dong3,ROWS($1:101)),)&amp;"/"&amp;OFFSET(TH!C$1,SMALL(Dong3,ROWS($1:101)),))))</f>
        <v/>
      </c>
      <c r="D114" s="239" t="str">
        <f ca="1">IF(ROWS($1:101)&gt;COUNT(Dong3),"",IF(LEFT((OFFSET(TH!D$1,SMALL(Dong3,ROWS($1:101)),)),1)&lt;&gt;"X","",(OFFSET(TH!D$1,SMALL(Dong3,ROWS($1:101)),)&amp;"/"&amp;OFFSET(TH!C$1,SMALL(Dong3,ROWS($1:101)),))))</f>
        <v/>
      </c>
      <c r="E114" s="240" t="str">
        <f ca="1">IF(ROWS($1:101)&gt;COUNT(Dong3),"",OFFSET(TH!F$1,SMALL(Dong3,ROWS($1:101)),))</f>
        <v/>
      </c>
      <c r="F114" s="239" t="str">
        <f t="shared" ca="1" si="7"/>
        <v/>
      </c>
      <c r="G114" s="241">
        <f ca="1">IF(ROWS($1:101)&gt;COUNT(Dong3),0,IF(OFFSET(TH!K$1,SMALL(Dong3,ROWS($1:101)),)&lt;&gt;0,OFFSET(TH!K$1,SMALL(Dong3,ROWS($1:101)),),0))</f>
        <v>0</v>
      </c>
      <c r="H114" s="241">
        <f ca="1">IF(ROWS($1:101)&gt;COUNT(Dong3),0,IF(OFFSET(TH!M$1,SMALL(Dong3,ROWS($1:101)),)&lt;&gt;0,OFFSET(TH!M$1,SMALL(Dong3,ROWS($1:101)),),0))</f>
        <v>0</v>
      </c>
      <c r="I114" s="125">
        <f t="shared" ca="1" si="8"/>
        <v>0</v>
      </c>
      <c r="J114" s="128"/>
      <c r="K114" s="226"/>
    </row>
    <row r="115" spans="1:11" ht="16.5" customHeight="1">
      <c r="A115" s="127" t="str">
        <f t="shared" ca="1" si="6"/>
        <v/>
      </c>
      <c r="B115" s="239" t="str">
        <f ca="1">IF(ROWS($1:102)&gt;COUNT(Dong3),"",OFFSET(TH!E$1,SMALL(Dong3,ROWS($1:102)),))</f>
        <v/>
      </c>
      <c r="C115" s="239" t="str">
        <f ca="1">IF(ROWS($1:102)&gt;COUNT(Dong3),"",IF(LEFT((OFFSET(TH!D$1,SMALL(Dong3,ROWS($1:102)),)),1)&lt;&gt;"N","",(OFFSET(TH!D$1,SMALL(Dong3,ROWS($1:102)),)&amp;"/"&amp;OFFSET(TH!C$1,SMALL(Dong3,ROWS($1:102)),))))</f>
        <v/>
      </c>
      <c r="D115" s="239" t="str">
        <f ca="1">IF(ROWS($1:102)&gt;COUNT(Dong3),"",IF(LEFT((OFFSET(TH!D$1,SMALL(Dong3,ROWS($1:102)),)),1)&lt;&gt;"X","",(OFFSET(TH!D$1,SMALL(Dong3,ROWS($1:102)),)&amp;"/"&amp;OFFSET(TH!C$1,SMALL(Dong3,ROWS($1:102)),))))</f>
        <v/>
      </c>
      <c r="E115" s="240" t="str">
        <f ca="1">IF(ROWS($1:102)&gt;COUNT(Dong3),"",OFFSET(TH!F$1,SMALL(Dong3,ROWS($1:102)),))</f>
        <v/>
      </c>
      <c r="F115" s="239" t="str">
        <f t="shared" ca="1" si="7"/>
        <v/>
      </c>
      <c r="G115" s="241">
        <f ca="1">IF(ROWS($1:102)&gt;COUNT(Dong3),0,IF(OFFSET(TH!K$1,SMALL(Dong3,ROWS($1:102)),)&lt;&gt;0,OFFSET(TH!K$1,SMALL(Dong3,ROWS($1:102)),),0))</f>
        <v>0</v>
      </c>
      <c r="H115" s="241">
        <f ca="1">IF(ROWS($1:102)&gt;COUNT(Dong3),0,IF(OFFSET(TH!M$1,SMALL(Dong3,ROWS($1:102)),)&lt;&gt;0,OFFSET(TH!M$1,SMALL(Dong3,ROWS($1:102)),),0))</f>
        <v>0</v>
      </c>
      <c r="I115" s="125">
        <f t="shared" ca="1" si="8"/>
        <v>0</v>
      </c>
      <c r="J115" s="128"/>
      <c r="K115" s="226"/>
    </row>
    <row r="116" spans="1:11" ht="16.5" customHeight="1">
      <c r="A116" s="127" t="str">
        <f t="shared" ca="1" si="6"/>
        <v/>
      </c>
      <c r="B116" s="239" t="str">
        <f ca="1">IF(ROWS($1:103)&gt;COUNT(Dong3),"",OFFSET(TH!E$1,SMALL(Dong3,ROWS($1:103)),))</f>
        <v/>
      </c>
      <c r="C116" s="239" t="str">
        <f ca="1">IF(ROWS($1:103)&gt;COUNT(Dong3),"",IF(LEFT((OFFSET(TH!D$1,SMALL(Dong3,ROWS($1:103)),)),1)&lt;&gt;"N","",(OFFSET(TH!D$1,SMALL(Dong3,ROWS($1:103)),)&amp;"/"&amp;OFFSET(TH!C$1,SMALL(Dong3,ROWS($1:103)),))))</f>
        <v/>
      </c>
      <c r="D116" s="239" t="str">
        <f ca="1">IF(ROWS($1:103)&gt;COUNT(Dong3),"",IF(LEFT((OFFSET(TH!D$1,SMALL(Dong3,ROWS($1:103)),)),1)&lt;&gt;"X","",(OFFSET(TH!D$1,SMALL(Dong3,ROWS($1:103)),)&amp;"/"&amp;OFFSET(TH!C$1,SMALL(Dong3,ROWS($1:103)),))))</f>
        <v/>
      </c>
      <c r="E116" s="240" t="str">
        <f ca="1">IF(ROWS($1:103)&gt;COUNT(Dong3),"",OFFSET(TH!F$1,SMALL(Dong3,ROWS($1:103)),))</f>
        <v/>
      </c>
      <c r="F116" s="239" t="str">
        <f t="shared" ca="1" si="7"/>
        <v/>
      </c>
      <c r="G116" s="241">
        <f ca="1">IF(ROWS($1:103)&gt;COUNT(Dong3),0,IF(OFFSET(TH!K$1,SMALL(Dong3,ROWS($1:103)),)&lt;&gt;0,OFFSET(TH!K$1,SMALL(Dong3,ROWS($1:103)),),0))</f>
        <v>0</v>
      </c>
      <c r="H116" s="241">
        <f ca="1">IF(ROWS($1:103)&gt;COUNT(Dong3),0,IF(OFFSET(TH!M$1,SMALL(Dong3,ROWS($1:103)),)&lt;&gt;0,OFFSET(TH!M$1,SMALL(Dong3,ROWS($1:103)),),0))</f>
        <v>0</v>
      </c>
      <c r="I116" s="125">
        <f t="shared" ca="1" si="8"/>
        <v>0</v>
      </c>
      <c r="J116" s="128"/>
      <c r="K116" s="226"/>
    </row>
    <row r="117" spans="1:11" ht="16.5" customHeight="1">
      <c r="A117" s="127" t="str">
        <f t="shared" ca="1" si="6"/>
        <v/>
      </c>
      <c r="B117" s="239" t="str">
        <f ca="1">IF(ROWS($1:104)&gt;COUNT(Dong3),"",OFFSET(TH!E$1,SMALL(Dong3,ROWS($1:104)),))</f>
        <v/>
      </c>
      <c r="C117" s="239" t="str">
        <f ca="1">IF(ROWS($1:104)&gt;COUNT(Dong3),"",IF(LEFT((OFFSET(TH!D$1,SMALL(Dong3,ROWS($1:104)),)),1)&lt;&gt;"N","",(OFFSET(TH!D$1,SMALL(Dong3,ROWS($1:104)),)&amp;"/"&amp;OFFSET(TH!C$1,SMALL(Dong3,ROWS($1:104)),))))</f>
        <v/>
      </c>
      <c r="D117" s="239" t="str">
        <f ca="1">IF(ROWS($1:104)&gt;COUNT(Dong3),"",IF(LEFT((OFFSET(TH!D$1,SMALL(Dong3,ROWS($1:104)),)),1)&lt;&gt;"X","",(OFFSET(TH!D$1,SMALL(Dong3,ROWS($1:104)),)&amp;"/"&amp;OFFSET(TH!C$1,SMALL(Dong3,ROWS($1:104)),))))</f>
        <v/>
      </c>
      <c r="E117" s="240" t="str">
        <f ca="1">IF(ROWS($1:104)&gt;COUNT(Dong3),"",OFFSET(TH!F$1,SMALL(Dong3,ROWS($1:104)),))</f>
        <v/>
      </c>
      <c r="F117" s="239" t="str">
        <f t="shared" ca="1" si="7"/>
        <v/>
      </c>
      <c r="G117" s="241">
        <f ca="1">IF(ROWS($1:104)&gt;COUNT(Dong3),0,IF(OFFSET(TH!K$1,SMALL(Dong3,ROWS($1:104)),)&lt;&gt;0,OFFSET(TH!K$1,SMALL(Dong3,ROWS($1:104)),),0))</f>
        <v>0</v>
      </c>
      <c r="H117" s="241">
        <f ca="1">IF(ROWS($1:104)&gt;COUNT(Dong3),0,IF(OFFSET(TH!M$1,SMALL(Dong3,ROWS($1:104)),)&lt;&gt;0,OFFSET(TH!M$1,SMALL(Dong3,ROWS($1:104)),),0))</f>
        <v>0</v>
      </c>
      <c r="I117" s="125">
        <f t="shared" ca="1" si="8"/>
        <v>0</v>
      </c>
      <c r="J117" s="128"/>
      <c r="K117" s="226"/>
    </row>
    <row r="118" spans="1:11" ht="16.5" customHeight="1">
      <c r="A118" s="127" t="str">
        <f t="shared" ca="1" si="6"/>
        <v/>
      </c>
      <c r="B118" s="239" t="str">
        <f ca="1">IF(ROWS($1:105)&gt;COUNT(Dong3),"",OFFSET(TH!E$1,SMALL(Dong3,ROWS($1:105)),))</f>
        <v/>
      </c>
      <c r="C118" s="239" t="str">
        <f ca="1">IF(ROWS($1:105)&gt;COUNT(Dong3),"",IF(LEFT((OFFSET(TH!D$1,SMALL(Dong3,ROWS($1:105)),)),1)&lt;&gt;"N","",(OFFSET(TH!D$1,SMALL(Dong3,ROWS($1:105)),)&amp;"/"&amp;OFFSET(TH!C$1,SMALL(Dong3,ROWS($1:105)),))))</f>
        <v/>
      </c>
      <c r="D118" s="239" t="str">
        <f ca="1">IF(ROWS($1:105)&gt;COUNT(Dong3),"",IF(LEFT((OFFSET(TH!D$1,SMALL(Dong3,ROWS($1:105)),)),1)&lt;&gt;"X","",(OFFSET(TH!D$1,SMALL(Dong3,ROWS($1:105)),)&amp;"/"&amp;OFFSET(TH!C$1,SMALL(Dong3,ROWS($1:105)),))))</f>
        <v/>
      </c>
      <c r="E118" s="240" t="str">
        <f ca="1">IF(ROWS($1:105)&gt;COUNT(Dong3),"",OFFSET(TH!F$1,SMALL(Dong3,ROWS($1:105)),))</f>
        <v/>
      </c>
      <c r="F118" s="239" t="str">
        <f t="shared" ca="1" si="7"/>
        <v/>
      </c>
      <c r="G118" s="241">
        <f ca="1">IF(ROWS($1:105)&gt;COUNT(Dong3),0,IF(OFFSET(TH!K$1,SMALL(Dong3,ROWS($1:105)),)&lt;&gt;0,OFFSET(TH!K$1,SMALL(Dong3,ROWS($1:105)),),0))</f>
        <v>0</v>
      </c>
      <c r="H118" s="241">
        <f ca="1">IF(ROWS($1:105)&gt;COUNT(Dong3),0,IF(OFFSET(TH!M$1,SMALL(Dong3,ROWS($1:105)),)&lt;&gt;0,OFFSET(TH!M$1,SMALL(Dong3,ROWS($1:105)),),0))</f>
        <v>0</v>
      </c>
      <c r="I118" s="125">
        <f t="shared" ca="1" si="8"/>
        <v>0</v>
      </c>
      <c r="J118" s="128"/>
      <c r="K118" s="226"/>
    </row>
    <row r="119" spans="1:11" ht="16.5" customHeight="1">
      <c r="A119" s="127" t="str">
        <f t="shared" ca="1" si="6"/>
        <v/>
      </c>
      <c r="B119" s="239" t="str">
        <f ca="1">IF(ROWS($1:106)&gt;COUNT(Dong3),"",OFFSET(TH!E$1,SMALL(Dong3,ROWS($1:106)),))</f>
        <v/>
      </c>
      <c r="C119" s="239" t="str">
        <f ca="1">IF(ROWS($1:106)&gt;COUNT(Dong3),"",IF(LEFT((OFFSET(TH!D$1,SMALL(Dong3,ROWS($1:106)),)),1)&lt;&gt;"N","",(OFFSET(TH!D$1,SMALL(Dong3,ROWS($1:106)),)&amp;"/"&amp;OFFSET(TH!C$1,SMALL(Dong3,ROWS($1:106)),))))</f>
        <v/>
      </c>
      <c r="D119" s="239" t="str">
        <f ca="1">IF(ROWS($1:106)&gt;COUNT(Dong3),"",IF(LEFT((OFFSET(TH!D$1,SMALL(Dong3,ROWS($1:106)),)),1)&lt;&gt;"X","",(OFFSET(TH!D$1,SMALL(Dong3,ROWS($1:106)),)&amp;"/"&amp;OFFSET(TH!C$1,SMALL(Dong3,ROWS($1:106)),))))</f>
        <v/>
      </c>
      <c r="E119" s="240" t="str">
        <f ca="1">IF(ROWS($1:106)&gt;COUNT(Dong3),"",OFFSET(TH!F$1,SMALL(Dong3,ROWS($1:106)),))</f>
        <v/>
      </c>
      <c r="F119" s="239" t="str">
        <f t="shared" ca="1" si="7"/>
        <v/>
      </c>
      <c r="G119" s="241">
        <f ca="1">IF(ROWS($1:106)&gt;COUNT(Dong3),0,IF(OFFSET(TH!K$1,SMALL(Dong3,ROWS($1:106)),)&lt;&gt;0,OFFSET(TH!K$1,SMALL(Dong3,ROWS($1:106)),),0))</f>
        <v>0</v>
      </c>
      <c r="H119" s="241">
        <f ca="1">IF(ROWS($1:106)&gt;COUNT(Dong3),0,IF(OFFSET(TH!M$1,SMALL(Dong3,ROWS($1:106)),)&lt;&gt;0,OFFSET(TH!M$1,SMALL(Dong3,ROWS($1:106)),),0))</f>
        <v>0</v>
      </c>
      <c r="I119" s="125">
        <f t="shared" ca="1" si="8"/>
        <v>0</v>
      </c>
      <c r="J119" s="128"/>
      <c r="K119" s="226"/>
    </row>
    <row r="120" spans="1:11" ht="16.5" customHeight="1">
      <c r="A120" s="127" t="str">
        <f t="shared" ca="1" si="6"/>
        <v/>
      </c>
      <c r="B120" s="239" t="str">
        <f ca="1">IF(ROWS($1:107)&gt;COUNT(Dong3),"",OFFSET(TH!E$1,SMALL(Dong3,ROWS($1:107)),))</f>
        <v/>
      </c>
      <c r="C120" s="239" t="str">
        <f ca="1">IF(ROWS($1:107)&gt;COUNT(Dong3),"",IF(LEFT((OFFSET(TH!D$1,SMALL(Dong3,ROWS($1:107)),)),1)&lt;&gt;"N","",(OFFSET(TH!D$1,SMALL(Dong3,ROWS($1:107)),)&amp;"/"&amp;OFFSET(TH!C$1,SMALL(Dong3,ROWS($1:107)),))))</f>
        <v/>
      </c>
      <c r="D120" s="239" t="str">
        <f ca="1">IF(ROWS($1:107)&gt;COUNT(Dong3),"",IF(LEFT((OFFSET(TH!D$1,SMALL(Dong3,ROWS($1:107)),)),1)&lt;&gt;"X","",(OFFSET(TH!D$1,SMALL(Dong3,ROWS($1:107)),)&amp;"/"&amp;OFFSET(TH!C$1,SMALL(Dong3,ROWS($1:107)),))))</f>
        <v/>
      </c>
      <c r="E120" s="240" t="str">
        <f ca="1">IF(ROWS($1:107)&gt;COUNT(Dong3),"",OFFSET(TH!F$1,SMALL(Dong3,ROWS($1:107)),))</f>
        <v/>
      </c>
      <c r="F120" s="239" t="str">
        <f t="shared" ca="1" si="7"/>
        <v/>
      </c>
      <c r="G120" s="241">
        <f ca="1">IF(ROWS($1:107)&gt;COUNT(Dong3),0,IF(OFFSET(TH!K$1,SMALL(Dong3,ROWS($1:107)),)&lt;&gt;0,OFFSET(TH!K$1,SMALL(Dong3,ROWS($1:107)),),0))</f>
        <v>0</v>
      </c>
      <c r="H120" s="241">
        <f ca="1">IF(ROWS($1:107)&gt;COUNT(Dong3),0,IF(OFFSET(TH!M$1,SMALL(Dong3,ROWS($1:107)),)&lt;&gt;0,OFFSET(TH!M$1,SMALL(Dong3,ROWS($1:107)),),0))</f>
        <v>0</v>
      </c>
      <c r="I120" s="125">
        <f t="shared" ca="1" si="8"/>
        <v>0</v>
      </c>
      <c r="J120" s="128"/>
      <c r="K120" s="226"/>
    </row>
    <row r="121" spans="1:11" ht="16.5" customHeight="1">
      <c r="A121" s="127" t="str">
        <f t="shared" ca="1" si="6"/>
        <v/>
      </c>
      <c r="B121" s="239" t="str">
        <f ca="1">IF(ROWS($1:108)&gt;COUNT(Dong3),"",OFFSET(TH!E$1,SMALL(Dong3,ROWS($1:108)),))</f>
        <v/>
      </c>
      <c r="C121" s="239" t="str">
        <f ca="1">IF(ROWS($1:108)&gt;COUNT(Dong3),"",IF(LEFT((OFFSET(TH!D$1,SMALL(Dong3,ROWS($1:108)),)),1)&lt;&gt;"N","",(OFFSET(TH!D$1,SMALL(Dong3,ROWS($1:108)),)&amp;"/"&amp;OFFSET(TH!C$1,SMALL(Dong3,ROWS($1:108)),))))</f>
        <v/>
      </c>
      <c r="D121" s="239" t="str">
        <f ca="1">IF(ROWS($1:108)&gt;COUNT(Dong3),"",IF(LEFT((OFFSET(TH!D$1,SMALL(Dong3,ROWS($1:108)),)),1)&lt;&gt;"X","",(OFFSET(TH!D$1,SMALL(Dong3,ROWS($1:108)),)&amp;"/"&amp;OFFSET(TH!C$1,SMALL(Dong3,ROWS($1:108)),))))</f>
        <v/>
      </c>
      <c r="E121" s="240" t="str">
        <f ca="1">IF(ROWS($1:108)&gt;COUNT(Dong3),"",OFFSET(TH!F$1,SMALL(Dong3,ROWS($1:108)),))</f>
        <v/>
      </c>
      <c r="F121" s="239" t="str">
        <f t="shared" ca="1" si="7"/>
        <v/>
      </c>
      <c r="G121" s="241">
        <f ca="1">IF(ROWS($1:108)&gt;COUNT(Dong3),0,IF(OFFSET(TH!K$1,SMALL(Dong3,ROWS($1:108)),)&lt;&gt;0,OFFSET(TH!K$1,SMALL(Dong3,ROWS($1:108)),),0))</f>
        <v>0</v>
      </c>
      <c r="H121" s="241">
        <f ca="1">IF(ROWS($1:108)&gt;COUNT(Dong3),0,IF(OFFSET(TH!M$1,SMALL(Dong3,ROWS($1:108)),)&lt;&gt;0,OFFSET(TH!M$1,SMALL(Dong3,ROWS($1:108)),),0))</f>
        <v>0</v>
      </c>
      <c r="I121" s="125">
        <f t="shared" ca="1" si="8"/>
        <v>0</v>
      </c>
      <c r="J121" s="128"/>
      <c r="K121" s="226"/>
    </row>
    <row r="122" spans="1:11" ht="16.5" customHeight="1">
      <c r="A122" s="127" t="str">
        <f t="shared" ca="1" si="6"/>
        <v/>
      </c>
      <c r="B122" s="239" t="str">
        <f ca="1">IF(ROWS($1:109)&gt;COUNT(Dong3),"",OFFSET(TH!E$1,SMALL(Dong3,ROWS($1:109)),))</f>
        <v/>
      </c>
      <c r="C122" s="239" t="str">
        <f ca="1">IF(ROWS($1:109)&gt;COUNT(Dong3),"",IF(LEFT((OFFSET(TH!D$1,SMALL(Dong3,ROWS($1:109)),)),1)&lt;&gt;"N","",(OFFSET(TH!D$1,SMALL(Dong3,ROWS($1:109)),)&amp;"/"&amp;OFFSET(TH!C$1,SMALL(Dong3,ROWS($1:109)),))))</f>
        <v/>
      </c>
      <c r="D122" s="239" t="str">
        <f ca="1">IF(ROWS($1:109)&gt;COUNT(Dong3),"",IF(LEFT((OFFSET(TH!D$1,SMALL(Dong3,ROWS($1:109)),)),1)&lt;&gt;"X","",(OFFSET(TH!D$1,SMALL(Dong3,ROWS($1:109)),)&amp;"/"&amp;OFFSET(TH!C$1,SMALL(Dong3,ROWS($1:109)),))))</f>
        <v/>
      </c>
      <c r="E122" s="240" t="str">
        <f ca="1">IF(ROWS($1:109)&gt;COUNT(Dong3),"",OFFSET(TH!F$1,SMALL(Dong3,ROWS($1:109)),))</f>
        <v/>
      </c>
      <c r="F122" s="239" t="str">
        <f t="shared" ca="1" si="7"/>
        <v/>
      </c>
      <c r="G122" s="241">
        <f ca="1">IF(ROWS($1:109)&gt;COUNT(Dong3),0,IF(OFFSET(TH!K$1,SMALL(Dong3,ROWS($1:109)),)&lt;&gt;0,OFFSET(TH!K$1,SMALL(Dong3,ROWS($1:109)),),0))</f>
        <v>0</v>
      </c>
      <c r="H122" s="241">
        <f ca="1">IF(ROWS($1:109)&gt;COUNT(Dong3),0,IF(OFFSET(TH!M$1,SMALL(Dong3,ROWS($1:109)),)&lt;&gt;0,OFFSET(TH!M$1,SMALL(Dong3,ROWS($1:109)),),0))</f>
        <v>0</v>
      </c>
      <c r="I122" s="125">
        <f t="shared" ca="1" si="8"/>
        <v>0</v>
      </c>
      <c r="J122" s="128"/>
      <c r="K122" s="226"/>
    </row>
    <row r="123" spans="1:11" ht="16.5" customHeight="1">
      <c r="A123" s="127" t="str">
        <f t="shared" ca="1" si="6"/>
        <v/>
      </c>
      <c r="B123" s="239" t="str">
        <f ca="1">IF(ROWS($1:110)&gt;COUNT(Dong3),"",OFFSET(TH!E$1,SMALL(Dong3,ROWS($1:110)),))</f>
        <v/>
      </c>
      <c r="C123" s="239" t="str">
        <f ca="1">IF(ROWS($1:110)&gt;COUNT(Dong3),"",IF(LEFT((OFFSET(TH!D$1,SMALL(Dong3,ROWS($1:110)),)),1)&lt;&gt;"N","",(OFFSET(TH!D$1,SMALL(Dong3,ROWS($1:110)),)&amp;"/"&amp;OFFSET(TH!C$1,SMALL(Dong3,ROWS($1:110)),))))</f>
        <v/>
      </c>
      <c r="D123" s="239" t="str">
        <f ca="1">IF(ROWS($1:110)&gt;COUNT(Dong3),"",IF(LEFT((OFFSET(TH!D$1,SMALL(Dong3,ROWS($1:110)),)),1)&lt;&gt;"X","",(OFFSET(TH!D$1,SMALL(Dong3,ROWS($1:110)),)&amp;"/"&amp;OFFSET(TH!C$1,SMALL(Dong3,ROWS($1:110)),))))</f>
        <v/>
      </c>
      <c r="E123" s="240" t="str">
        <f ca="1">IF(ROWS($1:110)&gt;COUNT(Dong3),"",OFFSET(TH!F$1,SMALL(Dong3,ROWS($1:110)),))</f>
        <v/>
      </c>
      <c r="F123" s="239" t="str">
        <f t="shared" ca="1" si="7"/>
        <v/>
      </c>
      <c r="G123" s="241">
        <f ca="1">IF(ROWS($1:110)&gt;COUNT(Dong3),0,IF(OFFSET(TH!K$1,SMALL(Dong3,ROWS($1:110)),)&lt;&gt;0,OFFSET(TH!K$1,SMALL(Dong3,ROWS($1:110)),),0))</f>
        <v>0</v>
      </c>
      <c r="H123" s="241">
        <f ca="1">IF(ROWS($1:110)&gt;COUNT(Dong3),0,IF(OFFSET(TH!M$1,SMALL(Dong3,ROWS($1:110)),)&lt;&gt;0,OFFSET(TH!M$1,SMALL(Dong3,ROWS($1:110)),),0))</f>
        <v>0</v>
      </c>
      <c r="I123" s="125">
        <f t="shared" ca="1" si="8"/>
        <v>0</v>
      </c>
      <c r="J123" s="128"/>
      <c r="K123" s="226"/>
    </row>
    <row r="124" spans="1:11" ht="16.5" customHeight="1">
      <c r="A124" s="237" t="str">
        <f>IF(D124&lt;&gt;"",A21+1,"")</f>
        <v/>
      </c>
      <c r="B124" s="242"/>
      <c r="C124" s="243"/>
      <c r="D124" s="243"/>
      <c r="E124" s="244"/>
      <c r="F124" s="242"/>
      <c r="G124" s="238"/>
      <c r="H124" s="238"/>
      <c r="I124" s="238"/>
      <c r="J124" s="245"/>
      <c r="K124" s="226"/>
    </row>
    <row r="125" spans="1:11" ht="16.5" customHeight="1">
      <c r="A125" s="117"/>
      <c r="B125" s="129"/>
      <c r="C125" s="117"/>
      <c r="D125" s="117"/>
      <c r="E125" s="118" t="s">
        <v>79</v>
      </c>
      <c r="F125" s="130" t="s">
        <v>22</v>
      </c>
      <c r="G125" s="131">
        <f ca="1">SUM(G14:G124)</f>
        <v>0</v>
      </c>
      <c r="H125" s="131">
        <f ca="1">SUM(H14:H124)</f>
        <v>77</v>
      </c>
      <c r="I125" s="131">
        <f ca="1">I13+G125-H125</f>
        <v>0</v>
      </c>
      <c r="J125" s="117" t="s">
        <v>22</v>
      </c>
      <c r="K125" s="227"/>
    </row>
    <row r="126" spans="1:11" ht="12.75" customHeight="1">
      <c r="A126" s="132"/>
      <c r="B126" s="96"/>
      <c r="C126" s="132"/>
      <c r="D126" s="132"/>
      <c r="E126" s="105"/>
      <c r="F126" s="96"/>
      <c r="G126" s="106"/>
      <c r="H126" s="106"/>
      <c r="I126" s="106"/>
      <c r="J126" s="92"/>
      <c r="K126" s="92"/>
    </row>
    <row r="127" spans="1:11" ht="15">
      <c r="A127" s="133" t="s">
        <v>80</v>
      </c>
      <c r="B127" s="133"/>
      <c r="C127" s="134"/>
      <c r="D127" s="134"/>
      <c r="E127" s="105"/>
      <c r="F127" s="96"/>
      <c r="G127" s="106"/>
      <c r="H127" s="106"/>
      <c r="I127" s="106"/>
      <c r="J127" s="92"/>
      <c r="K127" s="92"/>
    </row>
    <row r="128" spans="1:11" ht="15">
      <c r="A128" s="519" t="str">
        <f ca="1">IF(ISERROR(" - Ngày mở sổ: ngày "&amp;DAY(B14)&amp;" tháng "&amp;MONTH(B14)&amp;" năm "&amp;YEAR(B14))," - Ngày mở sổ: ngày 01 tháng  01 năm 2015 "," - Ngày mở sổ: ngày "&amp;DAY(B14)&amp;" tháng "&amp;MONTH(B14)&amp;" năm "&amp;YEAR(B14))</f>
        <v xml:space="preserve"> - Ngày mở sổ: ngày 2 tháng 1 năm 2013</v>
      </c>
      <c r="B128" s="520"/>
      <c r="C128" s="520"/>
      <c r="D128" s="520"/>
      <c r="E128" s="520"/>
      <c r="F128" s="96"/>
      <c r="G128" s="106"/>
      <c r="H128" s="106"/>
      <c r="I128" s="106"/>
      <c r="J128" s="92"/>
      <c r="K128" s="92"/>
    </row>
    <row r="129" spans="1:11" ht="15">
      <c r="A129" s="79"/>
      <c r="B129" s="135"/>
      <c r="C129" s="136"/>
      <c r="D129" s="132"/>
      <c r="E129" s="105"/>
      <c r="F129" s="96"/>
      <c r="G129" s="486" t="s">
        <v>95</v>
      </c>
      <c r="H129" s="486"/>
      <c r="I129" s="486"/>
      <c r="J129" s="486"/>
      <c r="K129" s="137"/>
    </row>
    <row r="130" spans="1:11" ht="15">
      <c r="A130" s="79"/>
      <c r="B130" s="78" t="s">
        <v>81</v>
      </c>
      <c r="C130" s="79"/>
      <c r="D130" s="132"/>
      <c r="E130" s="524" t="s">
        <v>24</v>
      </c>
      <c r="F130" s="524"/>
      <c r="G130" s="106"/>
      <c r="H130" s="525" t="s">
        <v>25</v>
      </c>
      <c r="I130" s="525"/>
      <c r="J130" s="525"/>
      <c r="K130" s="79"/>
    </row>
    <row r="131" spans="1:11" ht="15">
      <c r="A131" s="81"/>
      <c r="B131" s="138" t="s">
        <v>26</v>
      </c>
      <c r="C131" s="81"/>
      <c r="D131" s="139"/>
      <c r="E131" s="506" t="s">
        <v>26</v>
      </c>
      <c r="F131" s="506"/>
      <c r="G131" s="106"/>
      <c r="H131" s="507" t="s">
        <v>28</v>
      </c>
      <c r="I131" s="507"/>
      <c r="J131" s="507"/>
      <c r="K131" s="81"/>
    </row>
    <row r="132" spans="1:11" ht="15">
      <c r="A132" s="81"/>
      <c r="B132" s="138"/>
      <c r="C132" s="81"/>
      <c r="D132" s="132"/>
      <c r="E132" s="140"/>
      <c r="F132" s="80"/>
      <c r="G132" s="106"/>
      <c r="H132" s="81"/>
      <c r="I132" s="81"/>
      <c r="J132" s="81"/>
      <c r="K132" s="81"/>
    </row>
    <row r="133" spans="1:11" ht="15">
      <c r="A133" s="81"/>
      <c r="B133" s="138"/>
      <c r="C133" s="81"/>
      <c r="D133" s="132"/>
      <c r="E133" s="140"/>
      <c r="F133" s="80"/>
      <c r="G133" s="106"/>
      <c r="H133" s="81"/>
      <c r="I133" s="81"/>
      <c r="J133" s="81"/>
      <c r="K133" s="81"/>
    </row>
    <row r="134" spans="1:11" ht="15">
      <c r="A134" s="81"/>
      <c r="B134" s="138"/>
      <c r="C134" s="81"/>
      <c r="D134" s="132"/>
      <c r="E134" s="140"/>
      <c r="F134" s="80"/>
      <c r="G134" s="106"/>
      <c r="H134" s="81"/>
      <c r="I134" s="81"/>
      <c r="J134" s="81"/>
      <c r="K134" s="81"/>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4"/>
  <sheetViews>
    <sheetView topLeftCell="A10" zoomScale="90" zoomScaleSheetLayoutView="100" workbookViewId="0">
      <pane ySplit="4" topLeftCell="A53" activePane="bottomLeft" state="frozen"/>
      <selection activeCell="A10" sqref="A10"/>
      <selection pane="bottomLeft" activeCell="J65" sqref="J65"/>
    </sheetView>
  </sheetViews>
  <sheetFormatPr defaultColWidth="9.140625" defaultRowHeight="15.75"/>
  <cols>
    <col min="1" max="1" width="10.42578125" style="249" customWidth="1"/>
    <col min="2" max="2" width="26.85546875" style="247" customWidth="1"/>
    <col min="3" max="3" width="5.85546875" style="247" hidden="1" customWidth="1"/>
    <col min="4" max="4" width="5.7109375" style="247" hidden="1" customWidth="1"/>
    <col min="5" max="5" width="25.42578125" style="247" customWidth="1"/>
    <col min="6" max="6" width="10.7109375" style="247" bestFit="1" customWidth="1"/>
    <col min="7" max="7" width="16.42578125" style="247" customWidth="1"/>
    <col min="8" max="8" width="7.85546875" style="251" customWidth="1"/>
    <col min="9" max="9" width="9" style="251" customWidth="1"/>
    <col min="10" max="10" width="13.140625" style="247" customWidth="1"/>
    <col min="11" max="12" width="6.7109375" style="247" customWidth="1"/>
    <col min="13" max="13" width="7.140625" style="248" customWidth="1"/>
    <col min="14" max="85" width="10.28515625" style="248" customWidth="1"/>
    <col min="86" max="16384" width="9.140625" style="247"/>
  </cols>
  <sheetData>
    <row r="1" spans="1:86" ht="15.95" customHeight="1">
      <c r="A1" s="529" t="s">
        <v>211</v>
      </c>
      <c r="B1" s="529"/>
      <c r="C1" s="529"/>
      <c r="D1" s="529"/>
      <c r="E1" s="529"/>
      <c r="F1" s="529"/>
      <c r="G1" s="529"/>
      <c r="H1" s="529"/>
      <c r="I1" s="529"/>
      <c r="J1" s="530" t="s">
        <v>238</v>
      </c>
      <c r="K1" s="531"/>
      <c r="M1" s="247"/>
      <c r="CH1" s="248"/>
    </row>
    <row r="2" spans="1:86" ht="15.95" customHeight="1">
      <c r="A2" s="529"/>
      <c r="B2" s="529"/>
      <c r="C2" s="529"/>
      <c r="D2" s="529"/>
      <c r="E2" s="529"/>
      <c r="F2" s="529"/>
      <c r="G2" s="529"/>
      <c r="H2" s="529"/>
      <c r="I2" s="529"/>
      <c r="J2" s="532"/>
      <c r="K2" s="533"/>
      <c r="M2" s="247"/>
      <c r="CH2" s="248"/>
    </row>
    <row r="3" spans="1:86" ht="12.75" customHeight="1">
      <c r="A3" s="529"/>
      <c r="B3" s="529"/>
      <c r="C3" s="529"/>
      <c r="D3" s="529"/>
      <c r="E3" s="529"/>
      <c r="F3" s="529"/>
      <c r="G3" s="529"/>
      <c r="H3" s="529"/>
      <c r="I3" s="529"/>
      <c r="J3" s="532"/>
      <c r="K3" s="533"/>
      <c r="M3" s="247"/>
      <c r="CH3" s="248"/>
    </row>
    <row r="4" spans="1:86" ht="18" customHeight="1">
      <c r="A4" s="536" t="str">
        <f>"( " &amp; IF(OR($M$11=1,$M$11=4,$M$11=6,$M$11=9,$M$11=11),"Ngày  30  tháng  "&amp;$M$11&amp;"  năm 2014",IF(OR($M$11=3,$M$11=5,$M$11=7,$M$11=8,$M$11=10,$M$11=12),"Ngày  31  tháng  "&amp;$M$11&amp;"  năm 2015","Ngày  29  tháng  "&amp;$M$11&amp;"  năm 2015")) &amp; " ) "</f>
        <v xml:space="preserve">( Ngày  31  tháng  12  năm 2015 ) </v>
      </c>
      <c r="B4" s="536"/>
      <c r="C4" s="536"/>
      <c r="D4" s="536"/>
      <c r="E4" s="536"/>
      <c r="F4" s="536"/>
      <c r="G4" s="536"/>
      <c r="H4" s="536"/>
      <c r="I4" s="536"/>
      <c r="J4" s="534"/>
      <c r="K4" s="535"/>
      <c r="M4" s="247"/>
      <c r="CH4" s="248"/>
    </row>
    <row r="5" spans="1:86" ht="15" customHeight="1">
      <c r="E5" s="250"/>
      <c r="F5" s="250"/>
    </row>
    <row r="6" spans="1:86" ht="18" customHeight="1">
      <c r="A6" s="249" t="s">
        <v>212</v>
      </c>
      <c r="G6" s="247" t="s">
        <v>213</v>
      </c>
    </row>
    <row r="7" spans="1:86" ht="18" customHeight="1">
      <c r="A7" s="249" t="s">
        <v>214</v>
      </c>
    </row>
    <row r="8" spans="1:86" ht="18" customHeight="1">
      <c r="A8" s="249" t="s">
        <v>215</v>
      </c>
    </row>
    <row r="9" spans="1:86" ht="18" customHeight="1">
      <c r="A9" s="249" t="s">
        <v>216</v>
      </c>
    </row>
    <row r="10" spans="1:86" ht="10.5" customHeight="1">
      <c r="M10" s="284"/>
    </row>
    <row r="11" spans="1:86" s="252" customFormat="1" ht="17.25" customHeight="1">
      <c r="A11" s="537" t="s">
        <v>217</v>
      </c>
      <c r="B11" s="539" t="s">
        <v>218</v>
      </c>
      <c r="C11" s="540"/>
      <c r="D11" s="540"/>
      <c r="E11" s="540"/>
      <c r="F11" s="541"/>
      <c r="G11" s="542" t="s">
        <v>219</v>
      </c>
      <c r="H11" s="542"/>
      <c r="I11" s="542"/>
      <c r="J11" s="542"/>
      <c r="K11" s="543" t="s">
        <v>8</v>
      </c>
      <c r="M11" s="283">
        <v>12</v>
      </c>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253"/>
      <c r="BA11" s="253"/>
      <c r="BB11" s="253"/>
      <c r="BC11" s="253"/>
      <c r="BD11" s="253"/>
      <c r="BE11" s="253"/>
      <c r="BF11" s="253"/>
      <c r="BG11" s="253"/>
      <c r="BH11" s="253"/>
      <c r="BI11" s="253"/>
      <c r="BJ11" s="253"/>
      <c r="BK11" s="253"/>
      <c r="BL11" s="253"/>
      <c r="BM11" s="253"/>
      <c r="BN11" s="253"/>
      <c r="BO11" s="253"/>
      <c r="BP11" s="253"/>
      <c r="BQ11" s="253"/>
      <c r="BR11" s="253"/>
      <c r="BS11" s="253"/>
      <c r="BT11" s="253"/>
      <c r="BU11" s="253"/>
      <c r="BV11" s="253"/>
      <c r="BW11" s="253"/>
      <c r="BX11" s="253"/>
      <c r="BY11" s="253"/>
      <c r="BZ11" s="253"/>
      <c r="CA11" s="253"/>
      <c r="CB11" s="253"/>
      <c r="CC11" s="253"/>
      <c r="CD11" s="253"/>
      <c r="CE11" s="253"/>
      <c r="CF11" s="253"/>
      <c r="CG11" s="253"/>
    </row>
    <row r="12" spans="1:86" s="256" customFormat="1" ht="44.25" customHeight="1">
      <c r="A12" s="538"/>
      <c r="B12" s="254" t="s">
        <v>220</v>
      </c>
      <c r="C12" s="254"/>
      <c r="D12" s="254" t="s">
        <v>221</v>
      </c>
      <c r="E12" s="254" t="s">
        <v>222</v>
      </c>
      <c r="F12" s="254" t="s">
        <v>223</v>
      </c>
      <c r="G12" s="254" t="s">
        <v>224</v>
      </c>
      <c r="H12" s="255" t="s">
        <v>11</v>
      </c>
      <c r="I12" s="255" t="s">
        <v>4</v>
      </c>
      <c r="J12" s="254" t="s">
        <v>225</v>
      </c>
      <c r="K12" s="544"/>
      <c r="M12" s="257"/>
      <c r="N12" s="257"/>
      <c r="O12" s="257"/>
      <c r="P12" s="257"/>
      <c r="Q12" s="257"/>
      <c r="R12" s="257"/>
      <c r="S12" s="257"/>
      <c r="T12" s="257"/>
      <c r="U12" s="257"/>
      <c r="V12" s="257"/>
      <c r="W12" s="257"/>
      <c r="X12" s="257"/>
      <c r="Y12" s="257"/>
      <c r="Z12" s="257"/>
      <c r="AA12" s="257"/>
      <c r="AB12" s="257"/>
      <c r="AC12" s="257"/>
      <c r="AD12" s="257"/>
      <c r="AE12" s="257"/>
      <c r="AF12" s="257"/>
      <c r="AG12" s="257"/>
      <c r="AH12" s="257"/>
      <c r="AI12" s="257"/>
      <c r="AJ12" s="257"/>
      <c r="AK12" s="257"/>
      <c r="AL12" s="257"/>
      <c r="AM12" s="257"/>
      <c r="AN12" s="257"/>
      <c r="AO12" s="257"/>
      <c r="AP12" s="257"/>
      <c r="AQ12" s="257"/>
      <c r="AR12" s="257"/>
      <c r="AS12" s="257"/>
      <c r="AT12" s="257"/>
      <c r="AU12" s="257"/>
      <c r="AV12" s="257"/>
      <c r="AW12" s="257"/>
      <c r="AX12" s="257"/>
      <c r="AY12" s="257"/>
      <c r="AZ12" s="257"/>
      <c r="BA12" s="257"/>
      <c r="BB12" s="257"/>
      <c r="BC12" s="257"/>
      <c r="BD12" s="257"/>
      <c r="BE12" s="257"/>
      <c r="BF12" s="257"/>
      <c r="BG12" s="257"/>
      <c r="BH12" s="257"/>
      <c r="BI12" s="257"/>
      <c r="BJ12" s="257"/>
      <c r="BK12" s="257"/>
      <c r="BL12" s="257"/>
      <c r="BM12" s="257"/>
      <c r="BN12" s="257"/>
      <c r="BO12" s="257"/>
      <c r="BP12" s="257"/>
      <c r="BQ12" s="257"/>
      <c r="BR12" s="257"/>
      <c r="BS12" s="257"/>
      <c r="BT12" s="257"/>
      <c r="BU12" s="257"/>
      <c r="BV12" s="257"/>
      <c r="BW12" s="257"/>
      <c r="BX12" s="257"/>
      <c r="BY12" s="257"/>
      <c r="BZ12" s="257"/>
      <c r="CA12" s="257"/>
      <c r="CB12" s="257"/>
      <c r="CC12" s="257"/>
      <c r="CD12" s="257"/>
      <c r="CE12" s="257"/>
      <c r="CF12" s="257"/>
      <c r="CG12" s="257"/>
    </row>
    <row r="13" spans="1:86" s="262" customFormat="1" ht="9.75" customHeight="1">
      <c r="A13" s="258" t="s">
        <v>226</v>
      </c>
      <c r="B13" s="259">
        <v>2</v>
      </c>
      <c r="C13" s="259"/>
      <c r="D13" s="259"/>
      <c r="E13" s="259">
        <v>3</v>
      </c>
      <c r="F13" s="259">
        <v>4</v>
      </c>
      <c r="G13" s="259">
        <v>5</v>
      </c>
      <c r="H13" s="260" t="s">
        <v>227</v>
      </c>
      <c r="I13" s="260" t="s">
        <v>228</v>
      </c>
      <c r="J13" s="259">
        <v>8</v>
      </c>
      <c r="K13" s="259">
        <v>9</v>
      </c>
      <c r="L13" s="261"/>
      <c r="M13" s="261"/>
      <c r="N13" s="261"/>
      <c r="O13" s="261"/>
      <c r="P13" s="261"/>
      <c r="Q13" s="261"/>
      <c r="R13" s="261"/>
      <c r="S13" s="261"/>
      <c r="T13" s="261"/>
      <c r="U13" s="261"/>
      <c r="V13" s="261"/>
      <c r="W13" s="261"/>
      <c r="X13" s="261"/>
      <c r="Y13" s="261"/>
      <c r="Z13" s="261"/>
      <c r="AA13" s="261"/>
      <c r="AB13" s="261"/>
      <c r="AC13" s="261"/>
      <c r="AD13" s="261"/>
      <c r="AE13" s="261"/>
      <c r="AF13" s="261"/>
      <c r="AG13" s="261"/>
      <c r="AH13" s="261"/>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1"/>
      <c r="BF13" s="261"/>
      <c r="BG13" s="261"/>
      <c r="BH13" s="261"/>
      <c r="BI13" s="261"/>
      <c r="BJ13" s="261"/>
      <c r="BK13" s="261"/>
      <c r="BL13" s="261"/>
      <c r="BM13" s="261"/>
      <c r="BN13" s="261"/>
      <c r="BO13" s="261"/>
      <c r="BP13" s="261"/>
      <c r="BQ13" s="261"/>
      <c r="BR13" s="261"/>
      <c r="BS13" s="261"/>
      <c r="BT13" s="261"/>
      <c r="BU13" s="261"/>
      <c r="BV13" s="261"/>
      <c r="BW13" s="261"/>
      <c r="BX13" s="261"/>
      <c r="BY13" s="261"/>
      <c r="BZ13" s="261"/>
      <c r="CA13" s="261"/>
      <c r="CB13" s="261"/>
      <c r="CC13" s="261"/>
      <c r="CD13" s="261"/>
      <c r="CE13" s="261"/>
      <c r="CF13" s="261"/>
      <c r="CG13" s="261"/>
    </row>
    <row r="14" spans="1:86" s="269" customFormat="1" ht="21.75" customHeight="1">
      <c r="A14" s="69">
        <f ca="1">IF(ROWS($1:1)&gt;COUNT(Dong),"",OFFSET(TH!E$1,SMALL(Dong,ROWS($1:1)),))</f>
        <v>41609</v>
      </c>
      <c r="B14" s="285" t="str">
        <f ca="1">IF(ROWS($1:1)&gt;COUNT(Dong),"",OFFSET(TH!G$1,SMALL(Dong,ROWS($1:1)),))</f>
        <v>Ngô Văn Vàng</v>
      </c>
      <c r="C14" s="263" t="str">
        <f t="shared" ref="C14:C62" ca="1" si="0">IF(ISNA(VLOOKUP($B14,DSNL,5,0)),"",VLOOKUP($B14,DSNL,5,0))</f>
        <v>Hai</v>
      </c>
      <c r="D14" s="263" t="str">
        <f ca="1">IF(ROWS($1:1)&gt;COUNT(Dong),"",OFFSET(TH!D$1,SMALL(Dong,ROWS($1:1)),))</f>
        <v>N01</v>
      </c>
      <c r="E14" s="264" t="str">
        <f t="shared" ref="E14:E62" ca="1" si="1">IF(ISNA(VLOOKUP($B14,DSNL,4,0)),"",VLOOKUP($B14,DSNL,4,0))</f>
        <v>Vũng Tàu</v>
      </c>
      <c r="F14" s="264">
        <f t="shared" ref="F14:F62" ca="1" si="2">IF(ISNA(VLOOKUP($B14,DSNL,3,0)),"",VLOOKUP($B14,DSNL,3,0))</f>
        <v>190253143</v>
      </c>
      <c r="G14" s="286" t="str">
        <f ca="1">IF(ROWS($1:1)&gt;COUNT(Dong),"",OFFSET(TH!F$1,SMALL(Dong,ROWS($1:1)),))</f>
        <v>Cá bò NL</v>
      </c>
      <c r="H14" s="287">
        <f ca="1">IF(ROWS($1:1)&gt;COUNT(Dong),"",OFFSET(TH!K$1,SMALL(Dong,ROWS($1:1)),))</f>
        <v>5986</v>
      </c>
      <c r="I14" s="287">
        <f ca="1">IF(ROWS($1:1)&gt;COUNT(Dong),"",OFFSET(TH!J$1,SMALL(Dong,ROWS($1:1)),))</f>
        <v>18000</v>
      </c>
      <c r="J14" s="270">
        <f ca="1">IF(B14&lt;&gt;"",H14*I14,0)</f>
        <v>107748000</v>
      </c>
      <c r="K14" s="270"/>
      <c r="L14" s="26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c r="BA14" s="248"/>
      <c r="BB14" s="248"/>
      <c r="BC14" s="248"/>
      <c r="BD14" s="248"/>
      <c r="BE14" s="248"/>
      <c r="BF14" s="248"/>
      <c r="BG14" s="248"/>
      <c r="BH14" s="248"/>
      <c r="BI14" s="248"/>
      <c r="BJ14" s="248"/>
      <c r="BK14" s="248"/>
      <c r="BL14" s="248"/>
      <c r="BM14" s="248"/>
      <c r="BN14" s="248"/>
      <c r="BO14" s="248"/>
      <c r="BP14" s="248"/>
      <c r="BQ14" s="248"/>
      <c r="BR14" s="248"/>
      <c r="BS14" s="248"/>
      <c r="BT14" s="248"/>
      <c r="BU14" s="248"/>
      <c r="BV14" s="248"/>
      <c r="BW14" s="248"/>
      <c r="BX14" s="248"/>
      <c r="BY14" s="248"/>
      <c r="BZ14" s="248"/>
      <c r="CA14" s="248"/>
      <c r="CB14" s="248"/>
      <c r="CC14" s="248"/>
      <c r="CD14" s="248"/>
      <c r="CE14" s="248"/>
      <c r="CF14" s="248"/>
      <c r="CG14" s="248"/>
    </row>
    <row r="15" spans="1:86" s="269" customFormat="1" ht="21.75" customHeight="1">
      <c r="A15" s="69">
        <f ca="1">IF(ROWS($1:2)&gt;COUNT(Dong),"",OFFSET(TH!E$1,SMALL(Dong,ROWS($1:2)),))</f>
        <v>41609</v>
      </c>
      <c r="B15" s="285" t="str">
        <f ca="1">IF(ROWS($1:2)&gt;COUNT(Dong),"",OFFSET(TH!G$1,SMALL(Dong,ROWS($1:2)),))</f>
        <v>Võ Thị Bảy</v>
      </c>
      <c r="C15" s="263" t="str">
        <f t="shared" ca="1" si="0"/>
        <v>Văn</v>
      </c>
      <c r="D15" s="263" t="str">
        <f ca="1">IF(ROWS($1:2)&gt;COUNT(Dong),"",OFFSET(TH!D$1,SMALL(Dong,ROWS($1:2)),))</f>
        <v>N02</v>
      </c>
      <c r="E15" s="264" t="str">
        <f t="shared" ca="1" si="1"/>
        <v>Vũng Tàu</v>
      </c>
      <c r="F15" s="264">
        <f t="shared" ca="1" si="2"/>
        <v>270106056</v>
      </c>
      <c r="G15" s="265" t="str">
        <f ca="1">IF(ROWS($1:2)&gt;COUNT(Dong),"",OFFSET(TH!F$1,SMALL(Dong,ROWS($1:2)),))</f>
        <v>Cá bò NL</v>
      </c>
      <c r="H15" s="266">
        <f ca="1">IF(ROWS($1:2)&gt;COUNT(Dong),"",OFFSET(TH!K$1,SMALL(Dong,ROWS($1:2)),))</f>
        <v>5213</v>
      </c>
      <c r="I15" s="266">
        <f ca="1">IF(ROWS($1:2)&gt;COUNT(Dong),"",OFFSET(TH!J$1,SMALL(Dong,ROWS($1:2)),))</f>
        <v>18000</v>
      </c>
      <c r="J15" s="270">
        <f t="shared" ref="J15:J55" ca="1" si="3">IF(B15&lt;&gt;"",H15*I15,0)</f>
        <v>93834000</v>
      </c>
      <c r="K15" s="267"/>
      <c r="L15" s="26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c r="BF15" s="248"/>
      <c r="BG15" s="248"/>
      <c r="BH15" s="248"/>
      <c r="BI15" s="248"/>
      <c r="BJ15" s="248"/>
      <c r="BK15" s="248"/>
      <c r="BL15" s="248"/>
      <c r="BM15" s="248"/>
      <c r="BN15" s="248"/>
      <c r="BO15" s="248"/>
      <c r="BP15" s="248"/>
      <c r="BQ15" s="248"/>
      <c r="BR15" s="248"/>
      <c r="BS15" s="248"/>
      <c r="BT15" s="248"/>
      <c r="BU15" s="248"/>
      <c r="BV15" s="248"/>
      <c r="BW15" s="248"/>
      <c r="BX15" s="248"/>
      <c r="BY15" s="248"/>
      <c r="BZ15" s="248"/>
      <c r="CA15" s="248"/>
      <c r="CB15" s="248"/>
      <c r="CC15" s="248"/>
      <c r="CD15" s="248"/>
      <c r="CE15" s="248"/>
      <c r="CF15" s="248"/>
      <c r="CG15" s="248"/>
    </row>
    <row r="16" spans="1:86" s="269" customFormat="1" ht="21.75" customHeight="1">
      <c r="A16" s="69">
        <f ca="1">IF(ROWS($1:3)&gt;COUNT(Dong),"",OFFSET(TH!E$1,SMALL(Dong,ROWS($1:3)),))</f>
        <v>41609</v>
      </c>
      <c r="B16" s="285" t="str">
        <f ca="1">IF(ROWS($1:3)&gt;COUNT(Dong),"",OFFSET(TH!G$1,SMALL(Dong,ROWS($1:3)),))</f>
        <v>Võ Văn Bá</v>
      </c>
      <c r="C16" s="263" t="str">
        <f t="shared" ca="1" si="0"/>
        <v>Văn</v>
      </c>
      <c r="D16" s="263" t="str">
        <f ca="1">IF(ROWS($1:3)&gt;COUNT(Dong),"",OFFSET(TH!D$1,SMALL(Dong,ROWS($1:3)),))</f>
        <v>N04</v>
      </c>
      <c r="E16" s="264" t="str">
        <f t="shared" ca="1" si="1"/>
        <v>Vũng Tàu</v>
      </c>
      <c r="F16" s="264">
        <f t="shared" ca="1" si="2"/>
        <v>270176684</v>
      </c>
      <c r="G16" s="265" t="str">
        <f ca="1">IF(ROWS($1:3)&gt;COUNT(Dong),"",OFFSET(TH!F$1,SMALL(Dong,ROWS($1:3)),))</f>
        <v>Cá bò NL</v>
      </c>
      <c r="H16" s="266">
        <f ca="1">IF(ROWS($1:3)&gt;COUNT(Dong),"",OFFSET(TH!K$1,SMALL(Dong,ROWS($1:3)),))</f>
        <v>4787</v>
      </c>
      <c r="I16" s="266">
        <f ca="1">IF(ROWS($1:3)&gt;COUNT(Dong),"",OFFSET(TH!J$1,SMALL(Dong,ROWS($1:3)),))</f>
        <v>18000</v>
      </c>
      <c r="J16" s="270">
        <f t="shared" ca="1" si="3"/>
        <v>86166000</v>
      </c>
      <c r="K16" s="267"/>
      <c r="L16" s="26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c r="BB16" s="248"/>
      <c r="BC16" s="248"/>
      <c r="BD16" s="248"/>
      <c r="BE16" s="248"/>
      <c r="BF16" s="248"/>
      <c r="BG16" s="248"/>
      <c r="BH16" s="248"/>
      <c r="BI16" s="248"/>
      <c r="BJ16" s="248"/>
      <c r="BK16" s="248"/>
      <c r="BL16" s="248"/>
      <c r="BM16" s="248"/>
      <c r="BN16" s="248"/>
      <c r="BO16" s="248"/>
      <c r="BP16" s="248"/>
      <c r="BQ16" s="248"/>
      <c r="BR16" s="248"/>
      <c r="BS16" s="248"/>
      <c r="BT16" s="248"/>
      <c r="BU16" s="248"/>
      <c r="BV16" s="248"/>
      <c r="BW16" s="248"/>
      <c r="BX16" s="248"/>
      <c r="BY16" s="248"/>
      <c r="BZ16" s="248"/>
      <c r="CA16" s="248"/>
      <c r="CB16" s="248"/>
      <c r="CC16" s="248"/>
      <c r="CD16" s="248"/>
      <c r="CE16" s="248"/>
      <c r="CF16" s="248"/>
      <c r="CG16" s="248"/>
    </row>
    <row r="17" spans="1:85" s="269" customFormat="1" ht="21.75" customHeight="1">
      <c r="A17" s="69">
        <f ca="1">IF(ROWS($1:4)&gt;COUNT(Dong),"",OFFSET(TH!E$1,SMALL(Dong,ROWS($1:4)),))</f>
        <v>41609</v>
      </c>
      <c r="B17" s="285" t="str">
        <f ca="1">IF(ROWS($1:4)&gt;COUNT(Dong),"",OFFSET(TH!G$1,SMALL(Dong,ROWS($1:4)),))</f>
        <v>Nguyễn Đức Tiến</v>
      </c>
      <c r="C17" s="263" t="str">
        <f t="shared" ca="1" si="0"/>
        <v>Văn</v>
      </c>
      <c r="D17" s="263" t="str">
        <f ca="1">IF(ROWS($1:4)&gt;COUNT(Dong),"",OFFSET(TH!D$1,SMALL(Dong,ROWS($1:4)),))</f>
        <v>N05</v>
      </c>
      <c r="E17" s="264" t="str">
        <f t="shared" ca="1" si="1"/>
        <v>Vũng Tàu</v>
      </c>
      <c r="F17" s="264">
        <f t="shared" ca="1" si="2"/>
        <v>273249576</v>
      </c>
      <c r="G17" s="265" t="str">
        <f ca="1">IF(ROWS($1:4)&gt;COUNT(Dong),"",OFFSET(TH!F$1,SMALL(Dong,ROWS($1:4)),))</f>
        <v>Cá bò NL</v>
      </c>
      <c r="H17" s="266">
        <f ca="1">IF(ROWS($1:4)&gt;COUNT(Dong),"",OFFSET(TH!K$1,SMALL(Dong,ROWS($1:4)),))</f>
        <v>5492</v>
      </c>
      <c r="I17" s="266">
        <f ca="1">IF(ROWS($1:4)&gt;COUNT(Dong),"",OFFSET(TH!J$1,SMALL(Dong,ROWS($1:4)),))</f>
        <v>18000</v>
      </c>
      <c r="J17" s="270">
        <f t="shared" ca="1" si="3"/>
        <v>98856000</v>
      </c>
      <c r="K17" s="267"/>
      <c r="L17" s="26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c r="BB17" s="248"/>
      <c r="BC17" s="248"/>
      <c r="BD17" s="248"/>
      <c r="BE17" s="248"/>
      <c r="BF17" s="248"/>
      <c r="BG17" s="248"/>
      <c r="BH17" s="248"/>
      <c r="BI17" s="248"/>
      <c r="BJ17" s="248"/>
      <c r="BK17" s="248"/>
      <c r="BL17" s="248"/>
      <c r="BM17" s="248"/>
      <c r="BN17" s="248"/>
      <c r="BO17" s="248"/>
      <c r="BP17" s="248"/>
      <c r="BQ17" s="248"/>
      <c r="BR17" s="248"/>
      <c r="BS17" s="248"/>
      <c r="BT17" s="248"/>
      <c r="BU17" s="248"/>
      <c r="BV17" s="248"/>
      <c r="BW17" s="248"/>
      <c r="BX17" s="248"/>
      <c r="BY17" s="248"/>
      <c r="BZ17" s="248"/>
      <c r="CA17" s="248"/>
      <c r="CB17" s="248"/>
      <c r="CC17" s="248"/>
      <c r="CD17" s="248"/>
      <c r="CE17" s="248"/>
      <c r="CF17" s="248"/>
      <c r="CG17" s="248"/>
    </row>
    <row r="18" spans="1:85" s="269" customFormat="1" ht="21.75" customHeight="1">
      <c r="A18" s="69">
        <f ca="1">IF(ROWS($1:5)&gt;COUNT(Dong),"",OFFSET(TH!E$1,SMALL(Dong,ROWS($1:5)),))</f>
        <v>41611</v>
      </c>
      <c r="B18" s="285" t="str">
        <f ca="1">IF(ROWS($1:5)&gt;COUNT(Dong),"",OFFSET(TH!G$1,SMALL(Dong,ROWS($1:5)),))</f>
        <v>Nguyễn Hành</v>
      </c>
      <c r="C18" s="263" t="str">
        <f t="shared" ca="1" si="0"/>
        <v>Văn</v>
      </c>
      <c r="D18" s="263" t="str">
        <f ca="1">IF(ROWS($1:5)&gt;COUNT(Dong),"",OFFSET(TH!D$1,SMALL(Dong,ROWS($1:5)),))</f>
        <v>N16</v>
      </c>
      <c r="E18" s="264" t="str">
        <f t="shared" ca="1" si="1"/>
        <v>Vũng Tàu</v>
      </c>
      <c r="F18" s="264">
        <f t="shared" ca="1" si="2"/>
        <v>190524479</v>
      </c>
      <c r="G18" s="265" t="str">
        <f ca="1">IF(ROWS($1:5)&gt;COUNT(Dong),"",OFFSET(TH!F$1,SMALL(Dong,ROWS($1:5)),))</f>
        <v>Cá bò NL</v>
      </c>
      <c r="H18" s="266">
        <f ca="1">IF(ROWS($1:5)&gt;COUNT(Dong),"",OFFSET(TH!K$1,SMALL(Dong,ROWS($1:5)),))</f>
        <v>4931</v>
      </c>
      <c r="I18" s="266">
        <f ca="1">IF(ROWS($1:5)&gt;COUNT(Dong),"",OFFSET(TH!J$1,SMALL(Dong,ROWS($1:5)),))</f>
        <v>18000</v>
      </c>
      <c r="J18" s="270">
        <f t="shared" ca="1" si="3"/>
        <v>88758000</v>
      </c>
      <c r="K18" s="267"/>
      <c r="L18" s="26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8"/>
      <c r="AV18" s="248"/>
      <c r="AW18" s="248"/>
      <c r="AX18" s="248"/>
      <c r="AY18" s="248"/>
      <c r="AZ18" s="248"/>
      <c r="BA18" s="248"/>
      <c r="BB18" s="248"/>
      <c r="BC18" s="248"/>
      <c r="BD18" s="248"/>
      <c r="BE18" s="248"/>
      <c r="BF18" s="248"/>
      <c r="BG18" s="248"/>
      <c r="BH18" s="248"/>
      <c r="BI18" s="248"/>
      <c r="BJ18" s="248"/>
      <c r="BK18" s="248"/>
      <c r="BL18" s="248"/>
      <c r="BM18" s="248"/>
      <c r="BN18" s="248"/>
      <c r="BO18" s="248"/>
      <c r="BP18" s="248"/>
      <c r="BQ18" s="248"/>
      <c r="BR18" s="248"/>
      <c r="BS18" s="248"/>
      <c r="BT18" s="248"/>
      <c r="BU18" s="248"/>
      <c r="BV18" s="248"/>
      <c r="BW18" s="248"/>
      <c r="BX18" s="248"/>
      <c r="BY18" s="248"/>
      <c r="BZ18" s="248"/>
      <c r="CA18" s="248"/>
      <c r="CB18" s="248"/>
      <c r="CC18" s="248"/>
      <c r="CD18" s="248"/>
      <c r="CE18" s="248"/>
      <c r="CF18" s="248"/>
      <c r="CG18" s="248"/>
    </row>
    <row r="19" spans="1:85" s="269" customFormat="1" ht="21.75" customHeight="1">
      <c r="A19" s="69">
        <f ca="1">IF(ROWS($1:6)&gt;COUNT(Dong),"",OFFSET(TH!E$1,SMALL(Dong,ROWS($1:6)),))</f>
        <v>41611</v>
      </c>
      <c r="B19" s="285" t="str">
        <f ca="1">IF(ROWS($1:6)&gt;COUNT(Dong),"",OFFSET(TH!G$1,SMALL(Dong,ROWS($1:6)),))</f>
        <v>Nguyễn Văn Tư</v>
      </c>
      <c r="C19" s="263" t="str">
        <f t="shared" ca="1" si="0"/>
        <v>Hai</v>
      </c>
      <c r="D19" s="263" t="str">
        <f ca="1">IF(ROWS($1:6)&gt;COUNT(Dong),"",OFFSET(TH!D$1,SMALL(Dong,ROWS($1:6)),))</f>
        <v>N17</v>
      </c>
      <c r="E19" s="264" t="str">
        <f t="shared" ca="1" si="1"/>
        <v>Vũng Tàu</v>
      </c>
      <c r="F19" s="264">
        <f t="shared" ca="1" si="2"/>
        <v>260456563</v>
      </c>
      <c r="G19" s="265" t="str">
        <f ca="1">IF(ROWS($1:6)&gt;COUNT(Dong),"",OFFSET(TH!F$1,SMALL(Dong,ROWS($1:6)),))</f>
        <v>Cá bò NL</v>
      </c>
      <c r="H19" s="266">
        <f ca="1">IF(ROWS($1:6)&gt;COUNT(Dong),"",OFFSET(TH!K$1,SMALL(Dong,ROWS($1:6)),))</f>
        <v>4831</v>
      </c>
      <c r="I19" s="266">
        <f ca="1">IF(ROWS($1:6)&gt;COUNT(Dong),"",OFFSET(TH!J$1,SMALL(Dong,ROWS($1:6)),))</f>
        <v>18000</v>
      </c>
      <c r="J19" s="270">
        <f t="shared" ca="1" si="3"/>
        <v>86958000</v>
      </c>
      <c r="K19" s="267"/>
      <c r="L19" s="268"/>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8"/>
      <c r="AR19" s="248"/>
      <c r="AS19" s="248"/>
      <c r="AT19" s="248"/>
      <c r="AU19" s="248"/>
      <c r="AV19" s="248"/>
      <c r="AW19" s="248"/>
      <c r="AX19" s="248"/>
      <c r="AY19" s="248"/>
      <c r="AZ19" s="248"/>
      <c r="BA19" s="248"/>
      <c r="BB19" s="248"/>
      <c r="BC19" s="248"/>
      <c r="BD19" s="248"/>
      <c r="BE19" s="248"/>
      <c r="BF19" s="248"/>
      <c r="BG19" s="248"/>
      <c r="BH19" s="248"/>
      <c r="BI19" s="248"/>
      <c r="BJ19" s="248"/>
      <c r="BK19" s="248"/>
      <c r="BL19" s="248"/>
      <c r="BM19" s="248"/>
      <c r="BN19" s="248"/>
      <c r="BO19" s="248"/>
      <c r="BP19" s="248"/>
      <c r="BQ19" s="248"/>
      <c r="BR19" s="248"/>
      <c r="BS19" s="248"/>
      <c r="BT19" s="248"/>
      <c r="BU19" s="248"/>
      <c r="BV19" s="248"/>
      <c r="BW19" s="248"/>
      <c r="BX19" s="248"/>
      <c r="BY19" s="248"/>
      <c r="BZ19" s="248"/>
      <c r="CA19" s="248"/>
      <c r="CB19" s="248"/>
      <c r="CC19" s="248"/>
      <c r="CD19" s="248"/>
      <c r="CE19" s="248"/>
      <c r="CF19" s="248"/>
      <c r="CG19" s="248"/>
    </row>
    <row r="20" spans="1:85" s="269" customFormat="1" ht="21.75" customHeight="1">
      <c r="A20" s="69">
        <f ca="1">IF(ROWS($1:7)&gt;COUNT(Dong),"",OFFSET(TH!E$1,SMALL(Dong,ROWS($1:7)),))</f>
        <v>41611</v>
      </c>
      <c r="B20" s="285" t="str">
        <f ca="1">IF(ROWS($1:7)&gt;COUNT(Dong),"",OFFSET(TH!G$1,SMALL(Dong,ROWS($1:7)),))</f>
        <v>Nguyễn Văn Đức</v>
      </c>
      <c r="C20" s="263" t="str">
        <f t="shared" ca="1" si="0"/>
        <v>Văn</v>
      </c>
      <c r="D20" s="263" t="str">
        <f ca="1">IF(ROWS($1:7)&gt;COUNT(Dong),"",OFFSET(TH!D$1,SMALL(Dong,ROWS($1:7)),))</f>
        <v>N18</v>
      </c>
      <c r="E20" s="264" t="str">
        <f t="shared" ca="1" si="1"/>
        <v>Vũng Tàu</v>
      </c>
      <c r="F20" s="264">
        <f t="shared" ca="1" si="2"/>
        <v>261183075</v>
      </c>
      <c r="G20" s="265" t="str">
        <f ca="1">IF(ROWS($1:7)&gt;COUNT(Dong),"",OFFSET(TH!F$1,SMALL(Dong,ROWS($1:7)),))</f>
        <v>Cá bò NL</v>
      </c>
      <c r="H20" s="266">
        <f ca="1">IF(ROWS($1:7)&gt;COUNT(Dong),"",OFFSET(TH!K$1,SMALL(Dong,ROWS($1:7)),))</f>
        <v>4639</v>
      </c>
      <c r="I20" s="266">
        <f ca="1">IF(ROWS($1:7)&gt;COUNT(Dong),"",OFFSET(TH!J$1,SMALL(Dong,ROWS($1:7)),))</f>
        <v>18000</v>
      </c>
      <c r="J20" s="270">
        <f t="shared" ca="1" si="3"/>
        <v>83502000</v>
      </c>
      <c r="K20" s="267"/>
      <c r="L20" s="268"/>
      <c r="M20" s="248"/>
      <c r="N20" s="248"/>
      <c r="O20" s="248"/>
      <c r="P20" s="248"/>
      <c r="Q20" s="248"/>
      <c r="R20" s="248"/>
      <c r="S20" s="248"/>
      <c r="T20" s="248"/>
      <c r="U20" s="248"/>
      <c r="V20" s="248"/>
      <c r="W20" s="248"/>
      <c r="X20" s="248"/>
      <c r="Y20" s="248"/>
      <c r="Z20" s="248"/>
      <c r="AA20" s="248"/>
      <c r="AB20" s="248"/>
      <c r="AC20" s="248"/>
      <c r="AD20" s="248"/>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c r="BD20" s="248"/>
      <c r="BE20" s="248"/>
      <c r="BF20" s="248"/>
      <c r="BG20" s="248"/>
      <c r="BH20" s="248"/>
      <c r="BI20" s="248"/>
      <c r="BJ20" s="248"/>
      <c r="BK20" s="248"/>
      <c r="BL20" s="248"/>
      <c r="BM20" s="248"/>
      <c r="BN20" s="248"/>
      <c r="BO20" s="248"/>
      <c r="BP20" s="248"/>
      <c r="BQ20" s="248"/>
      <c r="BR20" s="248"/>
      <c r="BS20" s="248"/>
      <c r="BT20" s="248"/>
      <c r="BU20" s="248"/>
      <c r="BV20" s="248"/>
      <c r="BW20" s="248"/>
      <c r="BX20" s="248"/>
      <c r="BY20" s="248"/>
      <c r="BZ20" s="248"/>
      <c r="CA20" s="248"/>
      <c r="CB20" s="248"/>
      <c r="CC20" s="248"/>
      <c r="CD20" s="248"/>
      <c r="CE20" s="248"/>
      <c r="CF20" s="248"/>
      <c r="CG20" s="248"/>
    </row>
    <row r="21" spans="1:85" s="269" customFormat="1" ht="21.75" customHeight="1">
      <c r="A21" s="69">
        <f ca="1">IF(ROWS($1:8)&gt;COUNT(Dong),"",OFFSET(TH!E$1,SMALL(Dong,ROWS($1:8)),))</f>
        <v>41611</v>
      </c>
      <c r="B21" s="285" t="str">
        <f ca="1">IF(ROWS($1:8)&gt;COUNT(Dong),"",OFFSET(TH!G$1,SMALL(Dong,ROWS($1:8)),))</f>
        <v>Nguyễn Thanh Vân</v>
      </c>
      <c r="C21" s="263" t="str">
        <f t="shared" ca="1" si="0"/>
        <v>Hai</v>
      </c>
      <c r="D21" s="263" t="str">
        <f ca="1">IF(ROWS($1:8)&gt;COUNT(Dong),"",OFFSET(TH!D$1,SMALL(Dong,ROWS($1:8)),))</f>
        <v>N19</v>
      </c>
      <c r="E21" s="264" t="str">
        <f t="shared" ca="1" si="1"/>
        <v>Vũng Tàu</v>
      </c>
      <c r="F21" s="264">
        <f t="shared" ca="1" si="2"/>
        <v>270176960</v>
      </c>
      <c r="G21" s="265" t="str">
        <f ca="1">IF(ROWS($1:8)&gt;COUNT(Dong),"",OFFSET(TH!F$1,SMALL(Dong,ROWS($1:8)),))</f>
        <v>Cá bò NL</v>
      </c>
      <c r="H21" s="266">
        <f ca="1">IF(ROWS($1:8)&gt;COUNT(Dong),"",OFFSET(TH!K$1,SMALL(Dong,ROWS($1:8)),))</f>
        <v>4731</v>
      </c>
      <c r="I21" s="266">
        <f ca="1">IF(ROWS($1:8)&gt;COUNT(Dong),"",OFFSET(TH!J$1,SMALL(Dong,ROWS($1:8)),))</f>
        <v>18000</v>
      </c>
      <c r="J21" s="270">
        <f t="shared" ca="1" si="3"/>
        <v>85158000</v>
      </c>
      <c r="K21" s="267"/>
      <c r="L21" s="26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c r="BF21" s="248"/>
      <c r="BG21" s="248"/>
      <c r="BH21" s="248"/>
      <c r="BI21" s="248"/>
      <c r="BJ21" s="248"/>
      <c r="BK21" s="248"/>
      <c r="BL21" s="248"/>
      <c r="BM21" s="248"/>
      <c r="BN21" s="248"/>
      <c r="BO21" s="248"/>
      <c r="BP21" s="248"/>
      <c r="BQ21" s="248"/>
      <c r="BR21" s="248"/>
      <c r="BS21" s="248"/>
      <c r="BT21" s="248"/>
      <c r="BU21" s="248"/>
      <c r="BV21" s="248"/>
      <c r="BW21" s="248"/>
      <c r="BX21" s="248"/>
      <c r="BY21" s="248"/>
      <c r="BZ21" s="248"/>
      <c r="CA21" s="248"/>
      <c r="CB21" s="248"/>
      <c r="CC21" s="248"/>
      <c r="CD21" s="248"/>
      <c r="CE21" s="248"/>
      <c r="CF21" s="248"/>
      <c r="CG21" s="248"/>
    </row>
    <row r="22" spans="1:85" s="269" customFormat="1" ht="21.75" customHeight="1">
      <c r="A22" s="69">
        <f ca="1">IF(ROWS($1:9)&gt;COUNT(Dong),"",OFFSET(TH!E$1,SMALL(Dong,ROWS($1:9)),))</f>
        <v>41609</v>
      </c>
      <c r="B22" s="285" t="str">
        <f ca="1">IF(ROWS($1:9)&gt;COUNT(Dong),"",OFFSET(TH!G$1,SMALL(Dong,ROWS($1:9)),))</f>
        <v>Lâm Thị Loan</v>
      </c>
      <c r="C22" s="263" t="str">
        <f t="shared" ca="1" si="0"/>
        <v>Hai</v>
      </c>
      <c r="D22" s="263" t="str">
        <f ca="1">IF(ROWS($1:9)&gt;COUNT(Dong),"",OFFSET(TH!D$1,SMALL(Dong,ROWS($1:9)),))</f>
        <v>N10</v>
      </c>
      <c r="E22" s="264" t="str">
        <f t="shared" ca="1" si="1"/>
        <v>Hòn Đất, Kiên Giang</v>
      </c>
      <c r="F22" s="264">
        <f t="shared" ca="1" si="2"/>
        <v>370698949</v>
      </c>
      <c r="G22" s="265" t="str">
        <f ca="1">IF(ROWS($1:9)&gt;COUNT(Dong),"",OFFSET(TH!F$1,SMALL(Dong,ROWS($1:9)),))</f>
        <v>Cá chỉ vàng NL</v>
      </c>
      <c r="H22" s="266">
        <f ca="1">IF(ROWS($1:9)&gt;COUNT(Dong),"",OFFSET(TH!K$1,SMALL(Dong,ROWS($1:9)),))</f>
        <v>4895</v>
      </c>
      <c r="I22" s="266">
        <f ca="1">IF(ROWS($1:9)&gt;COUNT(Dong),"",OFFSET(TH!J$1,SMALL(Dong,ROWS($1:9)),))</f>
        <v>29500</v>
      </c>
      <c r="J22" s="270">
        <f t="shared" ca="1" si="3"/>
        <v>144402500</v>
      </c>
      <c r="K22" s="267"/>
      <c r="L22" s="268"/>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c r="AM22" s="248"/>
      <c r="AN22" s="248"/>
      <c r="AO22" s="248"/>
      <c r="AP22" s="248"/>
      <c r="AQ22" s="248"/>
      <c r="AR22" s="248"/>
      <c r="AS22" s="248"/>
      <c r="AT22" s="248"/>
      <c r="AU22" s="248"/>
      <c r="AV22" s="248"/>
      <c r="AW22" s="248"/>
      <c r="AX22" s="248"/>
      <c r="AY22" s="248"/>
      <c r="AZ22" s="248"/>
      <c r="BA22" s="248"/>
      <c r="BB22" s="248"/>
      <c r="BC22" s="248"/>
      <c r="BD22" s="248"/>
      <c r="BE22" s="248"/>
      <c r="BF22" s="248"/>
      <c r="BG22" s="248"/>
      <c r="BH22" s="248"/>
      <c r="BI22" s="248"/>
      <c r="BJ22" s="248"/>
      <c r="BK22" s="248"/>
      <c r="BL22" s="248"/>
      <c r="BM22" s="248"/>
      <c r="BN22" s="248"/>
      <c r="BO22" s="248"/>
      <c r="BP22" s="248"/>
      <c r="BQ22" s="248"/>
      <c r="BR22" s="248"/>
      <c r="BS22" s="248"/>
      <c r="BT22" s="248"/>
      <c r="BU22" s="248"/>
      <c r="BV22" s="248"/>
      <c r="BW22" s="248"/>
      <c r="BX22" s="248"/>
      <c r="BY22" s="248"/>
      <c r="BZ22" s="248"/>
      <c r="CA22" s="248"/>
      <c r="CB22" s="248"/>
      <c r="CC22" s="248"/>
      <c r="CD22" s="248"/>
      <c r="CE22" s="248"/>
      <c r="CF22" s="248"/>
      <c r="CG22" s="248"/>
    </row>
    <row r="23" spans="1:85" s="269" customFormat="1" ht="21.75" customHeight="1">
      <c r="A23" s="69">
        <f ca="1">IF(ROWS($1:10)&gt;COUNT(Dong),"",OFFSET(TH!E$1,SMALL(Dong,ROWS($1:10)),))</f>
        <v>41609</v>
      </c>
      <c r="B23" s="285" t="str">
        <f ca="1">IF(ROWS($1:10)&gt;COUNT(Dong),"",OFFSET(TH!G$1,SMALL(Dong,ROWS($1:10)),))</f>
        <v>Trần Ngọc Quyên</v>
      </c>
      <c r="C23" s="263" t="str">
        <f t="shared" ca="1" si="0"/>
        <v>Hai</v>
      </c>
      <c r="D23" s="263" t="str">
        <f ca="1">IF(ROWS($1:10)&gt;COUNT(Dong),"",OFFSET(TH!D$1,SMALL(Dong,ROWS($1:10)),))</f>
        <v>N11</v>
      </c>
      <c r="E23" s="264" t="str">
        <f t="shared" ca="1" si="1"/>
        <v>Rạch Giá - Kiên Giang</v>
      </c>
      <c r="F23" s="264">
        <f t="shared" ca="1" si="2"/>
        <v>371166950</v>
      </c>
      <c r="G23" s="265" t="str">
        <f ca="1">IF(ROWS($1:10)&gt;COUNT(Dong),"",OFFSET(TH!F$1,SMALL(Dong,ROWS($1:10)),))</f>
        <v>Cá chỉ vàng NL</v>
      </c>
      <c r="H23" s="266">
        <f ca="1">IF(ROWS($1:10)&gt;COUNT(Dong),"",OFFSET(TH!K$1,SMALL(Dong,ROWS($1:10)),))</f>
        <v>5236</v>
      </c>
      <c r="I23" s="266">
        <f ca="1">IF(ROWS($1:10)&gt;COUNT(Dong),"",OFFSET(TH!J$1,SMALL(Dong,ROWS($1:10)),))</f>
        <v>29500</v>
      </c>
      <c r="J23" s="270">
        <f t="shared" ca="1" si="3"/>
        <v>154462000</v>
      </c>
      <c r="K23" s="267"/>
      <c r="L23" s="26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c r="AP23" s="248"/>
      <c r="AQ23" s="248"/>
      <c r="AR23" s="248"/>
      <c r="AS23" s="248"/>
      <c r="AT23" s="248"/>
      <c r="AU23" s="248"/>
      <c r="AV23" s="248"/>
      <c r="AW23" s="248"/>
      <c r="AX23" s="248"/>
      <c r="AY23" s="248"/>
      <c r="AZ23" s="248"/>
      <c r="BA23" s="248"/>
      <c r="BB23" s="248"/>
      <c r="BC23" s="248"/>
      <c r="BD23" s="248"/>
      <c r="BE23" s="248"/>
      <c r="BF23" s="248"/>
      <c r="BG23" s="248"/>
      <c r="BH23" s="248"/>
      <c r="BI23" s="248"/>
      <c r="BJ23" s="248"/>
      <c r="BK23" s="248"/>
      <c r="BL23" s="248"/>
      <c r="BM23" s="248"/>
      <c r="BN23" s="248"/>
      <c r="BO23" s="248"/>
      <c r="BP23" s="248"/>
      <c r="BQ23" s="248"/>
      <c r="BR23" s="248"/>
      <c r="BS23" s="248"/>
      <c r="BT23" s="248"/>
      <c r="BU23" s="248"/>
      <c r="BV23" s="248"/>
      <c r="BW23" s="248"/>
      <c r="BX23" s="248"/>
      <c r="BY23" s="248"/>
      <c r="BZ23" s="248"/>
      <c r="CA23" s="248"/>
      <c r="CB23" s="248"/>
      <c r="CC23" s="248"/>
      <c r="CD23" s="248"/>
      <c r="CE23" s="248"/>
      <c r="CF23" s="248"/>
      <c r="CG23" s="248"/>
    </row>
    <row r="24" spans="1:85" s="269" customFormat="1" ht="21.75" customHeight="1">
      <c r="A24" s="69">
        <f ca="1">IF(ROWS($1:11)&gt;COUNT(Dong),"",OFFSET(TH!E$1,SMALL(Dong,ROWS($1:11)),))</f>
        <v>41609</v>
      </c>
      <c r="B24" s="285" t="str">
        <f ca="1">IF(ROWS($1:11)&gt;COUNT(Dong),"",OFFSET(TH!G$1,SMALL(Dong,ROWS($1:11)),))</f>
        <v>Lê Hoàng Long</v>
      </c>
      <c r="C24" s="263" t="str">
        <f t="shared" ca="1" si="0"/>
        <v>Hai</v>
      </c>
      <c r="D24" s="263" t="str">
        <f ca="1">IF(ROWS($1:11)&gt;COUNT(Dong),"",OFFSET(TH!D$1,SMALL(Dong,ROWS($1:11)),))</f>
        <v>N12</v>
      </c>
      <c r="E24" s="264" t="str">
        <f t="shared" ca="1" si="1"/>
        <v>Rạch Giá - Kiên Giang</v>
      </c>
      <c r="F24" s="264">
        <f t="shared" ca="1" si="2"/>
        <v>371139593</v>
      </c>
      <c r="G24" s="265" t="str">
        <f ca="1">IF(ROWS($1:11)&gt;COUNT(Dong),"",OFFSET(TH!F$1,SMALL(Dong,ROWS($1:11)),))</f>
        <v>Cá chỉ vàng NL</v>
      </c>
      <c r="H24" s="266">
        <f ca="1">IF(ROWS($1:11)&gt;COUNT(Dong),"",OFFSET(TH!K$1,SMALL(Dong,ROWS($1:11)),))</f>
        <v>5741</v>
      </c>
      <c r="I24" s="266">
        <f ca="1">IF(ROWS($1:11)&gt;COUNT(Dong),"",OFFSET(TH!J$1,SMALL(Dong,ROWS($1:11)),))</f>
        <v>29500</v>
      </c>
      <c r="J24" s="270">
        <f t="shared" ca="1" si="3"/>
        <v>169359500</v>
      </c>
      <c r="K24" s="267"/>
      <c r="L24" s="268"/>
      <c r="M24" s="248"/>
      <c r="N24" s="248"/>
      <c r="O24" s="248"/>
      <c r="P24" s="248"/>
      <c r="Q24" s="248"/>
      <c r="R24" s="248"/>
      <c r="S24" s="248"/>
      <c r="T24" s="248"/>
      <c r="U24" s="248"/>
      <c r="V24" s="248"/>
      <c r="W24" s="248"/>
      <c r="X24" s="248"/>
      <c r="Y24" s="248"/>
      <c r="Z24" s="248"/>
      <c r="AA24" s="248"/>
      <c r="AB24" s="248"/>
      <c r="AC24" s="248"/>
      <c r="AD24" s="248"/>
      <c r="AE24" s="248"/>
      <c r="AF24" s="248"/>
      <c r="AG24" s="248"/>
      <c r="AH24" s="248"/>
      <c r="AI24" s="248"/>
      <c r="AJ24" s="248"/>
      <c r="AK24" s="248"/>
      <c r="AL24" s="248"/>
      <c r="AM24" s="248"/>
      <c r="AN24" s="248"/>
      <c r="AO24" s="248"/>
      <c r="AP24" s="248"/>
      <c r="AQ24" s="248"/>
      <c r="AR24" s="248"/>
      <c r="AS24" s="248"/>
      <c r="AT24" s="248"/>
      <c r="AU24" s="248"/>
      <c r="AV24" s="248"/>
      <c r="AW24" s="248"/>
      <c r="AX24" s="248"/>
      <c r="AY24" s="248"/>
      <c r="AZ24" s="248"/>
      <c r="BA24" s="248"/>
      <c r="BB24" s="248"/>
      <c r="BC24" s="248"/>
      <c r="BD24" s="248"/>
      <c r="BE24" s="248"/>
      <c r="BF24" s="248"/>
      <c r="BG24" s="248"/>
      <c r="BH24" s="248"/>
      <c r="BI24" s="248"/>
      <c r="BJ24" s="248"/>
      <c r="BK24" s="248"/>
      <c r="BL24" s="248"/>
      <c r="BM24" s="248"/>
      <c r="BN24" s="248"/>
      <c r="BO24" s="248"/>
      <c r="BP24" s="248"/>
      <c r="BQ24" s="248"/>
      <c r="BR24" s="248"/>
      <c r="BS24" s="248"/>
      <c r="BT24" s="248"/>
      <c r="BU24" s="248"/>
      <c r="BV24" s="248"/>
      <c r="BW24" s="248"/>
      <c r="BX24" s="248"/>
      <c r="BY24" s="248"/>
      <c r="BZ24" s="248"/>
      <c r="CA24" s="248"/>
      <c r="CB24" s="248"/>
      <c r="CC24" s="248"/>
      <c r="CD24" s="248"/>
      <c r="CE24" s="248"/>
      <c r="CF24" s="248"/>
      <c r="CG24" s="248"/>
    </row>
    <row r="25" spans="1:85" s="269" customFormat="1" ht="21.75" customHeight="1">
      <c r="A25" s="69">
        <f ca="1">IF(ROWS($1:12)&gt;COUNT(Dong),"",OFFSET(TH!E$1,SMALL(Dong,ROWS($1:12)),))</f>
        <v>41611</v>
      </c>
      <c r="B25" s="285" t="str">
        <f ca="1">IF(ROWS($1:12)&gt;COUNT(Dong),"",OFFSET(TH!G$1,SMALL(Dong,ROWS($1:12)),))</f>
        <v>Trương Quốc Tuấn</v>
      </c>
      <c r="C25" s="263" t="str">
        <f t="shared" ca="1" si="0"/>
        <v>Hai</v>
      </c>
      <c r="D25" s="263" t="str">
        <f ca="1">IF(ROWS($1:12)&gt;COUNT(Dong),"",OFFSET(TH!D$1,SMALL(Dong,ROWS($1:12)),))</f>
        <v>N21</v>
      </c>
      <c r="E25" s="264" t="str">
        <f t="shared" ca="1" si="1"/>
        <v>Rạch Giá - Kiên Giang</v>
      </c>
      <c r="F25" s="264">
        <f t="shared" ca="1" si="2"/>
        <v>370004125</v>
      </c>
      <c r="G25" s="265" t="str">
        <f ca="1">IF(ROWS($1:12)&gt;COUNT(Dong),"",OFFSET(TH!F$1,SMALL(Dong,ROWS($1:12)),))</f>
        <v>Cá chỉ vàng NL</v>
      </c>
      <c r="H25" s="266">
        <f ca="1">IF(ROWS($1:12)&gt;COUNT(Dong),"",OFFSET(TH!K$1,SMALL(Dong,ROWS($1:12)),))</f>
        <v>5874</v>
      </c>
      <c r="I25" s="266">
        <f ca="1">IF(ROWS($1:12)&gt;COUNT(Dong),"",OFFSET(TH!J$1,SMALL(Dong,ROWS($1:12)),))</f>
        <v>29500</v>
      </c>
      <c r="J25" s="270">
        <f t="shared" ca="1" si="3"/>
        <v>173283000</v>
      </c>
      <c r="K25" s="267"/>
      <c r="L25" s="26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248"/>
      <c r="AZ25" s="248"/>
      <c r="BA25" s="248"/>
      <c r="BB25" s="248"/>
      <c r="BC25" s="248"/>
      <c r="BD25" s="248"/>
      <c r="BE25" s="248"/>
      <c r="BF25" s="248"/>
      <c r="BG25" s="248"/>
      <c r="BH25" s="248"/>
      <c r="BI25" s="248"/>
      <c r="BJ25" s="248"/>
      <c r="BK25" s="248"/>
      <c r="BL25" s="248"/>
      <c r="BM25" s="248"/>
      <c r="BN25" s="248"/>
      <c r="BO25" s="248"/>
      <c r="BP25" s="248"/>
      <c r="BQ25" s="248"/>
      <c r="BR25" s="248"/>
      <c r="BS25" s="248"/>
      <c r="BT25" s="248"/>
      <c r="BU25" s="248"/>
      <c r="BV25" s="248"/>
      <c r="BW25" s="248"/>
      <c r="BX25" s="248"/>
      <c r="BY25" s="248"/>
      <c r="BZ25" s="248"/>
      <c r="CA25" s="248"/>
      <c r="CB25" s="248"/>
      <c r="CC25" s="248"/>
      <c r="CD25" s="248"/>
      <c r="CE25" s="248"/>
      <c r="CF25" s="248"/>
      <c r="CG25" s="248"/>
    </row>
    <row r="26" spans="1:85" s="269" customFormat="1" ht="21.75" customHeight="1">
      <c r="A26" s="69">
        <f ca="1">IF(ROWS($1:13)&gt;COUNT(Dong),"",OFFSET(TH!E$1,SMALL(Dong,ROWS($1:13)),))</f>
        <v>41611</v>
      </c>
      <c r="B26" s="285" t="str">
        <f ca="1">IF(ROWS($1:13)&gt;COUNT(Dong),"",OFFSET(TH!G$1,SMALL(Dong,ROWS($1:13)),))</f>
        <v>Tiêu Vĩnh Phát</v>
      </c>
      <c r="C26" s="263" t="str">
        <f t="shared" ca="1" si="0"/>
        <v>Hai</v>
      </c>
      <c r="D26" s="263" t="str">
        <f ca="1">IF(ROWS($1:13)&gt;COUNT(Dong),"",OFFSET(TH!D$1,SMALL(Dong,ROWS($1:13)),))</f>
        <v>N22</v>
      </c>
      <c r="E26" s="264" t="str">
        <f t="shared" ca="1" si="1"/>
        <v>Rạch Giá - Kiên Giang</v>
      </c>
      <c r="F26" s="264">
        <f t="shared" ca="1" si="2"/>
        <v>370511387</v>
      </c>
      <c r="G26" s="265" t="str">
        <f ca="1">IF(ROWS($1:13)&gt;COUNT(Dong),"",OFFSET(TH!F$1,SMALL(Dong,ROWS($1:13)),))</f>
        <v>Cá chỉ vàng NL</v>
      </c>
      <c r="H26" s="266">
        <f ca="1">IF(ROWS($1:13)&gt;COUNT(Dong),"",OFFSET(TH!K$1,SMALL(Dong,ROWS($1:13)),))</f>
        <v>5487</v>
      </c>
      <c r="I26" s="266">
        <f ca="1">IF(ROWS($1:13)&gt;COUNT(Dong),"",OFFSET(TH!J$1,SMALL(Dong,ROWS($1:13)),))</f>
        <v>29500</v>
      </c>
      <c r="J26" s="270">
        <f t="shared" ca="1" si="3"/>
        <v>161866500</v>
      </c>
      <c r="K26" s="267"/>
      <c r="L26" s="268"/>
      <c r="M26" s="248"/>
      <c r="N26" s="248"/>
      <c r="O26" s="248"/>
      <c r="P26" s="248"/>
      <c r="Q26" s="248"/>
      <c r="R26" s="248"/>
      <c r="S26" s="248"/>
      <c r="T26" s="248"/>
      <c r="U26" s="248"/>
      <c r="V26" s="248"/>
      <c r="W26" s="248"/>
      <c r="X26" s="248"/>
      <c r="Y26" s="248"/>
      <c r="Z26" s="248"/>
      <c r="AA26" s="248"/>
      <c r="AB26" s="248"/>
      <c r="AC26" s="248"/>
      <c r="AD26" s="248"/>
      <c r="AE26" s="248"/>
      <c r="AF26" s="248"/>
      <c r="AG26" s="248"/>
      <c r="AH26" s="248"/>
      <c r="AI26" s="248"/>
      <c r="AJ26" s="248"/>
      <c r="AK26" s="248"/>
      <c r="AL26" s="248"/>
      <c r="AM26" s="248"/>
      <c r="AN26" s="248"/>
      <c r="AO26" s="248"/>
      <c r="AP26" s="248"/>
      <c r="AQ26" s="248"/>
      <c r="AR26" s="248"/>
      <c r="AS26" s="248"/>
      <c r="AT26" s="248"/>
      <c r="AU26" s="248"/>
      <c r="AV26" s="248"/>
      <c r="AW26" s="248"/>
      <c r="AX26" s="248"/>
      <c r="AY26" s="248"/>
      <c r="AZ26" s="248"/>
      <c r="BA26" s="248"/>
      <c r="BB26" s="248"/>
      <c r="BC26" s="248"/>
      <c r="BD26" s="248"/>
      <c r="BE26" s="248"/>
      <c r="BF26" s="248"/>
      <c r="BG26" s="248"/>
      <c r="BH26" s="248"/>
      <c r="BI26" s="248"/>
      <c r="BJ26" s="248"/>
      <c r="BK26" s="248"/>
      <c r="BL26" s="248"/>
      <c r="BM26" s="248"/>
      <c r="BN26" s="248"/>
      <c r="BO26" s="248"/>
      <c r="BP26" s="248"/>
      <c r="BQ26" s="248"/>
      <c r="BR26" s="248"/>
      <c r="BS26" s="248"/>
      <c r="BT26" s="248"/>
      <c r="BU26" s="248"/>
      <c r="BV26" s="248"/>
      <c r="BW26" s="248"/>
      <c r="BX26" s="248"/>
      <c r="BY26" s="248"/>
      <c r="BZ26" s="248"/>
      <c r="CA26" s="248"/>
      <c r="CB26" s="248"/>
      <c r="CC26" s="248"/>
      <c r="CD26" s="248"/>
      <c r="CE26" s="248"/>
      <c r="CF26" s="248"/>
      <c r="CG26" s="248"/>
    </row>
    <row r="27" spans="1:85" s="269" customFormat="1" ht="21.75" customHeight="1">
      <c r="A27" s="69">
        <f ca="1">IF(ROWS($1:14)&gt;COUNT(Dong),"",OFFSET(TH!E$1,SMALL(Dong,ROWS($1:14)),))</f>
        <v>41611</v>
      </c>
      <c r="B27" s="285" t="str">
        <f ca="1">IF(ROWS($1:14)&gt;COUNT(Dong),"",OFFSET(TH!G$1,SMALL(Dong,ROWS($1:14)),))</f>
        <v>Nguyễn Thị Mộng Tuyền</v>
      </c>
      <c r="C27" s="263" t="str">
        <f t="shared" ca="1" si="0"/>
        <v>Văn</v>
      </c>
      <c r="D27" s="263" t="str">
        <f ca="1">IF(ROWS($1:14)&gt;COUNT(Dong),"",OFFSET(TH!D$1,SMALL(Dong,ROWS($1:14)),))</f>
        <v>N23</v>
      </c>
      <c r="E27" s="264" t="str">
        <f t="shared" ca="1" si="1"/>
        <v>Gò Công Đông - Tiền Giang</v>
      </c>
      <c r="F27" s="264">
        <f t="shared" ca="1" si="2"/>
        <v>311318331</v>
      </c>
      <c r="G27" s="265" t="str">
        <f ca="1">IF(ROWS($1:14)&gt;COUNT(Dong),"",OFFSET(TH!F$1,SMALL(Dong,ROWS($1:14)),))</f>
        <v>Cá chỉ vàng NL</v>
      </c>
      <c r="H27" s="266">
        <f ca="1">IF(ROWS($1:14)&gt;COUNT(Dong),"",OFFSET(TH!K$1,SMALL(Dong,ROWS($1:14)),))</f>
        <v>5420</v>
      </c>
      <c r="I27" s="266">
        <f ca="1">IF(ROWS($1:14)&gt;COUNT(Dong),"",OFFSET(TH!J$1,SMALL(Dong,ROWS($1:14)),))</f>
        <v>29500</v>
      </c>
      <c r="J27" s="270">
        <f t="shared" ca="1" si="3"/>
        <v>159890000</v>
      </c>
      <c r="K27" s="267"/>
      <c r="L27" s="26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248"/>
      <c r="BI27" s="248"/>
      <c r="BJ27" s="248"/>
      <c r="BK27" s="248"/>
      <c r="BL27" s="248"/>
      <c r="BM27" s="248"/>
      <c r="BN27" s="248"/>
      <c r="BO27" s="248"/>
      <c r="BP27" s="248"/>
      <c r="BQ27" s="248"/>
      <c r="BR27" s="248"/>
      <c r="BS27" s="248"/>
      <c r="BT27" s="248"/>
      <c r="BU27" s="248"/>
      <c r="BV27" s="248"/>
      <c r="BW27" s="248"/>
      <c r="BX27" s="248"/>
      <c r="BY27" s="248"/>
      <c r="BZ27" s="248"/>
      <c r="CA27" s="248"/>
      <c r="CB27" s="248"/>
      <c r="CC27" s="248"/>
      <c r="CD27" s="248"/>
      <c r="CE27" s="248"/>
      <c r="CF27" s="248"/>
      <c r="CG27" s="248"/>
    </row>
    <row r="28" spans="1:85" s="269" customFormat="1" ht="21.75" customHeight="1">
      <c r="A28" s="69">
        <f ca="1">IF(ROWS($1:15)&gt;COUNT(Dong),"",OFFSET(TH!E$1,SMALL(Dong,ROWS($1:15)),))</f>
        <v>41613</v>
      </c>
      <c r="B28" s="285" t="str">
        <f ca="1">IF(ROWS($1:15)&gt;COUNT(Dong),"",OFFSET(TH!G$1,SMALL(Dong,ROWS($1:15)),))</f>
        <v>Đỗ Thị Hoàng Mai</v>
      </c>
      <c r="C28" s="263" t="str">
        <f t="shared" ca="1" si="0"/>
        <v>Văn</v>
      </c>
      <c r="D28" s="263" t="str">
        <f ca="1">IF(ROWS($1:15)&gt;COUNT(Dong),"",OFFSET(TH!D$1,SMALL(Dong,ROWS($1:15)),))</f>
        <v>N32</v>
      </c>
      <c r="E28" s="264" t="str">
        <f t="shared" ca="1" si="1"/>
        <v>Gò Công Tây - Tiền Giang</v>
      </c>
      <c r="F28" s="264">
        <f t="shared" ca="1" si="2"/>
        <v>310882191</v>
      </c>
      <c r="G28" s="265" t="str">
        <f ca="1">IF(ROWS($1:15)&gt;COUNT(Dong),"",OFFSET(TH!F$1,SMALL(Dong,ROWS($1:15)),))</f>
        <v>Cá chỉ vàng NL</v>
      </c>
      <c r="H28" s="266">
        <f ca="1">IF(ROWS($1:15)&gt;COUNT(Dong),"",OFFSET(TH!K$1,SMALL(Dong,ROWS($1:15)),))</f>
        <v>4921</v>
      </c>
      <c r="I28" s="266">
        <f ca="1">IF(ROWS($1:15)&gt;COUNT(Dong),"",OFFSET(TH!J$1,SMALL(Dong,ROWS($1:15)),))</f>
        <v>29500</v>
      </c>
      <c r="J28" s="270">
        <f t="shared" ca="1" si="3"/>
        <v>145169500</v>
      </c>
      <c r="K28" s="267"/>
      <c r="L28" s="268"/>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8"/>
      <c r="AW28" s="248"/>
      <c r="AX28" s="248"/>
      <c r="AY28" s="248"/>
      <c r="AZ28" s="248"/>
      <c r="BA28" s="248"/>
      <c r="BB28" s="248"/>
      <c r="BC28" s="248"/>
      <c r="BD28" s="248"/>
      <c r="BE28" s="248"/>
      <c r="BF28" s="248"/>
      <c r="BG28" s="248"/>
      <c r="BH28" s="248"/>
      <c r="BI28" s="248"/>
      <c r="BJ28" s="248"/>
      <c r="BK28" s="248"/>
      <c r="BL28" s="248"/>
      <c r="BM28" s="248"/>
      <c r="BN28" s="248"/>
      <c r="BO28" s="248"/>
      <c r="BP28" s="248"/>
      <c r="BQ28" s="248"/>
      <c r="BR28" s="248"/>
      <c r="BS28" s="248"/>
      <c r="BT28" s="248"/>
      <c r="BU28" s="248"/>
      <c r="BV28" s="248"/>
      <c r="BW28" s="248"/>
      <c r="BX28" s="248"/>
      <c r="BY28" s="248"/>
      <c r="BZ28" s="248"/>
      <c r="CA28" s="248"/>
      <c r="CB28" s="248"/>
      <c r="CC28" s="248"/>
      <c r="CD28" s="248"/>
      <c r="CE28" s="248"/>
      <c r="CF28" s="248"/>
      <c r="CG28" s="248"/>
    </row>
    <row r="29" spans="1:85" s="269" customFormat="1" ht="21.75" customHeight="1">
      <c r="A29" s="69">
        <f ca="1">IF(ROWS($1:16)&gt;COUNT(Dong),"",OFFSET(TH!E$1,SMALL(Dong,ROWS($1:16)),))</f>
        <v>41613</v>
      </c>
      <c r="B29" s="285" t="str">
        <f ca="1">IF(ROWS($1:16)&gt;COUNT(Dong),"",OFFSET(TH!G$1,SMALL(Dong,ROWS($1:16)),))</f>
        <v>Phạm Thị Chính</v>
      </c>
      <c r="C29" s="263" t="str">
        <f t="shared" ca="1" si="0"/>
        <v>Văn</v>
      </c>
      <c r="D29" s="263" t="str">
        <f ca="1">IF(ROWS($1:16)&gt;COUNT(Dong),"",OFFSET(TH!D$1,SMALL(Dong,ROWS($1:16)),))</f>
        <v>N33</v>
      </c>
      <c r="E29" s="264" t="str">
        <f t="shared" ca="1" si="1"/>
        <v xml:space="preserve">Gò Công Tây - Tiền Giang </v>
      </c>
      <c r="F29" s="264">
        <f t="shared" ca="1" si="2"/>
        <v>310882158</v>
      </c>
      <c r="G29" s="265" t="str">
        <f ca="1">IF(ROWS($1:16)&gt;COUNT(Dong),"",OFFSET(TH!F$1,SMALL(Dong,ROWS($1:16)),))</f>
        <v>Cá chỉ vàng NL</v>
      </c>
      <c r="H29" s="266">
        <f ca="1">IF(ROWS($1:16)&gt;COUNT(Dong),"",OFFSET(TH!K$1,SMALL(Dong,ROWS($1:16)),))</f>
        <v>4527</v>
      </c>
      <c r="I29" s="266">
        <f ca="1">IF(ROWS($1:16)&gt;COUNT(Dong),"",OFFSET(TH!J$1,SMALL(Dong,ROWS($1:16)),))</f>
        <v>29500</v>
      </c>
      <c r="J29" s="270">
        <f t="shared" ca="1" si="3"/>
        <v>133546500</v>
      </c>
      <c r="K29" s="267"/>
      <c r="L29" s="268"/>
      <c r="M29" s="248"/>
      <c r="N29" s="248"/>
      <c r="O29" s="248"/>
      <c r="P29" s="248"/>
      <c r="Q29" s="248"/>
      <c r="R29" s="248"/>
      <c r="S29" s="248"/>
      <c r="T29" s="248"/>
      <c r="U29" s="248"/>
      <c r="V29" s="248"/>
      <c r="W29" s="248"/>
      <c r="X29" s="248"/>
      <c r="Y29" s="248"/>
      <c r="Z29" s="248"/>
      <c r="AA29" s="248"/>
      <c r="AB29" s="248"/>
      <c r="AC29" s="248"/>
      <c r="AD29" s="248"/>
      <c r="AE29" s="248"/>
      <c r="AF29" s="248"/>
      <c r="AG29" s="248"/>
      <c r="AH29" s="248"/>
      <c r="AI29" s="248"/>
      <c r="AJ29" s="248"/>
      <c r="AK29" s="248"/>
      <c r="AL29" s="248"/>
      <c r="AM29" s="248"/>
      <c r="AN29" s="248"/>
      <c r="AO29" s="248"/>
      <c r="AP29" s="248"/>
      <c r="AQ29" s="248"/>
      <c r="AR29" s="248"/>
      <c r="AS29" s="248"/>
      <c r="AT29" s="248"/>
      <c r="AU29" s="248"/>
      <c r="AV29" s="248"/>
      <c r="AW29" s="248"/>
      <c r="AX29" s="248"/>
      <c r="AY29" s="248"/>
      <c r="AZ29" s="248"/>
      <c r="BA29" s="248"/>
      <c r="BB29" s="248"/>
      <c r="BC29" s="248"/>
      <c r="BD29" s="248"/>
      <c r="BE29" s="248"/>
      <c r="BF29" s="248"/>
      <c r="BG29" s="248"/>
      <c r="BH29" s="248"/>
      <c r="BI29" s="248"/>
      <c r="BJ29" s="248"/>
      <c r="BK29" s="248"/>
      <c r="BL29" s="248"/>
      <c r="BM29" s="248"/>
      <c r="BN29" s="248"/>
      <c r="BO29" s="248"/>
      <c r="BP29" s="248"/>
      <c r="BQ29" s="248"/>
      <c r="BR29" s="248"/>
      <c r="BS29" s="248"/>
      <c r="BT29" s="248"/>
      <c r="BU29" s="248"/>
      <c r="BV29" s="248"/>
      <c r="BW29" s="248"/>
      <c r="BX29" s="248"/>
      <c r="BY29" s="248"/>
      <c r="BZ29" s="248"/>
      <c r="CA29" s="248"/>
      <c r="CB29" s="248"/>
      <c r="CC29" s="248"/>
      <c r="CD29" s="248"/>
      <c r="CE29" s="248"/>
      <c r="CF29" s="248"/>
      <c r="CG29" s="248"/>
    </row>
    <row r="30" spans="1:85" s="269" customFormat="1" ht="21.75" customHeight="1">
      <c r="A30" s="69">
        <f ca="1">IF(ROWS($1:17)&gt;COUNT(Dong),"",OFFSET(TH!E$1,SMALL(Dong,ROWS($1:17)),))</f>
        <v>41613</v>
      </c>
      <c r="B30" s="285" t="str">
        <f ca="1">IF(ROWS($1:17)&gt;COUNT(Dong),"",OFFSET(TH!G$1,SMALL(Dong,ROWS($1:17)),))</f>
        <v>Vương Hải Thạnh</v>
      </c>
      <c r="C30" s="263" t="str">
        <f t="shared" ca="1" si="0"/>
        <v>Hai</v>
      </c>
      <c r="D30" s="263" t="str">
        <f ca="1">IF(ROWS($1:17)&gt;COUNT(Dong),"",OFFSET(TH!D$1,SMALL(Dong,ROWS($1:17)),))</f>
        <v>N34</v>
      </c>
      <c r="E30" s="264" t="str">
        <f t="shared" ca="1" si="1"/>
        <v>Rạch Giá - Kiên Giang</v>
      </c>
      <c r="F30" s="264">
        <f t="shared" ca="1" si="2"/>
        <v>370948627</v>
      </c>
      <c r="G30" s="265" t="str">
        <f ca="1">IF(ROWS($1:17)&gt;COUNT(Dong),"",OFFSET(TH!F$1,SMALL(Dong,ROWS($1:17)),))</f>
        <v>Cá chỉ vàng NL</v>
      </c>
      <c r="H30" s="266">
        <f ca="1">IF(ROWS($1:17)&gt;COUNT(Dong),"",OFFSET(TH!K$1,SMALL(Dong,ROWS($1:17)),))</f>
        <v>4756</v>
      </c>
      <c r="I30" s="266">
        <f ca="1">IF(ROWS($1:17)&gt;COUNT(Dong),"",OFFSET(TH!J$1,SMALL(Dong,ROWS($1:17)),))</f>
        <v>29500</v>
      </c>
      <c r="J30" s="270">
        <f t="shared" ca="1" si="3"/>
        <v>140302000</v>
      </c>
      <c r="K30" s="267"/>
      <c r="L30" s="268"/>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48"/>
      <c r="AM30" s="248"/>
      <c r="AN30" s="248"/>
      <c r="AO30" s="248"/>
      <c r="AP30" s="248"/>
      <c r="AQ30" s="248"/>
      <c r="AR30" s="248"/>
      <c r="AS30" s="248"/>
      <c r="AT30" s="248"/>
      <c r="AU30" s="248"/>
      <c r="AV30" s="248"/>
      <c r="AW30" s="248"/>
      <c r="AX30" s="248"/>
      <c r="AY30" s="248"/>
      <c r="AZ30" s="248"/>
      <c r="BA30" s="248"/>
      <c r="BB30" s="248"/>
      <c r="BC30" s="248"/>
      <c r="BD30" s="248"/>
      <c r="BE30" s="248"/>
      <c r="BF30" s="248"/>
      <c r="BG30" s="248"/>
      <c r="BH30" s="248"/>
      <c r="BI30" s="248"/>
      <c r="BJ30" s="248"/>
      <c r="BK30" s="248"/>
      <c r="BL30" s="248"/>
      <c r="BM30" s="248"/>
      <c r="BN30" s="248"/>
      <c r="BO30" s="248"/>
      <c r="BP30" s="248"/>
      <c r="BQ30" s="248"/>
      <c r="BR30" s="248"/>
      <c r="BS30" s="248"/>
      <c r="BT30" s="248"/>
      <c r="BU30" s="248"/>
      <c r="BV30" s="248"/>
      <c r="BW30" s="248"/>
      <c r="BX30" s="248"/>
      <c r="BY30" s="248"/>
      <c r="BZ30" s="248"/>
      <c r="CA30" s="248"/>
      <c r="CB30" s="248"/>
      <c r="CC30" s="248"/>
      <c r="CD30" s="248"/>
      <c r="CE30" s="248"/>
      <c r="CF30" s="248"/>
      <c r="CG30" s="248"/>
    </row>
    <row r="31" spans="1:85" s="269" customFormat="1" ht="21.75" customHeight="1">
      <c r="A31" s="69">
        <f ca="1">IF(ROWS($1:18)&gt;COUNT(Dong),"",OFFSET(TH!E$1,SMALL(Dong,ROWS($1:18)),))</f>
        <v>41614</v>
      </c>
      <c r="B31" s="285" t="str">
        <f ca="1">IF(ROWS($1:18)&gt;COUNT(Dong),"",OFFSET(TH!G$1,SMALL(Dong,ROWS($1:18)),))</f>
        <v>Nguyễn Thị Kim Vân</v>
      </c>
      <c r="C31" s="263" t="str">
        <f t="shared" ca="1" si="0"/>
        <v>Hai</v>
      </c>
      <c r="D31" s="263" t="str">
        <f ca="1">IF(ROWS($1:18)&gt;COUNT(Dong),"",OFFSET(TH!D$1,SMALL(Dong,ROWS($1:18)),))</f>
        <v>N35</v>
      </c>
      <c r="E31" s="264" t="str">
        <f t="shared" ca="1" si="1"/>
        <v>Rạch Giá - Kiên Giang</v>
      </c>
      <c r="F31" s="264">
        <f t="shared" ca="1" si="2"/>
        <v>370054438</v>
      </c>
      <c r="G31" s="265" t="str">
        <f ca="1">IF(ROWS($1:18)&gt;COUNT(Dong),"",OFFSET(TH!F$1,SMALL(Dong,ROWS($1:18)),))</f>
        <v>Cá chỉ vàng NL</v>
      </c>
      <c r="H31" s="266">
        <f ca="1">IF(ROWS($1:18)&gt;COUNT(Dong),"",OFFSET(TH!K$1,SMALL(Dong,ROWS($1:18)),))</f>
        <v>4751</v>
      </c>
      <c r="I31" s="266">
        <f ca="1">IF(ROWS($1:18)&gt;COUNT(Dong),"",OFFSET(TH!J$1,SMALL(Dong,ROWS($1:18)),))</f>
        <v>29500</v>
      </c>
      <c r="J31" s="270">
        <f t="shared" ca="1" si="3"/>
        <v>140154500</v>
      </c>
      <c r="K31" s="267"/>
      <c r="L31" s="268"/>
      <c r="M31" s="248"/>
      <c r="N31" s="248"/>
      <c r="O31" s="248"/>
      <c r="P31" s="248"/>
      <c r="Q31" s="248"/>
      <c r="R31" s="248"/>
      <c r="S31" s="248"/>
      <c r="T31" s="248"/>
      <c r="U31" s="248"/>
      <c r="V31" s="248"/>
      <c r="W31" s="248"/>
      <c r="X31" s="248"/>
      <c r="Y31" s="248"/>
      <c r="Z31" s="248"/>
      <c r="AA31" s="248"/>
      <c r="AB31" s="248"/>
      <c r="AC31" s="248"/>
      <c r="AD31" s="248"/>
      <c r="AE31" s="248"/>
      <c r="AF31" s="248"/>
      <c r="AG31" s="248"/>
      <c r="AH31" s="248"/>
      <c r="AI31" s="248"/>
      <c r="AJ31" s="248"/>
      <c r="AK31" s="248"/>
      <c r="AL31" s="248"/>
      <c r="AM31" s="248"/>
      <c r="AN31" s="248"/>
      <c r="AO31" s="248"/>
      <c r="AP31" s="248"/>
      <c r="AQ31" s="248"/>
      <c r="AR31" s="248"/>
      <c r="AS31" s="248"/>
      <c r="AT31" s="248"/>
      <c r="AU31" s="248"/>
      <c r="AV31" s="248"/>
      <c r="AW31" s="248"/>
      <c r="AX31" s="248"/>
      <c r="AY31" s="248"/>
      <c r="AZ31" s="248"/>
      <c r="BA31" s="248"/>
      <c r="BB31" s="248"/>
      <c r="BC31" s="248"/>
      <c r="BD31" s="248"/>
      <c r="BE31" s="248"/>
      <c r="BF31" s="248"/>
      <c r="BG31" s="248"/>
      <c r="BH31" s="248"/>
      <c r="BI31" s="248"/>
      <c r="BJ31" s="248"/>
      <c r="BK31" s="248"/>
      <c r="BL31" s="248"/>
      <c r="BM31" s="248"/>
      <c r="BN31" s="248"/>
      <c r="BO31" s="248"/>
      <c r="BP31" s="248"/>
      <c r="BQ31" s="248"/>
      <c r="BR31" s="248"/>
      <c r="BS31" s="248"/>
      <c r="BT31" s="248"/>
      <c r="BU31" s="248"/>
      <c r="BV31" s="248"/>
      <c r="BW31" s="248"/>
      <c r="BX31" s="248"/>
      <c r="BY31" s="248"/>
      <c r="BZ31" s="248"/>
      <c r="CA31" s="248"/>
      <c r="CB31" s="248"/>
      <c r="CC31" s="248"/>
      <c r="CD31" s="248"/>
      <c r="CE31" s="248"/>
      <c r="CF31" s="248"/>
      <c r="CG31" s="248"/>
    </row>
    <row r="32" spans="1:85" s="269" customFormat="1" ht="21.75" customHeight="1">
      <c r="A32" s="69">
        <f ca="1">IF(ROWS($1:19)&gt;COUNT(Dong),"",OFFSET(TH!E$1,SMALL(Dong,ROWS($1:19)),))</f>
        <v>41614</v>
      </c>
      <c r="B32" s="285" t="str">
        <f ca="1">IF(ROWS($1:19)&gt;COUNT(Dong),"",OFFSET(TH!G$1,SMALL(Dong,ROWS($1:19)),))</f>
        <v>Phan Quốc Việt</v>
      </c>
      <c r="C32" s="263" t="str">
        <f t="shared" ca="1" si="0"/>
        <v>Hai</v>
      </c>
      <c r="D32" s="263" t="str">
        <f ca="1">IF(ROWS($1:19)&gt;COUNT(Dong),"",OFFSET(TH!D$1,SMALL(Dong,ROWS($1:19)),))</f>
        <v>N36</v>
      </c>
      <c r="E32" s="264" t="str">
        <f t="shared" ca="1" si="1"/>
        <v>Rạch Giá - Kiên Giang</v>
      </c>
      <c r="F32" s="264">
        <f t="shared" ca="1" si="2"/>
        <v>370209938</v>
      </c>
      <c r="G32" s="265" t="str">
        <f ca="1">IF(ROWS($1:19)&gt;COUNT(Dong),"",OFFSET(TH!F$1,SMALL(Dong,ROWS($1:19)),))</f>
        <v>Cá chỉ vàng NL</v>
      </c>
      <c r="H32" s="266">
        <f ca="1">IF(ROWS($1:19)&gt;COUNT(Dong),"",OFFSET(TH!K$1,SMALL(Dong,ROWS($1:19)),))</f>
        <v>4814</v>
      </c>
      <c r="I32" s="266">
        <f ca="1">IF(ROWS($1:19)&gt;COUNT(Dong),"",OFFSET(TH!J$1,SMALL(Dong,ROWS($1:19)),))</f>
        <v>29500</v>
      </c>
      <c r="J32" s="270">
        <f t="shared" ca="1" si="3"/>
        <v>142013000</v>
      </c>
      <c r="K32" s="267"/>
      <c r="L32" s="268"/>
      <c r="M32" s="248"/>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48"/>
      <c r="AM32" s="248"/>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c r="BQ32" s="248"/>
      <c r="BR32" s="248"/>
      <c r="BS32" s="248"/>
      <c r="BT32" s="248"/>
      <c r="BU32" s="248"/>
      <c r="BV32" s="248"/>
      <c r="BW32" s="248"/>
      <c r="BX32" s="248"/>
      <c r="BY32" s="248"/>
      <c r="BZ32" s="248"/>
      <c r="CA32" s="248"/>
      <c r="CB32" s="248"/>
      <c r="CC32" s="248"/>
      <c r="CD32" s="248"/>
      <c r="CE32" s="248"/>
      <c r="CF32" s="248"/>
      <c r="CG32" s="248"/>
    </row>
    <row r="33" spans="1:85" s="269" customFormat="1" ht="21.75" customHeight="1">
      <c r="A33" s="69">
        <f ca="1">IF(ROWS($1:20)&gt;COUNT(Dong),"",OFFSET(TH!E$1,SMALL(Dong,ROWS($1:20)),))</f>
        <v>41614</v>
      </c>
      <c r="B33" s="285" t="str">
        <f ca="1">IF(ROWS($1:20)&gt;COUNT(Dong),"",OFFSET(TH!G$1,SMALL(Dong,ROWS($1:20)),))</f>
        <v>Phạm Thị Bảy</v>
      </c>
      <c r="C33" s="263" t="str">
        <f t="shared" ca="1" si="0"/>
        <v>Hai</v>
      </c>
      <c r="D33" s="263" t="str">
        <f ca="1">IF(ROWS($1:20)&gt;COUNT(Dong),"",OFFSET(TH!D$1,SMALL(Dong,ROWS($1:20)),))</f>
        <v>N37</v>
      </c>
      <c r="E33" s="264" t="str">
        <f t="shared" ca="1" si="1"/>
        <v>Rạch Giá - Kiên Giang</v>
      </c>
      <c r="F33" s="264">
        <f t="shared" ca="1" si="2"/>
        <v>370324838</v>
      </c>
      <c r="G33" s="265" t="str">
        <f ca="1">IF(ROWS($1:20)&gt;COUNT(Dong),"",OFFSET(TH!F$1,SMALL(Dong,ROWS($1:20)),))</f>
        <v>Cá chỉ vàng NL</v>
      </c>
      <c r="H33" s="266">
        <f ca="1">IF(ROWS($1:20)&gt;COUNT(Dong),"",OFFSET(TH!K$1,SMALL(Dong,ROWS($1:20)),))</f>
        <v>4886</v>
      </c>
      <c r="I33" s="266">
        <f ca="1">IF(ROWS($1:20)&gt;COUNT(Dong),"",OFFSET(TH!J$1,SMALL(Dong,ROWS($1:20)),))</f>
        <v>29500</v>
      </c>
      <c r="J33" s="270">
        <f t="shared" ca="1" si="3"/>
        <v>144137000</v>
      </c>
      <c r="K33" s="267"/>
      <c r="L33" s="268"/>
      <c r="M33" s="248"/>
      <c r="N33" s="248"/>
      <c r="O33" s="248"/>
      <c r="P33" s="248"/>
      <c r="Q33" s="248"/>
      <c r="R33" s="248"/>
      <c r="S33" s="248"/>
      <c r="T33" s="248"/>
      <c r="U33" s="248"/>
      <c r="V33" s="248"/>
      <c r="W33" s="248"/>
      <c r="X33" s="248"/>
      <c r="Y33" s="248"/>
      <c r="Z33" s="248"/>
      <c r="AA33" s="248"/>
      <c r="AB33" s="248"/>
      <c r="AC33" s="248"/>
      <c r="AD33" s="248"/>
      <c r="AE33" s="248"/>
      <c r="AF33" s="248"/>
      <c r="AG33" s="248"/>
      <c r="AH33" s="248"/>
      <c r="AI33" s="248"/>
      <c r="AJ33" s="248"/>
      <c r="AK33" s="248"/>
      <c r="AL33" s="248"/>
      <c r="AM33" s="248"/>
      <c r="AN33" s="248"/>
      <c r="AO33" s="248"/>
      <c r="AP33" s="248"/>
      <c r="AQ33" s="248"/>
      <c r="AR33" s="248"/>
      <c r="AS33" s="248"/>
      <c r="AT33" s="248"/>
      <c r="AU33" s="248"/>
      <c r="AV33" s="248"/>
      <c r="AW33" s="248"/>
      <c r="AX33" s="248"/>
      <c r="AY33" s="248"/>
      <c r="AZ33" s="248"/>
      <c r="BA33" s="248"/>
      <c r="BB33" s="248"/>
      <c r="BC33" s="248"/>
      <c r="BD33" s="248"/>
      <c r="BE33" s="248"/>
      <c r="BF33" s="248"/>
      <c r="BG33" s="248"/>
      <c r="BH33" s="248"/>
      <c r="BI33" s="248"/>
      <c r="BJ33" s="248"/>
      <c r="BK33" s="248"/>
      <c r="BL33" s="248"/>
      <c r="BM33" s="248"/>
      <c r="BN33" s="248"/>
      <c r="BO33" s="248"/>
      <c r="BP33" s="248"/>
      <c r="BQ33" s="248"/>
      <c r="BR33" s="248"/>
      <c r="BS33" s="248"/>
      <c r="BT33" s="248"/>
      <c r="BU33" s="248"/>
      <c r="BV33" s="248"/>
      <c r="BW33" s="248"/>
      <c r="BX33" s="248"/>
      <c r="BY33" s="248"/>
      <c r="BZ33" s="248"/>
      <c r="CA33" s="248"/>
      <c r="CB33" s="248"/>
      <c r="CC33" s="248"/>
      <c r="CD33" s="248"/>
      <c r="CE33" s="248"/>
      <c r="CF33" s="248"/>
      <c r="CG33" s="248"/>
    </row>
    <row r="34" spans="1:85" s="269" customFormat="1" ht="21.75" customHeight="1">
      <c r="A34" s="69">
        <f ca="1">IF(ROWS($1:21)&gt;COUNT(Dong),"",OFFSET(TH!E$1,SMALL(Dong,ROWS($1:21)),))</f>
        <v>41615</v>
      </c>
      <c r="B34" s="285" t="str">
        <f ca="1">IF(ROWS($1:21)&gt;COUNT(Dong),"",OFFSET(TH!G$1,SMALL(Dong,ROWS($1:21)),))</f>
        <v>Lê Thị Kim Thanh</v>
      </c>
      <c r="C34" s="263" t="str">
        <f t="shared" ca="1" si="0"/>
        <v>Văn</v>
      </c>
      <c r="D34" s="263" t="str">
        <f ca="1">IF(ROWS($1:21)&gt;COUNT(Dong),"",OFFSET(TH!D$1,SMALL(Dong,ROWS($1:21)),))</f>
        <v>N42</v>
      </c>
      <c r="E34" s="264" t="str">
        <f t="shared" ca="1" si="1"/>
        <v>Châu Thành - Tiền Giang</v>
      </c>
      <c r="F34" s="264">
        <f t="shared" ca="1" si="2"/>
        <v>311514350</v>
      </c>
      <c r="G34" s="265" t="str">
        <f ca="1">IF(ROWS($1:21)&gt;COUNT(Dong),"",OFFSET(TH!F$1,SMALL(Dong,ROWS($1:21)),))</f>
        <v>Cá chỉ vàng NL</v>
      </c>
      <c r="H34" s="266">
        <f ca="1">IF(ROWS($1:21)&gt;COUNT(Dong),"",OFFSET(TH!K$1,SMALL(Dong,ROWS($1:21)),))</f>
        <v>4692</v>
      </c>
      <c r="I34" s="266">
        <f ca="1">IF(ROWS($1:21)&gt;COUNT(Dong),"",OFFSET(TH!J$1,SMALL(Dong,ROWS($1:21)),))</f>
        <v>29500</v>
      </c>
      <c r="J34" s="270">
        <f t="shared" ca="1" si="3"/>
        <v>138414000</v>
      </c>
      <c r="K34" s="267"/>
      <c r="L34" s="268"/>
      <c r="M34" s="248"/>
      <c r="N34" s="248"/>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8"/>
      <c r="AS34" s="248"/>
      <c r="AT34" s="248"/>
      <c r="AU34" s="248"/>
      <c r="AV34" s="248"/>
      <c r="AW34" s="248"/>
      <c r="AX34" s="248"/>
      <c r="AY34" s="248"/>
      <c r="AZ34" s="248"/>
      <c r="BA34" s="248"/>
      <c r="BB34" s="248"/>
      <c r="BC34" s="248"/>
      <c r="BD34" s="248"/>
      <c r="BE34" s="248"/>
      <c r="BF34" s="248"/>
      <c r="BG34" s="248"/>
      <c r="BH34" s="248"/>
      <c r="BI34" s="248"/>
      <c r="BJ34" s="248"/>
      <c r="BK34" s="248"/>
      <c r="BL34" s="248"/>
      <c r="BM34" s="248"/>
      <c r="BN34" s="248"/>
      <c r="BO34" s="248"/>
      <c r="BP34" s="248"/>
      <c r="BQ34" s="248"/>
      <c r="BR34" s="248"/>
      <c r="BS34" s="248"/>
      <c r="BT34" s="248"/>
      <c r="BU34" s="248"/>
      <c r="BV34" s="248"/>
      <c r="BW34" s="248"/>
      <c r="BX34" s="248"/>
      <c r="BY34" s="248"/>
      <c r="BZ34" s="248"/>
      <c r="CA34" s="248"/>
      <c r="CB34" s="248"/>
      <c r="CC34" s="248"/>
      <c r="CD34" s="248"/>
      <c r="CE34" s="248"/>
      <c r="CF34" s="248"/>
      <c r="CG34" s="248"/>
    </row>
    <row r="35" spans="1:85" s="269" customFormat="1" ht="21.75" customHeight="1">
      <c r="A35" s="69">
        <f ca="1">IF(ROWS($1:22)&gt;COUNT(Dong),"",OFFSET(TH!E$1,SMALL(Dong,ROWS($1:22)),))</f>
        <v>41615</v>
      </c>
      <c r="B35" s="285" t="str">
        <f ca="1">IF(ROWS($1:22)&gt;COUNT(Dong),"",OFFSET(TH!G$1,SMALL(Dong,ROWS($1:22)),))</f>
        <v>Lê Thị Kim Liên</v>
      </c>
      <c r="C35" s="263" t="str">
        <f t="shared" ca="1" si="0"/>
        <v>Văn</v>
      </c>
      <c r="D35" s="263" t="str">
        <f ca="1">IF(ROWS($1:22)&gt;COUNT(Dong),"",OFFSET(TH!D$1,SMALL(Dong,ROWS($1:22)),))</f>
        <v>N43</v>
      </c>
      <c r="E35" s="264" t="str">
        <f t="shared" ca="1" si="1"/>
        <v>Châu Thành - Tiền Giang</v>
      </c>
      <c r="F35" s="264">
        <f t="shared" ca="1" si="2"/>
        <v>311704830</v>
      </c>
      <c r="G35" s="265" t="str">
        <f ca="1">IF(ROWS($1:22)&gt;COUNT(Dong),"",OFFSET(TH!F$1,SMALL(Dong,ROWS($1:22)),))</f>
        <v>Cá chỉ vàng NL</v>
      </c>
      <c r="H35" s="266">
        <f ca="1">IF(ROWS($1:22)&gt;COUNT(Dong),"",OFFSET(TH!K$1,SMALL(Dong,ROWS($1:22)),))</f>
        <v>1660</v>
      </c>
      <c r="I35" s="266">
        <f ca="1">IF(ROWS($1:22)&gt;COUNT(Dong),"",OFFSET(TH!J$1,SMALL(Dong,ROWS($1:22)),))</f>
        <v>29500</v>
      </c>
      <c r="J35" s="270">
        <f t="shared" ca="1" si="3"/>
        <v>48970000</v>
      </c>
      <c r="K35" s="267"/>
      <c r="L35" s="26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48"/>
      <c r="AW35" s="248"/>
      <c r="AX35" s="248"/>
      <c r="AY35" s="248"/>
      <c r="AZ35" s="248"/>
      <c r="BA35" s="248"/>
      <c r="BB35" s="248"/>
      <c r="BC35" s="248"/>
      <c r="BD35" s="248"/>
      <c r="BE35" s="248"/>
      <c r="BF35" s="248"/>
      <c r="BG35" s="248"/>
      <c r="BH35" s="248"/>
      <c r="BI35" s="248"/>
      <c r="BJ35" s="248"/>
      <c r="BK35" s="248"/>
      <c r="BL35" s="248"/>
      <c r="BM35" s="248"/>
      <c r="BN35" s="248"/>
      <c r="BO35" s="248"/>
      <c r="BP35" s="248"/>
      <c r="BQ35" s="248"/>
      <c r="BR35" s="248"/>
      <c r="BS35" s="248"/>
      <c r="BT35" s="248"/>
      <c r="BU35" s="248"/>
      <c r="BV35" s="248"/>
      <c r="BW35" s="248"/>
      <c r="BX35" s="248"/>
      <c r="BY35" s="248"/>
      <c r="BZ35" s="248"/>
      <c r="CA35" s="248"/>
      <c r="CB35" s="248"/>
      <c r="CC35" s="248"/>
      <c r="CD35" s="248"/>
      <c r="CE35" s="248"/>
      <c r="CF35" s="248"/>
      <c r="CG35" s="248"/>
    </row>
    <row r="36" spans="1:85" s="269" customFormat="1" ht="21.75" customHeight="1">
      <c r="A36" s="69">
        <f ca="1">IF(ROWS($1:23)&gt;COUNT(Dong),"",OFFSET(TH!E$1,SMALL(Dong,ROWS($1:23)),))</f>
        <v>41629</v>
      </c>
      <c r="B36" s="285" t="str">
        <f ca="1">IF(ROWS($1:23)&gt;COUNT(Dong),"",OFFSET(TH!G$1,SMALL(Dong,ROWS($1:23)),))</f>
        <v>Lâm Thị Loan</v>
      </c>
      <c r="C36" s="263" t="str">
        <f t="shared" ca="1" si="0"/>
        <v>Hai</v>
      </c>
      <c r="D36" s="263" t="str">
        <f ca="1">IF(ROWS($1:23)&gt;COUNT(Dong),"",OFFSET(TH!D$1,SMALL(Dong,ROWS($1:23)),))</f>
        <v>N57</v>
      </c>
      <c r="E36" s="264" t="str">
        <f t="shared" ca="1" si="1"/>
        <v>Hòn Đất, Kiên Giang</v>
      </c>
      <c r="F36" s="264">
        <f t="shared" ca="1" si="2"/>
        <v>370698949</v>
      </c>
      <c r="G36" s="265" t="str">
        <f ca="1">IF(ROWS($1:23)&gt;COUNT(Dong),"",OFFSET(TH!F$1,SMALL(Dong,ROWS($1:23)),))</f>
        <v>Cá đục NL</v>
      </c>
      <c r="H36" s="266">
        <f ca="1">IF(ROWS($1:23)&gt;COUNT(Dong),"",OFFSET(TH!K$1,SMALL(Dong,ROWS($1:23)),))</f>
        <v>3581</v>
      </c>
      <c r="I36" s="266">
        <f ca="1">IF(ROWS($1:23)&gt;COUNT(Dong),"",OFFSET(TH!J$1,SMALL(Dong,ROWS($1:23)),))</f>
        <v>22000</v>
      </c>
      <c r="J36" s="270">
        <f t="shared" ca="1" si="3"/>
        <v>78782000</v>
      </c>
      <c r="K36" s="267"/>
      <c r="L36" s="26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c r="AP36" s="248"/>
      <c r="AQ36" s="248"/>
      <c r="AR36" s="248"/>
      <c r="AS36" s="248"/>
      <c r="AT36" s="248"/>
      <c r="AU36" s="248"/>
      <c r="AV36" s="248"/>
      <c r="AW36" s="248"/>
      <c r="AX36" s="248"/>
      <c r="AY36" s="248"/>
      <c r="AZ36" s="248"/>
      <c r="BA36" s="248"/>
      <c r="BB36" s="248"/>
      <c r="BC36" s="248"/>
      <c r="BD36" s="248"/>
      <c r="BE36" s="248"/>
      <c r="BF36" s="248"/>
      <c r="BG36" s="248"/>
      <c r="BH36" s="248"/>
      <c r="BI36" s="248"/>
      <c r="BJ36" s="248"/>
      <c r="BK36" s="248"/>
      <c r="BL36" s="248"/>
      <c r="BM36" s="248"/>
      <c r="BN36" s="248"/>
      <c r="BO36" s="248"/>
      <c r="BP36" s="248"/>
      <c r="BQ36" s="248"/>
      <c r="BR36" s="248"/>
      <c r="BS36" s="248"/>
      <c r="BT36" s="248"/>
      <c r="BU36" s="248"/>
      <c r="BV36" s="248"/>
      <c r="BW36" s="248"/>
      <c r="BX36" s="248"/>
      <c r="BY36" s="248"/>
      <c r="BZ36" s="248"/>
      <c r="CA36" s="248"/>
      <c r="CB36" s="248"/>
      <c r="CC36" s="248"/>
      <c r="CD36" s="248"/>
      <c r="CE36" s="248"/>
      <c r="CF36" s="248"/>
      <c r="CG36" s="248"/>
    </row>
    <row r="37" spans="1:85" s="269" customFormat="1" ht="21.75" customHeight="1">
      <c r="A37" s="69">
        <f ca="1">IF(ROWS($1:24)&gt;COUNT(Dong),"",OFFSET(TH!E$1,SMALL(Dong,ROWS($1:24)),))</f>
        <v>41629</v>
      </c>
      <c r="B37" s="285" t="str">
        <f ca="1">IF(ROWS($1:24)&gt;COUNT(Dong),"",OFFSET(TH!G$1,SMALL(Dong,ROWS($1:24)),))</f>
        <v>Võ Văn Thắng</v>
      </c>
      <c r="C37" s="263" t="str">
        <f t="shared" ca="1" si="0"/>
        <v>Hai</v>
      </c>
      <c r="D37" s="263" t="str">
        <f ca="1">IF(ROWS($1:24)&gt;COUNT(Dong),"",OFFSET(TH!D$1,SMALL(Dong,ROWS($1:24)),))</f>
        <v>N58</v>
      </c>
      <c r="E37" s="264" t="str">
        <f t="shared" ca="1" si="1"/>
        <v>Ba Tri - Bến Tre</v>
      </c>
      <c r="F37" s="264">
        <f t="shared" ca="1" si="2"/>
        <v>320044169</v>
      </c>
      <c r="G37" s="265" t="str">
        <f ca="1">IF(ROWS($1:24)&gt;COUNT(Dong),"",OFFSET(TH!F$1,SMALL(Dong,ROWS($1:24)),))</f>
        <v>Cá đục NL</v>
      </c>
      <c r="H37" s="266">
        <f ca="1">IF(ROWS($1:24)&gt;COUNT(Dong),"",OFFSET(TH!K$1,SMALL(Dong,ROWS($1:24)),))</f>
        <v>3919</v>
      </c>
      <c r="I37" s="266">
        <f ca="1">IF(ROWS($1:24)&gt;COUNT(Dong),"",OFFSET(TH!J$1,SMALL(Dong,ROWS($1:24)),))</f>
        <v>22000</v>
      </c>
      <c r="J37" s="270">
        <f t="shared" ca="1" si="3"/>
        <v>86218000</v>
      </c>
      <c r="K37" s="267"/>
      <c r="L37" s="26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8"/>
      <c r="BZ37" s="248"/>
      <c r="CA37" s="248"/>
      <c r="CB37" s="248"/>
      <c r="CC37" s="248"/>
      <c r="CD37" s="248"/>
      <c r="CE37" s="248"/>
      <c r="CF37" s="248"/>
      <c r="CG37" s="248"/>
    </row>
    <row r="38" spans="1:85" s="269" customFormat="1" ht="21.75" customHeight="1">
      <c r="A38" s="69">
        <f ca="1">IF(ROWS($1:25)&gt;COUNT(Dong),"",OFFSET(TH!E$1,SMALL(Dong,ROWS($1:25)),))</f>
        <v>41610</v>
      </c>
      <c r="B38" s="285" t="str">
        <f ca="1">IF(ROWS($1:25)&gt;COUNT(Dong),"",OFFSET(TH!G$1,SMALL(Dong,ROWS($1:25)),))</f>
        <v>Lê Thị Thiện Em</v>
      </c>
      <c r="C38" s="263" t="str">
        <f t="shared" ca="1" si="0"/>
        <v>Hai</v>
      </c>
      <c r="D38" s="263" t="str">
        <f ca="1">IF(ROWS($1:25)&gt;COUNT(Dong),"",OFFSET(TH!D$1,SMALL(Dong,ROWS($1:25)),))</f>
        <v>N14</v>
      </c>
      <c r="E38" s="264" t="str">
        <f t="shared" ca="1" si="1"/>
        <v>Đức Linh - Bình Thuận</v>
      </c>
      <c r="F38" s="264">
        <f t="shared" ca="1" si="2"/>
        <v>260682094</v>
      </c>
      <c r="G38" s="265" t="str">
        <f ca="1">IF(ROWS($1:25)&gt;COUNT(Dong),"",OFFSET(TH!F$1,SMALL(Dong,ROWS($1:25)),))</f>
        <v>Cá cơm  NL</v>
      </c>
      <c r="H38" s="266">
        <f ca="1">IF(ROWS($1:25)&gt;COUNT(Dong),"",OFFSET(TH!K$1,SMALL(Dong,ROWS($1:25)),))</f>
        <v>6152</v>
      </c>
      <c r="I38" s="266">
        <f ca="1">IF(ROWS($1:25)&gt;COUNT(Dong),"",OFFSET(TH!J$1,SMALL(Dong,ROWS($1:25)),))</f>
        <v>37500</v>
      </c>
      <c r="J38" s="270">
        <f t="shared" ca="1" si="3"/>
        <v>230700000</v>
      </c>
      <c r="K38" s="267"/>
      <c r="L38" s="26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c r="AX38" s="248"/>
      <c r="AY38" s="248"/>
      <c r="AZ38" s="248"/>
      <c r="BA38" s="248"/>
      <c r="BB38" s="248"/>
      <c r="BC38" s="248"/>
      <c r="BD38" s="248"/>
      <c r="BE38" s="248"/>
      <c r="BF38" s="248"/>
      <c r="BG38" s="248"/>
      <c r="BH38" s="248"/>
      <c r="BI38" s="248"/>
      <c r="BJ38" s="248"/>
      <c r="BK38" s="248"/>
      <c r="BL38" s="248"/>
      <c r="BM38" s="248"/>
      <c r="BN38" s="248"/>
      <c r="BO38" s="248"/>
      <c r="BP38" s="248"/>
      <c r="BQ38" s="248"/>
      <c r="BR38" s="248"/>
      <c r="BS38" s="248"/>
      <c r="BT38" s="248"/>
      <c r="BU38" s="248"/>
      <c r="BV38" s="248"/>
      <c r="BW38" s="248"/>
      <c r="BX38" s="248"/>
      <c r="BY38" s="248"/>
      <c r="BZ38" s="248"/>
      <c r="CA38" s="248"/>
      <c r="CB38" s="248"/>
      <c r="CC38" s="248"/>
      <c r="CD38" s="248"/>
      <c r="CE38" s="248"/>
      <c r="CF38" s="248"/>
      <c r="CG38" s="248"/>
    </row>
    <row r="39" spans="1:85" s="269" customFormat="1" ht="21.75" customHeight="1">
      <c r="A39" s="69">
        <f ca="1">IF(ROWS($1:26)&gt;COUNT(Dong),"",OFFSET(TH!E$1,SMALL(Dong,ROWS($1:26)),))</f>
        <v>41610</v>
      </c>
      <c r="B39" s="285" t="str">
        <f ca="1">IF(ROWS($1:26)&gt;COUNT(Dong),"",OFFSET(TH!G$1,SMALL(Dong,ROWS($1:26)),))</f>
        <v>Nguyễn Thanh Bình</v>
      </c>
      <c r="C39" s="263" t="str">
        <f t="shared" ca="1" si="0"/>
        <v>Hai</v>
      </c>
      <c r="D39" s="263" t="str">
        <f ca="1">IF(ROWS($1:26)&gt;COUNT(Dong),"",OFFSET(TH!D$1,SMALL(Dong,ROWS($1:26)),))</f>
        <v>N15</v>
      </c>
      <c r="E39" s="264" t="str">
        <f t="shared" ca="1" si="1"/>
        <v>Phan Thiết - Bình Thuận</v>
      </c>
      <c r="F39" s="264">
        <f t="shared" ca="1" si="2"/>
        <v>260178873</v>
      </c>
      <c r="G39" s="265" t="str">
        <f ca="1">IF(ROWS($1:26)&gt;COUNT(Dong),"",OFFSET(TH!F$1,SMALL(Dong,ROWS($1:26)),))</f>
        <v>Cá cơm  NL</v>
      </c>
      <c r="H39" s="266">
        <f ca="1">IF(ROWS($1:26)&gt;COUNT(Dong),"",OFFSET(TH!K$1,SMALL(Dong,ROWS($1:26)),))</f>
        <v>6245</v>
      </c>
      <c r="I39" s="266">
        <f ca="1">IF(ROWS($1:26)&gt;COUNT(Dong),"",OFFSET(TH!J$1,SMALL(Dong,ROWS($1:26)),))</f>
        <v>37500</v>
      </c>
      <c r="J39" s="270">
        <f t="shared" ca="1" si="3"/>
        <v>234187500</v>
      </c>
      <c r="K39" s="267"/>
      <c r="L39" s="26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248"/>
      <c r="BH39" s="248"/>
      <c r="BI39" s="248"/>
      <c r="BJ39" s="248"/>
      <c r="BK39" s="248"/>
      <c r="BL39" s="248"/>
      <c r="BM39" s="248"/>
      <c r="BN39" s="248"/>
      <c r="BO39" s="248"/>
      <c r="BP39" s="248"/>
      <c r="BQ39" s="248"/>
      <c r="BR39" s="248"/>
      <c r="BS39" s="248"/>
      <c r="BT39" s="248"/>
      <c r="BU39" s="248"/>
      <c r="BV39" s="248"/>
      <c r="BW39" s="248"/>
      <c r="BX39" s="248"/>
      <c r="BY39" s="248"/>
      <c r="BZ39" s="248"/>
      <c r="CA39" s="248"/>
      <c r="CB39" s="248"/>
      <c r="CC39" s="248"/>
      <c r="CD39" s="248"/>
      <c r="CE39" s="248"/>
      <c r="CF39" s="248"/>
      <c r="CG39" s="248"/>
    </row>
    <row r="40" spans="1:85" s="269" customFormat="1" ht="21.75" customHeight="1">
      <c r="A40" s="69">
        <f ca="1">IF(ROWS($1:27)&gt;COUNT(Dong),"",OFFSET(TH!E$1,SMALL(Dong,ROWS($1:27)),))</f>
        <v>41612</v>
      </c>
      <c r="B40" s="285" t="str">
        <f ca="1">IF(ROWS($1:27)&gt;COUNT(Dong),"",OFFSET(TH!G$1,SMALL(Dong,ROWS($1:27)),))</f>
        <v>Nguyễn Văn Hạnh</v>
      </c>
      <c r="C40" s="263" t="str">
        <f t="shared" ca="1" si="0"/>
        <v>Hai</v>
      </c>
      <c r="D40" s="263" t="str">
        <f ca="1">IF(ROWS($1:27)&gt;COUNT(Dong),"",OFFSET(TH!D$1,SMALL(Dong,ROWS($1:27)),))</f>
        <v>N24</v>
      </c>
      <c r="E40" s="264" t="str">
        <f t="shared" ca="1" si="1"/>
        <v>Phan Thiết - Bình Thuận</v>
      </c>
      <c r="F40" s="264">
        <f t="shared" ca="1" si="2"/>
        <v>260850613</v>
      </c>
      <c r="G40" s="265" t="str">
        <f ca="1">IF(ROWS($1:27)&gt;COUNT(Dong),"",OFFSET(TH!F$1,SMALL(Dong,ROWS($1:27)),))</f>
        <v>Cá cơm  NL</v>
      </c>
      <c r="H40" s="266">
        <f ca="1">IF(ROWS($1:27)&gt;COUNT(Dong),"",OFFSET(TH!K$1,SMALL(Dong,ROWS($1:27)),))</f>
        <v>6423</v>
      </c>
      <c r="I40" s="266">
        <f ca="1">IF(ROWS($1:27)&gt;COUNT(Dong),"",OFFSET(TH!J$1,SMALL(Dong,ROWS($1:27)),))</f>
        <v>37500</v>
      </c>
      <c r="J40" s="270">
        <f t="shared" ca="1" si="3"/>
        <v>240862500</v>
      </c>
      <c r="K40" s="267"/>
      <c r="L40" s="26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248"/>
      <c r="BI40" s="248"/>
      <c r="BJ40" s="248"/>
      <c r="BK40" s="248"/>
      <c r="BL40" s="248"/>
      <c r="BM40" s="248"/>
      <c r="BN40" s="248"/>
      <c r="BO40" s="248"/>
      <c r="BP40" s="248"/>
      <c r="BQ40" s="248"/>
      <c r="BR40" s="248"/>
      <c r="BS40" s="248"/>
      <c r="BT40" s="248"/>
      <c r="BU40" s="248"/>
      <c r="BV40" s="248"/>
      <c r="BW40" s="248"/>
      <c r="BX40" s="248"/>
      <c r="BY40" s="248"/>
      <c r="BZ40" s="248"/>
      <c r="CA40" s="248"/>
      <c r="CB40" s="248"/>
      <c r="CC40" s="248"/>
      <c r="CD40" s="248"/>
      <c r="CE40" s="248"/>
      <c r="CF40" s="248"/>
      <c r="CG40" s="248"/>
    </row>
    <row r="41" spans="1:85" s="269" customFormat="1" ht="21.75" customHeight="1">
      <c r="A41" s="69">
        <f ca="1">IF(ROWS($1:28)&gt;COUNT(Dong),"",OFFSET(TH!E$1,SMALL(Dong,ROWS($1:28)),))</f>
        <v>41612</v>
      </c>
      <c r="B41" s="285" t="str">
        <f ca="1">IF(ROWS($1:28)&gt;COUNT(Dong),"",OFFSET(TH!G$1,SMALL(Dong,ROWS($1:28)),))</f>
        <v>Phạm Thị Ngọc</v>
      </c>
      <c r="C41" s="263" t="str">
        <f t="shared" ca="1" si="0"/>
        <v>Hai</v>
      </c>
      <c r="D41" s="263" t="str">
        <f ca="1">IF(ROWS($1:28)&gt;COUNT(Dong),"",OFFSET(TH!D$1,SMALL(Dong,ROWS($1:28)),))</f>
        <v>N25</v>
      </c>
      <c r="E41" s="264" t="str">
        <f t="shared" ca="1" si="1"/>
        <v>Bà Rịa Vũng Tàu</v>
      </c>
      <c r="F41" s="264">
        <f t="shared" ca="1" si="2"/>
        <v>273042454</v>
      </c>
      <c r="G41" s="265" t="str">
        <f ca="1">IF(ROWS($1:28)&gt;COUNT(Dong),"",OFFSET(TH!F$1,SMALL(Dong,ROWS($1:28)),))</f>
        <v>Cá cơm  NL</v>
      </c>
      <c r="H41" s="266">
        <f ca="1">IF(ROWS($1:28)&gt;COUNT(Dong),"",OFFSET(TH!K$1,SMALL(Dong,ROWS($1:28)),))</f>
        <v>6082</v>
      </c>
      <c r="I41" s="266">
        <f ca="1">IF(ROWS($1:28)&gt;COUNT(Dong),"",OFFSET(TH!J$1,SMALL(Dong,ROWS($1:28)),))</f>
        <v>37500</v>
      </c>
      <c r="J41" s="270">
        <f t="shared" ca="1" si="3"/>
        <v>228075000</v>
      </c>
      <c r="K41" s="267"/>
      <c r="L41" s="268"/>
      <c r="M41" s="248"/>
      <c r="N41" s="248"/>
      <c r="O41" s="248"/>
      <c r="P41" s="248"/>
      <c r="Q41" s="248"/>
      <c r="R41" s="248"/>
      <c r="S41" s="248"/>
      <c r="T41" s="248"/>
      <c r="U41" s="248"/>
      <c r="V41" s="248"/>
      <c r="W41" s="248"/>
      <c r="X41" s="248"/>
      <c r="Y41" s="248"/>
      <c r="Z41" s="248"/>
      <c r="AA41" s="248"/>
      <c r="AB41" s="248"/>
      <c r="AC41" s="248"/>
      <c r="AD41" s="248"/>
      <c r="AE41" s="248"/>
      <c r="AF41" s="248"/>
      <c r="AG41" s="248"/>
      <c r="AH41" s="248"/>
      <c r="AI41" s="248"/>
      <c r="AJ41" s="248"/>
      <c r="AK41" s="248"/>
      <c r="AL41" s="248"/>
      <c r="AM41" s="248"/>
      <c r="AN41" s="248"/>
      <c r="AO41" s="248"/>
      <c r="AP41" s="248"/>
      <c r="AQ41" s="248"/>
      <c r="AR41" s="248"/>
      <c r="AS41" s="248"/>
      <c r="AT41" s="248"/>
      <c r="AU41" s="248"/>
      <c r="AV41" s="248"/>
      <c r="AW41" s="248"/>
      <c r="AX41" s="248"/>
      <c r="AY41" s="248"/>
      <c r="AZ41" s="248"/>
      <c r="BA41" s="248"/>
      <c r="BB41" s="248"/>
      <c r="BC41" s="248"/>
      <c r="BD41" s="248"/>
      <c r="BE41" s="248"/>
      <c r="BF41" s="248"/>
      <c r="BG41" s="248"/>
      <c r="BH41" s="248"/>
      <c r="BI41" s="248"/>
      <c r="BJ41" s="248"/>
      <c r="BK41" s="248"/>
      <c r="BL41" s="248"/>
      <c r="BM41" s="248"/>
      <c r="BN41" s="248"/>
      <c r="BO41" s="248"/>
      <c r="BP41" s="248"/>
      <c r="BQ41" s="248"/>
      <c r="BR41" s="248"/>
      <c r="BS41" s="248"/>
      <c r="BT41" s="248"/>
      <c r="BU41" s="248"/>
      <c r="BV41" s="248"/>
      <c r="BW41" s="248"/>
      <c r="BX41" s="248"/>
      <c r="BY41" s="248"/>
      <c r="BZ41" s="248"/>
      <c r="CA41" s="248"/>
      <c r="CB41" s="248"/>
      <c r="CC41" s="248"/>
      <c r="CD41" s="248"/>
      <c r="CE41" s="248"/>
      <c r="CF41" s="248"/>
      <c r="CG41" s="248"/>
    </row>
    <row r="42" spans="1:85" s="269" customFormat="1" ht="21.75" customHeight="1">
      <c r="A42" s="69">
        <f ca="1">IF(ROWS($1:29)&gt;COUNT(Dong),"",OFFSET(TH!E$1,SMALL(Dong,ROWS($1:29)),))</f>
        <v>41613</v>
      </c>
      <c r="B42" s="285" t="str">
        <f ca="1">IF(ROWS($1:29)&gt;COUNT(Dong),"",OFFSET(TH!G$1,SMALL(Dong,ROWS($1:29)),))</f>
        <v>Phạm Thị Ngọc</v>
      </c>
      <c r="C42" s="263" t="str">
        <f t="shared" ca="1" si="0"/>
        <v>Hai</v>
      </c>
      <c r="D42" s="263" t="str">
        <f ca="1">IF(ROWS($1:29)&gt;COUNT(Dong),"",OFFSET(TH!D$1,SMALL(Dong,ROWS($1:29)),))</f>
        <v>N26</v>
      </c>
      <c r="E42" s="264" t="str">
        <f t="shared" ca="1" si="1"/>
        <v>Bà Rịa Vũng Tàu</v>
      </c>
      <c r="F42" s="264">
        <f t="shared" ca="1" si="2"/>
        <v>273042454</v>
      </c>
      <c r="G42" s="265" t="str">
        <f ca="1">IF(ROWS($1:29)&gt;COUNT(Dong),"",OFFSET(TH!F$1,SMALL(Dong,ROWS($1:29)),))</f>
        <v>Cá cơm  NL</v>
      </c>
      <c r="H42" s="266">
        <f ca="1">IF(ROWS($1:29)&gt;COUNT(Dong),"",OFFSET(TH!K$1,SMALL(Dong,ROWS($1:29)),))</f>
        <v>6823</v>
      </c>
      <c r="I42" s="266">
        <f ca="1">IF(ROWS($1:29)&gt;COUNT(Dong),"",OFFSET(TH!J$1,SMALL(Dong,ROWS($1:29)),))</f>
        <v>37500</v>
      </c>
      <c r="J42" s="270">
        <f t="shared" ca="1" si="3"/>
        <v>255862500</v>
      </c>
      <c r="K42" s="267"/>
      <c r="L42" s="268"/>
      <c r="M42" s="248"/>
      <c r="N42" s="248"/>
      <c r="O42" s="248"/>
      <c r="P42" s="248"/>
      <c r="Q42" s="248"/>
      <c r="R42" s="248"/>
      <c r="S42" s="248"/>
      <c r="T42" s="248"/>
      <c r="U42" s="248"/>
      <c r="V42" s="248"/>
      <c r="W42" s="248"/>
      <c r="X42" s="248"/>
      <c r="Y42" s="248"/>
      <c r="Z42" s="248"/>
      <c r="AA42" s="248"/>
      <c r="AB42" s="248"/>
      <c r="AC42" s="248"/>
      <c r="AD42" s="248"/>
      <c r="AE42" s="248"/>
      <c r="AF42" s="248"/>
      <c r="AG42" s="248"/>
      <c r="AH42" s="248"/>
      <c r="AI42" s="248"/>
      <c r="AJ42" s="248"/>
      <c r="AK42" s="248"/>
      <c r="AL42" s="248"/>
      <c r="AM42" s="248"/>
      <c r="AN42" s="248"/>
      <c r="AO42" s="248"/>
      <c r="AP42" s="248"/>
      <c r="AQ42" s="248"/>
      <c r="AR42" s="248"/>
      <c r="AS42" s="248"/>
      <c r="AT42" s="248"/>
      <c r="AU42" s="248"/>
      <c r="AV42" s="248"/>
      <c r="AW42" s="248"/>
      <c r="AX42" s="248"/>
      <c r="AY42" s="248"/>
      <c r="AZ42" s="248"/>
      <c r="BA42" s="248"/>
      <c r="BB42" s="248"/>
      <c r="BC42" s="248"/>
      <c r="BD42" s="248"/>
      <c r="BE42" s="248"/>
      <c r="BF42" s="248"/>
      <c r="BG42" s="248"/>
      <c r="BH42" s="248"/>
      <c r="BI42" s="248"/>
      <c r="BJ42" s="248"/>
      <c r="BK42" s="248"/>
      <c r="BL42" s="248"/>
      <c r="BM42" s="248"/>
      <c r="BN42" s="248"/>
      <c r="BO42" s="248"/>
      <c r="BP42" s="248"/>
      <c r="BQ42" s="248"/>
      <c r="BR42" s="248"/>
      <c r="BS42" s="248"/>
      <c r="BT42" s="248"/>
      <c r="BU42" s="248"/>
      <c r="BV42" s="248"/>
      <c r="BW42" s="248"/>
      <c r="BX42" s="248"/>
      <c r="BY42" s="248"/>
      <c r="BZ42" s="248"/>
      <c r="CA42" s="248"/>
      <c r="CB42" s="248"/>
      <c r="CC42" s="248"/>
      <c r="CD42" s="248"/>
      <c r="CE42" s="248"/>
      <c r="CF42" s="248"/>
      <c r="CG42" s="248"/>
    </row>
    <row r="43" spans="1:85" s="269" customFormat="1" ht="21.75" customHeight="1">
      <c r="A43" s="69">
        <f ca="1">IF(ROWS($1:30)&gt;COUNT(Dong),"",OFFSET(TH!E$1,SMALL(Dong,ROWS($1:30)),))</f>
        <v>41613</v>
      </c>
      <c r="B43" s="285" t="str">
        <f ca="1">IF(ROWS($1:30)&gt;COUNT(Dong),"",OFFSET(TH!G$1,SMALL(Dong,ROWS($1:30)),))</f>
        <v>Nguyễn Thị Hội</v>
      </c>
      <c r="C43" s="263" t="str">
        <f t="shared" ca="1" si="0"/>
        <v>Hai</v>
      </c>
      <c r="D43" s="263" t="str">
        <f ca="1">IF(ROWS($1:30)&gt;COUNT(Dong),"",OFFSET(TH!D$1,SMALL(Dong,ROWS($1:30)),))</f>
        <v>N27</v>
      </c>
      <c r="E43" s="264" t="str">
        <f t="shared" ca="1" si="1"/>
        <v>Long Hương - Bình Thuận</v>
      </c>
      <c r="F43" s="264" t="str">
        <f t="shared" ca="1" si="2"/>
        <v>020714486</v>
      </c>
      <c r="G43" s="265" t="str">
        <f ca="1">IF(ROWS($1:30)&gt;COUNT(Dong),"",OFFSET(TH!F$1,SMALL(Dong,ROWS($1:30)),))</f>
        <v>Cá cơm  NL</v>
      </c>
      <c r="H43" s="266">
        <f ca="1">IF(ROWS($1:30)&gt;COUNT(Dong),"",OFFSET(TH!K$1,SMALL(Dong,ROWS($1:30)),))</f>
        <v>6020</v>
      </c>
      <c r="I43" s="266">
        <f ca="1">IF(ROWS($1:30)&gt;COUNT(Dong),"",OFFSET(TH!J$1,SMALL(Dong,ROWS($1:30)),))</f>
        <v>37500</v>
      </c>
      <c r="J43" s="270">
        <f t="shared" ca="1" si="3"/>
        <v>225750000</v>
      </c>
      <c r="K43" s="267"/>
      <c r="L43" s="268"/>
      <c r="M43" s="248"/>
      <c r="N43" s="248"/>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48"/>
      <c r="AM43" s="248"/>
      <c r="AN43" s="248"/>
      <c r="AO43" s="248"/>
      <c r="AP43" s="248"/>
      <c r="AQ43" s="248"/>
      <c r="AR43" s="248"/>
      <c r="AS43" s="248"/>
      <c r="AT43" s="248"/>
      <c r="AU43" s="248"/>
      <c r="AV43" s="248"/>
      <c r="AW43" s="248"/>
      <c r="AX43" s="248"/>
      <c r="AY43" s="248"/>
      <c r="AZ43" s="248"/>
      <c r="BA43" s="248"/>
      <c r="BB43" s="248"/>
      <c r="BC43" s="248"/>
      <c r="BD43" s="248"/>
      <c r="BE43" s="248"/>
      <c r="BF43" s="248"/>
      <c r="BG43" s="248"/>
      <c r="BH43" s="248"/>
      <c r="BI43" s="248"/>
      <c r="BJ43" s="248"/>
      <c r="BK43" s="248"/>
      <c r="BL43" s="248"/>
      <c r="BM43" s="248"/>
      <c r="BN43" s="248"/>
      <c r="BO43" s="248"/>
      <c r="BP43" s="248"/>
      <c r="BQ43" s="248"/>
      <c r="BR43" s="248"/>
      <c r="BS43" s="248"/>
      <c r="BT43" s="248"/>
      <c r="BU43" s="248"/>
      <c r="BV43" s="248"/>
      <c r="BW43" s="248"/>
      <c r="BX43" s="248"/>
      <c r="BY43" s="248"/>
      <c r="BZ43" s="248"/>
      <c r="CA43" s="248"/>
      <c r="CB43" s="248"/>
      <c r="CC43" s="248"/>
      <c r="CD43" s="248"/>
      <c r="CE43" s="248"/>
      <c r="CF43" s="248"/>
      <c r="CG43" s="248"/>
    </row>
    <row r="44" spans="1:85" s="269" customFormat="1" ht="21.75" customHeight="1">
      <c r="A44" s="69">
        <f ca="1">IF(ROWS($1:31)&gt;COUNT(Dong),"",OFFSET(TH!E$1,SMALL(Dong,ROWS($1:31)),))</f>
        <v>41610</v>
      </c>
      <c r="B44" s="285" t="str">
        <f ca="1">IF(ROWS($1:31)&gt;COUNT(Dong),"",OFFSET(TH!G$1,SMALL(Dong,ROWS($1:31)),))</f>
        <v>Nguyễn Thị Kim Vân</v>
      </c>
      <c r="C44" s="263" t="str">
        <f t="shared" ca="1" si="0"/>
        <v>Hai</v>
      </c>
      <c r="D44" s="263" t="str">
        <f ca="1">IF(ROWS($1:31)&gt;COUNT(Dong),"",OFFSET(TH!D$1,SMALL(Dong,ROWS($1:31)),))</f>
        <v>N13</v>
      </c>
      <c r="E44" s="264" t="str">
        <f t="shared" ca="1" si="1"/>
        <v>Rạch Giá - Kiên Giang</v>
      </c>
      <c r="F44" s="264">
        <f t="shared" ca="1" si="2"/>
        <v>370054438</v>
      </c>
      <c r="G44" s="265" t="str">
        <f ca="1">IF(ROWS($1:31)&gt;COUNT(Dong),"",OFFSET(TH!F$1,SMALL(Dong,ROWS($1:31)),))</f>
        <v>Cá mai NL</v>
      </c>
      <c r="H44" s="266">
        <f ca="1">IF(ROWS($1:31)&gt;COUNT(Dong),"",OFFSET(TH!K$1,SMALL(Dong,ROWS($1:31)),))</f>
        <v>1220</v>
      </c>
      <c r="I44" s="266">
        <f ca="1">IF(ROWS($1:31)&gt;COUNT(Dong),"",OFFSET(TH!J$1,SMALL(Dong,ROWS($1:31)),))</f>
        <v>22000</v>
      </c>
      <c r="J44" s="270">
        <f t="shared" ca="1" si="3"/>
        <v>26840000</v>
      </c>
      <c r="K44" s="267"/>
      <c r="L44" s="26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8"/>
      <c r="AP44" s="248"/>
      <c r="AQ44" s="248"/>
      <c r="AR44" s="248"/>
      <c r="AS44" s="248"/>
      <c r="AT44" s="248"/>
      <c r="AU44" s="248"/>
      <c r="AV44" s="248"/>
      <c r="AW44" s="248"/>
      <c r="AX44" s="248"/>
      <c r="AY44" s="248"/>
      <c r="AZ44" s="248"/>
      <c r="BA44" s="248"/>
      <c r="BB44" s="248"/>
      <c r="BC44" s="248"/>
      <c r="BD44" s="248"/>
      <c r="BE44" s="248"/>
      <c r="BF44" s="248"/>
      <c r="BG44" s="248"/>
      <c r="BH44" s="248"/>
      <c r="BI44" s="248"/>
      <c r="BJ44" s="248"/>
      <c r="BK44" s="248"/>
      <c r="BL44" s="248"/>
      <c r="BM44" s="248"/>
      <c r="BN44" s="248"/>
      <c r="BO44" s="248"/>
      <c r="BP44" s="248"/>
      <c r="BQ44" s="248"/>
      <c r="BR44" s="248"/>
      <c r="BS44" s="248"/>
      <c r="BT44" s="248"/>
      <c r="BU44" s="248"/>
      <c r="BV44" s="248"/>
      <c r="BW44" s="248"/>
      <c r="BX44" s="248"/>
      <c r="BY44" s="248"/>
      <c r="BZ44" s="248"/>
      <c r="CA44" s="248"/>
      <c r="CB44" s="248"/>
      <c r="CC44" s="248"/>
      <c r="CD44" s="248"/>
      <c r="CE44" s="248"/>
      <c r="CF44" s="248"/>
      <c r="CG44" s="248"/>
    </row>
    <row r="45" spans="1:85" s="269" customFormat="1" ht="21.75" customHeight="1">
      <c r="A45" s="69">
        <f ca="1">IF(ROWS($1:32)&gt;COUNT(Dong),"",OFFSET(TH!E$1,SMALL(Dong,ROWS($1:32)),))</f>
        <v>41609</v>
      </c>
      <c r="B45" s="285" t="str">
        <f ca="1">IF(ROWS($1:32)&gt;COUNT(Dong),"",OFFSET(TH!G$1,SMALL(Dong,ROWS($1:32)),))</f>
        <v>Hồ Thị Mỹ</v>
      </c>
      <c r="C45" s="263" t="str">
        <f t="shared" ca="1" si="0"/>
        <v>Hai</v>
      </c>
      <c r="D45" s="263" t="str">
        <f ca="1">IF(ROWS($1:32)&gt;COUNT(Dong),"",OFFSET(TH!D$1,SMALL(Dong,ROWS($1:32)),))</f>
        <v>N03</v>
      </c>
      <c r="E45" s="264" t="str">
        <f t="shared" ca="1" si="1"/>
        <v>Vũng Tàu</v>
      </c>
      <c r="F45" s="264">
        <f t="shared" ca="1" si="2"/>
        <v>270986506</v>
      </c>
      <c r="G45" s="265" t="str">
        <f ca="1">IF(ROWS($1:32)&gt;COUNT(Dong),"",OFFSET(TH!F$1,SMALL(Dong,ROWS($1:32)),))</f>
        <v>Cá Chai  NL</v>
      </c>
      <c r="H45" s="266">
        <f ca="1">IF(ROWS($1:32)&gt;COUNT(Dong),"",OFFSET(TH!K$1,SMALL(Dong,ROWS($1:32)),))</f>
        <v>4387</v>
      </c>
      <c r="I45" s="266">
        <f ca="1">IF(ROWS($1:32)&gt;COUNT(Dong),"",OFFSET(TH!J$1,SMALL(Dong,ROWS($1:32)),))</f>
        <v>20000</v>
      </c>
      <c r="J45" s="270">
        <f t="shared" ca="1" si="3"/>
        <v>87740000</v>
      </c>
      <c r="K45" s="267"/>
      <c r="L45" s="26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248"/>
      <c r="BI45" s="248"/>
      <c r="BJ45" s="248"/>
      <c r="BK45" s="248"/>
      <c r="BL45" s="248"/>
      <c r="BM45" s="248"/>
      <c r="BN45" s="248"/>
      <c r="BO45" s="248"/>
      <c r="BP45" s="248"/>
      <c r="BQ45" s="248"/>
      <c r="BR45" s="248"/>
      <c r="BS45" s="248"/>
      <c r="BT45" s="248"/>
      <c r="BU45" s="248"/>
      <c r="BV45" s="248"/>
      <c r="BW45" s="248"/>
      <c r="BX45" s="248"/>
      <c r="BY45" s="248"/>
      <c r="BZ45" s="248"/>
      <c r="CA45" s="248"/>
      <c r="CB45" s="248"/>
      <c r="CC45" s="248"/>
      <c r="CD45" s="248"/>
      <c r="CE45" s="248"/>
      <c r="CF45" s="248"/>
      <c r="CG45" s="248"/>
    </row>
    <row r="46" spans="1:85" s="269" customFormat="1" ht="21.75" customHeight="1">
      <c r="A46" s="69">
        <f ca="1">IF(ROWS($1:33)&gt;COUNT(Dong),"",OFFSET(TH!E$1,SMALL(Dong,ROWS($1:33)),))</f>
        <v>41609</v>
      </c>
      <c r="B46" s="285" t="str">
        <f ca="1">IF(ROWS($1:33)&gt;COUNT(Dong),"",OFFSET(TH!G$1,SMALL(Dong,ROWS($1:33)),))</f>
        <v>Nguyễn Thanh Vinh</v>
      </c>
      <c r="C46" s="263" t="str">
        <f t="shared" ca="1" si="0"/>
        <v>Văn</v>
      </c>
      <c r="D46" s="263" t="str">
        <f ca="1">IF(ROWS($1:33)&gt;COUNT(Dong),"",OFFSET(TH!D$1,SMALL(Dong,ROWS($1:33)),))</f>
        <v>N06</v>
      </c>
      <c r="E46" s="264" t="str">
        <f t="shared" ca="1" si="1"/>
        <v>Vũng Tàu</v>
      </c>
      <c r="F46" s="264">
        <f t="shared" ca="1" si="2"/>
        <v>271181056</v>
      </c>
      <c r="G46" s="265" t="str">
        <f ca="1">IF(ROWS($1:33)&gt;COUNT(Dong),"",OFFSET(TH!F$1,SMALL(Dong,ROWS($1:33)),))</f>
        <v>Cá Chai  NL</v>
      </c>
      <c r="H46" s="266">
        <f ca="1">IF(ROWS($1:33)&gt;COUNT(Dong),"",OFFSET(TH!K$1,SMALL(Dong,ROWS($1:33)),))</f>
        <v>5780</v>
      </c>
      <c r="I46" s="266">
        <f ca="1">IF(ROWS($1:33)&gt;COUNT(Dong),"",OFFSET(TH!J$1,SMALL(Dong,ROWS($1:33)),))</f>
        <v>20000</v>
      </c>
      <c r="J46" s="270">
        <f t="shared" ca="1" si="3"/>
        <v>115600000</v>
      </c>
      <c r="K46" s="267"/>
      <c r="L46" s="268"/>
      <c r="M46" s="248"/>
      <c r="N46" s="248"/>
      <c r="O46" s="248"/>
      <c r="P46" s="248"/>
      <c r="Q46" s="248"/>
      <c r="R46" s="248"/>
      <c r="S46" s="248"/>
      <c r="T46" s="248"/>
      <c r="U46" s="248"/>
      <c r="V46" s="248"/>
      <c r="W46" s="248"/>
      <c r="X46" s="248"/>
      <c r="Y46" s="248"/>
      <c r="Z46" s="248"/>
      <c r="AA46" s="248"/>
      <c r="AB46" s="248"/>
      <c r="AC46" s="248"/>
      <c r="AD46" s="248"/>
      <c r="AE46" s="248"/>
      <c r="AF46" s="248"/>
      <c r="AG46" s="248"/>
      <c r="AH46" s="248"/>
      <c r="AI46" s="248"/>
      <c r="AJ46" s="248"/>
      <c r="AK46" s="248"/>
      <c r="AL46" s="248"/>
      <c r="AM46" s="248"/>
      <c r="AN46" s="248"/>
      <c r="AO46" s="248"/>
      <c r="AP46" s="248"/>
      <c r="AQ46" s="248"/>
      <c r="AR46" s="248"/>
      <c r="AS46" s="248"/>
      <c r="AT46" s="248"/>
      <c r="AU46" s="248"/>
      <c r="AV46" s="248"/>
      <c r="AW46" s="248"/>
      <c r="AX46" s="248"/>
      <c r="AY46" s="248"/>
      <c r="AZ46" s="248"/>
      <c r="BA46" s="248"/>
      <c r="BB46" s="248"/>
      <c r="BC46" s="248"/>
      <c r="BD46" s="248"/>
      <c r="BE46" s="248"/>
      <c r="BF46" s="248"/>
      <c r="BG46" s="248"/>
      <c r="BH46" s="248"/>
      <c r="BI46" s="248"/>
      <c r="BJ46" s="248"/>
      <c r="BK46" s="248"/>
      <c r="BL46" s="248"/>
      <c r="BM46" s="248"/>
      <c r="BN46" s="248"/>
      <c r="BO46" s="248"/>
      <c r="BP46" s="248"/>
      <c r="BQ46" s="248"/>
      <c r="BR46" s="248"/>
      <c r="BS46" s="248"/>
      <c r="BT46" s="248"/>
      <c r="BU46" s="248"/>
      <c r="BV46" s="248"/>
      <c r="BW46" s="248"/>
      <c r="BX46" s="248"/>
      <c r="BY46" s="248"/>
      <c r="BZ46" s="248"/>
      <c r="CA46" s="248"/>
      <c r="CB46" s="248"/>
      <c r="CC46" s="248"/>
      <c r="CD46" s="248"/>
      <c r="CE46" s="248"/>
      <c r="CF46" s="248"/>
      <c r="CG46" s="248"/>
    </row>
    <row r="47" spans="1:85" s="269" customFormat="1" ht="21.75" customHeight="1">
      <c r="A47" s="69">
        <f ca="1">IF(ROWS($1:34)&gt;COUNT(Dong),"",OFFSET(TH!E$1,SMALL(Dong,ROWS($1:34)),))</f>
        <v>41609</v>
      </c>
      <c r="B47" s="285" t="str">
        <f ca="1">IF(ROWS($1:34)&gt;COUNT(Dong),"",OFFSET(TH!G$1,SMALL(Dong,ROWS($1:34)),))</f>
        <v>Đỗ Văn Tâm</v>
      </c>
      <c r="C47" s="263" t="str">
        <f t="shared" ca="1" si="0"/>
        <v>Văn</v>
      </c>
      <c r="D47" s="263" t="str">
        <f ca="1">IF(ROWS($1:34)&gt;COUNT(Dong),"",OFFSET(TH!D$1,SMALL(Dong,ROWS($1:34)),))</f>
        <v>N07</v>
      </c>
      <c r="E47" s="264" t="str">
        <f t="shared" ca="1" si="1"/>
        <v>Vũng Tàu</v>
      </c>
      <c r="F47" s="264">
        <f t="shared" ca="1" si="2"/>
        <v>271642418</v>
      </c>
      <c r="G47" s="265" t="str">
        <f ca="1">IF(ROWS($1:34)&gt;COUNT(Dong),"",OFFSET(TH!F$1,SMALL(Dong,ROWS($1:34)),))</f>
        <v>Cá Chai  NL</v>
      </c>
      <c r="H47" s="266">
        <f ca="1">IF(ROWS($1:34)&gt;COUNT(Dong),"",OFFSET(TH!K$1,SMALL(Dong,ROWS($1:34)),))</f>
        <v>6780</v>
      </c>
      <c r="I47" s="266">
        <f ca="1">IF(ROWS($1:34)&gt;COUNT(Dong),"",OFFSET(TH!J$1,SMALL(Dong,ROWS($1:34)),))</f>
        <v>20000</v>
      </c>
      <c r="J47" s="270">
        <f t="shared" ca="1" si="3"/>
        <v>135600000</v>
      </c>
      <c r="K47" s="267"/>
      <c r="L47" s="268"/>
      <c r="M47" s="248"/>
      <c r="N47" s="248"/>
      <c r="O47" s="248"/>
      <c r="P47" s="248"/>
      <c r="Q47" s="248"/>
      <c r="R47" s="248"/>
      <c r="S47" s="248"/>
      <c r="T47" s="248"/>
      <c r="U47" s="248"/>
      <c r="V47" s="248"/>
      <c r="W47" s="248"/>
      <c r="X47" s="248"/>
      <c r="Y47" s="248"/>
      <c r="Z47" s="248"/>
      <c r="AA47" s="248"/>
      <c r="AB47" s="248"/>
      <c r="AC47" s="248"/>
      <c r="AD47" s="248"/>
      <c r="AE47" s="248"/>
      <c r="AF47" s="248"/>
      <c r="AG47" s="248"/>
      <c r="AH47" s="248"/>
      <c r="AI47" s="248"/>
      <c r="AJ47" s="248"/>
      <c r="AK47" s="248"/>
      <c r="AL47" s="248"/>
      <c r="AM47" s="248"/>
      <c r="AN47" s="248"/>
      <c r="AO47" s="248"/>
      <c r="AP47" s="248"/>
      <c r="AQ47" s="248"/>
      <c r="AR47" s="248"/>
      <c r="AS47" s="248"/>
      <c r="AT47" s="248"/>
      <c r="AU47" s="248"/>
      <c r="AV47" s="248"/>
      <c r="AW47" s="248"/>
      <c r="AX47" s="248"/>
      <c r="AY47" s="248"/>
      <c r="AZ47" s="248"/>
      <c r="BA47" s="248"/>
      <c r="BB47" s="248"/>
      <c r="BC47" s="248"/>
      <c r="BD47" s="248"/>
      <c r="BE47" s="248"/>
      <c r="BF47" s="248"/>
      <c r="BG47" s="248"/>
      <c r="BH47" s="248"/>
      <c r="BI47" s="248"/>
      <c r="BJ47" s="248"/>
      <c r="BK47" s="248"/>
      <c r="BL47" s="248"/>
      <c r="BM47" s="248"/>
      <c r="BN47" s="248"/>
      <c r="BO47" s="248"/>
      <c r="BP47" s="248"/>
      <c r="BQ47" s="248"/>
      <c r="BR47" s="248"/>
      <c r="BS47" s="248"/>
      <c r="BT47" s="248"/>
      <c r="BU47" s="248"/>
      <c r="BV47" s="248"/>
      <c r="BW47" s="248"/>
      <c r="BX47" s="248"/>
      <c r="BY47" s="248"/>
      <c r="BZ47" s="248"/>
      <c r="CA47" s="248"/>
      <c r="CB47" s="248"/>
      <c r="CC47" s="248"/>
      <c r="CD47" s="248"/>
      <c r="CE47" s="248"/>
      <c r="CF47" s="248"/>
      <c r="CG47" s="248"/>
    </row>
    <row r="48" spans="1:85" s="269" customFormat="1" ht="21.75" customHeight="1">
      <c r="A48" s="69">
        <f ca="1">IF(ROWS($1:35)&gt;COUNT(Dong),"",OFFSET(TH!E$1,SMALL(Dong,ROWS($1:35)),))</f>
        <v>41609</v>
      </c>
      <c r="B48" s="285" t="str">
        <f ca="1">IF(ROWS($1:35)&gt;COUNT(Dong),"",OFFSET(TH!G$1,SMALL(Dong,ROWS($1:35)),))</f>
        <v>Nguyễn Văn Đức</v>
      </c>
      <c r="C48" s="263" t="str">
        <f t="shared" ca="1" si="0"/>
        <v>Văn</v>
      </c>
      <c r="D48" s="263" t="str">
        <f ca="1">IF(ROWS($1:35)&gt;COUNT(Dong),"",OFFSET(TH!D$1,SMALL(Dong,ROWS($1:35)),))</f>
        <v>N08</v>
      </c>
      <c r="E48" s="264" t="str">
        <f t="shared" ca="1" si="1"/>
        <v>Vũng Tàu</v>
      </c>
      <c r="F48" s="264">
        <f t="shared" ca="1" si="2"/>
        <v>261183075</v>
      </c>
      <c r="G48" s="265" t="str">
        <f ca="1">IF(ROWS($1:35)&gt;COUNT(Dong),"",OFFSET(TH!F$1,SMALL(Dong,ROWS($1:35)),))</f>
        <v>Cá Chai  NL</v>
      </c>
      <c r="H48" s="266">
        <f ca="1">IF(ROWS($1:35)&gt;COUNT(Dong),"",OFFSET(TH!K$1,SMALL(Dong,ROWS($1:35)),))</f>
        <v>5870</v>
      </c>
      <c r="I48" s="266">
        <f ca="1">IF(ROWS($1:35)&gt;COUNT(Dong),"",OFFSET(TH!J$1,SMALL(Dong,ROWS($1:35)),))</f>
        <v>20000</v>
      </c>
      <c r="J48" s="270">
        <f t="shared" ca="1" si="3"/>
        <v>117400000</v>
      </c>
      <c r="K48" s="267"/>
      <c r="L48" s="268"/>
      <c r="M48" s="248"/>
      <c r="N48" s="248"/>
      <c r="O48" s="248"/>
      <c r="P48" s="248"/>
      <c r="Q48" s="248"/>
      <c r="R48" s="248"/>
      <c r="S48" s="248"/>
      <c r="T48" s="248"/>
      <c r="U48" s="248"/>
      <c r="V48" s="248"/>
      <c r="W48" s="248"/>
      <c r="X48" s="248"/>
      <c r="Y48" s="248"/>
      <c r="Z48" s="248"/>
      <c r="AA48" s="248"/>
      <c r="AB48" s="248"/>
      <c r="AC48" s="248"/>
      <c r="AD48" s="248"/>
      <c r="AE48" s="248"/>
      <c r="AF48" s="248"/>
      <c r="AG48" s="248"/>
      <c r="AH48" s="248"/>
      <c r="AI48" s="248"/>
      <c r="AJ48" s="248"/>
      <c r="AK48" s="248"/>
      <c r="AL48" s="248"/>
      <c r="AM48" s="248"/>
      <c r="AN48" s="248"/>
      <c r="AO48" s="248"/>
      <c r="AP48" s="248"/>
      <c r="AQ48" s="248"/>
      <c r="AR48" s="248"/>
      <c r="AS48" s="248"/>
      <c r="AT48" s="248"/>
      <c r="AU48" s="248"/>
      <c r="AV48" s="248"/>
      <c r="AW48" s="248"/>
      <c r="AX48" s="248"/>
      <c r="AY48" s="248"/>
      <c r="AZ48" s="248"/>
      <c r="BA48" s="248"/>
      <c r="BB48" s="248"/>
      <c r="BC48" s="248"/>
      <c r="BD48" s="248"/>
      <c r="BE48" s="248"/>
      <c r="BF48" s="248"/>
      <c r="BG48" s="248"/>
      <c r="BH48" s="248"/>
      <c r="BI48" s="248"/>
      <c r="BJ48" s="248"/>
      <c r="BK48" s="248"/>
      <c r="BL48" s="248"/>
      <c r="BM48" s="248"/>
      <c r="BN48" s="248"/>
      <c r="BO48" s="248"/>
      <c r="BP48" s="248"/>
      <c r="BQ48" s="248"/>
      <c r="BR48" s="248"/>
      <c r="BS48" s="248"/>
      <c r="BT48" s="248"/>
      <c r="BU48" s="248"/>
      <c r="BV48" s="248"/>
      <c r="BW48" s="248"/>
      <c r="BX48" s="248"/>
      <c r="BY48" s="248"/>
      <c r="BZ48" s="248"/>
      <c r="CA48" s="248"/>
      <c r="CB48" s="248"/>
      <c r="CC48" s="248"/>
      <c r="CD48" s="248"/>
      <c r="CE48" s="248"/>
      <c r="CF48" s="248"/>
      <c r="CG48" s="248"/>
    </row>
    <row r="49" spans="1:85" s="269" customFormat="1" ht="21.75" customHeight="1">
      <c r="A49" s="69">
        <f ca="1">IF(ROWS($1:36)&gt;COUNT(Dong),"",OFFSET(TH!E$1,SMALL(Dong,ROWS($1:36)),))</f>
        <v>41613</v>
      </c>
      <c r="B49" s="285" t="str">
        <f ca="1">IF(ROWS($1:36)&gt;COUNT(Dong),"",OFFSET(TH!G$1,SMALL(Dong,ROWS($1:36)),))</f>
        <v>Nguyễn Đức Tiến</v>
      </c>
      <c r="C49" s="263" t="str">
        <f t="shared" ca="1" si="0"/>
        <v>Văn</v>
      </c>
      <c r="D49" s="263" t="str">
        <f ca="1">IF(ROWS($1:36)&gt;COUNT(Dong),"",OFFSET(TH!D$1,SMALL(Dong,ROWS($1:36)),))</f>
        <v>N28</v>
      </c>
      <c r="E49" s="264" t="str">
        <f t="shared" ca="1" si="1"/>
        <v>Vũng Tàu</v>
      </c>
      <c r="F49" s="264">
        <f t="shared" ca="1" si="2"/>
        <v>273249576</v>
      </c>
      <c r="G49" s="265" t="str">
        <f ca="1">IF(ROWS($1:36)&gt;COUNT(Dong),"",OFFSET(TH!F$1,SMALL(Dong,ROWS($1:36)),))</f>
        <v>Cá Chai  NL</v>
      </c>
      <c r="H49" s="266">
        <f ca="1">IF(ROWS($1:36)&gt;COUNT(Dong),"",OFFSET(TH!K$1,SMALL(Dong,ROWS($1:36)),))</f>
        <v>5931</v>
      </c>
      <c r="I49" s="266">
        <f ca="1">IF(ROWS($1:36)&gt;COUNT(Dong),"",OFFSET(TH!J$1,SMALL(Dong,ROWS($1:36)),))</f>
        <v>20000</v>
      </c>
      <c r="J49" s="270">
        <f t="shared" ca="1" si="3"/>
        <v>118620000</v>
      </c>
      <c r="K49" s="267"/>
      <c r="L49" s="268"/>
      <c r="M49" s="248"/>
      <c r="N49" s="248"/>
      <c r="O49" s="248"/>
      <c r="P49" s="248"/>
      <c r="Q49" s="248"/>
      <c r="R49" s="248"/>
      <c r="S49" s="248"/>
      <c r="T49" s="248"/>
      <c r="U49" s="248"/>
      <c r="V49" s="248"/>
      <c r="W49" s="248"/>
      <c r="X49" s="248"/>
      <c r="Y49" s="248"/>
      <c r="Z49" s="248"/>
      <c r="AA49" s="248"/>
      <c r="AB49" s="248"/>
      <c r="AC49" s="248"/>
      <c r="AD49" s="248"/>
      <c r="AE49" s="248"/>
      <c r="AF49" s="248"/>
      <c r="AG49" s="248"/>
      <c r="AH49" s="248"/>
      <c r="AI49" s="248"/>
      <c r="AJ49" s="248"/>
      <c r="AK49" s="248"/>
      <c r="AL49" s="248"/>
      <c r="AM49" s="248"/>
      <c r="AN49" s="248"/>
      <c r="AO49" s="248"/>
      <c r="AP49" s="248"/>
      <c r="AQ49" s="248"/>
      <c r="AR49" s="248"/>
      <c r="AS49" s="248"/>
      <c r="AT49" s="248"/>
      <c r="AU49" s="248"/>
      <c r="AV49" s="248"/>
      <c r="AW49" s="248"/>
      <c r="AX49" s="248"/>
      <c r="AY49" s="248"/>
      <c r="AZ49" s="248"/>
      <c r="BA49" s="248"/>
      <c r="BB49" s="248"/>
      <c r="BC49" s="248"/>
      <c r="BD49" s="248"/>
      <c r="BE49" s="248"/>
      <c r="BF49" s="248"/>
      <c r="BG49" s="248"/>
      <c r="BH49" s="248"/>
      <c r="BI49" s="248"/>
      <c r="BJ49" s="248"/>
      <c r="BK49" s="248"/>
      <c r="BL49" s="248"/>
      <c r="BM49" s="248"/>
      <c r="BN49" s="248"/>
      <c r="BO49" s="248"/>
      <c r="BP49" s="248"/>
      <c r="BQ49" s="248"/>
      <c r="BR49" s="248"/>
      <c r="BS49" s="248"/>
      <c r="BT49" s="248"/>
      <c r="BU49" s="248"/>
      <c r="BV49" s="248"/>
      <c r="BW49" s="248"/>
      <c r="BX49" s="248"/>
      <c r="BY49" s="248"/>
      <c r="BZ49" s="248"/>
      <c r="CA49" s="248"/>
      <c r="CB49" s="248"/>
      <c r="CC49" s="248"/>
      <c r="CD49" s="248"/>
      <c r="CE49" s="248"/>
      <c r="CF49" s="248"/>
      <c r="CG49" s="248"/>
    </row>
    <row r="50" spans="1:85" s="269" customFormat="1" ht="21.75" customHeight="1">
      <c r="A50" s="69">
        <f ca="1">IF(ROWS($1:37)&gt;COUNT(Dong),"",OFFSET(TH!E$1,SMALL(Dong,ROWS($1:37)),))</f>
        <v>41613</v>
      </c>
      <c r="B50" s="285" t="str">
        <f ca="1">IF(ROWS($1:37)&gt;COUNT(Dong),"",OFFSET(TH!G$1,SMALL(Dong,ROWS($1:37)),))</f>
        <v>Võ Thị Bảy</v>
      </c>
      <c r="C50" s="263" t="str">
        <f t="shared" ca="1" si="0"/>
        <v>Văn</v>
      </c>
      <c r="D50" s="263" t="str">
        <f ca="1">IF(ROWS($1:37)&gt;COUNT(Dong),"",OFFSET(TH!D$1,SMALL(Dong,ROWS($1:37)),))</f>
        <v>N29</v>
      </c>
      <c r="E50" s="264" t="str">
        <f t="shared" ca="1" si="1"/>
        <v>Vũng Tàu</v>
      </c>
      <c r="F50" s="264">
        <f t="shared" ca="1" si="2"/>
        <v>270106056</v>
      </c>
      <c r="G50" s="265" t="str">
        <f ca="1">IF(ROWS($1:37)&gt;COUNT(Dong),"",OFFSET(TH!F$1,SMALL(Dong,ROWS($1:37)),))</f>
        <v>Cá Chai  NL</v>
      </c>
      <c r="H50" s="266">
        <f ca="1">IF(ROWS($1:37)&gt;COUNT(Dong),"",OFFSET(TH!K$1,SMALL(Dong,ROWS($1:37)),))</f>
        <v>4320</v>
      </c>
      <c r="I50" s="266">
        <f ca="1">IF(ROWS($1:37)&gt;COUNT(Dong),"",OFFSET(TH!J$1,SMALL(Dong,ROWS($1:37)),))</f>
        <v>20000</v>
      </c>
      <c r="J50" s="270">
        <f t="shared" ca="1" si="3"/>
        <v>86400000</v>
      </c>
      <c r="K50" s="267"/>
      <c r="L50" s="268"/>
      <c r="M50" s="248"/>
      <c r="N50" s="248"/>
      <c r="O50" s="248"/>
      <c r="P50" s="248"/>
      <c r="Q50" s="248"/>
      <c r="R50" s="248"/>
      <c r="S50" s="248"/>
      <c r="T50" s="248"/>
      <c r="U50" s="248"/>
      <c r="V50" s="248"/>
      <c r="W50" s="248"/>
      <c r="X50" s="248"/>
      <c r="Y50" s="248"/>
      <c r="Z50" s="248"/>
      <c r="AA50" s="248"/>
      <c r="AB50" s="248"/>
      <c r="AC50" s="248"/>
      <c r="AD50" s="248"/>
      <c r="AE50" s="248"/>
      <c r="AF50" s="248"/>
      <c r="AG50" s="248"/>
      <c r="AH50" s="248"/>
      <c r="AI50" s="248"/>
      <c r="AJ50" s="248"/>
      <c r="AK50" s="248"/>
      <c r="AL50" s="248"/>
      <c r="AM50" s="248"/>
      <c r="AN50" s="248"/>
      <c r="AO50" s="248"/>
      <c r="AP50" s="248"/>
      <c r="AQ50" s="248"/>
      <c r="AR50" s="248"/>
      <c r="AS50" s="248"/>
      <c r="AT50" s="248"/>
      <c r="AU50" s="248"/>
      <c r="AV50" s="248"/>
      <c r="AW50" s="248"/>
      <c r="AX50" s="248"/>
      <c r="AY50" s="248"/>
      <c r="AZ50" s="248"/>
      <c r="BA50" s="248"/>
      <c r="BB50" s="248"/>
      <c r="BC50" s="248"/>
      <c r="BD50" s="248"/>
      <c r="BE50" s="248"/>
      <c r="BF50" s="248"/>
      <c r="BG50" s="248"/>
      <c r="BH50" s="248"/>
      <c r="BI50" s="248"/>
      <c r="BJ50" s="248"/>
      <c r="BK50" s="248"/>
      <c r="BL50" s="248"/>
      <c r="BM50" s="248"/>
      <c r="BN50" s="248"/>
      <c r="BO50" s="248"/>
      <c r="BP50" s="248"/>
      <c r="BQ50" s="248"/>
      <c r="BR50" s="248"/>
      <c r="BS50" s="248"/>
      <c r="BT50" s="248"/>
      <c r="BU50" s="248"/>
      <c r="BV50" s="248"/>
      <c r="BW50" s="248"/>
      <c r="BX50" s="248"/>
      <c r="BY50" s="248"/>
      <c r="BZ50" s="248"/>
      <c r="CA50" s="248"/>
      <c r="CB50" s="248"/>
      <c r="CC50" s="248"/>
      <c r="CD50" s="248"/>
      <c r="CE50" s="248"/>
      <c r="CF50" s="248"/>
      <c r="CG50" s="248"/>
    </row>
    <row r="51" spans="1:85" s="269" customFormat="1" ht="21.75" customHeight="1">
      <c r="A51" s="69">
        <f ca="1">IF(ROWS($1:38)&gt;COUNT(Dong),"",OFFSET(TH!E$1,SMALL(Dong,ROWS($1:38)),))</f>
        <v>41613</v>
      </c>
      <c r="B51" s="285" t="str">
        <f ca="1">IF(ROWS($1:38)&gt;COUNT(Dong),"",OFFSET(TH!G$1,SMALL(Dong,ROWS($1:38)),))</f>
        <v>Hồ Thị Mỹ</v>
      </c>
      <c r="C51" s="263" t="str">
        <f t="shared" ca="1" si="0"/>
        <v>Hai</v>
      </c>
      <c r="D51" s="263" t="str">
        <f ca="1">IF(ROWS($1:38)&gt;COUNT(Dong),"",OFFSET(TH!D$1,SMALL(Dong,ROWS($1:38)),))</f>
        <v>N30</v>
      </c>
      <c r="E51" s="264" t="str">
        <f t="shared" ca="1" si="1"/>
        <v>Vũng Tàu</v>
      </c>
      <c r="F51" s="264">
        <f t="shared" ca="1" si="2"/>
        <v>270986506</v>
      </c>
      <c r="G51" s="265" t="str">
        <f ca="1">IF(ROWS($1:38)&gt;COUNT(Dong),"",OFFSET(TH!F$1,SMALL(Dong,ROWS($1:38)),))</f>
        <v>Cá Chai  NL</v>
      </c>
      <c r="H51" s="266">
        <f ca="1">IF(ROWS($1:38)&gt;COUNT(Dong),"",OFFSET(TH!K$1,SMALL(Dong,ROWS($1:38)),))</f>
        <v>4028</v>
      </c>
      <c r="I51" s="266">
        <f ca="1">IF(ROWS($1:38)&gt;COUNT(Dong),"",OFFSET(TH!J$1,SMALL(Dong,ROWS($1:38)),))</f>
        <v>20000</v>
      </c>
      <c r="J51" s="270">
        <f t="shared" ca="1" si="3"/>
        <v>80560000</v>
      </c>
      <c r="K51" s="267"/>
      <c r="L51" s="268"/>
      <c r="M51" s="248"/>
      <c r="N51" s="248"/>
      <c r="O51" s="248"/>
      <c r="P51" s="248"/>
      <c r="Q51" s="248"/>
      <c r="R51" s="248"/>
      <c r="S51" s="248"/>
      <c r="T51" s="248"/>
      <c r="U51" s="248"/>
      <c r="V51" s="248"/>
      <c r="W51" s="248"/>
      <c r="X51" s="248"/>
      <c r="Y51" s="248"/>
      <c r="Z51" s="248"/>
      <c r="AA51" s="248"/>
      <c r="AB51" s="248"/>
      <c r="AC51" s="248"/>
      <c r="AD51" s="248"/>
      <c r="AE51" s="248"/>
      <c r="AF51" s="248"/>
      <c r="AG51" s="248"/>
      <c r="AH51" s="248"/>
      <c r="AI51" s="248"/>
      <c r="AJ51" s="248"/>
      <c r="AK51" s="248"/>
      <c r="AL51" s="248"/>
      <c r="AM51" s="248"/>
      <c r="AN51" s="248"/>
      <c r="AO51" s="248"/>
      <c r="AP51" s="248"/>
      <c r="AQ51" s="248"/>
      <c r="AR51" s="248"/>
      <c r="AS51" s="248"/>
      <c r="AT51" s="248"/>
      <c r="AU51" s="248"/>
      <c r="AV51" s="248"/>
      <c r="AW51" s="248"/>
      <c r="AX51" s="248"/>
      <c r="AY51" s="248"/>
      <c r="AZ51" s="248"/>
      <c r="BA51" s="248"/>
      <c r="BB51" s="248"/>
      <c r="BC51" s="248"/>
      <c r="BD51" s="248"/>
      <c r="BE51" s="248"/>
      <c r="BF51" s="248"/>
      <c r="BG51" s="248"/>
      <c r="BH51" s="248"/>
      <c r="BI51" s="248"/>
      <c r="BJ51" s="248"/>
      <c r="BK51" s="248"/>
      <c r="BL51" s="248"/>
      <c r="BM51" s="248"/>
      <c r="BN51" s="248"/>
      <c r="BO51" s="248"/>
      <c r="BP51" s="248"/>
      <c r="BQ51" s="248"/>
      <c r="BR51" s="248"/>
      <c r="BS51" s="248"/>
      <c r="BT51" s="248"/>
      <c r="BU51" s="248"/>
      <c r="BV51" s="248"/>
      <c r="BW51" s="248"/>
      <c r="BX51" s="248"/>
      <c r="BY51" s="248"/>
      <c r="BZ51" s="248"/>
      <c r="CA51" s="248"/>
      <c r="CB51" s="248"/>
      <c r="CC51" s="248"/>
      <c r="CD51" s="248"/>
      <c r="CE51" s="248"/>
      <c r="CF51" s="248"/>
      <c r="CG51" s="248"/>
    </row>
    <row r="52" spans="1:85" s="269" customFormat="1" ht="21.75" customHeight="1">
      <c r="A52" s="69">
        <f ca="1">IF(ROWS($1:39)&gt;COUNT(Dong),"",OFFSET(TH!E$1,SMALL(Dong,ROWS($1:39)),))</f>
        <v>41614</v>
      </c>
      <c r="B52" s="285" t="str">
        <f ca="1">IF(ROWS($1:39)&gt;COUNT(Dong),"",OFFSET(TH!G$1,SMALL(Dong,ROWS($1:39)),))</f>
        <v>Võ Thị Bảy</v>
      </c>
      <c r="C52" s="263" t="str">
        <f t="shared" ca="1" si="0"/>
        <v>Văn</v>
      </c>
      <c r="D52" s="263" t="str">
        <f ca="1">IF(ROWS($1:39)&gt;COUNT(Dong),"",OFFSET(TH!D$1,SMALL(Dong,ROWS($1:39)),))</f>
        <v>N39</v>
      </c>
      <c r="E52" s="264" t="str">
        <f t="shared" ca="1" si="1"/>
        <v>Vũng Tàu</v>
      </c>
      <c r="F52" s="264">
        <f t="shared" ca="1" si="2"/>
        <v>270106056</v>
      </c>
      <c r="G52" s="265" t="str">
        <f ca="1">IF(ROWS($1:39)&gt;COUNT(Dong),"",OFFSET(TH!F$1,SMALL(Dong,ROWS($1:39)),))</f>
        <v>Cá Chai  NL</v>
      </c>
      <c r="H52" s="266">
        <f ca="1">IF(ROWS($1:39)&gt;COUNT(Dong),"",OFFSET(TH!K$1,SMALL(Dong,ROWS($1:39)),))</f>
        <v>6810</v>
      </c>
      <c r="I52" s="266">
        <f ca="1">IF(ROWS($1:39)&gt;COUNT(Dong),"",OFFSET(TH!J$1,SMALL(Dong,ROWS($1:39)),))</f>
        <v>20000</v>
      </c>
      <c r="J52" s="270">
        <f t="shared" ca="1" si="3"/>
        <v>136200000</v>
      </c>
      <c r="K52" s="267"/>
      <c r="L52" s="268"/>
      <c r="M52" s="248"/>
      <c r="N52" s="248"/>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248"/>
      <c r="AN52" s="248"/>
      <c r="AO52" s="248"/>
      <c r="AP52" s="248"/>
      <c r="AQ52" s="248"/>
      <c r="AR52" s="248"/>
      <c r="AS52" s="248"/>
      <c r="AT52" s="248"/>
      <c r="AU52" s="248"/>
      <c r="AV52" s="248"/>
      <c r="AW52" s="248"/>
      <c r="AX52" s="248"/>
      <c r="AY52" s="248"/>
      <c r="AZ52" s="248"/>
      <c r="BA52" s="248"/>
      <c r="BB52" s="248"/>
      <c r="BC52" s="248"/>
      <c r="BD52" s="248"/>
      <c r="BE52" s="248"/>
      <c r="BF52" s="248"/>
      <c r="BG52" s="248"/>
      <c r="BH52" s="248"/>
      <c r="BI52" s="248"/>
      <c r="BJ52" s="248"/>
      <c r="BK52" s="248"/>
      <c r="BL52" s="248"/>
      <c r="BM52" s="248"/>
      <c r="BN52" s="248"/>
      <c r="BO52" s="248"/>
      <c r="BP52" s="248"/>
      <c r="BQ52" s="248"/>
      <c r="BR52" s="248"/>
      <c r="BS52" s="248"/>
      <c r="BT52" s="248"/>
      <c r="BU52" s="248"/>
      <c r="BV52" s="248"/>
      <c r="BW52" s="248"/>
      <c r="BX52" s="248"/>
      <c r="BY52" s="248"/>
      <c r="BZ52" s="248"/>
      <c r="CA52" s="248"/>
      <c r="CB52" s="248"/>
      <c r="CC52" s="248"/>
      <c r="CD52" s="248"/>
      <c r="CE52" s="248"/>
      <c r="CF52" s="248"/>
      <c r="CG52" s="248"/>
    </row>
    <row r="53" spans="1:85" s="269" customFormat="1" ht="21.75" customHeight="1">
      <c r="A53" s="69">
        <f ca="1">IF(ROWS($1:40)&gt;COUNT(Dong),"",OFFSET(TH!E$1,SMALL(Dong,ROWS($1:40)),))</f>
        <v>41614</v>
      </c>
      <c r="B53" s="285" t="str">
        <f ca="1">IF(ROWS($1:40)&gt;COUNT(Dong),"",OFFSET(TH!G$1,SMALL(Dong,ROWS($1:40)),))</f>
        <v>Võ Văn Bá</v>
      </c>
      <c r="C53" s="263" t="str">
        <f t="shared" ca="1" si="0"/>
        <v>Văn</v>
      </c>
      <c r="D53" s="263" t="str">
        <f ca="1">IF(ROWS($1:40)&gt;COUNT(Dong),"",OFFSET(TH!D$1,SMALL(Dong,ROWS($1:40)),))</f>
        <v>N40</v>
      </c>
      <c r="E53" s="264" t="str">
        <f t="shared" ca="1" si="1"/>
        <v>Vũng Tàu</v>
      </c>
      <c r="F53" s="264">
        <f t="shared" ca="1" si="2"/>
        <v>270176684</v>
      </c>
      <c r="G53" s="265" t="str">
        <f ca="1">IF(ROWS($1:40)&gt;COUNT(Dong),"",OFFSET(TH!F$1,SMALL(Dong,ROWS($1:40)),))</f>
        <v>Cá Chai  NL</v>
      </c>
      <c r="H53" s="266">
        <f ca="1">IF(ROWS($1:40)&gt;COUNT(Dong),"",OFFSET(TH!K$1,SMALL(Dong,ROWS($1:40)),))</f>
        <v>5949</v>
      </c>
      <c r="I53" s="266">
        <f ca="1">IF(ROWS($1:40)&gt;COUNT(Dong),"",OFFSET(TH!J$1,SMALL(Dong,ROWS($1:40)),))</f>
        <v>20000</v>
      </c>
      <c r="J53" s="270">
        <f t="shared" ca="1" si="3"/>
        <v>118980000</v>
      </c>
      <c r="K53" s="267"/>
      <c r="L53" s="268"/>
      <c r="M53" s="248"/>
      <c r="N53" s="248"/>
      <c r="O53" s="248"/>
      <c r="P53" s="248"/>
      <c r="Q53" s="248"/>
      <c r="R53" s="248"/>
      <c r="S53" s="248"/>
      <c r="T53" s="248"/>
      <c r="U53" s="248"/>
      <c r="V53" s="248"/>
      <c r="W53" s="248"/>
      <c r="X53" s="248"/>
      <c r="Y53" s="248"/>
      <c r="Z53" s="248"/>
      <c r="AA53" s="248"/>
      <c r="AB53" s="248"/>
      <c r="AC53" s="248"/>
      <c r="AD53" s="248"/>
      <c r="AE53" s="248"/>
      <c r="AF53" s="248"/>
      <c r="AG53" s="248"/>
      <c r="AH53" s="248"/>
      <c r="AI53" s="248"/>
      <c r="AJ53" s="248"/>
      <c r="AK53" s="248"/>
      <c r="AL53" s="248"/>
      <c r="AM53" s="248"/>
      <c r="AN53" s="248"/>
      <c r="AO53" s="248"/>
      <c r="AP53" s="248"/>
      <c r="AQ53" s="248"/>
      <c r="AR53" s="248"/>
      <c r="AS53" s="248"/>
      <c r="AT53" s="248"/>
      <c r="AU53" s="248"/>
      <c r="AV53" s="248"/>
      <c r="AW53" s="248"/>
      <c r="AX53" s="248"/>
      <c r="AY53" s="248"/>
      <c r="AZ53" s="248"/>
      <c r="BA53" s="248"/>
      <c r="BB53" s="248"/>
      <c r="BC53" s="248"/>
      <c r="BD53" s="248"/>
      <c r="BE53" s="248"/>
      <c r="BF53" s="248"/>
      <c r="BG53" s="248"/>
      <c r="BH53" s="248"/>
      <c r="BI53" s="248"/>
      <c r="BJ53" s="248"/>
      <c r="BK53" s="248"/>
      <c r="BL53" s="248"/>
      <c r="BM53" s="248"/>
      <c r="BN53" s="248"/>
      <c r="BO53" s="248"/>
      <c r="BP53" s="248"/>
      <c r="BQ53" s="248"/>
      <c r="BR53" s="248"/>
      <c r="BS53" s="248"/>
      <c r="BT53" s="248"/>
      <c r="BU53" s="248"/>
      <c r="BV53" s="248"/>
      <c r="BW53" s="248"/>
      <c r="BX53" s="248"/>
      <c r="BY53" s="248"/>
      <c r="BZ53" s="248"/>
      <c r="CA53" s="248"/>
      <c r="CB53" s="248"/>
      <c r="CC53" s="248"/>
      <c r="CD53" s="248"/>
      <c r="CE53" s="248"/>
      <c r="CF53" s="248"/>
      <c r="CG53" s="248"/>
    </row>
    <row r="54" spans="1:85" s="269" customFormat="1" ht="21.75" customHeight="1">
      <c r="A54" s="69">
        <f ca="1">IF(ROWS($1:41)&gt;COUNT(Dong),"",OFFSET(TH!E$1,SMALL(Dong,ROWS($1:41)),))</f>
        <v>41614</v>
      </c>
      <c r="B54" s="285" t="str">
        <f ca="1">IF(ROWS($1:41)&gt;COUNT(Dong),"",OFFSET(TH!G$1,SMALL(Dong,ROWS($1:41)),))</f>
        <v>Nguyễn Thanh Vân</v>
      </c>
      <c r="C54" s="263" t="str">
        <f t="shared" ca="1" si="0"/>
        <v>Hai</v>
      </c>
      <c r="D54" s="263" t="str">
        <f ca="1">IF(ROWS($1:41)&gt;COUNT(Dong),"",OFFSET(TH!D$1,SMALL(Dong,ROWS($1:41)),))</f>
        <v>N41</v>
      </c>
      <c r="E54" s="264" t="str">
        <f t="shared" ca="1" si="1"/>
        <v>Vũng Tàu</v>
      </c>
      <c r="F54" s="264">
        <f t="shared" ca="1" si="2"/>
        <v>270176960</v>
      </c>
      <c r="G54" s="265" t="str">
        <f ca="1">IF(ROWS($1:41)&gt;COUNT(Dong),"",OFFSET(TH!F$1,SMALL(Dong,ROWS($1:41)),))</f>
        <v>Cá Chai  NL</v>
      </c>
      <c r="H54" s="266">
        <f ca="1">IF(ROWS($1:41)&gt;COUNT(Dong),"",OFFSET(TH!K$1,SMALL(Dong,ROWS($1:41)),))</f>
        <v>6241</v>
      </c>
      <c r="I54" s="266">
        <f ca="1">IF(ROWS($1:41)&gt;COUNT(Dong),"",OFFSET(TH!J$1,SMALL(Dong,ROWS($1:41)),))</f>
        <v>20000</v>
      </c>
      <c r="J54" s="270">
        <f t="shared" ca="1" si="3"/>
        <v>124820000</v>
      </c>
      <c r="K54" s="267"/>
      <c r="L54" s="268"/>
      <c r="M54" s="248"/>
      <c r="N54" s="248"/>
      <c r="O54" s="248"/>
      <c r="P54" s="248"/>
      <c r="Q54" s="248"/>
      <c r="R54" s="248"/>
      <c r="S54" s="248"/>
      <c r="T54" s="248"/>
      <c r="U54" s="248"/>
      <c r="V54" s="248"/>
      <c r="W54" s="248"/>
      <c r="X54" s="248"/>
      <c r="Y54" s="248"/>
      <c r="Z54" s="248"/>
      <c r="AA54" s="248"/>
      <c r="AB54" s="248"/>
      <c r="AC54" s="248"/>
      <c r="AD54" s="248"/>
      <c r="AE54" s="248"/>
      <c r="AF54" s="248"/>
      <c r="AG54" s="248"/>
      <c r="AH54" s="248"/>
      <c r="AI54" s="248"/>
      <c r="AJ54" s="248"/>
      <c r="AK54" s="248"/>
      <c r="AL54" s="248"/>
      <c r="AM54" s="248"/>
      <c r="AN54" s="248"/>
      <c r="AO54" s="248"/>
      <c r="AP54" s="248"/>
      <c r="AQ54" s="248"/>
      <c r="AR54" s="248"/>
      <c r="AS54" s="248"/>
      <c r="AT54" s="248"/>
      <c r="AU54" s="248"/>
      <c r="AV54" s="248"/>
      <c r="AW54" s="248"/>
      <c r="AX54" s="248"/>
      <c r="AY54" s="248"/>
      <c r="AZ54" s="248"/>
      <c r="BA54" s="248"/>
      <c r="BB54" s="248"/>
      <c r="BC54" s="248"/>
      <c r="BD54" s="248"/>
      <c r="BE54" s="248"/>
      <c r="BF54" s="248"/>
      <c r="BG54" s="248"/>
      <c r="BH54" s="248"/>
      <c r="BI54" s="248"/>
      <c r="BJ54" s="248"/>
      <c r="BK54" s="248"/>
      <c r="BL54" s="248"/>
      <c r="BM54" s="248"/>
      <c r="BN54" s="248"/>
      <c r="BO54" s="248"/>
      <c r="BP54" s="248"/>
      <c r="BQ54" s="248"/>
      <c r="BR54" s="248"/>
      <c r="BS54" s="248"/>
      <c r="BT54" s="248"/>
      <c r="BU54" s="248"/>
      <c r="BV54" s="248"/>
      <c r="BW54" s="248"/>
      <c r="BX54" s="248"/>
      <c r="BY54" s="248"/>
      <c r="BZ54" s="248"/>
      <c r="CA54" s="248"/>
      <c r="CB54" s="248"/>
      <c r="CC54" s="248"/>
      <c r="CD54" s="248"/>
      <c r="CE54" s="248"/>
      <c r="CF54" s="248"/>
      <c r="CG54" s="248"/>
    </row>
    <row r="55" spans="1:85" s="269" customFormat="1" ht="21.75" customHeight="1">
      <c r="A55" s="69">
        <f ca="1">IF(ROWS($1:42)&gt;COUNT(Dong),"",OFFSET(TH!E$1,SMALL(Dong,ROWS($1:42)),))</f>
        <v>41615</v>
      </c>
      <c r="B55" s="285" t="str">
        <f ca="1">IF(ROWS($1:42)&gt;COUNT(Dong),"",OFFSET(TH!G$1,SMALL(Dong,ROWS($1:42)),))</f>
        <v>Hồ Thị Mỹ</v>
      </c>
      <c r="C55" s="263" t="str">
        <f t="shared" ca="1" si="0"/>
        <v>Hai</v>
      </c>
      <c r="D55" s="263" t="str">
        <f ca="1">IF(ROWS($1:42)&gt;COUNT(Dong),"",OFFSET(TH!D$1,SMALL(Dong,ROWS($1:42)),))</f>
        <v>N44</v>
      </c>
      <c r="E55" s="264" t="str">
        <f t="shared" ca="1" si="1"/>
        <v>Vũng Tàu</v>
      </c>
      <c r="F55" s="264">
        <f t="shared" ca="1" si="2"/>
        <v>270986506</v>
      </c>
      <c r="G55" s="265" t="str">
        <f ca="1">IF(ROWS($1:42)&gt;COUNT(Dong),"",OFFSET(TH!F$1,SMALL(Dong,ROWS($1:42)),))</f>
        <v>Cá Chai  NL</v>
      </c>
      <c r="H55" s="266">
        <f ca="1">IF(ROWS($1:42)&gt;COUNT(Dong),"",OFFSET(TH!K$1,SMALL(Dong,ROWS($1:42)),))</f>
        <v>5353</v>
      </c>
      <c r="I55" s="266">
        <f ca="1">IF(ROWS($1:42)&gt;COUNT(Dong),"",OFFSET(TH!J$1,SMALL(Dong,ROWS($1:42)),))</f>
        <v>20000</v>
      </c>
      <c r="J55" s="270">
        <f t="shared" ca="1" si="3"/>
        <v>107060000</v>
      </c>
      <c r="K55" s="267"/>
      <c r="L55" s="268"/>
      <c r="M55" s="248"/>
      <c r="N55" s="248"/>
      <c r="O55" s="248"/>
      <c r="P55" s="248"/>
      <c r="Q55" s="248"/>
      <c r="R55" s="248"/>
      <c r="S55" s="248"/>
      <c r="T55" s="248"/>
      <c r="U55" s="248"/>
      <c r="V55" s="248"/>
      <c r="W55" s="248"/>
      <c r="X55" s="248"/>
      <c r="Y55" s="248"/>
      <c r="Z55" s="248"/>
      <c r="AA55" s="248"/>
      <c r="AB55" s="248"/>
      <c r="AC55" s="248"/>
      <c r="AD55" s="248"/>
      <c r="AE55" s="248"/>
      <c r="AF55" s="248"/>
      <c r="AG55" s="248"/>
      <c r="AH55" s="248"/>
      <c r="AI55" s="248"/>
      <c r="AJ55" s="248"/>
      <c r="AK55" s="248"/>
      <c r="AL55" s="248"/>
      <c r="AM55" s="248"/>
      <c r="AN55" s="248"/>
      <c r="AO55" s="248"/>
      <c r="AP55" s="248"/>
      <c r="AQ55" s="248"/>
      <c r="AR55" s="248"/>
      <c r="AS55" s="248"/>
      <c r="AT55" s="248"/>
      <c r="AU55" s="248"/>
      <c r="AV55" s="248"/>
      <c r="AW55" s="248"/>
      <c r="AX55" s="248"/>
      <c r="AY55" s="248"/>
      <c r="AZ55" s="248"/>
      <c r="BA55" s="248"/>
      <c r="BB55" s="248"/>
      <c r="BC55" s="248"/>
      <c r="BD55" s="248"/>
      <c r="BE55" s="248"/>
      <c r="BF55" s="248"/>
      <c r="BG55" s="248"/>
      <c r="BH55" s="248"/>
      <c r="BI55" s="248"/>
      <c r="BJ55" s="248"/>
      <c r="BK55" s="248"/>
      <c r="BL55" s="248"/>
      <c r="BM55" s="248"/>
      <c r="BN55" s="248"/>
      <c r="BO55" s="248"/>
      <c r="BP55" s="248"/>
      <c r="BQ55" s="248"/>
      <c r="BR55" s="248"/>
      <c r="BS55" s="248"/>
      <c r="BT55" s="248"/>
      <c r="BU55" s="248"/>
      <c r="BV55" s="248"/>
      <c r="BW55" s="248"/>
      <c r="BX55" s="248"/>
      <c r="BY55" s="248"/>
      <c r="BZ55" s="248"/>
      <c r="CA55" s="248"/>
      <c r="CB55" s="248"/>
      <c r="CC55" s="248"/>
      <c r="CD55" s="248"/>
      <c r="CE55" s="248"/>
      <c r="CF55" s="248"/>
      <c r="CG55" s="248"/>
    </row>
    <row r="56" spans="1:85" s="269" customFormat="1" ht="21.75" customHeight="1">
      <c r="A56" s="69">
        <f ca="1">IF(ROWS($1:43)&gt;COUNT(Dong),"",OFFSET(TH!E$1,SMALL(Dong,ROWS($1:43)),))</f>
        <v>41615</v>
      </c>
      <c r="B56" s="285" t="str">
        <f ca="1">IF(ROWS($1:43)&gt;COUNT(Dong),"",OFFSET(TH!G$1,SMALL(Dong,ROWS($1:43)),))</f>
        <v>Nguyễn Thanh Vinh</v>
      </c>
      <c r="C56" s="263" t="str">
        <f t="shared" ca="1" si="0"/>
        <v>Văn</v>
      </c>
      <c r="D56" s="263" t="str">
        <f ca="1">IF(ROWS($1:43)&gt;COUNT(Dong),"",OFFSET(TH!D$1,SMALL(Dong,ROWS($1:43)),))</f>
        <v>N45</v>
      </c>
      <c r="E56" s="264" t="str">
        <f t="shared" ca="1" si="1"/>
        <v>Vũng Tàu</v>
      </c>
      <c r="F56" s="264">
        <f t="shared" ca="1" si="2"/>
        <v>271181056</v>
      </c>
      <c r="G56" s="265" t="str">
        <f ca="1">IF(ROWS($1:43)&gt;COUNT(Dong),"",OFFSET(TH!F$1,SMALL(Dong,ROWS($1:43)),))</f>
        <v>Cá Chai  NL</v>
      </c>
      <c r="H56" s="266">
        <f ca="1">IF(ROWS($1:43)&gt;COUNT(Dong),"",OFFSET(TH!K$1,SMALL(Dong,ROWS($1:43)),))</f>
        <v>4647</v>
      </c>
      <c r="I56" s="266">
        <f ca="1">IF(ROWS($1:43)&gt;COUNT(Dong),"",OFFSET(TH!J$1,SMALL(Dong,ROWS($1:43)),))</f>
        <v>20000</v>
      </c>
      <c r="J56" s="270">
        <f t="shared" ref="J56:J62" ca="1" si="4">IF(B56&lt;&gt;"",H56*I56,0)</f>
        <v>92940000</v>
      </c>
      <c r="K56" s="267"/>
      <c r="L56" s="268"/>
      <c r="M56" s="248"/>
      <c r="N56" s="248"/>
      <c r="O56" s="248"/>
      <c r="P56" s="248"/>
      <c r="Q56" s="248"/>
      <c r="R56" s="248"/>
      <c r="S56" s="248"/>
      <c r="T56" s="248"/>
      <c r="U56" s="248"/>
      <c r="V56" s="248"/>
      <c r="W56" s="248"/>
      <c r="X56" s="248"/>
      <c r="Y56" s="248"/>
      <c r="Z56" s="248"/>
      <c r="AA56" s="248"/>
      <c r="AB56" s="248"/>
      <c r="AC56" s="248"/>
      <c r="AD56" s="248"/>
      <c r="AE56" s="248"/>
      <c r="AF56" s="248"/>
      <c r="AG56" s="248"/>
      <c r="AH56" s="248"/>
      <c r="AI56" s="248"/>
      <c r="AJ56" s="248"/>
      <c r="AK56" s="248"/>
      <c r="AL56" s="248"/>
      <c r="AM56" s="248"/>
      <c r="AN56" s="248"/>
      <c r="AO56" s="248"/>
      <c r="AP56" s="248"/>
      <c r="AQ56" s="248"/>
      <c r="AR56" s="248"/>
      <c r="AS56" s="248"/>
      <c r="AT56" s="248"/>
      <c r="AU56" s="248"/>
      <c r="AV56" s="248"/>
      <c r="AW56" s="248"/>
      <c r="AX56" s="248"/>
      <c r="AY56" s="248"/>
      <c r="AZ56" s="248"/>
      <c r="BA56" s="248"/>
      <c r="BB56" s="248"/>
      <c r="BC56" s="248"/>
      <c r="BD56" s="248"/>
      <c r="BE56" s="248"/>
      <c r="BF56" s="248"/>
      <c r="BG56" s="248"/>
      <c r="BH56" s="248"/>
      <c r="BI56" s="248"/>
      <c r="BJ56" s="248"/>
      <c r="BK56" s="248"/>
      <c r="BL56" s="248"/>
      <c r="BM56" s="248"/>
      <c r="BN56" s="248"/>
      <c r="BO56" s="248"/>
      <c r="BP56" s="248"/>
      <c r="BQ56" s="248"/>
      <c r="BR56" s="248"/>
      <c r="BS56" s="248"/>
      <c r="BT56" s="248"/>
      <c r="BU56" s="248"/>
      <c r="BV56" s="248"/>
      <c r="BW56" s="248"/>
      <c r="BX56" s="248"/>
      <c r="BY56" s="248"/>
      <c r="BZ56" s="248"/>
      <c r="CA56" s="248"/>
      <c r="CB56" s="248"/>
      <c r="CC56" s="248"/>
      <c r="CD56" s="248"/>
      <c r="CE56" s="248"/>
      <c r="CF56" s="248"/>
      <c r="CG56" s="248"/>
    </row>
    <row r="57" spans="1:85" s="269" customFormat="1" ht="21.75" customHeight="1">
      <c r="A57" s="69">
        <f ca="1">IF(ROWS($1:44)&gt;COUNT(Dong),"",OFFSET(TH!E$1,SMALL(Dong,ROWS($1:44)),))</f>
        <v>41615</v>
      </c>
      <c r="B57" s="285" t="str">
        <f ca="1">IF(ROWS($1:44)&gt;COUNT(Dong),"",OFFSET(TH!G$1,SMALL(Dong,ROWS($1:44)),))</f>
        <v>Nguyễn Hành</v>
      </c>
      <c r="C57" s="263" t="str">
        <f t="shared" ca="1" si="0"/>
        <v>Văn</v>
      </c>
      <c r="D57" s="263" t="str">
        <f ca="1">IF(ROWS($1:44)&gt;COUNT(Dong),"",OFFSET(TH!D$1,SMALL(Dong,ROWS($1:44)),))</f>
        <v>N46</v>
      </c>
      <c r="E57" s="264" t="str">
        <f t="shared" ca="1" si="1"/>
        <v>Vũng Tàu</v>
      </c>
      <c r="F57" s="264">
        <f t="shared" ca="1" si="2"/>
        <v>190524479</v>
      </c>
      <c r="G57" s="265" t="str">
        <f ca="1">IF(ROWS($1:44)&gt;COUNT(Dong),"",OFFSET(TH!F$1,SMALL(Dong,ROWS($1:44)),))</f>
        <v>Cá Chai  NL</v>
      </c>
      <c r="H57" s="266">
        <f ca="1">IF(ROWS($1:44)&gt;COUNT(Dong),"",OFFSET(TH!K$1,SMALL(Dong,ROWS($1:44)),))</f>
        <v>5904</v>
      </c>
      <c r="I57" s="266">
        <f ca="1">IF(ROWS($1:44)&gt;COUNT(Dong),"",OFFSET(TH!J$1,SMALL(Dong,ROWS($1:44)),))</f>
        <v>20000</v>
      </c>
      <c r="J57" s="270">
        <f t="shared" ca="1" si="4"/>
        <v>118080000</v>
      </c>
      <c r="K57" s="267"/>
      <c r="L57" s="268"/>
      <c r="M57" s="248"/>
      <c r="N57" s="248"/>
      <c r="O57" s="248"/>
      <c r="P57" s="248"/>
      <c r="Q57" s="248"/>
      <c r="R57" s="248"/>
      <c r="S57" s="248"/>
      <c r="T57" s="248"/>
      <c r="U57" s="248"/>
      <c r="V57" s="248"/>
      <c r="W57" s="248"/>
      <c r="X57" s="248"/>
      <c r="Y57" s="248"/>
      <c r="Z57" s="248"/>
      <c r="AA57" s="248"/>
      <c r="AB57" s="248"/>
      <c r="AC57" s="248"/>
      <c r="AD57" s="248"/>
      <c r="AE57" s="248"/>
      <c r="AF57" s="248"/>
      <c r="AG57" s="248"/>
      <c r="AH57" s="248"/>
      <c r="AI57" s="248"/>
      <c r="AJ57" s="248"/>
      <c r="AK57" s="248"/>
      <c r="AL57" s="248"/>
      <c r="AM57" s="248"/>
      <c r="AN57" s="248"/>
      <c r="AO57" s="248"/>
      <c r="AP57" s="248"/>
      <c r="AQ57" s="248"/>
      <c r="AR57" s="248"/>
      <c r="AS57" s="248"/>
      <c r="AT57" s="248"/>
      <c r="AU57" s="248"/>
      <c r="AV57" s="248"/>
      <c r="AW57" s="248"/>
      <c r="AX57" s="248"/>
      <c r="AY57" s="248"/>
      <c r="AZ57" s="248"/>
      <c r="BA57" s="248"/>
      <c r="BB57" s="248"/>
      <c r="BC57" s="248"/>
      <c r="BD57" s="248"/>
      <c r="BE57" s="248"/>
      <c r="BF57" s="248"/>
      <c r="BG57" s="248"/>
      <c r="BH57" s="248"/>
      <c r="BI57" s="248"/>
      <c r="BJ57" s="248"/>
      <c r="BK57" s="248"/>
      <c r="BL57" s="248"/>
      <c r="BM57" s="248"/>
      <c r="BN57" s="248"/>
      <c r="BO57" s="248"/>
      <c r="BP57" s="248"/>
      <c r="BQ57" s="248"/>
      <c r="BR57" s="248"/>
      <c r="BS57" s="248"/>
      <c r="BT57" s="248"/>
      <c r="BU57" s="248"/>
      <c r="BV57" s="248"/>
      <c r="BW57" s="248"/>
      <c r="BX57" s="248"/>
      <c r="BY57" s="248"/>
      <c r="BZ57" s="248"/>
      <c r="CA57" s="248"/>
      <c r="CB57" s="248"/>
      <c r="CC57" s="248"/>
      <c r="CD57" s="248"/>
      <c r="CE57" s="248"/>
      <c r="CF57" s="248"/>
      <c r="CG57" s="248"/>
    </row>
    <row r="58" spans="1:85" s="269" customFormat="1" ht="21.75" customHeight="1">
      <c r="A58" s="69">
        <f ca="1">IF(ROWS($1:45)&gt;COUNT(Dong),"",OFFSET(TH!E$1,SMALL(Dong,ROWS($1:45)),))</f>
        <v>41615</v>
      </c>
      <c r="B58" s="285" t="str">
        <f ca="1">IF(ROWS($1:45)&gt;COUNT(Dong),"",OFFSET(TH!G$1,SMALL(Dong,ROWS($1:45)),))</f>
        <v>Trần Thị lang</v>
      </c>
      <c r="C58" s="263" t="str">
        <f t="shared" ca="1" si="0"/>
        <v>Văn</v>
      </c>
      <c r="D58" s="263" t="str">
        <f ca="1">IF(ROWS($1:45)&gt;COUNT(Dong),"",OFFSET(TH!D$1,SMALL(Dong,ROWS($1:45)),))</f>
        <v>N47</v>
      </c>
      <c r="E58" s="264" t="str">
        <f t="shared" ca="1" si="1"/>
        <v>Mỹ Tho - Tiền Giang</v>
      </c>
      <c r="F58" s="264">
        <f t="shared" ca="1" si="2"/>
        <v>310033074</v>
      </c>
      <c r="G58" s="265" t="str">
        <f ca="1">IF(ROWS($1:45)&gt;COUNT(Dong),"",OFFSET(TH!F$1,SMALL(Dong,ROWS($1:45)),))</f>
        <v>Cá ngân NL</v>
      </c>
      <c r="H58" s="266">
        <f ca="1">IF(ROWS($1:45)&gt;COUNT(Dong),"",OFFSET(TH!K$1,SMALL(Dong,ROWS($1:45)),))</f>
        <v>5862</v>
      </c>
      <c r="I58" s="266">
        <f ca="1">IF(ROWS($1:45)&gt;COUNT(Dong),"",OFFSET(TH!J$1,SMALL(Dong,ROWS($1:45)),))</f>
        <v>25000</v>
      </c>
      <c r="J58" s="270">
        <f t="shared" ca="1" si="4"/>
        <v>146550000</v>
      </c>
      <c r="K58" s="267"/>
      <c r="L58" s="268"/>
      <c r="M58" s="248"/>
      <c r="N58" s="248"/>
      <c r="O58" s="248"/>
      <c r="P58" s="248"/>
      <c r="Q58" s="248"/>
      <c r="R58" s="248"/>
      <c r="S58" s="248"/>
      <c r="T58" s="248"/>
      <c r="U58" s="248"/>
      <c r="V58" s="248"/>
      <c r="W58" s="248"/>
      <c r="X58" s="248"/>
      <c r="Y58" s="248"/>
      <c r="Z58" s="248"/>
      <c r="AA58" s="248"/>
      <c r="AB58" s="248"/>
      <c r="AC58" s="248"/>
      <c r="AD58" s="248"/>
      <c r="AE58" s="248"/>
      <c r="AF58" s="248"/>
      <c r="AG58" s="248"/>
      <c r="AH58" s="248"/>
      <c r="AI58" s="248"/>
      <c r="AJ58" s="248"/>
      <c r="AK58" s="248"/>
      <c r="AL58" s="248"/>
      <c r="AM58" s="248"/>
      <c r="AN58" s="248"/>
      <c r="AO58" s="248"/>
      <c r="AP58" s="248"/>
      <c r="AQ58" s="248"/>
      <c r="AR58" s="248"/>
      <c r="AS58" s="248"/>
      <c r="AT58" s="248"/>
      <c r="AU58" s="248"/>
      <c r="AV58" s="248"/>
      <c r="AW58" s="248"/>
      <c r="AX58" s="248"/>
      <c r="AY58" s="248"/>
      <c r="AZ58" s="248"/>
      <c r="BA58" s="248"/>
      <c r="BB58" s="248"/>
      <c r="BC58" s="248"/>
      <c r="BD58" s="248"/>
      <c r="BE58" s="248"/>
      <c r="BF58" s="248"/>
      <c r="BG58" s="248"/>
      <c r="BH58" s="248"/>
      <c r="BI58" s="248"/>
      <c r="BJ58" s="248"/>
      <c r="BK58" s="248"/>
      <c r="BL58" s="248"/>
      <c r="BM58" s="248"/>
      <c r="BN58" s="248"/>
      <c r="BO58" s="248"/>
      <c r="BP58" s="248"/>
      <c r="BQ58" s="248"/>
      <c r="BR58" s="248"/>
      <c r="BS58" s="248"/>
      <c r="BT58" s="248"/>
      <c r="BU58" s="248"/>
      <c r="BV58" s="248"/>
      <c r="BW58" s="248"/>
      <c r="BX58" s="248"/>
      <c r="BY58" s="248"/>
      <c r="BZ58" s="248"/>
      <c r="CA58" s="248"/>
      <c r="CB58" s="248"/>
      <c r="CC58" s="248"/>
      <c r="CD58" s="248"/>
      <c r="CE58" s="248"/>
      <c r="CF58" s="248"/>
      <c r="CG58" s="248"/>
    </row>
    <row r="59" spans="1:85" s="269" customFormat="1" ht="21.75" customHeight="1">
      <c r="A59" s="69">
        <f ca="1">IF(ROWS($1:46)&gt;COUNT(Dong),"",OFFSET(TH!E$1,SMALL(Dong,ROWS($1:46)),))</f>
        <v>41615</v>
      </c>
      <c r="B59" s="285" t="str">
        <f ca="1">IF(ROWS($1:46)&gt;COUNT(Dong),"",OFFSET(TH!G$1,SMALL(Dong,ROWS($1:46)),))</f>
        <v>Lê Văn Thành</v>
      </c>
      <c r="C59" s="263" t="str">
        <f t="shared" ca="1" si="0"/>
        <v>Văn</v>
      </c>
      <c r="D59" s="263" t="str">
        <f ca="1">IF(ROWS($1:46)&gt;COUNT(Dong),"",OFFSET(TH!D$1,SMALL(Dong,ROWS($1:46)),))</f>
        <v>N48</v>
      </c>
      <c r="E59" s="264" t="str">
        <f t="shared" ca="1" si="1"/>
        <v>Mỹ Tho - Tiền Giang</v>
      </c>
      <c r="F59" s="264">
        <f t="shared" ca="1" si="2"/>
        <v>310526150</v>
      </c>
      <c r="G59" s="265" t="str">
        <f ca="1">IF(ROWS($1:46)&gt;COUNT(Dong),"",OFFSET(TH!F$1,SMALL(Dong,ROWS($1:46)),))</f>
        <v>Cá ngân NL</v>
      </c>
      <c r="H59" s="266">
        <f ca="1">IF(ROWS($1:46)&gt;COUNT(Dong),"",OFFSET(TH!K$1,SMALL(Dong,ROWS($1:46)),))</f>
        <v>6832</v>
      </c>
      <c r="I59" s="266">
        <f ca="1">IF(ROWS($1:46)&gt;COUNT(Dong),"",OFFSET(TH!J$1,SMALL(Dong,ROWS($1:46)),))</f>
        <v>25000</v>
      </c>
      <c r="J59" s="270">
        <f t="shared" ca="1" si="4"/>
        <v>170800000</v>
      </c>
      <c r="K59" s="267"/>
      <c r="L59" s="268"/>
      <c r="M59" s="248"/>
      <c r="N59" s="248"/>
      <c r="O59" s="248"/>
      <c r="P59" s="248"/>
      <c r="Q59" s="248"/>
      <c r="R59" s="248"/>
      <c r="S59" s="248"/>
      <c r="T59" s="248"/>
      <c r="U59" s="248"/>
      <c r="V59" s="248"/>
      <c r="W59" s="248"/>
      <c r="X59" s="248"/>
      <c r="Y59" s="248"/>
      <c r="Z59" s="248"/>
      <c r="AA59" s="248"/>
      <c r="AB59" s="248"/>
      <c r="AC59" s="248"/>
      <c r="AD59" s="248"/>
      <c r="AE59" s="248"/>
      <c r="AF59" s="248"/>
      <c r="AG59" s="248"/>
      <c r="AH59" s="248"/>
      <c r="AI59" s="248"/>
      <c r="AJ59" s="248"/>
      <c r="AK59" s="248"/>
      <c r="AL59" s="248"/>
      <c r="AM59" s="248"/>
      <c r="AN59" s="248"/>
      <c r="AO59" s="248"/>
      <c r="AP59" s="248"/>
      <c r="AQ59" s="248"/>
      <c r="AR59" s="248"/>
      <c r="AS59" s="248"/>
      <c r="AT59" s="248"/>
      <c r="AU59" s="248"/>
      <c r="AV59" s="248"/>
      <c r="AW59" s="248"/>
      <c r="AX59" s="248"/>
      <c r="AY59" s="248"/>
      <c r="AZ59" s="248"/>
      <c r="BA59" s="248"/>
      <c r="BB59" s="248"/>
      <c r="BC59" s="248"/>
      <c r="BD59" s="248"/>
      <c r="BE59" s="248"/>
      <c r="BF59" s="248"/>
      <c r="BG59" s="248"/>
      <c r="BH59" s="248"/>
      <c r="BI59" s="248"/>
      <c r="BJ59" s="248"/>
      <c r="BK59" s="248"/>
      <c r="BL59" s="248"/>
      <c r="BM59" s="248"/>
      <c r="BN59" s="248"/>
      <c r="BO59" s="248"/>
      <c r="BP59" s="248"/>
      <c r="BQ59" s="248"/>
      <c r="BR59" s="248"/>
      <c r="BS59" s="248"/>
      <c r="BT59" s="248"/>
      <c r="BU59" s="248"/>
      <c r="BV59" s="248"/>
      <c r="BW59" s="248"/>
      <c r="BX59" s="248"/>
      <c r="BY59" s="248"/>
      <c r="BZ59" s="248"/>
      <c r="CA59" s="248"/>
      <c r="CB59" s="248"/>
      <c r="CC59" s="248"/>
      <c r="CD59" s="248"/>
      <c r="CE59" s="248"/>
      <c r="CF59" s="248"/>
      <c r="CG59" s="248"/>
    </row>
    <row r="60" spans="1:85" s="269" customFormat="1" ht="21.75" customHeight="1">
      <c r="A60" s="69">
        <f ca="1">IF(ROWS($1:47)&gt;COUNT(Dong),"",OFFSET(TH!E$1,SMALL(Dong,ROWS($1:47)),))</f>
        <v>41616</v>
      </c>
      <c r="B60" s="285" t="str">
        <f ca="1">IF(ROWS($1:47)&gt;COUNT(Dong),"",OFFSET(TH!G$1,SMALL(Dong,ROWS($1:47)),))</f>
        <v>Nguyễn Văn Lắm</v>
      </c>
      <c r="C60" s="263" t="str">
        <f t="shared" ca="1" si="0"/>
        <v>Văn</v>
      </c>
      <c r="D60" s="263" t="str">
        <f ca="1">IF(ROWS($1:47)&gt;COUNT(Dong),"",OFFSET(TH!D$1,SMALL(Dong,ROWS($1:47)),))</f>
        <v>N49</v>
      </c>
      <c r="E60" s="264" t="str">
        <f t="shared" ca="1" si="1"/>
        <v>Mỹ Tho - Tiền Giang</v>
      </c>
      <c r="F60" s="264">
        <f t="shared" ca="1" si="2"/>
        <v>310703274</v>
      </c>
      <c r="G60" s="265" t="str">
        <f ca="1">IF(ROWS($1:47)&gt;COUNT(Dong),"",OFFSET(TH!F$1,SMALL(Dong,ROWS($1:47)),))</f>
        <v>Cá ngân NL</v>
      </c>
      <c r="H60" s="266">
        <f ca="1">IF(ROWS($1:47)&gt;COUNT(Dong),"",OFFSET(TH!K$1,SMALL(Dong,ROWS($1:47)),))</f>
        <v>5982</v>
      </c>
      <c r="I60" s="266">
        <f ca="1">IF(ROWS($1:47)&gt;COUNT(Dong),"",OFFSET(TH!J$1,SMALL(Dong,ROWS($1:47)),))</f>
        <v>25000</v>
      </c>
      <c r="J60" s="270">
        <f t="shared" ca="1" si="4"/>
        <v>149550000</v>
      </c>
      <c r="K60" s="267"/>
      <c r="L60" s="268"/>
      <c r="M60" s="248"/>
      <c r="N60" s="248"/>
      <c r="O60" s="248"/>
      <c r="P60" s="248"/>
      <c r="Q60" s="248"/>
      <c r="R60" s="248"/>
      <c r="S60" s="248"/>
      <c r="T60" s="248"/>
      <c r="U60" s="248"/>
      <c r="V60" s="248"/>
      <c r="W60" s="248"/>
      <c r="X60" s="248"/>
      <c r="Y60" s="248"/>
      <c r="Z60" s="248"/>
      <c r="AA60" s="248"/>
      <c r="AB60" s="248"/>
      <c r="AC60" s="248"/>
      <c r="AD60" s="248"/>
      <c r="AE60" s="248"/>
      <c r="AF60" s="248"/>
      <c r="AG60" s="248"/>
      <c r="AH60" s="248"/>
      <c r="AI60" s="248"/>
      <c r="AJ60" s="248"/>
      <c r="AK60" s="248"/>
      <c r="AL60" s="248"/>
      <c r="AM60" s="248"/>
      <c r="AN60" s="248"/>
      <c r="AO60" s="248"/>
      <c r="AP60" s="248"/>
      <c r="AQ60" s="248"/>
      <c r="AR60" s="248"/>
      <c r="AS60" s="248"/>
      <c r="AT60" s="248"/>
      <c r="AU60" s="248"/>
      <c r="AV60" s="248"/>
      <c r="AW60" s="248"/>
      <c r="AX60" s="248"/>
      <c r="AY60" s="248"/>
      <c r="AZ60" s="248"/>
      <c r="BA60" s="248"/>
      <c r="BB60" s="248"/>
      <c r="BC60" s="248"/>
      <c r="BD60" s="248"/>
      <c r="BE60" s="248"/>
      <c r="BF60" s="248"/>
      <c r="BG60" s="248"/>
      <c r="BH60" s="248"/>
      <c r="BI60" s="248"/>
      <c r="BJ60" s="248"/>
      <c r="BK60" s="248"/>
      <c r="BL60" s="248"/>
      <c r="BM60" s="248"/>
      <c r="BN60" s="248"/>
      <c r="BO60" s="248"/>
      <c r="BP60" s="248"/>
      <c r="BQ60" s="248"/>
      <c r="BR60" s="248"/>
      <c r="BS60" s="248"/>
      <c r="BT60" s="248"/>
      <c r="BU60" s="248"/>
      <c r="BV60" s="248"/>
      <c r="BW60" s="248"/>
      <c r="BX60" s="248"/>
      <c r="BY60" s="248"/>
      <c r="BZ60" s="248"/>
      <c r="CA60" s="248"/>
      <c r="CB60" s="248"/>
      <c r="CC60" s="248"/>
      <c r="CD60" s="248"/>
      <c r="CE60" s="248"/>
      <c r="CF60" s="248"/>
      <c r="CG60" s="248"/>
    </row>
    <row r="61" spans="1:85" s="269" customFormat="1" ht="21.75" customHeight="1">
      <c r="A61" s="69">
        <f ca="1">IF(ROWS($1:48)&gt;COUNT(Dong),"",OFFSET(TH!E$1,SMALL(Dong,ROWS($1:48)),))</f>
        <v>41616</v>
      </c>
      <c r="B61" s="285" t="str">
        <f ca="1">IF(ROWS($1:48)&gt;COUNT(Dong),"",OFFSET(TH!G$1,SMALL(Dong,ROWS($1:48)),))</f>
        <v>Trần Ngọc Quyên</v>
      </c>
      <c r="C61" s="263" t="str">
        <f t="shared" ca="1" si="0"/>
        <v>Hai</v>
      </c>
      <c r="D61" s="263" t="str">
        <f ca="1">IF(ROWS($1:48)&gt;COUNT(Dong),"",OFFSET(TH!D$1,SMALL(Dong,ROWS($1:48)),))</f>
        <v>N50</v>
      </c>
      <c r="E61" s="264" t="str">
        <f t="shared" ca="1" si="1"/>
        <v>Rạch Giá - Kiên Giang</v>
      </c>
      <c r="F61" s="264">
        <f t="shared" ca="1" si="2"/>
        <v>371166950</v>
      </c>
      <c r="G61" s="265" t="str">
        <f ca="1">IF(ROWS($1:48)&gt;COUNT(Dong),"",OFFSET(TH!F$1,SMALL(Dong,ROWS($1:48)),))</f>
        <v>Cá ngân NL</v>
      </c>
      <c r="H61" s="266">
        <f ca="1">IF(ROWS($1:48)&gt;COUNT(Dong),"",OFFSET(TH!K$1,SMALL(Dong,ROWS($1:48)),))</f>
        <v>6673</v>
      </c>
      <c r="I61" s="266">
        <f ca="1">IF(ROWS($1:48)&gt;COUNT(Dong),"",OFFSET(TH!J$1,SMALL(Dong,ROWS($1:48)),))</f>
        <v>25000</v>
      </c>
      <c r="J61" s="270">
        <f t="shared" ca="1" si="4"/>
        <v>166825000</v>
      </c>
      <c r="K61" s="267"/>
      <c r="L61" s="268"/>
      <c r="M61" s="248"/>
      <c r="N61" s="248"/>
      <c r="O61" s="248"/>
      <c r="P61" s="248"/>
      <c r="Q61" s="248"/>
      <c r="R61" s="248"/>
      <c r="S61" s="248"/>
      <c r="T61" s="248"/>
      <c r="U61" s="248"/>
      <c r="V61" s="248"/>
      <c r="W61" s="248"/>
      <c r="X61" s="248"/>
      <c r="Y61" s="248"/>
      <c r="Z61" s="248"/>
      <c r="AA61" s="248"/>
      <c r="AB61" s="248"/>
      <c r="AC61" s="248"/>
      <c r="AD61" s="248"/>
      <c r="AE61" s="248"/>
      <c r="AF61" s="248"/>
      <c r="AG61" s="248"/>
      <c r="AH61" s="248"/>
      <c r="AI61" s="248"/>
      <c r="AJ61" s="248"/>
      <c r="AK61" s="248"/>
      <c r="AL61" s="248"/>
      <c r="AM61" s="248"/>
      <c r="AN61" s="248"/>
      <c r="AO61" s="248"/>
      <c r="AP61" s="248"/>
      <c r="AQ61" s="248"/>
      <c r="AR61" s="248"/>
      <c r="AS61" s="248"/>
      <c r="AT61" s="248"/>
      <c r="AU61" s="248"/>
      <c r="AV61" s="248"/>
      <c r="AW61" s="248"/>
      <c r="AX61" s="248"/>
      <c r="AY61" s="248"/>
      <c r="AZ61" s="248"/>
      <c r="BA61" s="248"/>
      <c r="BB61" s="248"/>
      <c r="BC61" s="248"/>
      <c r="BD61" s="248"/>
      <c r="BE61" s="248"/>
      <c r="BF61" s="248"/>
      <c r="BG61" s="248"/>
      <c r="BH61" s="248"/>
      <c r="BI61" s="248"/>
      <c r="BJ61" s="248"/>
      <c r="BK61" s="248"/>
      <c r="BL61" s="248"/>
      <c r="BM61" s="248"/>
      <c r="BN61" s="248"/>
      <c r="BO61" s="248"/>
      <c r="BP61" s="248"/>
      <c r="BQ61" s="248"/>
      <c r="BR61" s="248"/>
      <c r="BS61" s="248"/>
      <c r="BT61" s="248"/>
      <c r="BU61" s="248"/>
      <c r="BV61" s="248"/>
      <c r="BW61" s="248"/>
      <c r="BX61" s="248"/>
      <c r="BY61" s="248"/>
      <c r="BZ61" s="248"/>
      <c r="CA61" s="248"/>
      <c r="CB61" s="248"/>
      <c r="CC61" s="248"/>
      <c r="CD61" s="248"/>
      <c r="CE61" s="248"/>
      <c r="CF61" s="248"/>
      <c r="CG61" s="248"/>
    </row>
    <row r="62" spans="1:85" s="269" customFormat="1" ht="21.75" customHeight="1">
      <c r="A62" s="69" t="str">
        <f ca="1">IF(ROWS($1:61)&gt;COUNT(Dong),"",OFFSET(TH!E$1,SMALL(Dong,ROWS($1:61)),))</f>
        <v/>
      </c>
      <c r="B62" s="285" t="str">
        <f ca="1">IF(ROWS($1:61)&gt;COUNT(Dong),"",OFFSET(TH!G$1,SMALL(Dong,ROWS($1:61)),))</f>
        <v/>
      </c>
      <c r="C62" s="263" t="str">
        <f t="shared" ca="1" si="0"/>
        <v/>
      </c>
      <c r="D62" s="263" t="str">
        <f ca="1">IF(ROWS($1:61)&gt;COUNT(Dong),"",OFFSET(TH!D$1,SMALL(Dong,ROWS($1:61)),))</f>
        <v/>
      </c>
      <c r="E62" s="264" t="str">
        <f t="shared" ca="1" si="1"/>
        <v/>
      </c>
      <c r="F62" s="264" t="str">
        <f t="shared" ca="1" si="2"/>
        <v/>
      </c>
      <c r="G62" s="265" t="str">
        <f ca="1">IF(ROWS($1:61)&gt;COUNT(Dong),"",OFFSET(TH!F$1,SMALL(Dong,ROWS($1:61)),))</f>
        <v/>
      </c>
      <c r="H62" s="266" t="str">
        <f ca="1">IF(ROWS($1:61)&gt;COUNT(Dong),"",OFFSET(TH!K$1,SMALL(Dong,ROWS($1:61)),))</f>
        <v/>
      </c>
      <c r="I62" s="266" t="str">
        <f ca="1">IF(ROWS($1:61)&gt;COUNT(Dong),"",OFFSET(TH!J$1,SMALL(Dong,ROWS($1:61)),))</f>
        <v/>
      </c>
      <c r="J62" s="270">
        <f t="shared" ca="1" si="4"/>
        <v>0</v>
      </c>
      <c r="K62" s="267"/>
      <c r="L62" s="268"/>
      <c r="M62" s="248"/>
      <c r="N62" s="248"/>
      <c r="O62" s="248"/>
      <c r="P62" s="248"/>
      <c r="Q62" s="248"/>
      <c r="R62" s="248"/>
      <c r="S62" s="248"/>
      <c r="T62" s="248"/>
      <c r="U62" s="248"/>
      <c r="V62" s="248"/>
      <c r="W62" s="248"/>
      <c r="X62" s="248"/>
      <c r="Y62" s="248"/>
      <c r="Z62" s="248"/>
      <c r="AA62" s="248"/>
      <c r="AB62" s="248"/>
      <c r="AC62" s="248"/>
      <c r="AD62" s="248"/>
      <c r="AE62" s="248"/>
      <c r="AF62" s="248"/>
      <c r="AG62" s="248"/>
      <c r="AH62" s="248"/>
      <c r="AI62" s="248"/>
      <c r="AJ62" s="248"/>
      <c r="AK62" s="248"/>
      <c r="AL62" s="248"/>
      <c r="AM62" s="248"/>
      <c r="AN62" s="248"/>
      <c r="AO62" s="248"/>
      <c r="AP62" s="248"/>
      <c r="AQ62" s="248"/>
      <c r="AR62" s="248"/>
      <c r="AS62" s="248"/>
      <c r="AT62" s="248"/>
      <c r="AU62" s="248"/>
      <c r="AV62" s="248"/>
      <c r="AW62" s="248"/>
      <c r="AX62" s="248"/>
      <c r="AY62" s="248"/>
      <c r="AZ62" s="248"/>
      <c r="BA62" s="248"/>
      <c r="BB62" s="248"/>
      <c r="BC62" s="248"/>
      <c r="BD62" s="248"/>
      <c r="BE62" s="248"/>
      <c r="BF62" s="248"/>
      <c r="BG62" s="248"/>
      <c r="BH62" s="248"/>
      <c r="BI62" s="248"/>
      <c r="BJ62" s="248"/>
      <c r="BK62" s="248"/>
      <c r="BL62" s="248"/>
      <c r="BM62" s="248"/>
      <c r="BN62" s="248"/>
      <c r="BO62" s="248"/>
      <c r="BP62" s="248"/>
      <c r="BQ62" s="248"/>
      <c r="BR62" s="248"/>
      <c r="BS62" s="248"/>
      <c r="BT62" s="248"/>
      <c r="BU62" s="248"/>
      <c r="BV62" s="248"/>
      <c r="BW62" s="248"/>
      <c r="BX62" s="248"/>
      <c r="BY62" s="248"/>
      <c r="BZ62" s="248"/>
      <c r="CA62" s="248"/>
      <c r="CB62" s="248"/>
      <c r="CC62" s="248"/>
      <c r="CD62" s="248"/>
      <c r="CE62" s="248"/>
      <c r="CF62" s="248"/>
      <c r="CG62" s="248"/>
    </row>
    <row r="63" spans="1:85" ht="24" customHeight="1">
      <c r="A63" s="249" t="s">
        <v>230</v>
      </c>
      <c r="E63" s="271">
        <f ca="1">SUM(J14:J62)</f>
        <v>6407952500</v>
      </c>
      <c r="F63" s="271"/>
      <c r="J63" s="416"/>
    </row>
    <row r="64" spans="1:85">
      <c r="E64" s="272"/>
      <c r="F64" s="251"/>
      <c r="J64" s="273" t="str">
        <f xml:space="preserve"> IF(OR($M$11=1,$M$11=4,$M$11=6,$M$11=9,$M$11=11),"Ngày  30  tháng  "&amp;$M$11&amp;"  năm 2013",IF(OR($M$11=3,$M$11=5,$M$11=7,$M$11=8,$M$11=10,$M$11=12),"Ngày  31  tháng  "&amp;$M$11&amp;"  năm 2013","Ngày  29  tháng  "&amp;$M$11&amp;"  năm 2013"))</f>
        <v>Ngày  31  tháng  12  năm 2013</v>
      </c>
      <c r="K64" s="274"/>
    </row>
    <row r="65" spans="1:11">
      <c r="B65" s="275" t="s">
        <v>231</v>
      </c>
      <c r="C65" s="275"/>
      <c r="D65" s="275"/>
      <c r="J65" s="276" t="s">
        <v>232</v>
      </c>
    </row>
    <row r="66" spans="1:11">
      <c r="B66" s="277" t="s">
        <v>233</v>
      </c>
      <c r="C66" s="277"/>
      <c r="D66" s="277"/>
      <c r="F66" s="278"/>
      <c r="J66" s="279" t="s">
        <v>234</v>
      </c>
    </row>
    <row r="67" spans="1:11">
      <c r="B67" s="277"/>
      <c r="C67" s="277"/>
      <c r="D67" s="277"/>
      <c r="F67" s="278"/>
      <c r="I67" s="279"/>
    </row>
    <row r="68" spans="1:11">
      <c r="B68" s="277"/>
      <c r="C68" s="277"/>
      <c r="D68" s="277"/>
      <c r="F68" s="278"/>
      <c r="I68" s="279"/>
    </row>
    <row r="69" spans="1:11">
      <c r="B69" s="272"/>
      <c r="F69" s="272"/>
      <c r="J69" s="40">
        <f ca="1">SUBTOTAL(9,J14:J68)</f>
        <v>6407952500</v>
      </c>
    </row>
    <row r="70" spans="1:11" ht="36.75" customHeight="1">
      <c r="B70" s="280"/>
      <c r="C70" s="280"/>
      <c r="D70" s="280"/>
      <c r="E70" s="281"/>
      <c r="H70" s="526"/>
      <c r="I70" s="526"/>
      <c r="J70" s="526"/>
    </row>
    <row r="72" spans="1:11">
      <c r="A72" s="282" t="s">
        <v>235</v>
      </c>
    </row>
    <row r="73" spans="1:11" ht="33.75" customHeight="1">
      <c r="A73" s="527" t="s">
        <v>236</v>
      </c>
      <c r="B73" s="528"/>
      <c r="C73" s="528"/>
      <c r="D73" s="528"/>
      <c r="E73" s="528"/>
      <c r="F73" s="528"/>
      <c r="G73" s="528"/>
      <c r="H73" s="528"/>
      <c r="I73" s="528"/>
      <c r="J73" s="528"/>
      <c r="K73" s="528"/>
    </row>
    <row r="74" spans="1:11" ht="33.75" customHeight="1">
      <c r="A74" s="527" t="s">
        <v>237</v>
      </c>
      <c r="B74" s="527"/>
      <c r="C74" s="527"/>
      <c r="D74" s="527"/>
      <c r="E74" s="527"/>
      <c r="F74" s="527"/>
      <c r="G74" s="527"/>
      <c r="H74" s="527"/>
      <c r="I74" s="527"/>
      <c r="J74" s="527"/>
      <c r="K74" s="527"/>
    </row>
  </sheetData>
  <autoFilter ref="A13:CH66">
    <filterColumn colId="1"/>
    <filterColumn colId="2"/>
    <filterColumn colId="6"/>
  </autoFilter>
  <mergeCells count="10">
    <mergeCell ref="H70:J70"/>
    <mergeCell ref="A73:K73"/>
    <mergeCell ref="A74:K74"/>
    <mergeCell ref="A1:I3"/>
    <mergeCell ref="J1:K4"/>
    <mergeCell ref="A4:I4"/>
    <mergeCell ref="A11:A12"/>
    <mergeCell ref="B11:F11"/>
    <mergeCell ref="G11:J11"/>
    <mergeCell ref="K11:K12"/>
  </mergeCells>
  <phoneticPr fontId="52"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AL266"/>
  <sheetViews>
    <sheetView workbookViewId="0">
      <pane xSplit="3" ySplit="1" topLeftCell="D200" activePane="bottomRight" state="frozen"/>
      <selection pane="topRight" activeCell="D1" sqref="D1"/>
      <selection pane="bottomLeft" activeCell="A2" sqref="A2"/>
      <selection pane="bottomRight" activeCell="H255" sqref="H255:I255"/>
    </sheetView>
  </sheetViews>
  <sheetFormatPr defaultColWidth="10.28515625" defaultRowHeight="12.75"/>
  <cols>
    <col min="1" max="1" width="4.7109375" style="289" customWidth="1"/>
    <col min="2" max="2" width="21.42578125" style="289" customWidth="1"/>
    <col min="3" max="3" width="6.42578125" style="289" customWidth="1"/>
    <col min="4" max="4" width="8.85546875" style="289" customWidth="1"/>
    <col min="5" max="5" width="9.140625" style="289" hidden="1" customWidth="1"/>
    <col min="6" max="6" width="13.28515625" style="289" customWidth="1"/>
    <col min="7" max="7" width="11.28515625" style="289" customWidth="1"/>
    <col min="8" max="9" width="12.28515625" style="289" customWidth="1"/>
    <col min="10" max="10" width="12.140625" style="289" customWidth="1"/>
    <col min="11" max="11" width="12.28515625" style="289" customWidth="1"/>
    <col min="12" max="12" width="12.140625" style="289" customWidth="1"/>
    <col min="13" max="13" width="13.5703125" style="289" customWidth="1"/>
    <col min="14" max="14" width="7.7109375" style="289" customWidth="1"/>
    <col min="15" max="15" width="9.28515625" style="289" customWidth="1"/>
    <col min="16" max="16" width="5.5703125" style="304" customWidth="1"/>
    <col min="17" max="17" width="26" style="289" customWidth="1"/>
    <col min="18" max="18" width="8.7109375" style="561" customWidth="1"/>
    <col min="19" max="19" width="7.5703125" style="567" customWidth="1"/>
    <col min="20" max="20" width="6.85546875" style="290" customWidth="1"/>
    <col min="21" max="22" width="11" style="289" customWidth="1"/>
    <col min="23" max="257" width="10.28515625" style="289"/>
    <col min="258" max="258" width="4.7109375" style="289" customWidth="1"/>
    <col min="259" max="259" width="21.42578125" style="289" customWidth="1"/>
    <col min="260" max="260" width="6.42578125" style="289" customWidth="1"/>
    <col min="261" max="261" width="8.85546875" style="289" customWidth="1"/>
    <col min="262" max="262" width="9.140625" style="289" customWidth="1"/>
    <col min="263" max="263" width="14.28515625" style="289" customWidth="1"/>
    <col min="264" max="266" width="13.7109375" style="289" customWidth="1"/>
    <col min="267" max="267" width="13.140625" style="289" customWidth="1"/>
    <col min="268" max="269" width="13.7109375" style="289" customWidth="1"/>
    <col min="270" max="270" width="15.5703125" style="289" customWidth="1"/>
    <col min="271" max="271" width="8.5703125" style="289" customWidth="1"/>
    <col min="272" max="272" width="10.5703125" style="289" customWidth="1"/>
    <col min="273" max="273" width="5.5703125" style="289" customWidth="1"/>
    <col min="274" max="274" width="33.85546875" style="289" customWidth="1"/>
    <col min="275" max="275" width="8.7109375" style="289" customWidth="1"/>
    <col min="276" max="276" width="10.5703125" style="289" customWidth="1"/>
    <col min="277" max="278" width="11" style="289" customWidth="1"/>
    <col min="279" max="513" width="10.28515625" style="289"/>
    <col min="514" max="514" width="4.7109375" style="289" customWidth="1"/>
    <col min="515" max="515" width="21.42578125" style="289" customWidth="1"/>
    <col min="516" max="516" width="6.42578125" style="289" customWidth="1"/>
    <col min="517" max="517" width="8.85546875" style="289" customWidth="1"/>
    <col min="518" max="518" width="9.140625" style="289" customWidth="1"/>
    <col min="519" max="519" width="14.28515625" style="289" customWidth="1"/>
    <col min="520" max="522" width="13.7109375" style="289" customWidth="1"/>
    <col min="523" max="523" width="13.140625" style="289" customWidth="1"/>
    <col min="524" max="525" width="13.7109375" style="289" customWidth="1"/>
    <col min="526" max="526" width="15.5703125" style="289" customWidth="1"/>
    <col min="527" max="527" width="8.5703125" style="289" customWidth="1"/>
    <col min="528" max="528" width="10.5703125" style="289" customWidth="1"/>
    <col min="529" max="529" width="5.5703125" style="289" customWidth="1"/>
    <col min="530" max="530" width="33.85546875" style="289" customWidth="1"/>
    <col min="531" max="531" width="8.7109375" style="289" customWidth="1"/>
    <col min="532" max="532" width="10.5703125" style="289" customWidth="1"/>
    <col min="533" max="534" width="11" style="289" customWidth="1"/>
    <col min="535" max="769" width="10.28515625" style="289"/>
    <col min="770" max="770" width="4.7109375" style="289" customWidth="1"/>
    <col min="771" max="771" width="21.42578125" style="289" customWidth="1"/>
    <col min="772" max="772" width="6.42578125" style="289" customWidth="1"/>
    <col min="773" max="773" width="8.85546875" style="289" customWidth="1"/>
    <col min="774" max="774" width="9.140625" style="289" customWidth="1"/>
    <col min="775" max="775" width="14.28515625" style="289" customWidth="1"/>
    <col min="776" max="778" width="13.7109375" style="289" customWidth="1"/>
    <col min="779" max="779" width="13.140625" style="289" customWidth="1"/>
    <col min="780" max="781" width="13.7109375" style="289" customWidth="1"/>
    <col min="782" max="782" width="15.5703125" style="289" customWidth="1"/>
    <col min="783" max="783" width="8.5703125" style="289" customWidth="1"/>
    <col min="784" max="784" width="10.5703125" style="289" customWidth="1"/>
    <col min="785" max="785" width="5.5703125" style="289" customWidth="1"/>
    <col min="786" max="786" width="33.85546875" style="289" customWidth="1"/>
    <col min="787" max="787" width="8.7109375" style="289" customWidth="1"/>
    <col min="788" max="788" width="10.5703125" style="289" customWidth="1"/>
    <col min="789" max="790" width="11" style="289" customWidth="1"/>
    <col min="791" max="1025" width="10.28515625" style="289"/>
    <col min="1026" max="1026" width="4.7109375" style="289" customWidth="1"/>
    <col min="1027" max="1027" width="21.42578125" style="289" customWidth="1"/>
    <col min="1028" max="1028" width="6.42578125" style="289" customWidth="1"/>
    <col min="1029" max="1029" width="8.85546875" style="289" customWidth="1"/>
    <col min="1030" max="1030" width="9.140625" style="289" customWidth="1"/>
    <col min="1031" max="1031" width="14.28515625" style="289" customWidth="1"/>
    <col min="1032" max="1034" width="13.7109375" style="289" customWidth="1"/>
    <col min="1035" max="1035" width="13.140625" style="289" customWidth="1"/>
    <col min="1036" max="1037" width="13.7109375" style="289" customWidth="1"/>
    <col min="1038" max="1038" width="15.5703125" style="289" customWidth="1"/>
    <col min="1039" max="1039" width="8.5703125" style="289" customWidth="1"/>
    <col min="1040" max="1040" width="10.5703125" style="289" customWidth="1"/>
    <col min="1041" max="1041" width="5.5703125" style="289" customWidth="1"/>
    <col min="1042" max="1042" width="33.85546875" style="289" customWidth="1"/>
    <col min="1043" max="1043" width="8.7109375" style="289" customWidth="1"/>
    <col min="1044" max="1044" width="10.5703125" style="289" customWidth="1"/>
    <col min="1045" max="1046" width="11" style="289" customWidth="1"/>
    <col min="1047" max="1281" width="10.28515625" style="289"/>
    <col min="1282" max="1282" width="4.7109375" style="289" customWidth="1"/>
    <col min="1283" max="1283" width="21.42578125" style="289" customWidth="1"/>
    <col min="1284" max="1284" width="6.42578125" style="289" customWidth="1"/>
    <col min="1285" max="1285" width="8.85546875" style="289" customWidth="1"/>
    <col min="1286" max="1286" width="9.140625" style="289" customWidth="1"/>
    <col min="1287" max="1287" width="14.28515625" style="289" customWidth="1"/>
    <col min="1288" max="1290" width="13.7109375" style="289" customWidth="1"/>
    <col min="1291" max="1291" width="13.140625" style="289" customWidth="1"/>
    <col min="1292" max="1293" width="13.7109375" style="289" customWidth="1"/>
    <col min="1294" max="1294" width="15.5703125" style="289" customWidth="1"/>
    <col min="1295" max="1295" width="8.5703125" style="289" customWidth="1"/>
    <col min="1296" max="1296" width="10.5703125" style="289" customWidth="1"/>
    <col min="1297" max="1297" width="5.5703125" style="289" customWidth="1"/>
    <col min="1298" max="1298" width="33.85546875" style="289" customWidth="1"/>
    <col min="1299" max="1299" width="8.7109375" style="289" customWidth="1"/>
    <col min="1300" max="1300" width="10.5703125" style="289" customWidth="1"/>
    <col min="1301" max="1302" width="11" style="289" customWidth="1"/>
    <col min="1303" max="1537" width="10.28515625" style="289"/>
    <col min="1538" max="1538" width="4.7109375" style="289" customWidth="1"/>
    <col min="1539" max="1539" width="21.42578125" style="289" customWidth="1"/>
    <col min="1540" max="1540" width="6.42578125" style="289" customWidth="1"/>
    <col min="1541" max="1541" width="8.85546875" style="289" customWidth="1"/>
    <col min="1542" max="1542" width="9.140625" style="289" customWidth="1"/>
    <col min="1543" max="1543" width="14.28515625" style="289" customWidth="1"/>
    <col min="1544" max="1546" width="13.7109375" style="289" customWidth="1"/>
    <col min="1547" max="1547" width="13.140625" style="289" customWidth="1"/>
    <col min="1548" max="1549" width="13.7109375" style="289" customWidth="1"/>
    <col min="1550" max="1550" width="15.5703125" style="289" customWidth="1"/>
    <col min="1551" max="1551" width="8.5703125" style="289" customWidth="1"/>
    <col min="1552" max="1552" width="10.5703125" style="289" customWidth="1"/>
    <col min="1553" max="1553" width="5.5703125" style="289" customWidth="1"/>
    <col min="1554" max="1554" width="33.85546875" style="289" customWidth="1"/>
    <col min="1555" max="1555" width="8.7109375" style="289" customWidth="1"/>
    <col min="1556" max="1556" width="10.5703125" style="289" customWidth="1"/>
    <col min="1557" max="1558" width="11" style="289" customWidth="1"/>
    <col min="1559" max="1793" width="10.28515625" style="289"/>
    <col min="1794" max="1794" width="4.7109375" style="289" customWidth="1"/>
    <col min="1795" max="1795" width="21.42578125" style="289" customWidth="1"/>
    <col min="1796" max="1796" width="6.42578125" style="289" customWidth="1"/>
    <col min="1797" max="1797" width="8.85546875" style="289" customWidth="1"/>
    <col min="1798" max="1798" width="9.140625" style="289" customWidth="1"/>
    <col min="1799" max="1799" width="14.28515625" style="289" customWidth="1"/>
    <col min="1800" max="1802" width="13.7109375" style="289" customWidth="1"/>
    <col min="1803" max="1803" width="13.140625" style="289" customWidth="1"/>
    <col min="1804" max="1805" width="13.7109375" style="289" customWidth="1"/>
    <col min="1806" max="1806" width="15.5703125" style="289" customWidth="1"/>
    <col min="1807" max="1807" width="8.5703125" style="289" customWidth="1"/>
    <col min="1808" max="1808" width="10.5703125" style="289" customWidth="1"/>
    <col min="1809" max="1809" width="5.5703125" style="289" customWidth="1"/>
    <col min="1810" max="1810" width="33.85546875" style="289" customWidth="1"/>
    <col min="1811" max="1811" width="8.7109375" style="289" customWidth="1"/>
    <col min="1812" max="1812" width="10.5703125" style="289" customWidth="1"/>
    <col min="1813" max="1814" width="11" style="289" customWidth="1"/>
    <col min="1815" max="2049" width="10.28515625" style="289"/>
    <col min="2050" max="2050" width="4.7109375" style="289" customWidth="1"/>
    <col min="2051" max="2051" width="21.42578125" style="289" customWidth="1"/>
    <col min="2052" max="2052" width="6.42578125" style="289" customWidth="1"/>
    <col min="2053" max="2053" width="8.85546875" style="289" customWidth="1"/>
    <col min="2054" max="2054" width="9.140625" style="289" customWidth="1"/>
    <col min="2055" max="2055" width="14.28515625" style="289" customWidth="1"/>
    <col min="2056" max="2058" width="13.7109375" style="289" customWidth="1"/>
    <col min="2059" max="2059" width="13.140625" style="289" customWidth="1"/>
    <col min="2060" max="2061" width="13.7109375" style="289" customWidth="1"/>
    <col min="2062" max="2062" width="15.5703125" style="289" customWidth="1"/>
    <col min="2063" max="2063" width="8.5703125" style="289" customWidth="1"/>
    <col min="2064" max="2064" width="10.5703125" style="289" customWidth="1"/>
    <col min="2065" max="2065" width="5.5703125" style="289" customWidth="1"/>
    <col min="2066" max="2066" width="33.85546875" style="289" customWidth="1"/>
    <col min="2067" max="2067" width="8.7109375" style="289" customWidth="1"/>
    <col min="2068" max="2068" width="10.5703125" style="289" customWidth="1"/>
    <col min="2069" max="2070" width="11" style="289" customWidth="1"/>
    <col min="2071" max="2305" width="10.28515625" style="289"/>
    <col min="2306" max="2306" width="4.7109375" style="289" customWidth="1"/>
    <col min="2307" max="2307" width="21.42578125" style="289" customWidth="1"/>
    <col min="2308" max="2308" width="6.42578125" style="289" customWidth="1"/>
    <col min="2309" max="2309" width="8.85546875" style="289" customWidth="1"/>
    <col min="2310" max="2310" width="9.140625" style="289" customWidth="1"/>
    <col min="2311" max="2311" width="14.28515625" style="289" customWidth="1"/>
    <col min="2312" max="2314" width="13.7109375" style="289" customWidth="1"/>
    <col min="2315" max="2315" width="13.140625" style="289" customWidth="1"/>
    <col min="2316" max="2317" width="13.7109375" style="289" customWidth="1"/>
    <col min="2318" max="2318" width="15.5703125" style="289" customWidth="1"/>
    <col min="2319" max="2319" width="8.5703125" style="289" customWidth="1"/>
    <col min="2320" max="2320" width="10.5703125" style="289" customWidth="1"/>
    <col min="2321" max="2321" width="5.5703125" style="289" customWidth="1"/>
    <col min="2322" max="2322" width="33.85546875" style="289" customWidth="1"/>
    <col min="2323" max="2323" width="8.7109375" style="289" customWidth="1"/>
    <col min="2324" max="2324" width="10.5703125" style="289" customWidth="1"/>
    <col min="2325" max="2326" width="11" style="289" customWidth="1"/>
    <col min="2327" max="2561" width="10.28515625" style="289"/>
    <col min="2562" max="2562" width="4.7109375" style="289" customWidth="1"/>
    <col min="2563" max="2563" width="21.42578125" style="289" customWidth="1"/>
    <col min="2564" max="2564" width="6.42578125" style="289" customWidth="1"/>
    <col min="2565" max="2565" width="8.85546875" style="289" customWidth="1"/>
    <col min="2566" max="2566" width="9.140625" style="289" customWidth="1"/>
    <col min="2567" max="2567" width="14.28515625" style="289" customWidth="1"/>
    <col min="2568" max="2570" width="13.7109375" style="289" customWidth="1"/>
    <col min="2571" max="2571" width="13.140625" style="289" customWidth="1"/>
    <col min="2572" max="2573" width="13.7109375" style="289" customWidth="1"/>
    <col min="2574" max="2574" width="15.5703125" style="289" customWidth="1"/>
    <col min="2575" max="2575" width="8.5703125" style="289" customWidth="1"/>
    <col min="2576" max="2576" width="10.5703125" style="289" customWidth="1"/>
    <col min="2577" max="2577" width="5.5703125" style="289" customWidth="1"/>
    <col min="2578" max="2578" width="33.85546875" style="289" customWidth="1"/>
    <col min="2579" max="2579" width="8.7109375" style="289" customWidth="1"/>
    <col min="2580" max="2580" width="10.5703125" style="289" customWidth="1"/>
    <col min="2581" max="2582" width="11" style="289" customWidth="1"/>
    <col min="2583" max="2817" width="10.28515625" style="289"/>
    <col min="2818" max="2818" width="4.7109375" style="289" customWidth="1"/>
    <col min="2819" max="2819" width="21.42578125" style="289" customWidth="1"/>
    <col min="2820" max="2820" width="6.42578125" style="289" customWidth="1"/>
    <col min="2821" max="2821" width="8.85546875" style="289" customWidth="1"/>
    <col min="2822" max="2822" width="9.140625" style="289" customWidth="1"/>
    <col min="2823" max="2823" width="14.28515625" style="289" customWidth="1"/>
    <col min="2824" max="2826" width="13.7109375" style="289" customWidth="1"/>
    <col min="2827" max="2827" width="13.140625" style="289" customWidth="1"/>
    <col min="2828" max="2829" width="13.7109375" style="289" customWidth="1"/>
    <col min="2830" max="2830" width="15.5703125" style="289" customWidth="1"/>
    <col min="2831" max="2831" width="8.5703125" style="289" customWidth="1"/>
    <col min="2832" max="2832" width="10.5703125" style="289" customWidth="1"/>
    <col min="2833" max="2833" width="5.5703125" style="289" customWidth="1"/>
    <col min="2834" max="2834" width="33.85546875" style="289" customWidth="1"/>
    <col min="2835" max="2835" width="8.7109375" style="289" customWidth="1"/>
    <col min="2836" max="2836" width="10.5703125" style="289" customWidth="1"/>
    <col min="2837" max="2838" width="11" style="289" customWidth="1"/>
    <col min="2839" max="3073" width="10.28515625" style="289"/>
    <col min="3074" max="3074" width="4.7109375" style="289" customWidth="1"/>
    <col min="3075" max="3075" width="21.42578125" style="289" customWidth="1"/>
    <col min="3076" max="3076" width="6.42578125" style="289" customWidth="1"/>
    <col min="3077" max="3077" width="8.85546875" style="289" customWidth="1"/>
    <col min="3078" max="3078" width="9.140625" style="289" customWidth="1"/>
    <col min="3079" max="3079" width="14.28515625" style="289" customWidth="1"/>
    <col min="3080" max="3082" width="13.7109375" style="289" customWidth="1"/>
    <col min="3083" max="3083" width="13.140625" style="289" customWidth="1"/>
    <col min="3084" max="3085" width="13.7109375" style="289" customWidth="1"/>
    <col min="3086" max="3086" width="15.5703125" style="289" customWidth="1"/>
    <col min="3087" max="3087" width="8.5703125" style="289" customWidth="1"/>
    <col min="3088" max="3088" width="10.5703125" style="289" customWidth="1"/>
    <col min="3089" max="3089" width="5.5703125" style="289" customWidth="1"/>
    <col min="3090" max="3090" width="33.85546875" style="289" customWidth="1"/>
    <col min="3091" max="3091" width="8.7109375" style="289" customWidth="1"/>
    <col min="3092" max="3092" width="10.5703125" style="289" customWidth="1"/>
    <col min="3093" max="3094" width="11" style="289" customWidth="1"/>
    <col min="3095" max="3329" width="10.28515625" style="289"/>
    <col min="3330" max="3330" width="4.7109375" style="289" customWidth="1"/>
    <col min="3331" max="3331" width="21.42578125" style="289" customWidth="1"/>
    <col min="3332" max="3332" width="6.42578125" style="289" customWidth="1"/>
    <col min="3333" max="3333" width="8.85546875" style="289" customWidth="1"/>
    <col min="3334" max="3334" width="9.140625" style="289" customWidth="1"/>
    <col min="3335" max="3335" width="14.28515625" style="289" customWidth="1"/>
    <col min="3336" max="3338" width="13.7109375" style="289" customWidth="1"/>
    <col min="3339" max="3339" width="13.140625" style="289" customWidth="1"/>
    <col min="3340" max="3341" width="13.7109375" style="289" customWidth="1"/>
    <col min="3342" max="3342" width="15.5703125" style="289" customWidth="1"/>
    <col min="3343" max="3343" width="8.5703125" style="289" customWidth="1"/>
    <col min="3344" max="3344" width="10.5703125" style="289" customWidth="1"/>
    <col min="3345" max="3345" width="5.5703125" style="289" customWidth="1"/>
    <col min="3346" max="3346" width="33.85546875" style="289" customWidth="1"/>
    <col min="3347" max="3347" width="8.7109375" style="289" customWidth="1"/>
    <col min="3348" max="3348" width="10.5703125" style="289" customWidth="1"/>
    <col min="3349" max="3350" width="11" style="289" customWidth="1"/>
    <col min="3351" max="3585" width="10.28515625" style="289"/>
    <col min="3586" max="3586" width="4.7109375" style="289" customWidth="1"/>
    <col min="3587" max="3587" width="21.42578125" style="289" customWidth="1"/>
    <col min="3588" max="3588" width="6.42578125" style="289" customWidth="1"/>
    <col min="3589" max="3589" width="8.85546875" style="289" customWidth="1"/>
    <col min="3590" max="3590" width="9.140625" style="289" customWidth="1"/>
    <col min="3591" max="3591" width="14.28515625" style="289" customWidth="1"/>
    <col min="3592" max="3594" width="13.7109375" style="289" customWidth="1"/>
    <col min="3595" max="3595" width="13.140625" style="289" customWidth="1"/>
    <col min="3596" max="3597" width="13.7109375" style="289" customWidth="1"/>
    <col min="3598" max="3598" width="15.5703125" style="289" customWidth="1"/>
    <col min="3599" max="3599" width="8.5703125" style="289" customWidth="1"/>
    <col min="3600" max="3600" width="10.5703125" style="289" customWidth="1"/>
    <col min="3601" max="3601" width="5.5703125" style="289" customWidth="1"/>
    <col min="3602" max="3602" width="33.85546875" style="289" customWidth="1"/>
    <col min="3603" max="3603" width="8.7109375" style="289" customWidth="1"/>
    <col min="3604" max="3604" width="10.5703125" style="289" customWidth="1"/>
    <col min="3605" max="3606" width="11" style="289" customWidth="1"/>
    <col min="3607" max="3841" width="10.28515625" style="289"/>
    <col min="3842" max="3842" width="4.7109375" style="289" customWidth="1"/>
    <col min="3843" max="3843" width="21.42578125" style="289" customWidth="1"/>
    <col min="3844" max="3844" width="6.42578125" style="289" customWidth="1"/>
    <col min="3845" max="3845" width="8.85546875" style="289" customWidth="1"/>
    <col min="3846" max="3846" width="9.140625" style="289" customWidth="1"/>
    <col min="3847" max="3847" width="14.28515625" style="289" customWidth="1"/>
    <col min="3848" max="3850" width="13.7109375" style="289" customWidth="1"/>
    <col min="3851" max="3851" width="13.140625" style="289" customWidth="1"/>
    <col min="3852" max="3853" width="13.7109375" style="289" customWidth="1"/>
    <col min="3854" max="3854" width="15.5703125" style="289" customWidth="1"/>
    <col min="3855" max="3855" width="8.5703125" style="289" customWidth="1"/>
    <col min="3856" max="3856" width="10.5703125" style="289" customWidth="1"/>
    <col min="3857" max="3857" width="5.5703125" style="289" customWidth="1"/>
    <col min="3858" max="3858" width="33.85546875" style="289" customWidth="1"/>
    <col min="3859" max="3859" width="8.7109375" style="289" customWidth="1"/>
    <col min="3860" max="3860" width="10.5703125" style="289" customWidth="1"/>
    <col min="3861" max="3862" width="11" style="289" customWidth="1"/>
    <col min="3863" max="4097" width="10.28515625" style="289"/>
    <col min="4098" max="4098" width="4.7109375" style="289" customWidth="1"/>
    <col min="4099" max="4099" width="21.42578125" style="289" customWidth="1"/>
    <col min="4100" max="4100" width="6.42578125" style="289" customWidth="1"/>
    <col min="4101" max="4101" width="8.85546875" style="289" customWidth="1"/>
    <col min="4102" max="4102" width="9.140625" style="289" customWidth="1"/>
    <col min="4103" max="4103" width="14.28515625" style="289" customWidth="1"/>
    <col min="4104" max="4106" width="13.7109375" style="289" customWidth="1"/>
    <col min="4107" max="4107" width="13.140625" style="289" customWidth="1"/>
    <col min="4108" max="4109" width="13.7109375" style="289" customWidth="1"/>
    <col min="4110" max="4110" width="15.5703125" style="289" customWidth="1"/>
    <col min="4111" max="4111" width="8.5703125" style="289" customWidth="1"/>
    <col min="4112" max="4112" width="10.5703125" style="289" customWidth="1"/>
    <col min="4113" max="4113" width="5.5703125" style="289" customWidth="1"/>
    <col min="4114" max="4114" width="33.85546875" style="289" customWidth="1"/>
    <col min="4115" max="4115" width="8.7109375" style="289" customWidth="1"/>
    <col min="4116" max="4116" width="10.5703125" style="289" customWidth="1"/>
    <col min="4117" max="4118" width="11" style="289" customWidth="1"/>
    <col min="4119" max="4353" width="10.28515625" style="289"/>
    <col min="4354" max="4354" width="4.7109375" style="289" customWidth="1"/>
    <col min="4355" max="4355" width="21.42578125" style="289" customWidth="1"/>
    <col min="4356" max="4356" width="6.42578125" style="289" customWidth="1"/>
    <col min="4357" max="4357" width="8.85546875" style="289" customWidth="1"/>
    <col min="4358" max="4358" width="9.140625" style="289" customWidth="1"/>
    <col min="4359" max="4359" width="14.28515625" style="289" customWidth="1"/>
    <col min="4360" max="4362" width="13.7109375" style="289" customWidth="1"/>
    <col min="4363" max="4363" width="13.140625" style="289" customWidth="1"/>
    <col min="4364" max="4365" width="13.7109375" style="289" customWidth="1"/>
    <col min="4366" max="4366" width="15.5703125" style="289" customWidth="1"/>
    <col min="4367" max="4367" width="8.5703125" style="289" customWidth="1"/>
    <col min="4368" max="4368" width="10.5703125" style="289" customWidth="1"/>
    <col min="4369" max="4369" width="5.5703125" style="289" customWidth="1"/>
    <col min="4370" max="4370" width="33.85546875" style="289" customWidth="1"/>
    <col min="4371" max="4371" width="8.7109375" style="289" customWidth="1"/>
    <col min="4372" max="4372" width="10.5703125" style="289" customWidth="1"/>
    <col min="4373" max="4374" width="11" style="289" customWidth="1"/>
    <col min="4375" max="4609" width="10.28515625" style="289"/>
    <col min="4610" max="4610" width="4.7109375" style="289" customWidth="1"/>
    <col min="4611" max="4611" width="21.42578125" style="289" customWidth="1"/>
    <col min="4612" max="4612" width="6.42578125" style="289" customWidth="1"/>
    <col min="4613" max="4613" width="8.85546875" style="289" customWidth="1"/>
    <col min="4614" max="4614" width="9.140625" style="289" customWidth="1"/>
    <col min="4615" max="4615" width="14.28515625" style="289" customWidth="1"/>
    <col min="4616" max="4618" width="13.7109375" style="289" customWidth="1"/>
    <col min="4619" max="4619" width="13.140625" style="289" customWidth="1"/>
    <col min="4620" max="4621" width="13.7109375" style="289" customWidth="1"/>
    <col min="4622" max="4622" width="15.5703125" style="289" customWidth="1"/>
    <col min="4623" max="4623" width="8.5703125" style="289" customWidth="1"/>
    <col min="4624" max="4624" width="10.5703125" style="289" customWidth="1"/>
    <col min="4625" max="4625" width="5.5703125" style="289" customWidth="1"/>
    <col min="4626" max="4626" width="33.85546875" style="289" customWidth="1"/>
    <col min="4627" max="4627" width="8.7109375" style="289" customWidth="1"/>
    <col min="4628" max="4628" width="10.5703125" style="289" customWidth="1"/>
    <col min="4629" max="4630" width="11" style="289" customWidth="1"/>
    <col min="4631" max="4865" width="10.28515625" style="289"/>
    <col min="4866" max="4866" width="4.7109375" style="289" customWidth="1"/>
    <col min="4867" max="4867" width="21.42578125" style="289" customWidth="1"/>
    <col min="4868" max="4868" width="6.42578125" style="289" customWidth="1"/>
    <col min="4869" max="4869" width="8.85546875" style="289" customWidth="1"/>
    <col min="4870" max="4870" width="9.140625" style="289" customWidth="1"/>
    <col min="4871" max="4871" width="14.28515625" style="289" customWidth="1"/>
    <col min="4872" max="4874" width="13.7109375" style="289" customWidth="1"/>
    <col min="4875" max="4875" width="13.140625" style="289" customWidth="1"/>
    <col min="4876" max="4877" width="13.7109375" style="289" customWidth="1"/>
    <col min="4878" max="4878" width="15.5703125" style="289" customWidth="1"/>
    <col min="4879" max="4879" width="8.5703125" style="289" customWidth="1"/>
    <col min="4880" max="4880" width="10.5703125" style="289" customWidth="1"/>
    <col min="4881" max="4881" width="5.5703125" style="289" customWidth="1"/>
    <col min="4882" max="4882" width="33.85546875" style="289" customWidth="1"/>
    <col min="4883" max="4883" width="8.7109375" style="289" customWidth="1"/>
    <col min="4884" max="4884" width="10.5703125" style="289" customWidth="1"/>
    <col min="4885" max="4886" width="11" style="289" customWidth="1"/>
    <col min="4887" max="5121" width="10.28515625" style="289"/>
    <col min="5122" max="5122" width="4.7109375" style="289" customWidth="1"/>
    <col min="5123" max="5123" width="21.42578125" style="289" customWidth="1"/>
    <col min="5124" max="5124" width="6.42578125" style="289" customWidth="1"/>
    <col min="5125" max="5125" width="8.85546875" style="289" customWidth="1"/>
    <col min="5126" max="5126" width="9.140625" style="289" customWidth="1"/>
    <col min="5127" max="5127" width="14.28515625" style="289" customWidth="1"/>
    <col min="5128" max="5130" width="13.7109375" style="289" customWidth="1"/>
    <col min="5131" max="5131" width="13.140625" style="289" customWidth="1"/>
    <col min="5132" max="5133" width="13.7109375" style="289" customWidth="1"/>
    <col min="5134" max="5134" width="15.5703125" style="289" customWidth="1"/>
    <col min="5135" max="5135" width="8.5703125" style="289" customWidth="1"/>
    <col min="5136" max="5136" width="10.5703125" style="289" customWidth="1"/>
    <col min="5137" max="5137" width="5.5703125" style="289" customWidth="1"/>
    <col min="5138" max="5138" width="33.85546875" style="289" customWidth="1"/>
    <col min="5139" max="5139" width="8.7109375" style="289" customWidth="1"/>
    <col min="5140" max="5140" width="10.5703125" style="289" customWidth="1"/>
    <col min="5141" max="5142" width="11" style="289" customWidth="1"/>
    <col min="5143" max="5377" width="10.28515625" style="289"/>
    <col min="5378" max="5378" width="4.7109375" style="289" customWidth="1"/>
    <col min="5379" max="5379" width="21.42578125" style="289" customWidth="1"/>
    <col min="5380" max="5380" width="6.42578125" style="289" customWidth="1"/>
    <col min="5381" max="5381" width="8.85546875" style="289" customWidth="1"/>
    <col min="5382" max="5382" width="9.140625" style="289" customWidth="1"/>
    <col min="5383" max="5383" width="14.28515625" style="289" customWidth="1"/>
    <col min="5384" max="5386" width="13.7109375" style="289" customWidth="1"/>
    <col min="5387" max="5387" width="13.140625" style="289" customWidth="1"/>
    <col min="5388" max="5389" width="13.7109375" style="289" customWidth="1"/>
    <col min="5390" max="5390" width="15.5703125" style="289" customWidth="1"/>
    <col min="5391" max="5391" width="8.5703125" style="289" customWidth="1"/>
    <col min="5392" max="5392" width="10.5703125" style="289" customWidth="1"/>
    <col min="5393" max="5393" width="5.5703125" style="289" customWidth="1"/>
    <col min="5394" max="5394" width="33.85546875" style="289" customWidth="1"/>
    <col min="5395" max="5395" width="8.7109375" style="289" customWidth="1"/>
    <col min="5396" max="5396" width="10.5703125" style="289" customWidth="1"/>
    <col min="5397" max="5398" width="11" style="289" customWidth="1"/>
    <col min="5399" max="5633" width="10.28515625" style="289"/>
    <col min="5634" max="5634" width="4.7109375" style="289" customWidth="1"/>
    <col min="5635" max="5635" width="21.42578125" style="289" customWidth="1"/>
    <col min="5636" max="5636" width="6.42578125" style="289" customWidth="1"/>
    <col min="5637" max="5637" width="8.85546875" style="289" customWidth="1"/>
    <col min="5638" max="5638" width="9.140625" style="289" customWidth="1"/>
    <col min="5639" max="5639" width="14.28515625" style="289" customWidth="1"/>
    <col min="5640" max="5642" width="13.7109375" style="289" customWidth="1"/>
    <col min="5643" max="5643" width="13.140625" style="289" customWidth="1"/>
    <col min="5644" max="5645" width="13.7109375" style="289" customWidth="1"/>
    <col min="5646" max="5646" width="15.5703125" style="289" customWidth="1"/>
    <col min="5647" max="5647" width="8.5703125" style="289" customWidth="1"/>
    <col min="5648" max="5648" width="10.5703125" style="289" customWidth="1"/>
    <col min="5649" max="5649" width="5.5703125" style="289" customWidth="1"/>
    <col min="5650" max="5650" width="33.85546875" style="289" customWidth="1"/>
    <col min="5651" max="5651" width="8.7109375" style="289" customWidth="1"/>
    <col min="5652" max="5652" width="10.5703125" style="289" customWidth="1"/>
    <col min="5653" max="5654" width="11" style="289" customWidth="1"/>
    <col min="5655" max="5889" width="10.28515625" style="289"/>
    <col min="5890" max="5890" width="4.7109375" style="289" customWidth="1"/>
    <col min="5891" max="5891" width="21.42578125" style="289" customWidth="1"/>
    <col min="5892" max="5892" width="6.42578125" style="289" customWidth="1"/>
    <col min="5893" max="5893" width="8.85546875" style="289" customWidth="1"/>
    <col min="5894" max="5894" width="9.140625" style="289" customWidth="1"/>
    <col min="5895" max="5895" width="14.28515625" style="289" customWidth="1"/>
    <col min="5896" max="5898" width="13.7109375" style="289" customWidth="1"/>
    <col min="5899" max="5899" width="13.140625" style="289" customWidth="1"/>
    <col min="5900" max="5901" width="13.7109375" style="289" customWidth="1"/>
    <col min="5902" max="5902" width="15.5703125" style="289" customWidth="1"/>
    <col min="5903" max="5903" width="8.5703125" style="289" customWidth="1"/>
    <col min="5904" max="5904" width="10.5703125" style="289" customWidth="1"/>
    <col min="5905" max="5905" width="5.5703125" style="289" customWidth="1"/>
    <col min="5906" max="5906" width="33.85546875" style="289" customWidth="1"/>
    <col min="5907" max="5907" width="8.7109375" style="289" customWidth="1"/>
    <col min="5908" max="5908" width="10.5703125" style="289" customWidth="1"/>
    <col min="5909" max="5910" width="11" style="289" customWidth="1"/>
    <col min="5911" max="6145" width="10.28515625" style="289"/>
    <col min="6146" max="6146" width="4.7109375" style="289" customWidth="1"/>
    <col min="6147" max="6147" width="21.42578125" style="289" customWidth="1"/>
    <col min="6148" max="6148" width="6.42578125" style="289" customWidth="1"/>
    <col min="6149" max="6149" width="8.85546875" style="289" customWidth="1"/>
    <col min="6150" max="6150" width="9.140625" style="289" customWidth="1"/>
    <col min="6151" max="6151" width="14.28515625" style="289" customWidth="1"/>
    <col min="6152" max="6154" width="13.7109375" style="289" customWidth="1"/>
    <col min="6155" max="6155" width="13.140625" style="289" customWidth="1"/>
    <col min="6156" max="6157" width="13.7109375" style="289" customWidth="1"/>
    <col min="6158" max="6158" width="15.5703125" style="289" customWidth="1"/>
    <col min="6159" max="6159" width="8.5703125" style="289" customWidth="1"/>
    <col min="6160" max="6160" width="10.5703125" style="289" customWidth="1"/>
    <col min="6161" max="6161" width="5.5703125" style="289" customWidth="1"/>
    <col min="6162" max="6162" width="33.85546875" style="289" customWidth="1"/>
    <col min="6163" max="6163" width="8.7109375" style="289" customWidth="1"/>
    <col min="6164" max="6164" width="10.5703125" style="289" customWidth="1"/>
    <col min="6165" max="6166" width="11" style="289" customWidth="1"/>
    <col min="6167" max="6401" width="10.28515625" style="289"/>
    <col min="6402" max="6402" width="4.7109375" style="289" customWidth="1"/>
    <col min="6403" max="6403" width="21.42578125" style="289" customWidth="1"/>
    <col min="6404" max="6404" width="6.42578125" style="289" customWidth="1"/>
    <col min="6405" max="6405" width="8.85546875" style="289" customWidth="1"/>
    <col min="6406" max="6406" width="9.140625" style="289" customWidth="1"/>
    <col min="6407" max="6407" width="14.28515625" style="289" customWidth="1"/>
    <col min="6408" max="6410" width="13.7109375" style="289" customWidth="1"/>
    <col min="6411" max="6411" width="13.140625" style="289" customWidth="1"/>
    <col min="6412" max="6413" width="13.7109375" style="289" customWidth="1"/>
    <col min="6414" max="6414" width="15.5703125" style="289" customWidth="1"/>
    <col min="6415" max="6415" width="8.5703125" style="289" customWidth="1"/>
    <col min="6416" max="6416" width="10.5703125" style="289" customWidth="1"/>
    <col min="6417" max="6417" width="5.5703125" style="289" customWidth="1"/>
    <col min="6418" max="6418" width="33.85546875" style="289" customWidth="1"/>
    <col min="6419" max="6419" width="8.7109375" style="289" customWidth="1"/>
    <col min="6420" max="6420" width="10.5703125" style="289" customWidth="1"/>
    <col min="6421" max="6422" width="11" style="289" customWidth="1"/>
    <col min="6423" max="6657" width="10.28515625" style="289"/>
    <col min="6658" max="6658" width="4.7109375" style="289" customWidth="1"/>
    <col min="6659" max="6659" width="21.42578125" style="289" customWidth="1"/>
    <col min="6660" max="6660" width="6.42578125" style="289" customWidth="1"/>
    <col min="6661" max="6661" width="8.85546875" style="289" customWidth="1"/>
    <col min="6662" max="6662" width="9.140625" style="289" customWidth="1"/>
    <col min="6663" max="6663" width="14.28515625" style="289" customWidth="1"/>
    <col min="6664" max="6666" width="13.7109375" style="289" customWidth="1"/>
    <col min="6667" max="6667" width="13.140625" style="289" customWidth="1"/>
    <col min="6668" max="6669" width="13.7109375" style="289" customWidth="1"/>
    <col min="6670" max="6670" width="15.5703125" style="289" customWidth="1"/>
    <col min="6671" max="6671" width="8.5703125" style="289" customWidth="1"/>
    <col min="6672" max="6672" width="10.5703125" style="289" customWidth="1"/>
    <col min="6673" max="6673" width="5.5703125" style="289" customWidth="1"/>
    <col min="6674" max="6674" width="33.85546875" style="289" customWidth="1"/>
    <col min="6675" max="6675" width="8.7109375" style="289" customWidth="1"/>
    <col min="6676" max="6676" width="10.5703125" style="289" customWidth="1"/>
    <col min="6677" max="6678" width="11" style="289" customWidth="1"/>
    <col min="6679" max="6913" width="10.28515625" style="289"/>
    <col min="6914" max="6914" width="4.7109375" style="289" customWidth="1"/>
    <col min="6915" max="6915" width="21.42578125" style="289" customWidth="1"/>
    <col min="6916" max="6916" width="6.42578125" style="289" customWidth="1"/>
    <col min="6917" max="6917" width="8.85546875" style="289" customWidth="1"/>
    <col min="6918" max="6918" width="9.140625" style="289" customWidth="1"/>
    <col min="6919" max="6919" width="14.28515625" style="289" customWidth="1"/>
    <col min="6920" max="6922" width="13.7109375" style="289" customWidth="1"/>
    <col min="6923" max="6923" width="13.140625" style="289" customWidth="1"/>
    <col min="6924" max="6925" width="13.7109375" style="289" customWidth="1"/>
    <col min="6926" max="6926" width="15.5703125" style="289" customWidth="1"/>
    <col min="6927" max="6927" width="8.5703125" style="289" customWidth="1"/>
    <col min="6928" max="6928" width="10.5703125" style="289" customWidth="1"/>
    <col min="6929" max="6929" width="5.5703125" style="289" customWidth="1"/>
    <col min="6930" max="6930" width="33.85546875" style="289" customWidth="1"/>
    <col min="6931" max="6931" width="8.7109375" style="289" customWidth="1"/>
    <col min="6932" max="6932" width="10.5703125" style="289" customWidth="1"/>
    <col min="6933" max="6934" width="11" style="289" customWidth="1"/>
    <col min="6935" max="7169" width="10.28515625" style="289"/>
    <col min="7170" max="7170" width="4.7109375" style="289" customWidth="1"/>
    <col min="7171" max="7171" width="21.42578125" style="289" customWidth="1"/>
    <col min="7172" max="7172" width="6.42578125" style="289" customWidth="1"/>
    <col min="7173" max="7173" width="8.85546875" style="289" customWidth="1"/>
    <col min="7174" max="7174" width="9.140625" style="289" customWidth="1"/>
    <col min="7175" max="7175" width="14.28515625" style="289" customWidth="1"/>
    <col min="7176" max="7178" width="13.7109375" style="289" customWidth="1"/>
    <col min="7179" max="7179" width="13.140625" style="289" customWidth="1"/>
    <col min="7180" max="7181" width="13.7109375" style="289" customWidth="1"/>
    <col min="7182" max="7182" width="15.5703125" style="289" customWidth="1"/>
    <col min="7183" max="7183" width="8.5703125" style="289" customWidth="1"/>
    <col min="7184" max="7184" width="10.5703125" style="289" customWidth="1"/>
    <col min="7185" max="7185" width="5.5703125" style="289" customWidth="1"/>
    <col min="7186" max="7186" width="33.85546875" style="289" customWidth="1"/>
    <col min="7187" max="7187" width="8.7109375" style="289" customWidth="1"/>
    <col min="7188" max="7188" width="10.5703125" style="289" customWidth="1"/>
    <col min="7189" max="7190" width="11" style="289" customWidth="1"/>
    <col min="7191" max="7425" width="10.28515625" style="289"/>
    <col min="7426" max="7426" width="4.7109375" style="289" customWidth="1"/>
    <col min="7427" max="7427" width="21.42578125" style="289" customWidth="1"/>
    <col min="7428" max="7428" width="6.42578125" style="289" customWidth="1"/>
    <col min="7429" max="7429" width="8.85546875" style="289" customWidth="1"/>
    <col min="7430" max="7430" width="9.140625" style="289" customWidth="1"/>
    <col min="7431" max="7431" width="14.28515625" style="289" customWidth="1"/>
    <col min="7432" max="7434" width="13.7109375" style="289" customWidth="1"/>
    <col min="7435" max="7435" width="13.140625" style="289" customWidth="1"/>
    <col min="7436" max="7437" width="13.7109375" style="289" customWidth="1"/>
    <col min="7438" max="7438" width="15.5703125" style="289" customWidth="1"/>
    <col min="7439" max="7439" width="8.5703125" style="289" customWidth="1"/>
    <col min="7440" max="7440" width="10.5703125" style="289" customWidth="1"/>
    <col min="7441" max="7441" width="5.5703125" style="289" customWidth="1"/>
    <col min="7442" max="7442" width="33.85546875" style="289" customWidth="1"/>
    <col min="7443" max="7443" width="8.7109375" style="289" customWidth="1"/>
    <col min="7444" max="7444" width="10.5703125" style="289" customWidth="1"/>
    <col min="7445" max="7446" width="11" style="289" customWidth="1"/>
    <col min="7447" max="7681" width="10.28515625" style="289"/>
    <col min="7682" max="7682" width="4.7109375" style="289" customWidth="1"/>
    <col min="7683" max="7683" width="21.42578125" style="289" customWidth="1"/>
    <col min="7684" max="7684" width="6.42578125" style="289" customWidth="1"/>
    <col min="7685" max="7685" width="8.85546875" style="289" customWidth="1"/>
    <col min="7686" max="7686" width="9.140625" style="289" customWidth="1"/>
    <col min="7687" max="7687" width="14.28515625" style="289" customWidth="1"/>
    <col min="7688" max="7690" width="13.7109375" style="289" customWidth="1"/>
    <col min="7691" max="7691" width="13.140625" style="289" customWidth="1"/>
    <col min="7692" max="7693" width="13.7109375" style="289" customWidth="1"/>
    <col min="7694" max="7694" width="15.5703125" style="289" customWidth="1"/>
    <col min="7695" max="7695" width="8.5703125" style="289" customWidth="1"/>
    <col min="7696" max="7696" width="10.5703125" style="289" customWidth="1"/>
    <col min="7697" max="7697" width="5.5703125" style="289" customWidth="1"/>
    <col min="7698" max="7698" width="33.85546875" style="289" customWidth="1"/>
    <col min="7699" max="7699" width="8.7109375" style="289" customWidth="1"/>
    <col min="7700" max="7700" width="10.5703125" style="289" customWidth="1"/>
    <col min="7701" max="7702" width="11" style="289" customWidth="1"/>
    <col min="7703" max="7937" width="10.28515625" style="289"/>
    <col min="7938" max="7938" width="4.7109375" style="289" customWidth="1"/>
    <col min="7939" max="7939" width="21.42578125" style="289" customWidth="1"/>
    <col min="7940" max="7940" width="6.42578125" style="289" customWidth="1"/>
    <col min="7941" max="7941" width="8.85546875" style="289" customWidth="1"/>
    <col min="7942" max="7942" width="9.140625" style="289" customWidth="1"/>
    <col min="7943" max="7943" width="14.28515625" style="289" customWidth="1"/>
    <col min="7944" max="7946" width="13.7109375" style="289" customWidth="1"/>
    <col min="7947" max="7947" width="13.140625" style="289" customWidth="1"/>
    <col min="7948" max="7949" width="13.7109375" style="289" customWidth="1"/>
    <col min="7950" max="7950" width="15.5703125" style="289" customWidth="1"/>
    <col min="7951" max="7951" width="8.5703125" style="289" customWidth="1"/>
    <col min="7952" max="7952" width="10.5703125" style="289" customWidth="1"/>
    <col min="7953" max="7953" width="5.5703125" style="289" customWidth="1"/>
    <col min="7954" max="7954" width="33.85546875" style="289" customWidth="1"/>
    <col min="7955" max="7955" width="8.7109375" style="289" customWidth="1"/>
    <col min="7956" max="7956" width="10.5703125" style="289" customWidth="1"/>
    <col min="7957" max="7958" width="11" style="289" customWidth="1"/>
    <col min="7959" max="8193" width="10.28515625" style="289"/>
    <col min="8194" max="8194" width="4.7109375" style="289" customWidth="1"/>
    <col min="8195" max="8195" width="21.42578125" style="289" customWidth="1"/>
    <col min="8196" max="8196" width="6.42578125" style="289" customWidth="1"/>
    <col min="8197" max="8197" width="8.85546875" style="289" customWidth="1"/>
    <col min="8198" max="8198" width="9.140625" style="289" customWidth="1"/>
    <col min="8199" max="8199" width="14.28515625" style="289" customWidth="1"/>
    <col min="8200" max="8202" width="13.7109375" style="289" customWidth="1"/>
    <col min="8203" max="8203" width="13.140625" style="289" customWidth="1"/>
    <col min="8204" max="8205" width="13.7109375" style="289" customWidth="1"/>
    <col min="8206" max="8206" width="15.5703125" style="289" customWidth="1"/>
    <col min="8207" max="8207" width="8.5703125" style="289" customWidth="1"/>
    <col min="8208" max="8208" width="10.5703125" style="289" customWidth="1"/>
    <col min="8209" max="8209" width="5.5703125" style="289" customWidth="1"/>
    <col min="8210" max="8210" width="33.85546875" style="289" customWidth="1"/>
    <col min="8211" max="8211" width="8.7109375" style="289" customWidth="1"/>
    <col min="8212" max="8212" width="10.5703125" style="289" customWidth="1"/>
    <col min="8213" max="8214" width="11" style="289" customWidth="1"/>
    <col min="8215" max="8449" width="10.28515625" style="289"/>
    <col min="8450" max="8450" width="4.7109375" style="289" customWidth="1"/>
    <col min="8451" max="8451" width="21.42578125" style="289" customWidth="1"/>
    <col min="8452" max="8452" width="6.42578125" style="289" customWidth="1"/>
    <col min="8453" max="8453" width="8.85546875" style="289" customWidth="1"/>
    <col min="8454" max="8454" width="9.140625" style="289" customWidth="1"/>
    <col min="8455" max="8455" width="14.28515625" style="289" customWidth="1"/>
    <col min="8456" max="8458" width="13.7109375" style="289" customWidth="1"/>
    <col min="8459" max="8459" width="13.140625" style="289" customWidth="1"/>
    <col min="8460" max="8461" width="13.7109375" style="289" customWidth="1"/>
    <col min="8462" max="8462" width="15.5703125" style="289" customWidth="1"/>
    <col min="8463" max="8463" width="8.5703125" style="289" customWidth="1"/>
    <col min="8464" max="8464" width="10.5703125" style="289" customWidth="1"/>
    <col min="8465" max="8465" width="5.5703125" style="289" customWidth="1"/>
    <col min="8466" max="8466" width="33.85546875" style="289" customWidth="1"/>
    <col min="8467" max="8467" width="8.7109375" style="289" customWidth="1"/>
    <col min="8468" max="8468" width="10.5703125" style="289" customWidth="1"/>
    <col min="8469" max="8470" width="11" style="289" customWidth="1"/>
    <col min="8471" max="8705" width="10.28515625" style="289"/>
    <col min="8706" max="8706" width="4.7109375" style="289" customWidth="1"/>
    <col min="8707" max="8707" width="21.42578125" style="289" customWidth="1"/>
    <col min="8708" max="8708" width="6.42578125" style="289" customWidth="1"/>
    <col min="8709" max="8709" width="8.85546875" style="289" customWidth="1"/>
    <col min="8710" max="8710" width="9.140625" style="289" customWidth="1"/>
    <col min="8711" max="8711" width="14.28515625" style="289" customWidth="1"/>
    <col min="8712" max="8714" width="13.7109375" style="289" customWidth="1"/>
    <col min="8715" max="8715" width="13.140625" style="289" customWidth="1"/>
    <col min="8716" max="8717" width="13.7109375" style="289" customWidth="1"/>
    <col min="8718" max="8718" width="15.5703125" style="289" customWidth="1"/>
    <col min="8719" max="8719" width="8.5703125" style="289" customWidth="1"/>
    <col min="8720" max="8720" width="10.5703125" style="289" customWidth="1"/>
    <col min="8721" max="8721" width="5.5703125" style="289" customWidth="1"/>
    <col min="8722" max="8722" width="33.85546875" style="289" customWidth="1"/>
    <col min="8723" max="8723" width="8.7109375" style="289" customWidth="1"/>
    <col min="8724" max="8724" width="10.5703125" style="289" customWidth="1"/>
    <col min="8725" max="8726" width="11" style="289" customWidth="1"/>
    <col min="8727" max="8961" width="10.28515625" style="289"/>
    <col min="8962" max="8962" width="4.7109375" style="289" customWidth="1"/>
    <col min="8963" max="8963" width="21.42578125" style="289" customWidth="1"/>
    <col min="8964" max="8964" width="6.42578125" style="289" customWidth="1"/>
    <col min="8965" max="8965" width="8.85546875" style="289" customWidth="1"/>
    <col min="8966" max="8966" width="9.140625" style="289" customWidth="1"/>
    <col min="8967" max="8967" width="14.28515625" style="289" customWidth="1"/>
    <col min="8968" max="8970" width="13.7109375" style="289" customWidth="1"/>
    <col min="8971" max="8971" width="13.140625" style="289" customWidth="1"/>
    <col min="8972" max="8973" width="13.7109375" style="289" customWidth="1"/>
    <col min="8974" max="8974" width="15.5703125" style="289" customWidth="1"/>
    <col min="8975" max="8975" width="8.5703125" style="289" customWidth="1"/>
    <col min="8976" max="8976" width="10.5703125" style="289" customWidth="1"/>
    <col min="8977" max="8977" width="5.5703125" style="289" customWidth="1"/>
    <col min="8978" max="8978" width="33.85546875" style="289" customWidth="1"/>
    <col min="8979" max="8979" width="8.7109375" style="289" customWidth="1"/>
    <col min="8980" max="8980" width="10.5703125" style="289" customWidth="1"/>
    <col min="8981" max="8982" width="11" style="289" customWidth="1"/>
    <col min="8983" max="9217" width="10.28515625" style="289"/>
    <col min="9218" max="9218" width="4.7109375" style="289" customWidth="1"/>
    <col min="9219" max="9219" width="21.42578125" style="289" customWidth="1"/>
    <col min="9220" max="9220" width="6.42578125" style="289" customWidth="1"/>
    <col min="9221" max="9221" width="8.85546875" style="289" customWidth="1"/>
    <col min="9222" max="9222" width="9.140625" style="289" customWidth="1"/>
    <col min="9223" max="9223" width="14.28515625" style="289" customWidth="1"/>
    <col min="9224" max="9226" width="13.7109375" style="289" customWidth="1"/>
    <col min="9227" max="9227" width="13.140625" style="289" customWidth="1"/>
    <col min="9228" max="9229" width="13.7109375" style="289" customWidth="1"/>
    <col min="9230" max="9230" width="15.5703125" style="289" customWidth="1"/>
    <col min="9231" max="9231" width="8.5703125" style="289" customWidth="1"/>
    <col min="9232" max="9232" width="10.5703125" style="289" customWidth="1"/>
    <col min="9233" max="9233" width="5.5703125" style="289" customWidth="1"/>
    <col min="9234" max="9234" width="33.85546875" style="289" customWidth="1"/>
    <col min="9235" max="9235" width="8.7109375" style="289" customWidth="1"/>
    <col min="9236" max="9236" width="10.5703125" style="289" customWidth="1"/>
    <col min="9237" max="9238" width="11" style="289" customWidth="1"/>
    <col min="9239" max="9473" width="10.28515625" style="289"/>
    <col min="9474" max="9474" width="4.7109375" style="289" customWidth="1"/>
    <col min="9475" max="9475" width="21.42578125" style="289" customWidth="1"/>
    <col min="9476" max="9476" width="6.42578125" style="289" customWidth="1"/>
    <col min="9477" max="9477" width="8.85546875" style="289" customWidth="1"/>
    <col min="9478" max="9478" width="9.140625" style="289" customWidth="1"/>
    <col min="9479" max="9479" width="14.28515625" style="289" customWidth="1"/>
    <col min="9480" max="9482" width="13.7109375" style="289" customWidth="1"/>
    <col min="9483" max="9483" width="13.140625" style="289" customWidth="1"/>
    <col min="9484" max="9485" width="13.7109375" style="289" customWidth="1"/>
    <col min="9486" max="9486" width="15.5703125" style="289" customWidth="1"/>
    <col min="9487" max="9487" width="8.5703125" style="289" customWidth="1"/>
    <col min="9488" max="9488" width="10.5703125" style="289" customWidth="1"/>
    <col min="9489" max="9489" width="5.5703125" style="289" customWidth="1"/>
    <col min="9490" max="9490" width="33.85546875" style="289" customWidth="1"/>
    <col min="9491" max="9491" width="8.7109375" style="289" customWidth="1"/>
    <col min="9492" max="9492" width="10.5703125" style="289" customWidth="1"/>
    <col min="9493" max="9494" width="11" style="289" customWidth="1"/>
    <col min="9495" max="9729" width="10.28515625" style="289"/>
    <col min="9730" max="9730" width="4.7109375" style="289" customWidth="1"/>
    <col min="9731" max="9731" width="21.42578125" style="289" customWidth="1"/>
    <col min="9732" max="9732" width="6.42578125" style="289" customWidth="1"/>
    <col min="9733" max="9733" width="8.85546875" style="289" customWidth="1"/>
    <col min="9734" max="9734" width="9.140625" style="289" customWidth="1"/>
    <col min="9735" max="9735" width="14.28515625" style="289" customWidth="1"/>
    <col min="9736" max="9738" width="13.7109375" style="289" customWidth="1"/>
    <col min="9739" max="9739" width="13.140625" style="289" customWidth="1"/>
    <col min="9740" max="9741" width="13.7109375" style="289" customWidth="1"/>
    <col min="9742" max="9742" width="15.5703125" style="289" customWidth="1"/>
    <col min="9743" max="9743" width="8.5703125" style="289" customWidth="1"/>
    <col min="9744" max="9744" width="10.5703125" style="289" customWidth="1"/>
    <col min="9745" max="9745" width="5.5703125" style="289" customWidth="1"/>
    <col min="9746" max="9746" width="33.85546875" style="289" customWidth="1"/>
    <col min="9747" max="9747" width="8.7109375" style="289" customWidth="1"/>
    <col min="9748" max="9748" width="10.5703125" style="289" customWidth="1"/>
    <col min="9749" max="9750" width="11" style="289" customWidth="1"/>
    <col min="9751" max="9985" width="10.28515625" style="289"/>
    <col min="9986" max="9986" width="4.7109375" style="289" customWidth="1"/>
    <col min="9987" max="9987" width="21.42578125" style="289" customWidth="1"/>
    <col min="9988" max="9988" width="6.42578125" style="289" customWidth="1"/>
    <col min="9989" max="9989" width="8.85546875" style="289" customWidth="1"/>
    <col min="9990" max="9990" width="9.140625" style="289" customWidth="1"/>
    <col min="9991" max="9991" width="14.28515625" style="289" customWidth="1"/>
    <col min="9992" max="9994" width="13.7109375" style="289" customWidth="1"/>
    <col min="9995" max="9995" width="13.140625" style="289" customWidth="1"/>
    <col min="9996" max="9997" width="13.7109375" style="289" customWidth="1"/>
    <col min="9998" max="9998" width="15.5703125" style="289" customWidth="1"/>
    <col min="9999" max="9999" width="8.5703125" style="289" customWidth="1"/>
    <col min="10000" max="10000" width="10.5703125" style="289" customWidth="1"/>
    <col min="10001" max="10001" width="5.5703125" style="289" customWidth="1"/>
    <col min="10002" max="10002" width="33.85546875" style="289" customWidth="1"/>
    <col min="10003" max="10003" width="8.7109375" style="289" customWidth="1"/>
    <col min="10004" max="10004" width="10.5703125" style="289" customWidth="1"/>
    <col min="10005" max="10006" width="11" style="289" customWidth="1"/>
    <col min="10007" max="10241" width="10.28515625" style="289"/>
    <col min="10242" max="10242" width="4.7109375" style="289" customWidth="1"/>
    <col min="10243" max="10243" width="21.42578125" style="289" customWidth="1"/>
    <col min="10244" max="10244" width="6.42578125" style="289" customWidth="1"/>
    <col min="10245" max="10245" width="8.85546875" style="289" customWidth="1"/>
    <col min="10246" max="10246" width="9.140625" style="289" customWidth="1"/>
    <col min="10247" max="10247" width="14.28515625" style="289" customWidth="1"/>
    <col min="10248" max="10250" width="13.7109375" style="289" customWidth="1"/>
    <col min="10251" max="10251" width="13.140625" style="289" customWidth="1"/>
    <col min="10252" max="10253" width="13.7109375" style="289" customWidth="1"/>
    <col min="10254" max="10254" width="15.5703125" style="289" customWidth="1"/>
    <col min="10255" max="10255" width="8.5703125" style="289" customWidth="1"/>
    <col min="10256" max="10256" width="10.5703125" style="289" customWidth="1"/>
    <col min="10257" max="10257" width="5.5703125" style="289" customWidth="1"/>
    <col min="10258" max="10258" width="33.85546875" style="289" customWidth="1"/>
    <col min="10259" max="10259" width="8.7109375" style="289" customWidth="1"/>
    <col min="10260" max="10260" width="10.5703125" style="289" customWidth="1"/>
    <col min="10261" max="10262" width="11" style="289" customWidth="1"/>
    <col min="10263" max="10497" width="10.28515625" style="289"/>
    <col min="10498" max="10498" width="4.7109375" style="289" customWidth="1"/>
    <col min="10499" max="10499" width="21.42578125" style="289" customWidth="1"/>
    <col min="10500" max="10500" width="6.42578125" style="289" customWidth="1"/>
    <col min="10501" max="10501" width="8.85546875" style="289" customWidth="1"/>
    <col min="10502" max="10502" width="9.140625" style="289" customWidth="1"/>
    <col min="10503" max="10503" width="14.28515625" style="289" customWidth="1"/>
    <col min="10504" max="10506" width="13.7109375" style="289" customWidth="1"/>
    <col min="10507" max="10507" width="13.140625" style="289" customWidth="1"/>
    <col min="10508" max="10509" width="13.7109375" style="289" customWidth="1"/>
    <col min="10510" max="10510" width="15.5703125" style="289" customWidth="1"/>
    <col min="10511" max="10511" width="8.5703125" style="289" customWidth="1"/>
    <col min="10512" max="10512" width="10.5703125" style="289" customWidth="1"/>
    <col min="10513" max="10513" width="5.5703125" style="289" customWidth="1"/>
    <col min="10514" max="10514" width="33.85546875" style="289" customWidth="1"/>
    <col min="10515" max="10515" width="8.7109375" style="289" customWidth="1"/>
    <col min="10516" max="10516" width="10.5703125" style="289" customWidth="1"/>
    <col min="10517" max="10518" width="11" style="289" customWidth="1"/>
    <col min="10519" max="10753" width="10.28515625" style="289"/>
    <col min="10754" max="10754" width="4.7109375" style="289" customWidth="1"/>
    <col min="10755" max="10755" width="21.42578125" style="289" customWidth="1"/>
    <col min="10756" max="10756" width="6.42578125" style="289" customWidth="1"/>
    <col min="10757" max="10757" width="8.85546875" style="289" customWidth="1"/>
    <col min="10758" max="10758" width="9.140625" style="289" customWidth="1"/>
    <col min="10759" max="10759" width="14.28515625" style="289" customWidth="1"/>
    <col min="10760" max="10762" width="13.7109375" style="289" customWidth="1"/>
    <col min="10763" max="10763" width="13.140625" style="289" customWidth="1"/>
    <col min="10764" max="10765" width="13.7109375" style="289" customWidth="1"/>
    <col min="10766" max="10766" width="15.5703125" style="289" customWidth="1"/>
    <col min="10767" max="10767" width="8.5703125" style="289" customWidth="1"/>
    <col min="10768" max="10768" width="10.5703125" style="289" customWidth="1"/>
    <col min="10769" max="10769" width="5.5703125" style="289" customWidth="1"/>
    <col min="10770" max="10770" width="33.85546875" style="289" customWidth="1"/>
    <col min="10771" max="10771" width="8.7109375" style="289" customWidth="1"/>
    <col min="10772" max="10772" width="10.5703125" style="289" customWidth="1"/>
    <col min="10773" max="10774" width="11" style="289" customWidth="1"/>
    <col min="10775" max="11009" width="10.28515625" style="289"/>
    <col min="11010" max="11010" width="4.7109375" style="289" customWidth="1"/>
    <col min="11011" max="11011" width="21.42578125" style="289" customWidth="1"/>
    <col min="11012" max="11012" width="6.42578125" style="289" customWidth="1"/>
    <col min="11013" max="11013" width="8.85546875" style="289" customWidth="1"/>
    <col min="11014" max="11014" width="9.140625" style="289" customWidth="1"/>
    <col min="11015" max="11015" width="14.28515625" style="289" customWidth="1"/>
    <col min="11016" max="11018" width="13.7109375" style="289" customWidth="1"/>
    <col min="11019" max="11019" width="13.140625" style="289" customWidth="1"/>
    <col min="11020" max="11021" width="13.7109375" style="289" customWidth="1"/>
    <col min="11022" max="11022" width="15.5703125" style="289" customWidth="1"/>
    <col min="11023" max="11023" width="8.5703125" style="289" customWidth="1"/>
    <col min="11024" max="11024" width="10.5703125" style="289" customWidth="1"/>
    <col min="11025" max="11025" width="5.5703125" style="289" customWidth="1"/>
    <col min="11026" max="11026" width="33.85546875" style="289" customWidth="1"/>
    <col min="11027" max="11027" width="8.7109375" style="289" customWidth="1"/>
    <col min="11028" max="11028" width="10.5703125" style="289" customWidth="1"/>
    <col min="11029" max="11030" width="11" style="289" customWidth="1"/>
    <col min="11031" max="11265" width="10.28515625" style="289"/>
    <col min="11266" max="11266" width="4.7109375" style="289" customWidth="1"/>
    <col min="11267" max="11267" width="21.42578125" style="289" customWidth="1"/>
    <col min="11268" max="11268" width="6.42578125" style="289" customWidth="1"/>
    <col min="11269" max="11269" width="8.85546875" style="289" customWidth="1"/>
    <col min="11270" max="11270" width="9.140625" style="289" customWidth="1"/>
    <col min="11271" max="11271" width="14.28515625" style="289" customWidth="1"/>
    <col min="11272" max="11274" width="13.7109375" style="289" customWidth="1"/>
    <col min="11275" max="11275" width="13.140625" style="289" customWidth="1"/>
    <col min="11276" max="11277" width="13.7109375" style="289" customWidth="1"/>
    <col min="11278" max="11278" width="15.5703125" style="289" customWidth="1"/>
    <col min="11279" max="11279" width="8.5703125" style="289" customWidth="1"/>
    <col min="11280" max="11280" width="10.5703125" style="289" customWidth="1"/>
    <col min="11281" max="11281" width="5.5703125" style="289" customWidth="1"/>
    <col min="11282" max="11282" width="33.85546875" style="289" customWidth="1"/>
    <col min="11283" max="11283" width="8.7109375" style="289" customWidth="1"/>
    <col min="11284" max="11284" width="10.5703125" style="289" customWidth="1"/>
    <col min="11285" max="11286" width="11" style="289" customWidth="1"/>
    <col min="11287" max="11521" width="10.28515625" style="289"/>
    <col min="11522" max="11522" width="4.7109375" style="289" customWidth="1"/>
    <col min="11523" max="11523" width="21.42578125" style="289" customWidth="1"/>
    <col min="11524" max="11524" width="6.42578125" style="289" customWidth="1"/>
    <col min="11525" max="11525" width="8.85546875" style="289" customWidth="1"/>
    <col min="11526" max="11526" width="9.140625" style="289" customWidth="1"/>
    <col min="11527" max="11527" width="14.28515625" style="289" customWidth="1"/>
    <col min="11528" max="11530" width="13.7109375" style="289" customWidth="1"/>
    <col min="11531" max="11531" width="13.140625" style="289" customWidth="1"/>
    <col min="11532" max="11533" width="13.7109375" style="289" customWidth="1"/>
    <col min="11534" max="11534" width="15.5703125" style="289" customWidth="1"/>
    <col min="11535" max="11535" width="8.5703125" style="289" customWidth="1"/>
    <col min="11536" max="11536" width="10.5703125" style="289" customWidth="1"/>
    <col min="11537" max="11537" width="5.5703125" style="289" customWidth="1"/>
    <col min="11538" max="11538" width="33.85546875" style="289" customWidth="1"/>
    <col min="11539" max="11539" width="8.7109375" style="289" customWidth="1"/>
    <col min="11540" max="11540" width="10.5703125" style="289" customWidth="1"/>
    <col min="11541" max="11542" width="11" style="289" customWidth="1"/>
    <col min="11543" max="11777" width="10.28515625" style="289"/>
    <col min="11778" max="11778" width="4.7109375" style="289" customWidth="1"/>
    <col min="11779" max="11779" width="21.42578125" style="289" customWidth="1"/>
    <col min="11780" max="11780" width="6.42578125" style="289" customWidth="1"/>
    <col min="11781" max="11781" width="8.85546875" style="289" customWidth="1"/>
    <col min="11782" max="11782" width="9.140625" style="289" customWidth="1"/>
    <col min="11783" max="11783" width="14.28515625" style="289" customWidth="1"/>
    <col min="11784" max="11786" width="13.7109375" style="289" customWidth="1"/>
    <col min="11787" max="11787" width="13.140625" style="289" customWidth="1"/>
    <col min="11788" max="11789" width="13.7109375" style="289" customWidth="1"/>
    <col min="11790" max="11790" width="15.5703125" style="289" customWidth="1"/>
    <col min="11791" max="11791" width="8.5703125" style="289" customWidth="1"/>
    <col min="11792" max="11792" width="10.5703125" style="289" customWidth="1"/>
    <col min="11793" max="11793" width="5.5703125" style="289" customWidth="1"/>
    <col min="11794" max="11794" width="33.85546875" style="289" customWidth="1"/>
    <col min="11795" max="11795" width="8.7109375" style="289" customWidth="1"/>
    <col min="11796" max="11796" width="10.5703125" style="289" customWidth="1"/>
    <col min="11797" max="11798" width="11" style="289" customWidth="1"/>
    <col min="11799" max="12033" width="10.28515625" style="289"/>
    <col min="12034" max="12034" width="4.7109375" style="289" customWidth="1"/>
    <col min="12035" max="12035" width="21.42578125" style="289" customWidth="1"/>
    <col min="12036" max="12036" width="6.42578125" style="289" customWidth="1"/>
    <col min="12037" max="12037" width="8.85546875" style="289" customWidth="1"/>
    <col min="12038" max="12038" width="9.140625" style="289" customWidth="1"/>
    <col min="12039" max="12039" width="14.28515625" style="289" customWidth="1"/>
    <col min="12040" max="12042" width="13.7109375" style="289" customWidth="1"/>
    <col min="12043" max="12043" width="13.140625" style="289" customWidth="1"/>
    <col min="12044" max="12045" width="13.7109375" style="289" customWidth="1"/>
    <col min="12046" max="12046" width="15.5703125" style="289" customWidth="1"/>
    <col min="12047" max="12047" width="8.5703125" style="289" customWidth="1"/>
    <col min="12048" max="12048" width="10.5703125" style="289" customWidth="1"/>
    <col min="12049" max="12049" width="5.5703125" style="289" customWidth="1"/>
    <col min="12050" max="12050" width="33.85546875" style="289" customWidth="1"/>
    <col min="12051" max="12051" width="8.7109375" style="289" customWidth="1"/>
    <col min="12052" max="12052" width="10.5703125" style="289" customWidth="1"/>
    <col min="12053" max="12054" width="11" style="289" customWidth="1"/>
    <col min="12055" max="12289" width="10.28515625" style="289"/>
    <col min="12290" max="12290" width="4.7109375" style="289" customWidth="1"/>
    <col min="12291" max="12291" width="21.42578125" style="289" customWidth="1"/>
    <col min="12292" max="12292" width="6.42578125" style="289" customWidth="1"/>
    <col min="12293" max="12293" width="8.85546875" style="289" customWidth="1"/>
    <col min="12294" max="12294" width="9.140625" style="289" customWidth="1"/>
    <col min="12295" max="12295" width="14.28515625" style="289" customWidth="1"/>
    <col min="12296" max="12298" width="13.7109375" style="289" customWidth="1"/>
    <col min="12299" max="12299" width="13.140625" style="289" customWidth="1"/>
    <col min="12300" max="12301" width="13.7109375" style="289" customWidth="1"/>
    <col min="12302" max="12302" width="15.5703125" style="289" customWidth="1"/>
    <col min="12303" max="12303" width="8.5703125" style="289" customWidth="1"/>
    <col min="12304" max="12304" width="10.5703125" style="289" customWidth="1"/>
    <col min="12305" max="12305" width="5.5703125" style="289" customWidth="1"/>
    <col min="12306" max="12306" width="33.85546875" style="289" customWidth="1"/>
    <col min="12307" max="12307" width="8.7109375" style="289" customWidth="1"/>
    <col min="12308" max="12308" width="10.5703125" style="289" customWidth="1"/>
    <col min="12309" max="12310" width="11" style="289" customWidth="1"/>
    <col min="12311" max="12545" width="10.28515625" style="289"/>
    <col min="12546" max="12546" width="4.7109375" style="289" customWidth="1"/>
    <col min="12547" max="12547" width="21.42578125" style="289" customWidth="1"/>
    <col min="12548" max="12548" width="6.42578125" style="289" customWidth="1"/>
    <col min="12549" max="12549" width="8.85546875" style="289" customWidth="1"/>
    <col min="12550" max="12550" width="9.140625" style="289" customWidth="1"/>
    <col min="12551" max="12551" width="14.28515625" style="289" customWidth="1"/>
    <col min="12552" max="12554" width="13.7109375" style="289" customWidth="1"/>
    <col min="12555" max="12555" width="13.140625" style="289" customWidth="1"/>
    <col min="12556" max="12557" width="13.7109375" style="289" customWidth="1"/>
    <col min="12558" max="12558" width="15.5703125" style="289" customWidth="1"/>
    <col min="12559" max="12559" width="8.5703125" style="289" customWidth="1"/>
    <col min="12560" max="12560" width="10.5703125" style="289" customWidth="1"/>
    <col min="12561" max="12561" width="5.5703125" style="289" customWidth="1"/>
    <col min="12562" max="12562" width="33.85546875" style="289" customWidth="1"/>
    <col min="12563" max="12563" width="8.7109375" style="289" customWidth="1"/>
    <col min="12564" max="12564" width="10.5703125" style="289" customWidth="1"/>
    <col min="12565" max="12566" width="11" style="289" customWidth="1"/>
    <col min="12567" max="12801" width="10.28515625" style="289"/>
    <col min="12802" max="12802" width="4.7109375" style="289" customWidth="1"/>
    <col min="12803" max="12803" width="21.42578125" style="289" customWidth="1"/>
    <col min="12804" max="12804" width="6.42578125" style="289" customWidth="1"/>
    <col min="12805" max="12805" width="8.85546875" style="289" customWidth="1"/>
    <col min="12806" max="12806" width="9.140625" style="289" customWidth="1"/>
    <col min="12807" max="12807" width="14.28515625" style="289" customWidth="1"/>
    <col min="12808" max="12810" width="13.7109375" style="289" customWidth="1"/>
    <col min="12811" max="12811" width="13.140625" style="289" customWidth="1"/>
    <col min="12812" max="12813" width="13.7109375" style="289" customWidth="1"/>
    <col min="12814" max="12814" width="15.5703125" style="289" customWidth="1"/>
    <col min="12815" max="12815" width="8.5703125" style="289" customWidth="1"/>
    <col min="12816" max="12816" width="10.5703125" style="289" customWidth="1"/>
    <col min="12817" max="12817" width="5.5703125" style="289" customWidth="1"/>
    <col min="12818" max="12818" width="33.85546875" style="289" customWidth="1"/>
    <col min="12819" max="12819" width="8.7109375" style="289" customWidth="1"/>
    <col min="12820" max="12820" width="10.5703125" style="289" customWidth="1"/>
    <col min="12821" max="12822" width="11" style="289" customWidth="1"/>
    <col min="12823" max="13057" width="10.28515625" style="289"/>
    <col min="13058" max="13058" width="4.7109375" style="289" customWidth="1"/>
    <col min="13059" max="13059" width="21.42578125" style="289" customWidth="1"/>
    <col min="13060" max="13060" width="6.42578125" style="289" customWidth="1"/>
    <col min="13061" max="13061" width="8.85546875" style="289" customWidth="1"/>
    <col min="13062" max="13062" width="9.140625" style="289" customWidth="1"/>
    <col min="13063" max="13063" width="14.28515625" style="289" customWidth="1"/>
    <col min="13064" max="13066" width="13.7109375" style="289" customWidth="1"/>
    <col min="13067" max="13067" width="13.140625" style="289" customWidth="1"/>
    <col min="13068" max="13069" width="13.7109375" style="289" customWidth="1"/>
    <col min="13070" max="13070" width="15.5703125" style="289" customWidth="1"/>
    <col min="13071" max="13071" width="8.5703125" style="289" customWidth="1"/>
    <col min="13072" max="13072" width="10.5703125" style="289" customWidth="1"/>
    <col min="13073" max="13073" width="5.5703125" style="289" customWidth="1"/>
    <col min="13074" max="13074" width="33.85546875" style="289" customWidth="1"/>
    <col min="13075" max="13075" width="8.7109375" style="289" customWidth="1"/>
    <col min="13076" max="13076" width="10.5703125" style="289" customWidth="1"/>
    <col min="13077" max="13078" width="11" style="289" customWidth="1"/>
    <col min="13079" max="13313" width="10.28515625" style="289"/>
    <col min="13314" max="13314" width="4.7109375" style="289" customWidth="1"/>
    <col min="13315" max="13315" width="21.42578125" style="289" customWidth="1"/>
    <col min="13316" max="13316" width="6.42578125" style="289" customWidth="1"/>
    <col min="13317" max="13317" width="8.85546875" style="289" customWidth="1"/>
    <col min="13318" max="13318" width="9.140625" style="289" customWidth="1"/>
    <col min="13319" max="13319" width="14.28515625" style="289" customWidth="1"/>
    <col min="13320" max="13322" width="13.7109375" style="289" customWidth="1"/>
    <col min="13323" max="13323" width="13.140625" style="289" customWidth="1"/>
    <col min="13324" max="13325" width="13.7109375" style="289" customWidth="1"/>
    <col min="13326" max="13326" width="15.5703125" style="289" customWidth="1"/>
    <col min="13327" max="13327" width="8.5703125" style="289" customWidth="1"/>
    <col min="13328" max="13328" width="10.5703125" style="289" customWidth="1"/>
    <col min="13329" max="13329" width="5.5703125" style="289" customWidth="1"/>
    <col min="13330" max="13330" width="33.85546875" style="289" customWidth="1"/>
    <col min="13331" max="13331" width="8.7109375" style="289" customWidth="1"/>
    <col min="13332" max="13332" width="10.5703125" style="289" customWidth="1"/>
    <col min="13333" max="13334" width="11" style="289" customWidth="1"/>
    <col min="13335" max="13569" width="10.28515625" style="289"/>
    <col min="13570" max="13570" width="4.7109375" style="289" customWidth="1"/>
    <col min="13571" max="13571" width="21.42578125" style="289" customWidth="1"/>
    <col min="13572" max="13572" width="6.42578125" style="289" customWidth="1"/>
    <col min="13573" max="13573" width="8.85546875" style="289" customWidth="1"/>
    <col min="13574" max="13574" width="9.140625" style="289" customWidth="1"/>
    <col min="13575" max="13575" width="14.28515625" style="289" customWidth="1"/>
    <col min="13576" max="13578" width="13.7109375" style="289" customWidth="1"/>
    <col min="13579" max="13579" width="13.140625" style="289" customWidth="1"/>
    <col min="13580" max="13581" width="13.7109375" style="289" customWidth="1"/>
    <col min="13582" max="13582" width="15.5703125" style="289" customWidth="1"/>
    <col min="13583" max="13583" width="8.5703125" style="289" customWidth="1"/>
    <col min="13584" max="13584" width="10.5703125" style="289" customWidth="1"/>
    <col min="13585" max="13585" width="5.5703125" style="289" customWidth="1"/>
    <col min="13586" max="13586" width="33.85546875" style="289" customWidth="1"/>
    <col min="13587" max="13587" width="8.7109375" style="289" customWidth="1"/>
    <col min="13588" max="13588" width="10.5703125" style="289" customWidth="1"/>
    <col min="13589" max="13590" width="11" style="289" customWidth="1"/>
    <col min="13591" max="13825" width="10.28515625" style="289"/>
    <col min="13826" max="13826" width="4.7109375" style="289" customWidth="1"/>
    <col min="13827" max="13827" width="21.42578125" style="289" customWidth="1"/>
    <col min="13828" max="13828" width="6.42578125" style="289" customWidth="1"/>
    <col min="13829" max="13829" width="8.85546875" style="289" customWidth="1"/>
    <col min="13830" max="13830" width="9.140625" style="289" customWidth="1"/>
    <col min="13831" max="13831" width="14.28515625" style="289" customWidth="1"/>
    <col min="13832" max="13834" width="13.7109375" style="289" customWidth="1"/>
    <col min="13835" max="13835" width="13.140625" style="289" customWidth="1"/>
    <col min="13836" max="13837" width="13.7109375" style="289" customWidth="1"/>
    <col min="13838" max="13838" width="15.5703125" style="289" customWidth="1"/>
    <col min="13839" max="13839" width="8.5703125" style="289" customWidth="1"/>
    <col min="13840" max="13840" width="10.5703125" style="289" customWidth="1"/>
    <col min="13841" max="13841" width="5.5703125" style="289" customWidth="1"/>
    <col min="13842" max="13842" width="33.85546875" style="289" customWidth="1"/>
    <col min="13843" max="13843" width="8.7109375" style="289" customWidth="1"/>
    <col min="13844" max="13844" width="10.5703125" style="289" customWidth="1"/>
    <col min="13845" max="13846" width="11" style="289" customWidth="1"/>
    <col min="13847" max="14081" width="10.28515625" style="289"/>
    <col min="14082" max="14082" width="4.7109375" style="289" customWidth="1"/>
    <col min="14083" max="14083" width="21.42578125" style="289" customWidth="1"/>
    <col min="14084" max="14084" width="6.42578125" style="289" customWidth="1"/>
    <col min="14085" max="14085" width="8.85546875" style="289" customWidth="1"/>
    <col min="14086" max="14086" width="9.140625" style="289" customWidth="1"/>
    <col min="14087" max="14087" width="14.28515625" style="289" customWidth="1"/>
    <col min="14088" max="14090" width="13.7109375" style="289" customWidth="1"/>
    <col min="14091" max="14091" width="13.140625" style="289" customWidth="1"/>
    <col min="14092" max="14093" width="13.7109375" style="289" customWidth="1"/>
    <col min="14094" max="14094" width="15.5703125" style="289" customWidth="1"/>
    <col min="14095" max="14095" width="8.5703125" style="289" customWidth="1"/>
    <col min="14096" max="14096" width="10.5703125" style="289" customWidth="1"/>
    <col min="14097" max="14097" width="5.5703125" style="289" customWidth="1"/>
    <col min="14098" max="14098" width="33.85546875" style="289" customWidth="1"/>
    <col min="14099" max="14099" width="8.7109375" style="289" customWidth="1"/>
    <col min="14100" max="14100" width="10.5703125" style="289" customWidth="1"/>
    <col min="14101" max="14102" width="11" style="289" customWidth="1"/>
    <col min="14103" max="14337" width="10.28515625" style="289"/>
    <col min="14338" max="14338" width="4.7109375" style="289" customWidth="1"/>
    <col min="14339" max="14339" width="21.42578125" style="289" customWidth="1"/>
    <col min="14340" max="14340" width="6.42578125" style="289" customWidth="1"/>
    <col min="14341" max="14341" width="8.85546875" style="289" customWidth="1"/>
    <col min="14342" max="14342" width="9.140625" style="289" customWidth="1"/>
    <col min="14343" max="14343" width="14.28515625" style="289" customWidth="1"/>
    <col min="14344" max="14346" width="13.7109375" style="289" customWidth="1"/>
    <col min="14347" max="14347" width="13.140625" style="289" customWidth="1"/>
    <col min="14348" max="14349" width="13.7109375" style="289" customWidth="1"/>
    <col min="14350" max="14350" width="15.5703125" style="289" customWidth="1"/>
    <col min="14351" max="14351" width="8.5703125" style="289" customWidth="1"/>
    <col min="14352" max="14352" width="10.5703125" style="289" customWidth="1"/>
    <col min="14353" max="14353" width="5.5703125" style="289" customWidth="1"/>
    <col min="14354" max="14354" width="33.85546875" style="289" customWidth="1"/>
    <col min="14355" max="14355" width="8.7109375" style="289" customWidth="1"/>
    <col min="14356" max="14356" width="10.5703125" style="289" customWidth="1"/>
    <col min="14357" max="14358" width="11" style="289" customWidth="1"/>
    <col min="14359" max="14593" width="10.28515625" style="289"/>
    <col min="14594" max="14594" width="4.7109375" style="289" customWidth="1"/>
    <col min="14595" max="14595" width="21.42578125" style="289" customWidth="1"/>
    <col min="14596" max="14596" width="6.42578125" style="289" customWidth="1"/>
    <col min="14597" max="14597" width="8.85546875" style="289" customWidth="1"/>
    <col min="14598" max="14598" width="9.140625" style="289" customWidth="1"/>
    <col min="14599" max="14599" width="14.28515625" style="289" customWidth="1"/>
    <col min="14600" max="14602" width="13.7109375" style="289" customWidth="1"/>
    <col min="14603" max="14603" width="13.140625" style="289" customWidth="1"/>
    <col min="14604" max="14605" width="13.7109375" style="289" customWidth="1"/>
    <col min="14606" max="14606" width="15.5703125" style="289" customWidth="1"/>
    <col min="14607" max="14607" width="8.5703125" style="289" customWidth="1"/>
    <col min="14608" max="14608" width="10.5703125" style="289" customWidth="1"/>
    <col min="14609" max="14609" width="5.5703125" style="289" customWidth="1"/>
    <col min="14610" max="14610" width="33.85546875" style="289" customWidth="1"/>
    <col min="14611" max="14611" width="8.7109375" style="289" customWidth="1"/>
    <col min="14612" max="14612" width="10.5703125" style="289" customWidth="1"/>
    <col min="14613" max="14614" width="11" style="289" customWidth="1"/>
    <col min="14615" max="14849" width="10.28515625" style="289"/>
    <col min="14850" max="14850" width="4.7109375" style="289" customWidth="1"/>
    <col min="14851" max="14851" width="21.42578125" style="289" customWidth="1"/>
    <col min="14852" max="14852" width="6.42578125" style="289" customWidth="1"/>
    <col min="14853" max="14853" width="8.85546875" style="289" customWidth="1"/>
    <col min="14854" max="14854" width="9.140625" style="289" customWidth="1"/>
    <col min="14855" max="14855" width="14.28515625" style="289" customWidth="1"/>
    <col min="14856" max="14858" width="13.7109375" style="289" customWidth="1"/>
    <col min="14859" max="14859" width="13.140625" style="289" customWidth="1"/>
    <col min="14860" max="14861" width="13.7109375" style="289" customWidth="1"/>
    <col min="14862" max="14862" width="15.5703125" style="289" customWidth="1"/>
    <col min="14863" max="14863" width="8.5703125" style="289" customWidth="1"/>
    <col min="14864" max="14864" width="10.5703125" style="289" customWidth="1"/>
    <col min="14865" max="14865" width="5.5703125" style="289" customWidth="1"/>
    <col min="14866" max="14866" width="33.85546875" style="289" customWidth="1"/>
    <col min="14867" max="14867" width="8.7109375" style="289" customWidth="1"/>
    <col min="14868" max="14868" width="10.5703125" style="289" customWidth="1"/>
    <col min="14869" max="14870" width="11" style="289" customWidth="1"/>
    <col min="14871" max="15105" width="10.28515625" style="289"/>
    <col min="15106" max="15106" width="4.7109375" style="289" customWidth="1"/>
    <col min="15107" max="15107" width="21.42578125" style="289" customWidth="1"/>
    <col min="15108" max="15108" width="6.42578125" style="289" customWidth="1"/>
    <col min="15109" max="15109" width="8.85546875" style="289" customWidth="1"/>
    <col min="15110" max="15110" width="9.140625" style="289" customWidth="1"/>
    <col min="15111" max="15111" width="14.28515625" style="289" customWidth="1"/>
    <col min="15112" max="15114" width="13.7109375" style="289" customWidth="1"/>
    <col min="15115" max="15115" width="13.140625" style="289" customWidth="1"/>
    <col min="15116" max="15117" width="13.7109375" style="289" customWidth="1"/>
    <col min="15118" max="15118" width="15.5703125" style="289" customWidth="1"/>
    <col min="15119" max="15119" width="8.5703125" style="289" customWidth="1"/>
    <col min="15120" max="15120" width="10.5703125" style="289" customWidth="1"/>
    <col min="15121" max="15121" width="5.5703125" style="289" customWidth="1"/>
    <col min="15122" max="15122" width="33.85546875" style="289" customWidth="1"/>
    <col min="15123" max="15123" width="8.7109375" style="289" customWidth="1"/>
    <col min="15124" max="15124" width="10.5703125" style="289" customWidth="1"/>
    <col min="15125" max="15126" width="11" style="289" customWidth="1"/>
    <col min="15127" max="15361" width="10.28515625" style="289"/>
    <col min="15362" max="15362" width="4.7109375" style="289" customWidth="1"/>
    <col min="15363" max="15363" width="21.42578125" style="289" customWidth="1"/>
    <col min="15364" max="15364" width="6.42578125" style="289" customWidth="1"/>
    <col min="15365" max="15365" width="8.85546875" style="289" customWidth="1"/>
    <col min="15366" max="15366" width="9.140625" style="289" customWidth="1"/>
    <col min="15367" max="15367" width="14.28515625" style="289" customWidth="1"/>
    <col min="15368" max="15370" width="13.7109375" style="289" customWidth="1"/>
    <col min="15371" max="15371" width="13.140625" style="289" customWidth="1"/>
    <col min="15372" max="15373" width="13.7109375" style="289" customWidth="1"/>
    <col min="15374" max="15374" width="15.5703125" style="289" customWidth="1"/>
    <col min="15375" max="15375" width="8.5703125" style="289" customWidth="1"/>
    <col min="15376" max="15376" width="10.5703125" style="289" customWidth="1"/>
    <col min="15377" max="15377" width="5.5703125" style="289" customWidth="1"/>
    <col min="15378" max="15378" width="33.85546875" style="289" customWidth="1"/>
    <col min="15379" max="15379" width="8.7109375" style="289" customWidth="1"/>
    <col min="15380" max="15380" width="10.5703125" style="289" customWidth="1"/>
    <col min="15381" max="15382" width="11" style="289" customWidth="1"/>
    <col min="15383" max="15617" width="10.28515625" style="289"/>
    <col min="15618" max="15618" width="4.7109375" style="289" customWidth="1"/>
    <col min="15619" max="15619" width="21.42578125" style="289" customWidth="1"/>
    <col min="15620" max="15620" width="6.42578125" style="289" customWidth="1"/>
    <col min="15621" max="15621" width="8.85546875" style="289" customWidth="1"/>
    <col min="15622" max="15622" width="9.140625" style="289" customWidth="1"/>
    <col min="15623" max="15623" width="14.28515625" style="289" customWidth="1"/>
    <col min="15624" max="15626" width="13.7109375" style="289" customWidth="1"/>
    <col min="15627" max="15627" width="13.140625" style="289" customWidth="1"/>
    <col min="15628" max="15629" width="13.7109375" style="289" customWidth="1"/>
    <col min="15630" max="15630" width="15.5703125" style="289" customWidth="1"/>
    <col min="15631" max="15631" width="8.5703125" style="289" customWidth="1"/>
    <col min="15632" max="15632" width="10.5703125" style="289" customWidth="1"/>
    <col min="15633" max="15633" width="5.5703125" style="289" customWidth="1"/>
    <col min="15634" max="15634" width="33.85546875" style="289" customWidth="1"/>
    <col min="15635" max="15635" width="8.7109375" style="289" customWidth="1"/>
    <col min="15636" max="15636" width="10.5703125" style="289" customWidth="1"/>
    <col min="15637" max="15638" width="11" style="289" customWidth="1"/>
    <col min="15639" max="15873" width="10.28515625" style="289"/>
    <col min="15874" max="15874" width="4.7109375" style="289" customWidth="1"/>
    <col min="15875" max="15875" width="21.42578125" style="289" customWidth="1"/>
    <col min="15876" max="15876" width="6.42578125" style="289" customWidth="1"/>
    <col min="15877" max="15877" width="8.85546875" style="289" customWidth="1"/>
    <col min="15878" max="15878" width="9.140625" style="289" customWidth="1"/>
    <col min="15879" max="15879" width="14.28515625" style="289" customWidth="1"/>
    <col min="15880" max="15882" width="13.7109375" style="289" customWidth="1"/>
    <col min="15883" max="15883" width="13.140625" style="289" customWidth="1"/>
    <col min="15884" max="15885" width="13.7109375" style="289" customWidth="1"/>
    <col min="15886" max="15886" width="15.5703125" style="289" customWidth="1"/>
    <col min="15887" max="15887" width="8.5703125" style="289" customWidth="1"/>
    <col min="15888" max="15888" width="10.5703125" style="289" customWidth="1"/>
    <col min="15889" max="15889" width="5.5703125" style="289" customWidth="1"/>
    <col min="15890" max="15890" width="33.85546875" style="289" customWidth="1"/>
    <col min="15891" max="15891" width="8.7109375" style="289" customWidth="1"/>
    <col min="15892" max="15892" width="10.5703125" style="289" customWidth="1"/>
    <col min="15893" max="15894" width="11" style="289" customWidth="1"/>
    <col min="15895" max="16129" width="10.28515625" style="289"/>
    <col min="16130" max="16130" width="4.7109375" style="289" customWidth="1"/>
    <col min="16131" max="16131" width="21.42578125" style="289" customWidth="1"/>
    <col min="16132" max="16132" width="6.42578125" style="289" customWidth="1"/>
    <col min="16133" max="16133" width="8.85546875" style="289" customWidth="1"/>
    <col min="16134" max="16134" width="9.140625" style="289" customWidth="1"/>
    <col min="16135" max="16135" width="14.28515625" style="289" customWidth="1"/>
    <col min="16136" max="16138" width="13.7109375" style="289" customWidth="1"/>
    <col min="16139" max="16139" width="13.140625" style="289" customWidth="1"/>
    <col min="16140" max="16141" width="13.7109375" style="289" customWidth="1"/>
    <col min="16142" max="16142" width="15.5703125" style="289" customWidth="1"/>
    <col min="16143" max="16143" width="8.5703125" style="289" customWidth="1"/>
    <col min="16144" max="16144" width="10.5703125" style="289" customWidth="1"/>
    <col min="16145" max="16145" width="5.5703125" style="289" customWidth="1"/>
    <col min="16146" max="16146" width="33.85546875" style="289" customWidth="1"/>
    <col min="16147" max="16147" width="8.7109375" style="289" customWidth="1"/>
    <col min="16148" max="16148" width="10.5703125" style="289" customWidth="1"/>
    <col min="16149" max="16150" width="11" style="289" customWidth="1"/>
    <col min="16151" max="16384" width="10.28515625" style="289"/>
  </cols>
  <sheetData>
    <row r="1" spans="1:24">
      <c r="A1" s="289">
        <v>1</v>
      </c>
      <c r="B1" s="289">
        <v>1</v>
      </c>
      <c r="C1" s="289">
        <v>2</v>
      </c>
      <c r="D1" s="289">
        <v>3</v>
      </c>
      <c r="E1" s="289">
        <v>4</v>
      </c>
      <c r="F1" s="289">
        <v>5</v>
      </c>
      <c r="G1" s="289">
        <v>6</v>
      </c>
      <c r="H1" s="289">
        <v>7</v>
      </c>
      <c r="I1" s="289">
        <v>8</v>
      </c>
      <c r="J1" s="289">
        <v>9</v>
      </c>
      <c r="K1" s="289">
        <v>10</v>
      </c>
      <c r="L1" s="289">
        <v>11</v>
      </c>
      <c r="M1" s="289">
        <v>12</v>
      </c>
      <c r="N1" s="289">
        <v>13</v>
      </c>
      <c r="O1" s="289">
        <v>14</v>
      </c>
    </row>
    <row r="5" spans="1:24" ht="18" customHeight="1">
      <c r="A5" s="291" t="s">
        <v>239</v>
      </c>
      <c r="B5" s="291"/>
      <c r="C5" s="292"/>
      <c r="D5" s="293"/>
      <c r="E5" s="293"/>
      <c r="F5" s="290"/>
      <c r="G5" s="290"/>
      <c r="H5" s="290"/>
      <c r="I5" s="290"/>
      <c r="J5" s="294"/>
      <c r="K5" s="290"/>
      <c r="L5" s="290"/>
      <c r="M5" s="290"/>
      <c r="N5" s="295"/>
      <c r="O5" s="290"/>
      <c r="P5" s="354"/>
      <c r="Q5" s="290"/>
      <c r="R5" s="562"/>
    </row>
    <row r="6" spans="1:24" ht="18.75" customHeight="1">
      <c r="A6" s="545" t="s">
        <v>465</v>
      </c>
      <c r="B6" s="545"/>
      <c r="C6" s="545"/>
      <c r="D6" s="545"/>
      <c r="E6" s="545"/>
      <c r="F6" s="545"/>
      <c r="G6" s="545"/>
      <c r="H6" s="545"/>
      <c r="I6" s="545"/>
      <c r="J6" s="545"/>
      <c r="K6" s="545"/>
      <c r="L6" s="545"/>
      <c r="M6" s="545"/>
      <c r="N6" s="545"/>
      <c r="O6" s="545"/>
      <c r="P6" s="298"/>
      <c r="Q6" s="290"/>
      <c r="R6" s="562"/>
    </row>
    <row r="7" spans="1:24" ht="18.75" customHeight="1">
      <c r="A7" s="298"/>
      <c r="B7" s="298"/>
      <c r="C7" s="299"/>
      <c r="D7" s="298"/>
      <c r="E7" s="298"/>
      <c r="F7" s="298"/>
      <c r="G7" s="298"/>
      <c r="H7" s="298"/>
      <c r="I7" s="298"/>
      <c r="J7" s="297"/>
      <c r="K7" s="298"/>
      <c r="L7" s="298"/>
      <c r="M7" s="298"/>
      <c r="N7" s="300"/>
      <c r="O7" s="298"/>
      <c r="P7" s="298"/>
      <c r="Q7" s="290"/>
      <c r="R7" s="562"/>
    </row>
    <row r="8" spans="1:24" ht="12.75" customHeight="1">
      <c r="A8" s="301"/>
      <c r="B8" s="301"/>
      <c r="C8" s="302"/>
      <c r="D8" s="301"/>
      <c r="E8" s="301"/>
      <c r="F8" s="301"/>
      <c r="G8" s="301"/>
      <c r="H8" s="301"/>
      <c r="I8" s="301"/>
      <c r="J8" s="301"/>
      <c r="K8" s="301"/>
      <c r="L8" s="301"/>
      <c r="M8" s="301"/>
      <c r="N8" s="303"/>
      <c r="O8" s="301"/>
      <c r="P8" s="422"/>
      <c r="Q8" s="304"/>
      <c r="R8" s="550"/>
      <c r="S8" s="550"/>
      <c r="T8" s="550"/>
      <c r="U8" s="550"/>
      <c r="V8" s="550"/>
      <c r="W8" s="304"/>
      <c r="X8" s="304"/>
    </row>
    <row r="9" spans="1:24" s="310" customFormat="1" ht="30.75" customHeight="1">
      <c r="A9" s="305" t="s">
        <v>30</v>
      </c>
      <c r="B9" s="305" t="s">
        <v>240</v>
      </c>
      <c r="C9" s="306" t="s">
        <v>241</v>
      </c>
      <c r="D9" s="307" t="s">
        <v>242</v>
      </c>
      <c r="E9" s="307" t="s">
        <v>243</v>
      </c>
      <c r="F9" s="307" t="s">
        <v>244</v>
      </c>
      <c r="G9" s="307" t="s">
        <v>245</v>
      </c>
      <c r="H9" s="307" t="s">
        <v>246</v>
      </c>
      <c r="I9" s="307" t="s">
        <v>247</v>
      </c>
      <c r="J9" s="307" t="s">
        <v>249</v>
      </c>
      <c r="K9" s="308" t="s">
        <v>248</v>
      </c>
      <c r="L9" s="308" t="s">
        <v>250</v>
      </c>
      <c r="M9" s="307" t="s">
        <v>251</v>
      </c>
      <c r="N9" s="309" t="s">
        <v>252</v>
      </c>
      <c r="O9" s="307" t="s">
        <v>253</v>
      </c>
      <c r="P9" s="430"/>
      <c r="Q9" s="305" t="s">
        <v>240</v>
      </c>
      <c r="R9" s="560" t="s">
        <v>75</v>
      </c>
      <c r="S9" s="307" t="s">
        <v>243</v>
      </c>
      <c r="T9" s="307" t="s">
        <v>61</v>
      </c>
      <c r="U9" s="307" t="s">
        <v>91</v>
      </c>
      <c r="V9" s="305" t="s">
        <v>91</v>
      </c>
    </row>
    <row r="10" spans="1:24">
      <c r="A10" s="311">
        <f>IF(D10&lt;&gt;"",ROW()-(ROW()-1),"")</f>
        <v>1</v>
      </c>
      <c r="B10" s="368" t="s">
        <v>377</v>
      </c>
      <c r="C10" s="313">
        <v>8</v>
      </c>
      <c r="D10" s="68">
        <v>18400</v>
      </c>
      <c r="E10" s="68"/>
      <c r="F10" s="559">
        <f>D10*20000</f>
        <v>368000000</v>
      </c>
      <c r="G10" s="68">
        <f>ROUND(G$14/$D$14*$D10,0)</f>
        <v>899024</v>
      </c>
      <c r="H10" s="68">
        <f>ROUND(H$14/$F$14*$F10,0)</f>
        <v>52405527</v>
      </c>
      <c r="I10" s="68">
        <f>ROUND(I$14/$D$14*$D10,0)</f>
        <v>11570791</v>
      </c>
      <c r="J10" s="68">
        <f>ROUND(J$14/$N$14*$N10,0)</f>
        <v>5160485</v>
      </c>
      <c r="K10" s="68">
        <f>ROUND(K$14/$F$14*$F10,0)</f>
        <v>47114325</v>
      </c>
      <c r="L10" s="68"/>
      <c r="M10" s="314">
        <f>ROUND(F10+G10+H10+I10+J10+K10+L10,0)+1</f>
        <v>485150153</v>
      </c>
      <c r="N10" s="431">
        <v>2300</v>
      </c>
      <c r="O10" s="68">
        <f>M10/N10</f>
        <v>210934.84913043477</v>
      </c>
      <c r="P10" s="432"/>
      <c r="Q10" s="436" t="s">
        <v>46</v>
      </c>
      <c r="R10" s="315">
        <v>41276</v>
      </c>
      <c r="S10" s="322"/>
      <c r="T10" s="342">
        <v>20</v>
      </c>
      <c r="U10" s="322">
        <v>925720</v>
      </c>
      <c r="V10" s="434"/>
    </row>
    <row r="11" spans="1:24">
      <c r="A11" s="401">
        <f>IF(D11&lt;&gt;"",A10+1,"")</f>
        <v>2</v>
      </c>
      <c r="B11" s="312" t="s">
        <v>324</v>
      </c>
      <c r="C11" s="319">
        <v>6.0026455026455023</v>
      </c>
      <c r="D11" s="68">
        <v>45380</v>
      </c>
      <c r="E11" s="68"/>
      <c r="F11" s="559">
        <f>(28050*23000)+69320000</f>
        <v>714470000</v>
      </c>
      <c r="G11" s="68">
        <f>ROUND(G$14/$D$14*$D11,0)</f>
        <v>2217266</v>
      </c>
      <c r="H11" s="68">
        <f>ROUND(H$14/$F$14*$F11,0)</f>
        <v>101745046</v>
      </c>
      <c r="I11" s="68">
        <f>ROUND(I$14/$D$14*$D11,0)</f>
        <v>28537093</v>
      </c>
      <c r="J11" s="68">
        <f>ROUND(J$14/$N$14*$N11,0)</f>
        <v>16962290</v>
      </c>
      <c r="K11" s="68">
        <f>ROUND(K$14/$F$14*$F11,0)</f>
        <v>91472206</v>
      </c>
      <c r="L11" s="68"/>
      <c r="M11" s="314">
        <f t="shared" ref="M11:M12" si="0">ROUND(F11+G11+H11+I11+J11+K11+L11,0)</f>
        <v>955403901</v>
      </c>
      <c r="N11" s="435">
        <v>7560</v>
      </c>
      <c r="O11" s="68">
        <f t="shared" ref="O11:O12" si="1">M11/N11</f>
        <v>126376.17738095239</v>
      </c>
      <c r="P11" s="432"/>
      <c r="Q11" s="436" t="s">
        <v>338</v>
      </c>
      <c r="R11" s="315">
        <v>41276</v>
      </c>
      <c r="S11" s="322"/>
      <c r="T11" s="342">
        <v>40</v>
      </c>
      <c r="U11" s="322">
        <v>1368000</v>
      </c>
      <c r="V11" s="323"/>
    </row>
    <row r="12" spans="1:24">
      <c r="A12" s="401">
        <f t="shared" ref="A12" si="2">IF(D12&lt;&gt;"",A11+1,"")</f>
        <v>3</v>
      </c>
      <c r="B12" s="312" t="s">
        <v>477</v>
      </c>
      <c r="C12" s="319">
        <v>5</v>
      </c>
      <c r="D12" s="68">
        <v>500</v>
      </c>
      <c r="E12" s="68"/>
      <c r="F12" s="559">
        <f>D12*27000</f>
        <v>13500000</v>
      </c>
      <c r="G12" s="68">
        <f>ROUND(G$14/$D$14*$D12,0)</f>
        <v>24430</v>
      </c>
      <c r="H12" s="68">
        <f>ROUND(H$14/$F$14*$F12,0)</f>
        <v>1922485</v>
      </c>
      <c r="I12" s="68">
        <f>ROUND(I$14/$D$14*$D12,0)</f>
        <v>314424</v>
      </c>
      <c r="J12" s="68">
        <f>ROUND(J$14/$N$14*$N12,0)</f>
        <v>224369</v>
      </c>
      <c r="K12" s="68">
        <f>ROUND(K$14/$F$14*$F12,0)</f>
        <v>1728379</v>
      </c>
      <c r="L12" s="68"/>
      <c r="M12" s="314">
        <f t="shared" si="0"/>
        <v>17714087</v>
      </c>
      <c r="N12" s="435">
        <v>100</v>
      </c>
      <c r="O12" s="68">
        <f t="shared" si="1"/>
        <v>177140.87</v>
      </c>
      <c r="P12" s="432"/>
      <c r="Q12" s="436" t="s">
        <v>38</v>
      </c>
      <c r="R12" s="315">
        <v>41276</v>
      </c>
      <c r="S12" s="322"/>
      <c r="T12" s="342">
        <v>55</v>
      </c>
      <c r="U12" s="322">
        <v>847000</v>
      </c>
      <c r="V12" s="323"/>
    </row>
    <row r="13" spans="1:24" s="332" customFormat="1">
      <c r="A13" s="439"/>
      <c r="B13" s="324"/>
      <c r="C13" s="325"/>
      <c r="D13" s="326"/>
      <c r="E13" s="326"/>
      <c r="F13" s="327"/>
      <c r="G13" s="326"/>
      <c r="H13" s="364"/>
      <c r="I13" s="328"/>
      <c r="J13" s="329"/>
      <c r="K13" s="326"/>
      <c r="L13" s="326"/>
      <c r="M13" s="330"/>
      <c r="N13" s="331"/>
      <c r="O13" s="326"/>
      <c r="P13" s="440"/>
      <c r="Q13" s="437"/>
      <c r="R13" s="565"/>
      <c r="S13" s="568"/>
      <c r="T13" s="438"/>
      <c r="U13" s="438"/>
      <c r="V13" s="438"/>
    </row>
    <row r="14" spans="1:24" s="291" customFormat="1">
      <c r="A14" s="333"/>
      <c r="B14" s="334" t="s">
        <v>254</v>
      </c>
      <c r="C14" s="335"/>
      <c r="D14" s="336">
        <f>SUM(D10:D12)</f>
        <v>64280</v>
      </c>
      <c r="E14" s="336"/>
      <c r="F14" s="336">
        <f>SUM(F10:F12)</f>
        <v>1095970000</v>
      </c>
      <c r="G14" s="337">
        <f>U14</f>
        <v>3140720</v>
      </c>
      <c r="H14" s="337">
        <v>156073059</v>
      </c>
      <c r="I14" s="337">
        <v>40422308</v>
      </c>
      <c r="J14" s="337">
        <f>U21</f>
        <v>22347144</v>
      </c>
      <c r="K14" s="337">
        <v>140314910</v>
      </c>
      <c r="L14" s="336">
        <f>SUM(L10:L13)</f>
        <v>0</v>
      </c>
      <c r="M14" s="336">
        <f>SUM(M10:M12)</f>
        <v>1458268141</v>
      </c>
      <c r="N14" s="336">
        <f>SUM(N10:N12)</f>
        <v>9960</v>
      </c>
      <c r="O14" s="336"/>
      <c r="P14" s="340"/>
      <c r="Q14" s="457"/>
      <c r="R14" s="457"/>
      <c r="S14" s="457"/>
      <c r="T14" s="457"/>
      <c r="U14" s="346">
        <f>SUM(U10:U13)</f>
        <v>3140720</v>
      </c>
      <c r="V14" s="346">
        <f>SUM(V10:V13)</f>
        <v>0</v>
      </c>
    </row>
    <row r="15" spans="1:24" s="291" customFormat="1">
      <c r="A15" s="338"/>
      <c r="B15" s="339"/>
      <c r="C15" s="299"/>
      <c r="D15" s="340"/>
      <c r="E15" s="340"/>
      <c r="F15" s="340"/>
      <c r="G15" s="297"/>
      <c r="H15" s="340"/>
      <c r="I15" s="340"/>
      <c r="J15" s="340"/>
      <c r="K15" s="340"/>
      <c r="L15" s="340"/>
      <c r="M15" s="340"/>
      <c r="N15" s="340"/>
      <c r="O15" s="340"/>
      <c r="P15" s="340"/>
      <c r="Q15" s="433" t="s">
        <v>337</v>
      </c>
      <c r="R15" s="563">
        <v>41281</v>
      </c>
      <c r="S15" s="317"/>
      <c r="T15" s="572">
        <v>145</v>
      </c>
      <c r="U15" s="317">
        <v>1429826</v>
      </c>
      <c r="V15" s="316"/>
    </row>
    <row r="16" spans="1:24" s="291" customFormat="1">
      <c r="A16" s="338"/>
      <c r="B16" s="339"/>
      <c r="C16" s="299"/>
      <c r="D16" s="340"/>
      <c r="E16" s="340"/>
      <c r="F16" s="340"/>
      <c r="G16" s="297"/>
      <c r="H16" s="340"/>
      <c r="I16" s="340"/>
      <c r="J16" s="340"/>
      <c r="K16" s="340"/>
      <c r="L16" s="340"/>
      <c r="M16" s="340"/>
      <c r="N16" s="340"/>
      <c r="O16" s="340"/>
      <c r="P16" s="340"/>
      <c r="Q16" s="342" t="s">
        <v>44</v>
      </c>
      <c r="R16" s="315">
        <v>41281</v>
      </c>
      <c r="S16" s="322"/>
      <c r="T16" s="322">
        <v>1000</v>
      </c>
      <c r="U16" s="322">
        <v>16250000</v>
      </c>
      <c r="V16" s="322"/>
    </row>
    <row r="17" spans="1:38" s="291" customFormat="1">
      <c r="A17" s="338"/>
      <c r="B17" s="339"/>
      <c r="C17" s="299"/>
      <c r="D17" s="340"/>
      <c r="E17" s="340"/>
      <c r="F17" s="341"/>
      <c r="G17" s="297"/>
      <c r="H17" s="340"/>
      <c r="I17" s="340"/>
      <c r="J17" s="340"/>
      <c r="K17" s="340"/>
      <c r="L17" s="340"/>
      <c r="M17" s="340"/>
      <c r="N17" s="340"/>
      <c r="O17" s="340"/>
      <c r="P17" s="340"/>
      <c r="Q17" s="342" t="s">
        <v>284</v>
      </c>
      <c r="R17" s="315">
        <v>41281</v>
      </c>
      <c r="S17" s="322"/>
      <c r="T17" s="322">
        <v>10</v>
      </c>
      <c r="U17" s="322">
        <v>120500</v>
      </c>
      <c r="V17" s="322"/>
    </row>
    <row r="18" spans="1:38" s="291" customFormat="1">
      <c r="A18" s="338"/>
      <c r="B18" s="339"/>
      <c r="C18" s="299"/>
      <c r="D18" s="340"/>
      <c r="E18" s="340"/>
      <c r="F18" s="340"/>
      <c r="G18" s="297"/>
      <c r="H18" s="340"/>
      <c r="I18" s="340"/>
      <c r="J18" s="340"/>
      <c r="K18" s="340"/>
      <c r="L18" s="340"/>
      <c r="M18" s="340"/>
      <c r="N18" s="340"/>
      <c r="O18" s="354"/>
      <c r="P18" s="340"/>
      <c r="Q18" s="321" t="s">
        <v>279</v>
      </c>
      <c r="R18" s="315">
        <v>41298</v>
      </c>
      <c r="S18" s="322"/>
      <c r="T18" s="328">
        <v>202</v>
      </c>
      <c r="U18" s="328">
        <v>4546818</v>
      </c>
      <c r="V18" s="328"/>
    </row>
    <row r="19" spans="1:38">
      <c r="F19" s="304"/>
      <c r="G19" s="347"/>
      <c r="H19" s="304"/>
      <c r="M19" s="348"/>
      <c r="N19" s="340"/>
      <c r="O19" s="354"/>
      <c r="Q19" s="321"/>
      <c r="R19" s="315"/>
      <c r="S19" s="322"/>
      <c r="T19" s="328"/>
      <c r="U19" s="328"/>
      <c r="V19" s="328"/>
    </row>
    <row r="20" spans="1:38">
      <c r="F20" s="304"/>
      <c r="G20" s="304"/>
      <c r="H20" s="304"/>
      <c r="M20" s="348"/>
      <c r="N20" s="348"/>
      <c r="O20" s="354"/>
      <c r="Q20" s="321"/>
      <c r="R20" s="315"/>
      <c r="S20" s="322"/>
      <c r="T20" s="328"/>
      <c r="U20" s="328"/>
      <c r="V20" s="323"/>
    </row>
    <row r="21" spans="1:38">
      <c r="A21" s="304"/>
      <c r="B21" s="304"/>
      <c r="C21" s="349"/>
      <c r="D21" s="350"/>
      <c r="E21" s="350"/>
      <c r="F21" s="350"/>
      <c r="G21" s="350"/>
      <c r="H21" s="349"/>
      <c r="I21" s="350"/>
      <c r="J21" s="304"/>
      <c r="K21" s="304"/>
      <c r="L21" s="304"/>
      <c r="M21" s="304"/>
      <c r="N21" s="348"/>
      <c r="O21" s="351"/>
      <c r="P21" s="351"/>
      <c r="Q21" s="457"/>
      <c r="R21" s="457"/>
      <c r="S21" s="457"/>
      <c r="T21" s="457"/>
      <c r="U21" s="346">
        <f>SUM(U15:U20)</f>
        <v>22347144</v>
      </c>
      <c r="V21" s="346">
        <f>SUM(V15:V20)</f>
        <v>0</v>
      </c>
      <c r="W21" s="351"/>
      <c r="X21" s="352"/>
      <c r="Y21" s="304"/>
      <c r="Z21" s="304"/>
      <c r="AA21" s="350"/>
      <c r="AB21" s="350"/>
      <c r="AC21" s="350"/>
      <c r="AD21" s="350"/>
      <c r="AE21" s="350"/>
      <c r="AF21" s="350"/>
      <c r="AG21" s="350"/>
      <c r="AH21" s="350"/>
      <c r="AI21" s="349"/>
      <c r="AJ21" s="304"/>
      <c r="AK21" s="304"/>
      <c r="AL21" s="304"/>
    </row>
    <row r="22" spans="1:38" ht="18" customHeight="1">
      <c r="A22" s="291" t="s">
        <v>239</v>
      </c>
      <c r="B22" s="291"/>
      <c r="C22" s="292"/>
      <c r="D22" s="293"/>
      <c r="E22" s="293"/>
      <c r="F22" s="290"/>
      <c r="G22" s="290"/>
      <c r="H22" s="290"/>
      <c r="I22" s="290"/>
      <c r="J22" s="294"/>
      <c r="K22" s="290"/>
      <c r="L22" s="290"/>
      <c r="M22" s="290"/>
      <c r="N22" s="295"/>
      <c r="O22" s="290"/>
      <c r="P22" s="354"/>
      <c r="Q22" s="353"/>
      <c r="R22" s="363"/>
      <c r="S22" s="459"/>
      <c r="T22" s="354"/>
      <c r="U22" s="354"/>
      <c r="V22" s="304"/>
      <c r="W22" s="304"/>
    </row>
    <row r="23" spans="1:38" ht="18.75" customHeight="1">
      <c r="A23" s="545" t="s">
        <v>466</v>
      </c>
      <c r="B23" s="545"/>
      <c r="C23" s="545"/>
      <c r="D23" s="545"/>
      <c r="E23" s="545"/>
      <c r="F23" s="545"/>
      <c r="G23" s="545"/>
      <c r="H23" s="545"/>
      <c r="I23" s="545"/>
      <c r="J23" s="545"/>
      <c r="K23" s="545"/>
      <c r="L23" s="545"/>
      <c r="M23" s="545"/>
      <c r="N23" s="545"/>
      <c r="O23" s="545"/>
      <c r="P23" s="458"/>
      <c r="Q23" s="353"/>
      <c r="R23" s="363"/>
      <c r="S23" s="459"/>
      <c r="T23" s="459"/>
      <c r="U23" s="351"/>
      <c r="V23" s="304"/>
      <c r="W23" s="304"/>
    </row>
    <row r="24" spans="1:38" ht="18.75" customHeight="1">
      <c r="A24" s="298"/>
      <c r="B24" s="298"/>
      <c r="C24" s="299"/>
      <c r="D24" s="298"/>
      <c r="E24" s="298"/>
      <c r="F24" s="298"/>
      <c r="G24" s="298"/>
      <c r="H24" s="298"/>
      <c r="I24" s="298"/>
      <c r="J24" s="297"/>
      <c r="K24" s="298"/>
      <c r="L24" s="298"/>
      <c r="M24" s="298"/>
      <c r="N24" s="300"/>
      <c r="O24" s="298"/>
      <c r="P24" s="298"/>
      <c r="Q24" s="290"/>
      <c r="R24" s="562"/>
    </row>
    <row r="25" spans="1:38" ht="12.75" customHeight="1">
      <c r="A25" s="301"/>
      <c r="B25" s="301"/>
      <c r="C25" s="302"/>
      <c r="D25" s="301"/>
      <c r="E25" s="301"/>
      <c r="F25" s="301"/>
      <c r="G25" s="301"/>
      <c r="H25" s="301"/>
      <c r="I25" s="301"/>
      <c r="J25" s="301"/>
      <c r="K25" s="301"/>
      <c r="L25" s="301"/>
      <c r="M25" s="301"/>
      <c r="N25" s="303"/>
      <c r="O25" s="301"/>
      <c r="P25" s="422"/>
      <c r="Q25" s="290"/>
      <c r="R25" s="562"/>
    </row>
    <row r="26" spans="1:38" s="310" customFormat="1" ht="30.75" customHeight="1">
      <c r="A26" s="305" t="s">
        <v>30</v>
      </c>
      <c r="B26" s="305" t="s">
        <v>240</v>
      </c>
      <c r="C26" s="306" t="s">
        <v>241</v>
      </c>
      <c r="D26" s="307" t="s">
        <v>242</v>
      </c>
      <c r="E26" s="307" t="s">
        <v>243</v>
      </c>
      <c r="F26" s="307" t="s">
        <v>244</v>
      </c>
      <c r="G26" s="307" t="s">
        <v>245</v>
      </c>
      <c r="H26" s="307" t="s">
        <v>246</v>
      </c>
      <c r="I26" s="307" t="s">
        <v>247</v>
      </c>
      <c r="J26" s="307" t="s">
        <v>249</v>
      </c>
      <c r="K26" s="308" t="s">
        <v>248</v>
      </c>
      <c r="L26" s="308" t="s">
        <v>250</v>
      </c>
      <c r="M26" s="307" t="s">
        <v>251</v>
      </c>
      <c r="N26" s="309" t="s">
        <v>252</v>
      </c>
      <c r="O26" s="307" t="s">
        <v>253</v>
      </c>
      <c r="P26" s="430"/>
      <c r="Q26" s="305" t="s">
        <v>240</v>
      </c>
      <c r="R26" s="560" t="s">
        <v>75</v>
      </c>
      <c r="S26" s="307" t="s">
        <v>243</v>
      </c>
      <c r="T26" s="307" t="s">
        <v>61</v>
      </c>
      <c r="U26" s="307" t="s">
        <v>91</v>
      </c>
      <c r="V26" s="305" t="s">
        <v>91</v>
      </c>
    </row>
    <row r="27" spans="1:38">
      <c r="A27" s="401" t="str">
        <f>IF(D27&lt;&gt;"",ROW()-(ROW()-1),"")</f>
        <v/>
      </c>
      <c r="B27" s="368"/>
      <c r="C27" s="313"/>
      <c r="D27" s="68"/>
      <c r="E27" s="68"/>
      <c r="F27" s="314"/>
      <c r="G27" s="68"/>
      <c r="H27" s="68"/>
      <c r="I27" s="68"/>
      <c r="J27" s="68"/>
      <c r="K27" s="68"/>
      <c r="L27" s="68"/>
      <c r="M27" s="314"/>
      <c r="N27" s="68"/>
      <c r="O27" s="68"/>
      <c r="P27" s="347"/>
      <c r="Q27" s="436"/>
      <c r="R27" s="315"/>
      <c r="S27" s="316"/>
      <c r="T27" s="316"/>
      <c r="U27" s="442"/>
      <c r="V27" s="318"/>
    </row>
    <row r="28" spans="1:38" s="332" customFormat="1">
      <c r="A28" s="439"/>
      <c r="B28" s="324"/>
      <c r="C28" s="325"/>
      <c r="D28" s="326"/>
      <c r="E28" s="326"/>
      <c r="F28" s="327"/>
      <c r="G28" s="326"/>
      <c r="H28" s="364"/>
      <c r="I28" s="328"/>
      <c r="J28" s="68"/>
      <c r="K28" s="326"/>
      <c r="L28" s="326"/>
      <c r="M28" s="330"/>
      <c r="N28" s="331"/>
      <c r="O28" s="326"/>
      <c r="P28" s="440"/>
      <c r="Q28" s="436"/>
      <c r="R28" s="315"/>
      <c r="S28" s="316"/>
      <c r="T28" s="316"/>
      <c r="U28" s="441"/>
      <c r="V28" s="323"/>
    </row>
    <row r="29" spans="1:38" s="291" customFormat="1">
      <c r="A29" s="333"/>
      <c r="B29" s="334" t="s">
        <v>254</v>
      </c>
      <c r="C29" s="335"/>
      <c r="D29" s="336"/>
      <c r="E29" s="336"/>
      <c r="F29" s="336"/>
      <c r="G29" s="337"/>
      <c r="H29" s="337"/>
      <c r="I29" s="337"/>
      <c r="J29" s="337"/>
      <c r="K29" s="337"/>
      <c r="L29" s="336"/>
      <c r="M29" s="336"/>
      <c r="N29" s="336"/>
      <c r="O29" s="336"/>
      <c r="P29" s="340"/>
      <c r="Q29" s="436"/>
      <c r="R29" s="315"/>
      <c r="S29" s="322"/>
      <c r="T29" s="342"/>
      <c r="U29" s="316"/>
      <c r="V29" s="323"/>
    </row>
    <row r="30" spans="1:38" s="291" customFormat="1">
      <c r="A30" s="338"/>
      <c r="B30" s="339"/>
      <c r="C30" s="299"/>
      <c r="D30" s="340"/>
      <c r="E30" s="340"/>
      <c r="F30" s="340"/>
      <c r="G30" s="297"/>
      <c r="H30" s="340"/>
      <c r="I30" s="340"/>
      <c r="J30" s="340"/>
      <c r="K30" s="340"/>
      <c r="L30" s="340"/>
      <c r="M30" s="340"/>
      <c r="N30" s="340"/>
      <c r="O30" s="340"/>
      <c r="P30" s="340"/>
      <c r="Q30" s="321"/>
      <c r="R30" s="315"/>
      <c r="S30" s="316"/>
      <c r="T30" s="316"/>
      <c r="U30" s="441"/>
      <c r="V30" s="323"/>
    </row>
    <row r="31" spans="1:38">
      <c r="Q31" s="344"/>
      <c r="R31" s="315"/>
      <c r="S31" s="345"/>
      <c r="T31" s="345"/>
      <c r="U31" s="345"/>
      <c r="V31" s="343"/>
    </row>
    <row r="32" spans="1:38">
      <c r="Q32" s="549"/>
      <c r="R32" s="549"/>
      <c r="S32" s="549"/>
      <c r="T32" s="549"/>
      <c r="U32" s="346">
        <f>SUM(U27:U31)</f>
        <v>0</v>
      </c>
      <c r="V32" s="346">
        <f>SUM(V27:V31)</f>
        <v>0</v>
      </c>
    </row>
    <row r="33" spans="1:22">
      <c r="Q33" s="362"/>
      <c r="R33" s="315"/>
      <c r="S33" s="316"/>
      <c r="T33" s="316"/>
      <c r="U33" s="316"/>
      <c r="V33" s="318"/>
    </row>
    <row r="34" spans="1:22">
      <c r="Q34" s="342"/>
      <c r="R34" s="315"/>
      <c r="S34" s="322"/>
      <c r="T34" s="322"/>
      <c r="U34" s="328"/>
      <c r="V34" s="328"/>
    </row>
    <row r="35" spans="1:22" ht="18" customHeight="1">
      <c r="A35" s="291" t="s">
        <v>239</v>
      </c>
      <c r="B35" s="291"/>
      <c r="C35" s="292"/>
      <c r="D35" s="293"/>
      <c r="E35" s="293"/>
      <c r="F35" s="290"/>
      <c r="G35" s="290"/>
      <c r="H35" s="290"/>
      <c r="I35" s="290"/>
      <c r="J35" s="294"/>
      <c r="K35" s="290"/>
      <c r="L35" s="290"/>
      <c r="M35" s="290"/>
      <c r="N35" s="295"/>
      <c r="O35" s="290"/>
      <c r="P35" s="354"/>
      <c r="Q35" s="296"/>
      <c r="R35" s="363"/>
      <c r="S35" s="459"/>
      <c r="T35" s="459"/>
      <c r="U35" s="351"/>
      <c r="V35" s="354"/>
    </row>
    <row r="36" spans="1:22" ht="18.75" customHeight="1">
      <c r="A36" s="545" t="s">
        <v>467</v>
      </c>
      <c r="B36" s="545"/>
      <c r="C36" s="545"/>
      <c r="D36" s="545"/>
      <c r="E36" s="545"/>
      <c r="F36" s="545"/>
      <c r="G36" s="545"/>
      <c r="H36" s="545"/>
      <c r="I36" s="545"/>
      <c r="J36" s="545"/>
      <c r="K36" s="545"/>
      <c r="L36" s="545"/>
      <c r="M36" s="545"/>
      <c r="N36" s="545"/>
      <c r="O36" s="545"/>
      <c r="P36" s="298"/>
      <c r="Q36" s="353"/>
      <c r="R36" s="363"/>
      <c r="S36" s="459"/>
      <c r="T36" s="459"/>
      <c r="U36" s="351"/>
      <c r="V36" s="354"/>
    </row>
    <row r="37" spans="1:22" ht="18.75" customHeight="1">
      <c r="A37" s="298"/>
      <c r="B37" s="298"/>
      <c r="C37" s="299"/>
      <c r="D37" s="298"/>
      <c r="E37" s="298"/>
      <c r="F37" s="298"/>
      <c r="G37" s="298"/>
      <c r="H37" s="298"/>
      <c r="I37" s="298"/>
      <c r="J37" s="297"/>
      <c r="K37" s="298"/>
      <c r="L37" s="298"/>
      <c r="M37" s="298"/>
      <c r="N37" s="300"/>
      <c r="O37" s="298"/>
      <c r="P37" s="298"/>
      <c r="Q37" s="353"/>
      <c r="R37" s="363"/>
      <c r="S37" s="459"/>
      <c r="T37" s="459"/>
      <c r="U37" s="351"/>
      <c r="V37" s="354"/>
    </row>
    <row r="38" spans="1:22" ht="12.75" customHeight="1">
      <c r="A38" s="301"/>
      <c r="B38" s="301"/>
      <c r="C38" s="302"/>
      <c r="D38" s="301"/>
      <c r="E38" s="301"/>
      <c r="F38" s="301"/>
      <c r="G38" s="301"/>
      <c r="H38" s="301"/>
      <c r="I38" s="301"/>
      <c r="J38" s="301"/>
      <c r="K38" s="301"/>
      <c r="L38" s="301"/>
      <c r="M38" s="301"/>
      <c r="N38" s="303"/>
      <c r="O38" s="301"/>
      <c r="P38" s="422"/>
      <c r="Q38" s="353"/>
      <c r="R38" s="363"/>
      <c r="S38" s="459"/>
      <c r="T38" s="459"/>
      <c r="U38" s="351"/>
      <c r="V38" s="304"/>
    </row>
    <row r="39" spans="1:22" s="310" customFormat="1" ht="30.75" customHeight="1">
      <c r="A39" s="305" t="s">
        <v>30</v>
      </c>
      <c r="B39" s="305" t="s">
        <v>240</v>
      </c>
      <c r="C39" s="306" t="s">
        <v>241</v>
      </c>
      <c r="D39" s="307" t="s">
        <v>242</v>
      </c>
      <c r="E39" s="307" t="s">
        <v>243</v>
      </c>
      <c r="F39" s="307" t="s">
        <v>244</v>
      </c>
      <c r="G39" s="307" t="s">
        <v>245</v>
      </c>
      <c r="H39" s="307" t="s">
        <v>246</v>
      </c>
      <c r="I39" s="307" t="s">
        <v>247</v>
      </c>
      <c r="J39" s="307" t="s">
        <v>249</v>
      </c>
      <c r="K39" s="308" t="s">
        <v>248</v>
      </c>
      <c r="L39" s="308" t="s">
        <v>250</v>
      </c>
      <c r="M39" s="307" t="s">
        <v>251</v>
      </c>
      <c r="N39" s="309" t="s">
        <v>252</v>
      </c>
      <c r="O39" s="307" t="s">
        <v>253</v>
      </c>
      <c r="P39" s="430"/>
      <c r="Q39" s="305" t="s">
        <v>240</v>
      </c>
      <c r="R39" s="560" t="s">
        <v>75</v>
      </c>
      <c r="S39" s="307" t="s">
        <v>243</v>
      </c>
      <c r="T39" s="307" t="s">
        <v>61</v>
      </c>
      <c r="U39" s="307" t="s">
        <v>91</v>
      </c>
      <c r="V39" s="305" t="s">
        <v>91</v>
      </c>
    </row>
    <row r="40" spans="1:22">
      <c r="A40" s="401">
        <f>IF(D40&lt;&gt;"",ROW()-(ROW()-1),"")</f>
        <v>1</v>
      </c>
      <c r="B40" s="368" t="s">
        <v>358</v>
      </c>
      <c r="C40" s="313">
        <v>7.2052845528455283</v>
      </c>
      <c r="D40" s="68">
        <v>35450</v>
      </c>
      <c r="E40" s="68"/>
      <c r="F40" s="314">
        <v>602650000</v>
      </c>
      <c r="G40" s="68">
        <f>ROUND(G$45/$D$45*$D40,0)</f>
        <v>2460738</v>
      </c>
      <c r="H40" s="68">
        <f>ROUND(H$45/$F$45*$F40,0)</f>
        <v>26169792</v>
      </c>
      <c r="I40" s="68">
        <f>ROUND(I$45/$D$45*$D40,0)</f>
        <v>12641234</v>
      </c>
      <c r="J40" s="68">
        <f>ROUND(J$45/$N$45*$N40,0)</f>
        <v>26807572</v>
      </c>
      <c r="K40" s="68">
        <f>ROUND(K$45/$F$45*$F40,0)</f>
        <v>25809474</v>
      </c>
      <c r="L40" s="68">
        <f>ROUND(L$45/$D$45*$D40,0)</f>
        <v>0</v>
      </c>
      <c r="M40" s="314">
        <f>ROUND(F40+G40+H40+I40+J40+K40+L40,0)</f>
        <v>696538810</v>
      </c>
      <c r="N40" s="68">
        <v>4920</v>
      </c>
      <c r="O40" s="68">
        <f>M40/N40</f>
        <v>141572.92886178862</v>
      </c>
      <c r="P40" s="347"/>
      <c r="Q40" s="436" t="s">
        <v>46</v>
      </c>
      <c r="R40" s="366">
        <v>41335</v>
      </c>
      <c r="S40" s="316">
        <v>46224</v>
      </c>
      <c r="T40" s="316">
        <v>27</v>
      </c>
      <c r="U40" s="442">
        <v>1248048</v>
      </c>
      <c r="V40" s="318"/>
    </row>
    <row r="41" spans="1:22">
      <c r="A41" s="401">
        <f>IF(D41&lt;&gt;"",A40+1,"")</f>
        <v>2</v>
      </c>
      <c r="B41" s="312" t="s">
        <v>368</v>
      </c>
      <c r="C41" s="319">
        <v>5</v>
      </c>
      <c r="D41" s="68">
        <v>50000</v>
      </c>
      <c r="E41" s="68"/>
      <c r="F41" s="314">
        <v>1350000000</v>
      </c>
      <c r="G41" s="68">
        <f>ROUND(G$45/$D$45*$D41,0)</f>
        <v>3470717</v>
      </c>
      <c r="H41" s="68">
        <f>ROUND(H$45/$F$45*$F41,0)</f>
        <v>58623114</v>
      </c>
      <c r="I41" s="68">
        <f>ROUND(I$45/$D$45*$D41,0)</f>
        <v>17829667</v>
      </c>
      <c r="J41" s="68">
        <f>ROUND(J$45/$N$45*$N41,0)</f>
        <v>54486936</v>
      </c>
      <c r="K41" s="68">
        <f>ROUND(K$45/$F$45*$F41,0)</f>
        <v>57815963</v>
      </c>
      <c r="L41" s="68">
        <f>ROUND(L$45/$D$45*$D41,0)</f>
        <v>0</v>
      </c>
      <c r="M41" s="314">
        <f t="shared" ref="M41:M43" si="3">ROUND(F41+G41+H41+I41+J41+K41+L41,0)</f>
        <v>1542226397</v>
      </c>
      <c r="N41" s="320">
        <v>10000</v>
      </c>
      <c r="O41" s="68">
        <f t="shared" ref="O41:O43" si="4">M41/N41</f>
        <v>154222.6397</v>
      </c>
      <c r="P41" s="347"/>
      <c r="Q41" s="436" t="s">
        <v>338</v>
      </c>
      <c r="R41" s="315">
        <v>41335</v>
      </c>
      <c r="S41" s="316">
        <v>34200</v>
      </c>
      <c r="T41" s="316">
        <v>90</v>
      </c>
      <c r="U41" s="441">
        <v>3078000</v>
      </c>
      <c r="V41" s="323"/>
    </row>
    <row r="42" spans="1:22">
      <c r="A42" s="401">
        <f t="shared" ref="A42:A44" si="5">IF(D42&lt;&gt;"",A41+1,"")</f>
        <v>3</v>
      </c>
      <c r="B42" s="312" t="s">
        <v>380</v>
      </c>
      <c r="C42" s="319">
        <v>5</v>
      </c>
      <c r="D42" s="68">
        <v>24050</v>
      </c>
      <c r="E42" s="68"/>
      <c r="F42" s="314">
        <v>456950000</v>
      </c>
      <c r="G42" s="68">
        <f>ROUND(G$45/$D$45*$D42,0)</f>
        <v>1669415</v>
      </c>
      <c r="H42" s="68">
        <f>ROUND(H$45/$F$45*$F42,0)</f>
        <v>19842838</v>
      </c>
      <c r="I42" s="68">
        <f>ROUND(I$45/$D$45*$D42,0)</f>
        <v>8576070</v>
      </c>
      <c r="J42" s="68">
        <f>ROUND(J$45/$N$45*$N42,0)</f>
        <v>26208216</v>
      </c>
      <c r="K42" s="68">
        <f>ROUND(K$45/$F$45*$F42,0)</f>
        <v>19569633</v>
      </c>
      <c r="L42" s="68">
        <f>ROUND(L$45/$D$45*$D42,0)</f>
        <v>0</v>
      </c>
      <c r="M42" s="314">
        <f t="shared" si="3"/>
        <v>532816172</v>
      </c>
      <c r="N42" s="320">
        <v>4810</v>
      </c>
      <c r="O42" s="68">
        <f t="shared" si="4"/>
        <v>110772.59293139294</v>
      </c>
      <c r="P42" s="347"/>
      <c r="Q42" s="436" t="s">
        <v>38</v>
      </c>
      <c r="R42" s="315">
        <v>41335</v>
      </c>
      <c r="S42" s="316">
        <v>16417.5</v>
      </c>
      <c r="T42" s="316">
        <v>200</v>
      </c>
      <c r="U42" s="441">
        <v>3283500</v>
      </c>
      <c r="V42" s="323"/>
    </row>
    <row r="43" spans="1:22">
      <c r="A43" s="401">
        <f t="shared" si="5"/>
        <v>4</v>
      </c>
      <c r="B43" s="312" t="s">
        <v>372</v>
      </c>
      <c r="C43" s="319">
        <v>2.503052503052503</v>
      </c>
      <c r="D43" s="68">
        <v>20500</v>
      </c>
      <c r="E43" s="68"/>
      <c r="F43" s="314">
        <v>574000000</v>
      </c>
      <c r="G43" s="68">
        <f>ROUND(G$45/$D$45*$D43,0)</f>
        <v>1422994</v>
      </c>
      <c r="H43" s="68">
        <f>ROUND(H$45/$F$45*$F43,0)</f>
        <v>24925680</v>
      </c>
      <c r="I43" s="68">
        <f>ROUND(I$45/$D$45*$D43,0)</f>
        <v>7310164</v>
      </c>
      <c r="J43" s="68">
        <f>ROUND(J$45/$N$45*$N43,0)</f>
        <v>44624800</v>
      </c>
      <c r="K43" s="68">
        <f>ROUND(K$45/$F$45*$F43,0)</f>
        <v>24582491</v>
      </c>
      <c r="L43" s="68">
        <f>ROUND(L$45/$D$45*$D43,0)</f>
        <v>0</v>
      </c>
      <c r="M43" s="314">
        <f t="shared" si="3"/>
        <v>676866129</v>
      </c>
      <c r="N43" s="320">
        <v>8190</v>
      </c>
      <c r="O43" s="68">
        <f t="shared" si="4"/>
        <v>82645.436996336997</v>
      </c>
      <c r="P43" s="347"/>
      <c r="Q43" s="436" t="s">
        <v>340</v>
      </c>
      <c r="R43" s="315">
        <v>41358</v>
      </c>
      <c r="S43" s="322">
        <v>4698.7242524916946</v>
      </c>
      <c r="T43" s="342">
        <v>301</v>
      </c>
      <c r="U43" s="316">
        <v>1414316</v>
      </c>
      <c r="V43" s="323"/>
    </row>
    <row r="44" spans="1:22">
      <c r="A44" s="401" t="str">
        <f t="shared" si="5"/>
        <v/>
      </c>
      <c r="B44" s="312"/>
      <c r="C44" s="319"/>
      <c r="D44" s="68"/>
      <c r="E44" s="68"/>
      <c r="F44" s="314"/>
      <c r="G44" s="68"/>
      <c r="H44" s="68"/>
      <c r="I44" s="68"/>
      <c r="J44" s="68"/>
      <c r="K44" s="68"/>
      <c r="L44" s="68"/>
      <c r="M44" s="314"/>
      <c r="N44" s="320"/>
      <c r="O44" s="68"/>
      <c r="P44" s="347"/>
      <c r="Q44" s="436"/>
      <c r="R44" s="315"/>
      <c r="S44" s="322"/>
      <c r="T44" s="342"/>
      <c r="U44" s="316"/>
      <c r="V44" s="323"/>
    </row>
    <row r="45" spans="1:22" s="291" customFormat="1">
      <c r="A45" s="333"/>
      <c r="B45" s="334" t="s">
        <v>254</v>
      </c>
      <c r="C45" s="335"/>
      <c r="D45" s="336">
        <f>SUM(D40:D44)</f>
        <v>130000</v>
      </c>
      <c r="E45" s="336"/>
      <c r="F45" s="336">
        <f>SUM(F40:F44)</f>
        <v>2983600000</v>
      </c>
      <c r="G45" s="337">
        <f>U45</f>
        <v>9023864</v>
      </c>
      <c r="H45" s="337">
        <v>129561424</v>
      </c>
      <c r="I45" s="337">
        <v>46357135</v>
      </c>
      <c r="J45" s="337">
        <f>U58</f>
        <v>152127525</v>
      </c>
      <c r="K45" s="337">
        <v>127777560</v>
      </c>
      <c r="L45" s="336"/>
      <c r="M45" s="336">
        <f>SUM(M40:M44)</f>
        <v>3448447508</v>
      </c>
      <c r="N45" s="336">
        <f>SUM(N40:N44)</f>
        <v>27920</v>
      </c>
      <c r="O45" s="336"/>
      <c r="P45" s="340"/>
      <c r="Q45" s="549"/>
      <c r="R45" s="549"/>
      <c r="S45" s="549"/>
      <c r="T45" s="549"/>
      <c r="U45" s="346">
        <f>SUM(U40:U44)</f>
        <v>9023864</v>
      </c>
      <c r="V45" s="346">
        <f>SUM(V40:V44)</f>
        <v>0</v>
      </c>
    </row>
    <row r="46" spans="1:22" s="291" customFormat="1">
      <c r="A46" s="338"/>
      <c r="B46" s="339"/>
      <c r="C46" s="299"/>
      <c r="D46" s="340"/>
      <c r="E46" s="340"/>
      <c r="F46" s="340"/>
      <c r="G46" s="297"/>
      <c r="H46" s="340"/>
      <c r="I46" s="340"/>
      <c r="J46" s="340"/>
      <c r="K46" s="340"/>
      <c r="L46" s="340"/>
      <c r="M46" s="340"/>
      <c r="N46" s="340"/>
      <c r="O46" s="340"/>
      <c r="P46" s="340"/>
      <c r="Q46" s="433" t="s">
        <v>337</v>
      </c>
      <c r="R46" s="563">
        <v>41352</v>
      </c>
      <c r="S46" s="317">
        <v>9991.5480000000007</v>
      </c>
      <c r="T46" s="572">
        <v>500</v>
      </c>
      <c r="U46" s="317">
        <v>4995774</v>
      </c>
      <c r="V46" s="316"/>
    </row>
    <row r="47" spans="1:22" s="291" customFormat="1">
      <c r="A47" s="338"/>
      <c r="B47" s="339"/>
      <c r="C47" s="299"/>
      <c r="D47" s="340"/>
      <c r="E47" s="340"/>
      <c r="F47" s="340"/>
      <c r="G47" s="297"/>
      <c r="H47" s="340"/>
      <c r="I47" s="340"/>
      <c r="J47" s="340"/>
      <c r="K47" s="340"/>
      <c r="L47" s="340"/>
      <c r="M47" s="340"/>
      <c r="N47" s="340"/>
      <c r="O47" s="340"/>
      <c r="P47" s="340"/>
      <c r="Q47" s="342" t="s">
        <v>345</v>
      </c>
      <c r="R47" s="315">
        <v>41352</v>
      </c>
      <c r="S47" s="322">
        <v>28000</v>
      </c>
      <c r="T47" s="322">
        <v>202</v>
      </c>
      <c r="U47" s="322">
        <v>5656000</v>
      </c>
      <c r="V47" s="322"/>
    </row>
    <row r="48" spans="1:22" s="291" customFormat="1">
      <c r="A48" s="338"/>
      <c r="B48" s="339"/>
      <c r="C48" s="299"/>
      <c r="D48" s="340"/>
      <c r="E48" s="340"/>
      <c r="F48" s="341"/>
      <c r="G48" s="297"/>
      <c r="H48" s="340"/>
      <c r="I48" s="340"/>
      <c r="J48" s="340"/>
      <c r="K48" s="340"/>
      <c r="L48" s="340"/>
      <c r="M48" s="365"/>
      <c r="N48" s="340"/>
      <c r="O48" s="340"/>
      <c r="P48" s="340"/>
      <c r="Q48" s="342" t="s">
        <v>53</v>
      </c>
      <c r="R48" s="315">
        <v>41358</v>
      </c>
      <c r="S48" s="322">
        <v>16826</v>
      </c>
      <c r="T48" s="322">
        <v>1250</v>
      </c>
      <c r="U48" s="322">
        <v>21032500</v>
      </c>
      <c r="V48" s="322"/>
    </row>
    <row r="49" spans="1:22" s="291" customFormat="1">
      <c r="A49" s="338"/>
      <c r="B49" s="339"/>
      <c r="C49" s="299"/>
      <c r="D49" s="340"/>
      <c r="E49" s="340"/>
      <c r="F49" s="341"/>
      <c r="G49" s="297"/>
      <c r="H49" s="340"/>
      <c r="I49" s="340"/>
      <c r="J49" s="340"/>
      <c r="K49" s="340"/>
      <c r="L49" s="340"/>
      <c r="M49" s="365"/>
      <c r="N49" s="340"/>
      <c r="O49" s="340"/>
      <c r="P49" s="340"/>
      <c r="Q49" s="342" t="s">
        <v>205</v>
      </c>
      <c r="R49" s="315">
        <v>41352</v>
      </c>
      <c r="S49" s="322">
        <v>13800</v>
      </c>
      <c r="T49" s="322">
        <v>200</v>
      </c>
      <c r="U49" s="322">
        <v>2760000</v>
      </c>
      <c r="V49" s="322"/>
    </row>
    <row r="50" spans="1:22" s="291" customFormat="1">
      <c r="A50" s="338"/>
      <c r="B50" s="339"/>
      <c r="C50" s="299"/>
      <c r="D50" s="340"/>
      <c r="E50" s="340"/>
      <c r="F50" s="341"/>
      <c r="G50" s="297"/>
      <c r="H50" s="340"/>
      <c r="I50" s="340"/>
      <c r="J50" s="340"/>
      <c r="K50" s="340"/>
      <c r="L50" s="340"/>
      <c r="M50" s="365"/>
      <c r="N50" s="340"/>
      <c r="O50" s="340"/>
      <c r="P50" s="340"/>
      <c r="Q50" s="342" t="s">
        <v>291</v>
      </c>
      <c r="R50" s="315">
        <v>41352</v>
      </c>
      <c r="S50" s="322">
        <v>39000</v>
      </c>
      <c r="T50" s="322">
        <v>100</v>
      </c>
      <c r="U50" s="322">
        <v>3900000</v>
      </c>
      <c r="V50" s="322"/>
    </row>
    <row r="51" spans="1:22" s="291" customFormat="1">
      <c r="A51" s="338"/>
      <c r="B51" s="339"/>
      <c r="C51" s="299"/>
      <c r="D51" s="340"/>
      <c r="E51" s="340"/>
      <c r="F51" s="341"/>
      <c r="G51" s="297"/>
      <c r="H51" s="340"/>
      <c r="I51" s="340"/>
      <c r="J51" s="340"/>
      <c r="K51" s="340"/>
      <c r="L51" s="340"/>
      <c r="M51" s="365"/>
      <c r="N51" s="340"/>
      <c r="O51" s="340"/>
      <c r="P51" s="340"/>
      <c r="Q51" s="342" t="s">
        <v>283</v>
      </c>
      <c r="R51" s="315">
        <v>41358</v>
      </c>
      <c r="S51" s="322">
        <v>11400</v>
      </c>
      <c r="T51" s="322">
        <v>1150</v>
      </c>
      <c r="U51" s="322">
        <v>13110000</v>
      </c>
      <c r="V51" s="322"/>
    </row>
    <row r="52" spans="1:22" s="291" customFormat="1">
      <c r="A52" s="338"/>
      <c r="B52" s="339"/>
      <c r="C52" s="299"/>
      <c r="D52" s="340"/>
      <c r="E52" s="340"/>
      <c r="F52" s="341"/>
      <c r="G52" s="297"/>
      <c r="H52" s="340"/>
      <c r="I52" s="340"/>
      <c r="J52" s="340"/>
      <c r="K52" s="340"/>
      <c r="L52" s="340"/>
      <c r="M52" s="365"/>
      <c r="N52" s="340"/>
      <c r="O52" s="340"/>
      <c r="P52" s="340"/>
      <c r="Q52" s="342" t="s">
        <v>348</v>
      </c>
      <c r="R52" s="315">
        <v>41352</v>
      </c>
      <c r="S52" s="322">
        <v>10120</v>
      </c>
      <c r="T52" s="322">
        <v>144</v>
      </c>
      <c r="U52" s="322">
        <v>1457280</v>
      </c>
      <c r="V52" s="322"/>
    </row>
    <row r="53" spans="1:22" s="291" customFormat="1">
      <c r="A53" s="338"/>
      <c r="B53" s="339"/>
      <c r="C53" s="299"/>
      <c r="D53" s="340"/>
      <c r="E53" s="340"/>
      <c r="F53" s="341"/>
      <c r="G53" s="297"/>
      <c r="H53" s="340"/>
      <c r="I53" s="340"/>
      <c r="J53" s="340"/>
      <c r="K53" s="340"/>
      <c r="L53" s="340"/>
      <c r="M53" s="365"/>
      <c r="N53" s="340"/>
      <c r="O53" s="340"/>
      <c r="P53" s="340"/>
      <c r="Q53" s="342" t="s">
        <v>350</v>
      </c>
      <c r="R53" s="315">
        <v>41352</v>
      </c>
      <c r="S53" s="322">
        <v>38000</v>
      </c>
      <c r="T53" s="322">
        <v>200</v>
      </c>
      <c r="U53" s="322">
        <v>7600000</v>
      </c>
      <c r="V53" s="322"/>
    </row>
    <row r="54" spans="1:22" s="291" customFormat="1">
      <c r="A54" s="338"/>
      <c r="B54" s="339"/>
      <c r="C54" s="299"/>
      <c r="D54" s="340"/>
      <c r="E54" s="340"/>
      <c r="F54" s="340"/>
      <c r="G54" s="297"/>
      <c r="H54" s="340"/>
      <c r="I54" s="340"/>
      <c r="J54" s="340"/>
      <c r="K54" s="340"/>
      <c r="L54" s="340"/>
      <c r="M54" s="340"/>
      <c r="N54" s="340"/>
      <c r="O54" s="340"/>
      <c r="P54" s="340"/>
      <c r="Q54" s="321" t="s">
        <v>278</v>
      </c>
      <c r="R54" s="315">
        <v>41352</v>
      </c>
      <c r="S54" s="322">
        <v>14000</v>
      </c>
      <c r="T54" s="328">
        <v>2560</v>
      </c>
      <c r="U54" s="328">
        <v>35840000</v>
      </c>
      <c r="V54" s="328"/>
    </row>
    <row r="55" spans="1:22">
      <c r="Q55" s="321" t="s">
        <v>351</v>
      </c>
      <c r="R55" s="315">
        <v>41358</v>
      </c>
      <c r="S55" s="322">
        <v>333.28505050505049</v>
      </c>
      <c r="T55" s="328">
        <v>123750</v>
      </c>
      <c r="U55" s="328">
        <v>41244025</v>
      </c>
      <c r="V55" s="328"/>
    </row>
    <row r="56" spans="1:22">
      <c r="Q56" s="321" t="s">
        <v>352</v>
      </c>
      <c r="R56" s="315">
        <v>41358</v>
      </c>
      <c r="S56" s="322">
        <v>429</v>
      </c>
      <c r="T56" s="328">
        <v>33874</v>
      </c>
      <c r="U56" s="328">
        <v>14531946</v>
      </c>
      <c r="V56" s="323"/>
    </row>
    <row r="57" spans="1:22">
      <c r="Q57" s="573"/>
      <c r="R57" s="574"/>
      <c r="S57" s="575"/>
      <c r="T57" s="446"/>
      <c r="U57" s="446"/>
      <c r="V57" s="576"/>
    </row>
    <row r="58" spans="1:22">
      <c r="Q58" s="457"/>
      <c r="R58" s="457"/>
      <c r="S58" s="457"/>
      <c r="T58" s="457"/>
      <c r="U58" s="346">
        <f>SUM(U46:U57)</f>
        <v>152127525</v>
      </c>
      <c r="V58" s="346">
        <f>SUM(V46:V56)</f>
        <v>0</v>
      </c>
    </row>
    <row r="59" spans="1:22" ht="18" customHeight="1">
      <c r="A59" s="291" t="s">
        <v>239</v>
      </c>
      <c r="B59" s="291"/>
      <c r="C59" s="292"/>
      <c r="D59" s="293"/>
      <c r="E59" s="293"/>
      <c r="F59" s="290"/>
      <c r="G59" s="290"/>
      <c r="H59" s="290"/>
      <c r="I59" s="290"/>
      <c r="J59" s="294"/>
      <c r="K59" s="290"/>
      <c r="L59" s="290"/>
      <c r="M59" s="290"/>
      <c r="N59" s="295"/>
      <c r="O59" s="290"/>
      <c r="P59" s="354"/>
      <c r="Q59" s="290"/>
      <c r="R59" s="562"/>
    </row>
    <row r="60" spans="1:22" ht="18.75" customHeight="1">
      <c r="A60" s="545" t="s">
        <v>468</v>
      </c>
      <c r="B60" s="545"/>
      <c r="C60" s="545"/>
      <c r="D60" s="545"/>
      <c r="E60" s="545"/>
      <c r="F60" s="545"/>
      <c r="G60" s="545"/>
      <c r="H60" s="545"/>
      <c r="I60" s="545"/>
      <c r="J60" s="545"/>
      <c r="K60" s="545"/>
      <c r="L60" s="545"/>
      <c r="M60" s="545"/>
      <c r="N60" s="545"/>
      <c r="O60" s="545"/>
      <c r="P60" s="298"/>
      <c r="Q60" s="290"/>
      <c r="R60" s="562"/>
    </row>
    <row r="61" spans="1:22" ht="18.75" customHeight="1">
      <c r="A61" s="298"/>
      <c r="B61" s="298"/>
      <c r="C61" s="299"/>
      <c r="D61" s="298"/>
      <c r="E61" s="298"/>
      <c r="F61" s="298"/>
      <c r="G61" s="298"/>
      <c r="H61" s="298"/>
      <c r="I61" s="298"/>
      <c r="J61" s="297"/>
      <c r="K61" s="298"/>
      <c r="L61" s="298"/>
      <c r="M61" s="298"/>
      <c r="N61" s="300"/>
      <c r="O61" s="298"/>
      <c r="P61" s="298"/>
      <c r="Q61" s="290"/>
      <c r="R61" s="562"/>
    </row>
    <row r="62" spans="1:22" ht="12.75" customHeight="1">
      <c r="A62" s="301"/>
      <c r="B62" s="301"/>
      <c r="C62" s="302"/>
      <c r="D62" s="301"/>
      <c r="E62" s="301"/>
      <c r="F62" s="301"/>
      <c r="G62" s="301"/>
      <c r="H62" s="301"/>
      <c r="I62" s="301"/>
      <c r="J62" s="301"/>
      <c r="K62" s="301"/>
      <c r="L62" s="301"/>
      <c r="M62" s="301"/>
      <c r="N62" s="303"/>
      <c r="O62" s="301"/>
      <c r="P62" s="422"/>
      <c r="Q62" s="290"/>
      <c r="R62" s="562"/>
    </row>
    <row r="63" spans="1:22" s="310" customFormat="1" ht="30.75" customHeight="1">
      <c r="A63" s="305" t="s">
        <v>30</v>
      </c>
      <c r="B63" s="305" t="s">
        <v>240</v>
      </c>
      <c r="C63" s="306" t="s">
        <v>241</v>
      </c>
      <c r="D63" s="307" t="s">
        <v>242</v>
      </c>
      <c r="E63" s="307" t="s">
        <v>243</v>
      </c>
      <c r="F63" s="307" t="s">
        <v>244</v>
      </c>
      <c r="G63" s="307" t="s">
        <v>245</v>
      </c>
      <c r="H63" s="307" t="s">
        <v>246</v>
      </c>
      <c r="I63" s="307" t="s">
        <v>247</v>
      </c>
      <c r="J63" s="307" t="s">
        <v>249</v>
      </c>
      <c r="K63" s="308" t="s">
        <v>248</v>
      </c>
      <c r="L63" s="308" t="s">
        <v>250</v>
      </c>
      <c r="M63" s="307" t="s">
        <v>251</v>
      </c>
      <c r="N63" s="309" t="s">
        <v>252</v>
      </c>
      <c r="O63" s="307" t="s">
        <v>253</v>
      </c>
      <c r="P63" s="430"/>
      <c r="Q63" s="305" t="s">
        <v>240</v>
      </c>
      <c r="R63" s="560" t="s">
        <v>75</v>
      </c>
      <c r="S63" s="307" t="s">
        <v>243</v>
      </c>
      <c r="T63" s="307" t="s">
        <v>61</v>
      </c>
      <c r="U63" s="307" t="s">
        <v>91</v>
      </c>
      <c r="V63" s="305" t="s">
        <v>91</v>
      </c>
    </row>
    <row r="64" spans="1:22">
      <c r="A64" s="401">
        <f>IF(D64&lt;&gt;"",ROW()-(ROW()-1),"")</f>
        <v>1</v>
      </c>
      <c r="B64" s="368" t="s">
        <v>368</v>
      </c>
      <c r="C64" s="313">
        <v>5</v>
      </c>
      <c r="D64" s="68">
        <v>50000</v>
      </c>
      <c r="E64" s="68"/>
      <c r="F64" s="314">
        <v>1400000000</v>
      </c>
      <c r="G64" s="68">
        <f>G$69/$D$69*$D64</f>
        <v>3551498.7951807226</v>
      </c>
      <c r="H64" s="68">
        <f>H$69/$F$69*$F64</f>
        <v>36079612.585499316</v>
      </c>
      <c r="I64" s="68">
        <f>I$69/$D$69*$D64</f>
        <v>14159957.590361446</v>
      </c>
      <c r="J64" s="68">
        <f>J$69/$N$69*$N64</f>
        <v>14286263.736263735</v>
      </c>
      <c r="K64" s="68">
        <f>K$69/$F$69*$F64</f>
        <v>42910435.896032833</v>
      </c>
      <c r="L64" s="68"/>
      <c r="M64" s="314">
        <f t="shared" ref="M64:M67" si="6">ROUND(F64+G64+H64+I64+J64+K64+L64,0)</f>
        <v>1510987769</v>
      </c>
      <c r="N64" s="68">
        <v>10000</v>
      </c>
      <c r="O64" s="68">
        <f t="shared" ref="O64:O67" si="7">M64/N64</f>
        <v>151098.7769</v>
      </c>
      <c r="P64" s="347"/>
      <c r="Q64" s="436" t="s">
        <v>46</v>
      </c>
      <c r="R64" s="366">
        <v>41365</v>
      </c>
      <c r="S64" s="316">
        <v>46224</v>
      </c>
      <c r="T64" s="316">
        <v>30</v>
      </c>
      <c r="U64" s="314">
        <v>1386720</v>
      </c>
      <c r="V64" s="314"/>
    </row>
    <row r="65" spans="1:22">
      <c r="A65" s="401">
        <f>IF(D65&lt;&gt;"",A64+1,"")</f>
        <v>2</v>
      </c>
      <c r="B65" s="312" t="s">
        <v>381</v>
      </c>
      <c r="C65" s="319">
        <v>5</v>
      </c>
      <c r="D65" s="68">
        <v>25000</v>
      </c>
      <c r="E65" s="68"/>
      <c r="F65" s="314">
        <v>600000000</v>
      </c>
      <c r="G65" s="68">
        <f>G$69/$D$69*$D65</f>
        <v>1775749.3975903613</v>
      </c>
      <c r="H65" s="68">
        <f>H$69/$F$69*$F65</f>
        <v>15462691.108071135</v>
      </c>
      <c r="I65" s="68">
        <f>I$69/$D$69*$D65</f>
        <v>7079978.7951807231</v>
      </c>
      <c r="J65" s="68">
        <f>J$69/$N$69*$N65</f>
        <v>7143131.8681318676</v>
      </c>
      <c r="K65" s="68">
        <f>K$69/$F$69*$F65</f>
        <v>18390186.812585499</v>
      </c>
      <c r="L65" s="68"/>
      <c r="M65" s="314">
        <f t="shared" si="6"/>
        <v>649851738</v>
      </c>
      <c r="N65" s="320">
        <v>5000</v>
      </c>
      <c r="O65" s="68">
        <f t="shared" si="7"/>
        <v>129970.34759999999</v>
      </c>
      <c r="P65" s="347"/>
      <c r="Q65" s="436" t="s">
        <v>338</v>
      </c>
      <c r="R65" s="315">
        <v>41365</v>
      </c>
      <c r="S65" s="316">
        <v>34200</v>
      </c>
      <c r="T65" s="316">
        <v>135</v>
      </c>
      <c r="U65" s="328">
        <v>4617000</v>
      </c>
      <c r="V65" s="328"/>
    </row>
    <row r="66" spans="1:22">
      <c r="A66" s="401">
        <f>IF(D66&lt;&gt;"",A65+1,"")</f>
        <v>3</v>
      </c>
      <c r="B66" s="312" t="s">
        <v>372</v>
      </c>
      <c r="C66" s="319">
        <v>2.5</v>
      </c>
      <c r="D66" s="68">
        <v>20000</v>
      </c>
      <c r="E66" s="68"/>
      <c r="F66" s="314">
        <v>600000000</v>
      </c>
      <c r="G66" s="68">
        <f>G$69/$D$69*$D66</f>
        <v>1420599.5180722892</v>
      </c>
      <c r="H66" s="68">
        <f>H$69/$F$69*$F66</f>
        <v>15462691.108071135</v>
      </c>
      <c r="I66" s="68">
        <f>I$69/$D$69*$D66</f>
        <v>5663983.0361445788</v>
      </c>
      <c r="J66" s="68">
        <f>J$69/$N$69*$N66</f>
        <v>11429010.98901099</v>
      </c>
      <c r="K66" s="68">
        <f>K$69/$F$69*$F66</f>
        <v>18390186.812585499</v>
      </c>
      <c r="L66" s="68"/>
      <c r="M66" s="314">
        <f>ROUND(F66+G66+H66+I66+J66+K66+L66,0)</f>
        <v>652366471</v>
      </c>
      <c r="N66" s="320">
        <v>8000</v>
      </c>
      <c r="O66" s="68">
        <f t="shared" si="7"/>
        <v>81545.808875000002</v>
      </c>
      <c r="P66" s="347"/>
      <c r="Q66" s="436" t="s">
        <v>38</v>
      </c>
      <c r="R66" s="366">
        <v>41365</v>
      </c>
      <c r="S66" s="316">
        <v>16500</v>
      </c>
      <c r="T66" s="316">
        <v>330</v>
      </c>
      <c r="U66" s="328">
        <v>5445000</v>
      </c>
      <c r="V66" s="328"/>
    </row>
    <row r="67" spans="1:22">
      <c r="A67" s="401">
        <f>IF(D67&lt;&gt;"",A66+1,"")</f>
        <v>4</v>
      </c>
      <c r="B67" s="312" t="s">
        <v>367</v>
      </c>
      <c r="C67" s="319">
        <v>5</v>
      </c>
      <c r="D67" s="68">
        <v>112500</v>
      </c>
      <c r="E67" s="68"/>
      <c r="F67" s="314">
        <v>1968750000</v>
      </c>
      <c r="G67" s="68">
        <f>G$69/$D$69*$D67</f>
        <v>7990872.289156626</v>
      </c>
      <c r="H67" s="68">
        <f>H$69/$F$69*$F67</f>
        <v>50736955.198358409</v>
      </c>
      <c r="I67" s="68">
        <f>I$69/$D$69*$D67</f>
        <v>31859904.578313254</v>
      </c>
      <c r="J67" s="68">
        <f>J$69/$N$69*$N67</f>
        <v>32144093.406593405</v>
      </c>
      <c r="K67" s="68">
        <f>K$69/$F$69*$F67</f>
        <v>60342800.478796169</v>
      </c>
      <c r="L67" s="68"/>
      <c r="M67" s="314">
        <f t="shared" si="6"/>
        <v>2151824626</v>
      </c>
      <c r="N67" s="320">
        <v>22500</v>
      </c>
      <c r="O67" s="68">
        <f t="shared" si="7"/>
        <v>95636.650044444439</v>
      </c>
      <c r="P67" s="347"/>
      <c r="Q67" s="436" t="s">
        <v>340</v>
      </c>
      <c r="R67" s="366">
        <v>41365</v>
      </c>
      <c r="S67" s="316">
        <v>4700</v>
      </c>
      <c r="T67" s="316">
        <v>700</v>
      </c>
      <c r="U67" s="328">
        <v>3290000</v>
      </c>
      <c r="V67" s="328"/>
    </row>
    <row r="68" spans="1:22">
      <c r="A68" s="401" t="str">
        <f>IF(D68&lt;&gt;"",A67+1,"")</f>
        <v/>
      </c>
      <c r="B68" s="312"/>
      <c r="C68" s="319"/>
      <c r="D68" s="68"/>
      <c r="E68" s="68"/>
      <c r="F68" s="314"/>
      <c r="G68" s="68"/>
      <c r="H68" s="68"/>
      <c r="I68" s="68"/>
      <c r="J68" s="68"/>
      <c r="K68" s="68"/>
      <c r="L68" s="68"/>
      <c r="M68" s="314"/>
      <c r="N68" s="320"/>
      <c r="O68" s="68"/>
      <c r="P68" s="347"/>
      <c r="Q68" s="436"/>
      <c r="R68" s="366"/>
      <c r="S68" s="316"/>
      <c r="T68" s="316"/>
      <c r="U68" s="328"/>
      <c r="V68" s="328"/>
    </row>
    <row r="69" spans="1:22" s="291" customFormat="1">
      <c r="A69" s="333"/>
      <c r="B69" s="334" t="s">
        <v>254</v>
      </c>
      <c r="C69" s="335"/>
      <c r="D69" s="336">
        <f>SUM(D64:D68)</f>
        <v>207500</v>
      </c>
      <c r="E69" s="336"/>
      <c r="F69" s="336">
        <f>SUM(F64:F68)</f>
        <v>4568750000</v>
      </c>
      <c r="G69" s="337">
        <f>U69</f>
        <v>14738720</v>
      </c>
      <c r="H69" s="337">
        <v>117741950</v>
      </c>
      <c r="I69" s="337">
        <v>58763824</v>
      </c>
      <c r="J69" s="336">
        <f>U77</f>
        <v>65002500</v>
      </c>
      <c r="K69" s="337">
        <v>140033610</v>
      </c>
      <c r="L69" s="336">
        <f>SUM(L64:L68)</f>
        <v>0</v>
      </c>
      <c r="M69" s="336">
        <f>SUM(M64:M68)</f>
        <v>4965030604</v>
      </c>
      <c r="N69" s="336">
        <f>SUM(N64:N68)</f>
        <v>45500</v>
      </c>
      <c r="O69" s="336"/>
      <c r="P69" s="347"/>
      <c r="Q69" s="546"/>
      <c r="R69" s="547"/>
      <c r="S69" s="547"/>
      <c r="T69" s="548"/>
      <c r="U69" s="346">
        <f>SUM(U64:U68)</f>
        <v>14738720</v>
      </c>
      <c r="V69" s="346">
        <f>SUM(V64:V68)</f>
        <v>0</v>
      </c>
    </row>
    <row r="70" spans="1:22">
      <c r="P70" s="347"/>
      <c r="Q70" s="436" t="s">
        <v>337</v>
      </c>
      <c r="R70" s="564">
        <v>41375</v>
      </c>
      <c r="S70" s="570">
        <v>9500</v>
      </c>
      <c r="T70" s="316">
        <v>650</v>
      </c>
      <c r="U70" s="328">
        <v>6175000</v>
      </c>
      <c r="V70" s="328"/>
    </row>
    <row r="71" spans="1:22">
      <c r="O71" s="348"/>
      <c r="P71" s="347"/>
      <c r="Q71" s="367" t="s">
        <v>346</v>
      </c>
      <c r="R71" s="315">
        <v>41391</v>
      </c>
      <c r="S71" s="316">
        <v>34000</v>
      </c>
      <c r="T71" s="316">
        <v>163</v>
      </c>
      <c r="U71" s="328">
        <v>5542000</v>
      </c>
      <c r="V71" s="328"/>
    </row>
    <row r="72" spans="1:22">
      <c r="O72" s="348"/>
      <c r="P72" s="347"/>
      <c r="Q72" s="367" t="s">
        <v>54</v>
      </c>
      <c r="R72" s="315">
        <v>41375</v>
      </c>
      <c r="S72" s="316">
        <v>12500</v>
      </c>
      <c r="T72" s="316">
        <v>1150</v>
      </c>
      <c r="U72" s="328">
        <v>14375000</v>
      </c>
      <c r="V72" s="328"/>
    </row>
    <row r="73" spans="1:22">
      <c r="O73" s="348"/>
      <c r="Q73" s="367" t="s">
        <v>205</v>
      </c>
      <c r="R73" s="315">
        <v>41375</v>
      </c>
      <c r="S73" s="316">
        <v>15671.428571428571</v>
      </c>
      <c r="T73" s="316">
        <v>280</v>
      </c>
      <c r="U73" s="328">
        <v>4388000</v>
      </c>
      <c r="V73" s="328"/>
    </row>
    <row r="74" spans="1:22">
      <c r="O74" s="348"/>
      <c r="Q74" s="367" t="s">
        <v>283</v>
      </c>
      <c r="R74" s="315">
        <v>41375</v>
      </c>
      <c r="S74" s="316">
        <v>11400</v>
      </c>
      <c r="T74" s="316">
        <v>900</v>
      </c>
      <c r="U74" s="328">
        <v>10260000</v>
      </c>
      <c r="V74" s="328"/>
    </row>
    <row r="75" spans="1:22">
      <c r="Q75" s="367" t="s">
        <v>44</v>
      </c>
      <c r="R75" s="315">
        <v>41378</v>
      </c>
      <c r="S75" s="316">
        <v>15653.225806451614</v>
      </c>
      <c r="T75" s="316">
        <v>1550</v>
      </c>
      <c r="U75" s="328">
        <v>24262500</v>
      </c>
      <c r="V75" s="328"/>
    </row>
    <row r="76" spans="1:22">
      <c r="Q76" s="342"/>
      <c r="R76" s="366"/>
      <c r="S76" s="316"/>
      <c r="T76" s="322"/>
      <c r="U76" s="328"/>
      <c r="V76" s="328"/>
    </row>
    <row r="77" spans="1:22">
      <c r="Q77" s="457"/>
      <c r="R77" s="457"/>
      <c r="S77" s="457"/>
      <c r="T77" s="457"/>
      <c r="U77" s="346">
        <f>SUM(U70:U76)</f>
        <v>65002500</v>
      </c>
      <c r="V77" s="346">
        <f>SUM(V70:V76)</f>
        <v>0</v>
      </c>
    </row>
    <row r="78" spans="1:22" ht="18" customHeight="1">
      <c r="A78" s="291" t="s">
        <v>239</v>
      </c>
      <c r="B78" s="291"/>
      <c r="C78" s="292"/>
      <c r="D78" s="293"/>
      <c r="E78" s="293"/>
      <c r="F78" s="290"/>
      <c r="G78" s="290"/>
      <c r="H78" s="290"/>
      <c r="I78" s="290"/>
      <c r="J78" s="294"/>
      <c r="K78" s="290"/>
      <c r="L78" s="290"/>
      <c r="M78" s="290"/>
      <c r="N78" s="295"/>
      <c r="O78" s="290"/>
      <c r="P78" s="354"/>
      <c r="Q78" s="290"/>
      <c r="R78" s="562"/>
    </row>
    <row r="79" spans="1:22" ht="18.75" customHeight="1">
      <c r="A79" s="545" t="s">
        <v>469</v>
      </c>
      <c r="B79" s="545"/>
      <c r="C79" s="545"/>
      <c r="D79" s="545"/>
      <c r="E79" s="545"/>
      <c r="F79" s="545"/>
      <c r="G79" s="545"/>
      <c r="H79" s="545"/>
      <c r="I79" s="545"/>
      <c r="J79" s="545"/>
      <c r="K79" s="545"/>
      <c r="L79" s="545"/>
      <c r="M79" s="545"/>
      <c r="N79" s="545"/>
      <c r="O79" s="545"/>
      <c r="P79" s="298"/>
      <c r="Q79" s="290"/>
      <c r="R79" s="562"/>
    </row>
    <row r="80" spans="1:22" ht="18.75" customHeight="1">
      <c r="A80" s="298"/>
      <c r="B80" s="298"/>
      <c r="C80" s="299"/>
      <c r="D80" s="298"/>
      <c r="E80" s="298"/>
      <c r="F80" s="298"/>
      <c r="G80" s="298"/>
      <c r="H80" s="298"/>
      <c r="I80" s="298"/>
      <c r="J80" s="297"/>
      <c r="K80" s="298"/>
      <c r="L80" s="298"/>
      <c r="M80" s="298"/>
      <c r="N80" s="300"/>
      <c r="O80" s="298"/>
      <c r="P80" s="298"/>
      <c r="Q80" s="290"/>
      <c r="R80" s="562"/>
    </row>
    <row r="81" spans="1:22" ht="12.75" customHeight="1">
      <c r="A81" s="301"/>
      <c r="B81" s="301"/>
      <c r="C81" s="302"/>
      <c r="D81" s="301"/>
      <c r="E81" s="301"/>
      <c r="F81" s="301"/>
      <c r="G81" s="301"/>
      <c r="H81" s="301"/>
      <c r="I81" s="301"/>
      <c r="J81" s="301"/>
      <c r="K81" s="301"/>
      <c r="L81" s="301"/>
      <c r="M81" s="301"/>
      <c r="N81" s="303"/>
      <c r="O81" s="301"/>
      <c r="P81" s="422"/>
      <c r="Q81" s="290"/>
      <c r="R81" s="562"/>
    </row>
    <row r="82" spans="1:22" s="310" customFormat="1" ht="30.75" customHeight="1">
      <c r="A82" s="305" t="s">
        <v>30</v>
      </c>
      <c r="B82" s="305" t="s">
        <v>240</v>
      </c>
      <c r="C82" s="306" t="s">
        <v>241</v>
      </c>
      <c r="D82" s="307" t="s">
        <v>242</v>
      </c>
      <c r="E82" s="307" t="s">
        <v>243</v>
      </c>
      <c r="F82" s="307" t="s">
        <v>244</v>
      </c>
      <c r="G82" s="307" t="s">
        <v>245</v>
      </c>
      <c r="H82" s="307" t="s">
        <v>246</v>
      </c>
      <c r="I82" s="307" t="s">
        <v>247</v>
      </c>
      <c r="J82" s="307" t="s">
        <v>249</v>
      </c>
      <c r="K82" s="308" t="s">
        <v>248</v>
      </c>
      <c r="L82" s="308" t="s">
        <v>250</v>
      </c>
      <c r="M82" s="307" t="s">
        <v>251</v>
      </c>
      <c r="N82" s="309" t="s">
        <v>252</v>
      </c>
      <c r="O82" s="307" t="s">
        <v>253</v>
      </c>
      <c r="P82" s="430"/>
      <c r="Q82" s="305" t="s">
        <v>240</v>
      </c>
      <c r="R82" s="560" t="s">
        <v>75</v>
      </c>
      <c r="S82" s="307" t="s">
        <v>243</v>
      </c>
      <c r="T82" s="307" t="s">
        <v>61</v>
      </c>
      <c r="U82" s="307" t="s">
        <v>91</v>
      </c>
      <c r="V82" s="305" t="s">
        <v>91</v>
      </c>
    </row>
    <row r="83" spans="1:22">
      <c r="A83" s="401">
        <f>IF(D83&lt;&gt;"",ROW()-(ROW()-1),"")</f>
        <v>1</v>
      </c>
      <c r="B83" s="368" t="s">
        <v>478</v>
      </c>
      <c r="C83" s="313">
        <v>5</v>
      </c>
      <c r="D83" s="68">
        <v>72500</v>
      </c>
      <c r="E83" s="68"/>
      <c r="F83" s="314">
        <v>2102500000</v>
      </c>
      <c r="G83" s="68">
        <f>G$89/$D$89*$D83</f>
        <v>5641447.2361809043</v>
      </c>
      <c r="H83" s="68">
        <f>H$89/$F$89*$F83</f>
        <v>70994548.381463185</v>
      </c>
      <c r="I83" s="68">
        <f>I$89/$D$89*$D83</f>
        <v>51929627.316582911</v>
      </c>
      <c r="J83" s="68">
        <f>J$89/$N$89*$N83</f>
        <v>22231934.501142424</v>
      </c>
      <c r="K83" s="68">
        <f>K$89/$F$89*$F83</f>
        <v>88602808.5888405</v>
      </c>
      <c r="L83" s="68"/>
      <c r="M83" s="314">
        <f t="shared" ref="M83:M87" si="8">ROUND(F83+G83+H83+I83+J83+K83+L83,0)</f>
        <v>2341900366</v>
      </c>
      <c r="N83" s="68">
        <v>14500</v>
      </c>
      <c r="O83" s="68">
        <f t="shared" ref="O83:O87" si="9">M83/N83</f>
        <v>161510.37006896551</v>
      </c>
      <c r="P83" s="347"/>
      <c r="Q83" s="436" t="s">
        <v>338</v>
      </c>
      <c r="R83" s="366">
        <v>41397</v>
      </c>
      <c r="S83" s="316">
        <v>34200</v>
      </c>
      <c r="T83" s="316">
        <v>115</v>
      </c>
      <c r="U83" s="314">
        <v>3933000</v>
      </c>
      <c r="V83" s="314"/>
    </row>
    <row r="84" spans="1:22">
      <c r="A84" s="401">
        <f t="shared" ref="A84:A87" si="10">IF(D84&lt;&gt;"",A83+1,"")</f>
        <v>2</v>
      </c>
      <c r="B84" s="312" t="s">
        <v>372</v>
      </c>
      <c r="C84" s="319">
        <v>2.5</v>
      </c>
      <c r="D84" s="68">
        <v>12525</v>
      </c>
      <c r="E84" s="68"/>
      <c r="F84" s="314">
        <v>425850000</v>
      </c>
      <c r="G84" s="68">
        <f>G$89/$D$89*$D84</f>
        <v>974608.64321608038</v>
      </c>
      <c r="H84" s="68">
        <f>H$89/$F$89*$F84</f>
        <v>14379561.678119428</v>
      </c>
      <c r="I84" s="68">
        <f>I$89/$D$89*$D84</f>
        <v>8971290.788140703</v>
      </c>
      <c r="J84" s="68">
        <f>J$89/$N$89*$N84</f>
        <v>7681516.6793602444</v>
      </c>
      <c r="K84" s="68">
        <f>K$89/$F$89*$F84</f>
        <v>17946019.518457893</v>
      </c>
      <c r="L84" s="68"/>
      <c r="M84" s="314">
        <f t="shared" si="8"/>
        <v>475802997</v>
      </c>
      <c r="N84" s="320">
        <v>5010</v>
      </c>
      <c r="O84" s="68">
        <f t="shared" si="9"/>
        <v>94970.658083832343</v>
      </c>
      <c r="P84" s="347"/>
      <c r="Q84" s="436" t="s">
        <v>38</v>
      </c>
      <c r="R84" s="315">
        <v>41397</v>
      </c>
      <c r="S84" s="316">
        <v>16500</v>
      </c>
      <c r="T84" s="316">
        <v>220</v>
      </c>
      <c r="U84" s="328">
        <v>3630000</v>
      </c>
      <c r="V84" s="328"/>
    </row>
    <row r="85" spans="1:22">
      <c r="A85" s="401">
        <f t="shared" si="10"/>
        <v>3</v>
      </c>
      <c r="B85" s="312" t="s">
        <v>324</v>
      </c>
      <c r="C85" s="319">
        <v>6</v>
      </c>
      <c r="D85" s="68">
        <v>33600</v>
      </c>
      <c r="E85" s="68"/>
      <c r="F85" s="314">
        <v>739200000</v>
      </c>
      <c r="G85" s="68">
        <f>G$89/$D$89*$D85</f>
        <v>2614518.9949748744</v>
      </c>
      <c r="H85" s="68">
        <f>H$89/$F$89*$F85</f>
        <v>24960366.308479235</v>
      </c>
      <c r="I85" s="68">
        <f>I$89/$D$89*$D85</f>
        <v>24066696.246030148</v>
      </c>
      <c r="J85" s="68">
        <f>J$89/$N$89*$N85</f>
        <v>8586126.4280274194</v>
      </c>
      <c r="K85" s="68">
        <f>K$89/$F$89*$F85</f>
        <v>31151103.975681756</v>
      </c>
      <c r="L85" s="68"/>
      <c r="M85" s="314">
        <f t="shared" si="8"/>
        <v>830578812</v>
      </c>
      <c r="N85" s="320">
        <v>5600</v>
      </c>
      <c r="O85" s="68">
        <f t="shared" si="9"/>
        <v>148317.64499999999</v>
      </c>
      <c r="P85" s="347"/>
      <c r="Q85" s="436" t="s">
        <v>340</v>
      </c>
      <c r="R85" s="315">
        <v>41397</v>
      </c>
      <c r="S85" s="316">
        <v>4700</v>
      </c>
      <c r="T85" s="316">
        <v>450</v>
      </c>
      <c r="U85" s="328">
        <v>2115000</v>
      </c>
      <c r="V85" s="328"/>
    </row>
    <row r="86" spans="1:22">
      <c r="A86" s="401">
        <f t="shared" si="10"/>
        <v>4</v>
      </c>
      <c r="B86" s="312" t="s">
        <v>321</v>
      </c>
      <c r="C86" s="319">
        <v>5</v>
      </c>
      <c r="D86" s="68">
        <v>3250</v>
      </c>
      <c r="E86" s="68"/>
      <c r="F86" s="314">
        <v>81250000</v>
      </c>
      <c r="G86" s="68">
        <f>G$89/$D$89*$D86</f>
        <v>252892.46231155779</v>
      </c>
      <c r="H86" s="68">
        <f>H$89/$F$89*$F86</f>
        <v>2743546.7567152837</v>
      </c>
      <c r="I86" s="68">
        <f>I$89/$D$89*$D86</f>
        <v>2327879.8452261304</v>
      </c>
      <c r="J86" s="68">
        <f>J$89/$N$89*$N86</f>
        <v>996603.96039603965</v>
      </c>
      <c r="K86" s="68">
        <f>K$89/$F$89*$F86</f>
        <v>3424008.6553356908</v>
      </c>
      <c r="L86" s="68"/>
      <c r="M86" s="314">
        <f t="shared" si="8"/>
        <v>90994932</v>
      </c>
      <c r="N86" s="320">
        <v>650</v>
      </c>
      <c r="O86" s="68">
        <f t="shared" si="9"/>
        <v>139992.20307692309</v>
      </c>
      <c r="P86" s="347"/>
      <c r="Q86" s="436"/>
      <c r="R86" s="315"/>
      <c r="S86" s="316"/>
      <c r="T86" s="316"/>
      <c r="U86" s="328"/>
      <c r="V86" s="328"/>
    </row>
    <row r="87" spans="1:22">
      <c r="A87" s="401">
        <f t="shared" si="10"/>
        <v>5</v>
      </c>
      <c r="B87" s="312" t="s">
        <v>477</v>
      </c>
      <c r="C87" s="319">
        <v>5</v>
      </c>
      <c r="D87" s="68">
        <v>2500</v>
      </c>
      <c r="E87" s="68"/>
      <c r="F87" s="314">
        <v>72500000</v>
      </c>
      <c r="G87" s="68">
        <f>G$89/$D$89*$D87</f>
        <v>194532.66331658291</v>
      </c>
      <c r="H87" s="68">
        <f>H$89/$F$89*$F87</f>
        <v>2448087.8752228688</v>
      </c>
      <c r="I87" s="68">
        <f>I$89/$D$89*$D87</f>
        <v>1790676.8040201005</v>
      </c>
      <c r="J87" s="68">
        <f>J$89/$N$89*$N87</f>
        <v>766618.43107387668</v>
      </c>
      <c r="K87" s="68">
        <f>K$89/$F$89*$F87</f>
        <v>3055269.2616841551</v>
      </c>
      <c r="L87" s="68"/>
      <c r="M87" s="314">
        <f t="shared" si="8"/>
        <v>80755185</v>
      </c>
      <c r="N87" s="320">
        <v>500</v>
      </c>
      <c r="O87" s="68">
        <f t="shared" si="9"/>
        <v>161510.37</v>
      </c>
      <c r="P87" s="347"/>
      <c r="Q87" s="436"/>
      <c r="R87" s="315"/>
      <c r="S87" s="316"/>
      <c r="T87" s="316"/>
      <c r="U87" s="328"/>
      <c r="V87" s="328"/>
    </row>
    <row r="88" spans="1:22" s="332" customFormat="1">
      <c r="A88" s="439"/>
      <c r="B88" s="324"/>
      <c r="C88" s="325"/>
      <c r="D88" s="326"/>
      <c r="E88" s="326"/>
      <c r="F88" s="327"/>
      <c r="G88" s="326"/>
      <c r="H88" s="364"/>
      <c r="I88" s="328"/>
      <c r="J88" s="329"/>
      <c r="K88" s="326"/>
      <c r="L88" s="326"/>
      <c r="N88" s="331"/>
      <c r="O88" s="326"/>
      <c r="P88" s="440"/>
      <c r="Q88" s="321"/>
      <c r="R88" s="315"/>
      <c r="S88" s="316"/>
      <c r="T88" s="316"/>
      <c r="U88" s="328"/>
      <c r="V88" s="328"/>
    </row>
    <row r="89" spans="1:22" s="291" customFormat="1">
      <c r="A89" s="333"/>
      <c r="B89" s="334" t="s">
        <v>254</v>
      </c>
      <c r="C89" s="335"/>
      <c r="D89" s="336">
        <f>SUM(D83:D88)</f>
        <v>124375</v>
      </c>
      <c r="E89" s="336"/>
      <c r="F89" s="336">
        <f>SUM(F83:F88)</f>
        <v>3421300000</v>
      </c>
      <c r="G89" s="337">
        <f>U89</f>
        <v>9678000</v>
      </c>
      <c r="H89" s="337">
        <v>115526111</v>
      </c>
      <c r="I89" s="337">
        <v>89086171</v>
      </c>
      <c r="J89" s="337">
        <f>U95</f>
        <v>40262800</v>
      </c>
      <c r="K89" s="337">
        <v>144179210</v>
      </c>
      <c r="L89" s="336">
        <f>SUM(L83:L88)</f>
        <v>0</v>
      </c>
      <c r="M89" s="336">
        <f>SUM(M83:M88)</f>
        <v>3820032292</v>
      </c>
      <c r="N89" s="336">
        <f>SUM(N83:N88)</f>
        <v>26260</v>
      </c>
      <c r="O89" s="336"/>
      <c r="P89" s="340"/>
      <c r="Q89" s="546"/>
      <c r="R89" s="547"/>
      <c r="S89" s="547"/>
      <c r="T89" s="548"/>
      <c r="U89" s="346">
        <f>SUM(U83:U88)</f>
        <v>9678000</v>
      </c>
      <c r="V89" s="346">
        <f>SUM(V83:V88)</f>
        <v>0</v>
      </c>
    </row>
    <row r="90" spans="1:22">
      <c r="Q90" s="321" t="s">
        <v>337</v>
      </c>
      <c r="R90" s="315">
        <v>41410</v>
      </c>
      <c r="S90" s="316">
        <v>9399.565217391304</v>
      </c>
      <c r="T90" s="316">
        <v>460</v>
      </c>
      <c r="U90" s="328">
        <v>4323800</v>
      </c>
      <c r="V90" s="328"/>
    </row>
    <row r="91" spans="1:22">
      <c r="O91" s="348"/>
      <c r="Q91" s="436" t="s">
        <v>44</v>
      </c>
      <c r="R91" s="564">
        <v>41410</v>
      </c>
      <c r="S91" s="570">
        <v>16250</v>
      </c>
      <c r="T91" s="316">
        <v>1650</v>
      </c>
      <c r="U91" s="328">
        <v>26812500</v>
      </c>
      <c r="V91" s="328"/>
    </row>
    <row r="92" spans="1:22">
      <c r="O92" s="348"/>
      <c r="Q92" s="367" t="s">
        <v>284</v>
      </c>
      <c r="R92" s="564">
        <v>41423</v>
      </c>
      <c r="S92" s="570">
        <v>12050</v>
      </c>
      <c r="T92" s="316">
        <v>130</v>
      </c>
      <c r="U92" s="328">
        <v>1566500</v>
      </c>
      <c r="V92" s="328"/>
    </row>
    <row r="93" spans="1:22">
      <c r="O93" s="348"/>
      <c r="Q93" s="344" t="s">
        <v>58</v>
      </c>
      <c r="R93" s="564">
        <v>41423</v>
      </c>
      <c r="S93" s="571">
        <v>12600</v>
      </c>
      <c r="T93" s="345">
        <v>600</v>
      </c>
      <c r="U93" s="443">
        <v>7560000</v>
      </c>
      <c r="V93" s="443"/>
    </row>
    <row r="94" spans="1:22">
      <c r="O94" s="348"/>
      <c r="Q94" s="362"/>
      <c r="R94" s="366"/>
      <c r="S94" s="316"/>
      <c r="T94" s="316"/>
      <c r="U94" s="314"/>
      <c r="V94" s="314"/>
    </row>
    <row r="95" spans="1:22">
      <c r="O95" s="348"/>
      <c r="Q95" s="457"/>
      <c r="R95" s="457"/>
      <c r="S95" s="457"/>
      <c r="T95" s="457"/>
      <c r="U95" s="346">
        <f>SUM(U90:U94)</f>
        <v>40262800</v>
      </c>
      <c r="V95" s="346">
        <f>SUM(V90:V94)</f>
        <v>0</v>
      </c>
    </row>
    <row r="96" spans="1:22" ht="18" customHeight="1">
      <c r="A96" s="291" t="s">
        <v>239</v>
      </c>
      <c r="B96" s="291"/>
      <c r="C96" s="292"/>
      <c r="D96" s="293"/>
      <c r="E96" s="293"/>
      <c r="F96" s="290"/>
      <c r="G96" s="290"/>
      <c r="H96" s="290"/>
      <c r="I96" s="290"/>
      <c r="J96" s="294"/>
      <c r="K96" s="290"/>
      <c r="L96" s="290"/>
      <c r="M96" s="290"/>
      <c r="N96" s="295"/>
      <c r="O96" s="290"/>
      <c r="P96" s="354"/>
      <c r="Q96" s="290"/>
      <c r="R96" s="562"/>
    </row>
    <row r="97" spans="1:22" ht="18.75" customHeight="1">
      <c r="A97" s="545" t="s">
        <v>470</v>
      </c>
      <c r="B97" s="545"/>
      <c r="C97" s="545"/>
      <c r="D97" s="545"/>
      <c r="E97" s="545"/>
      <c r="F97" s="545"/>
      <c r="G97" s="545"/>
      <c r="H97" s="545"/>
      <c r="I97" s="545"/>
      <c r="J97" s="545"/>
      <c r="K97" s="545"/>
      <c r="L97" s="545"/>
      <c r="M97" s="545"/>
      <c r="N97" s="545"/>
      <c r="O97" s="545"/>
      <c r="P97" s="298"/>
      <c r="Q97" s="290"/>
      <c r="R97" s="562"/>
    </row>
    <row r="98" spans="1:22" ht="18.75" customHeight="1">
      <c r="A98" s="298"/>
      <c r="B98" s="298"/>
      <c r="C98" s="299"/>
      <c r="D98" s="298"/>
      <c r="E98" s="298"/>
      <c r="F98" s="298"/>
      <c r="G98" s="298"/>
      <c r="H98" s="298"/>
      <c r="I98" s="298"/>
      <c r="J98" s="297"/>
      <c r="K98" s="298"/>
      <c r="L98" s="298"/>
      <c r="M98" s="298"/>
      <c r="N98" s="300"/>
      <c r="O98" s="298"/>
      <c r="P98" s="298"/>
      <c r="Q98" s="290"/>
      <c r="R98" s="562"/>
    </row>
    <row r="99" spans="1:22" ht="12.75" customHeight="1">
      <c r="A99" s="301"/>
      <c r="B99" s="301"/>
      <c r="C99" s="302"/>
      <c r="D99" s="301"/>
      <c r="E99" s="301"/>
      <c r="F99" s="301"/>
      <c r="G99" s="301"/>
      <c r="H99" s="301"/>
      <c r="I99" s="301"/>
      <c r="J99" s="301"/>
      <c r="K99" s="301"/>
      <c r="L99" s="301"/>
      <c r="M99" s="301"/>
      <c r="N99" s="303"/>
      <c r="O99" s="301"/>
      <c r="P99" s="422"/>
      <c r="Q99" s="290"/>
      <c r="R99" s="562"/>
    </row>
    <row r="100" spans="1:22" s="310" customFormat="1" ht="30.75" customHeight="1">
      <c r="A100" s="305" t="s">
        <v>30</v>
      </c>
      <c r="B100" s="305" t="s">
        <v>240</v>
      </c>
      <c r="C100" s="306" t="s">
        <v>241</v>
      </c>
      <c r="D100" s="307" t="s">
        <v>242</v>
      </c>
      <c r="E100" s="307" t="s">
        <v>243</v>
      </c>
      <c r="F100" s="307" t="s">
        <v>244</v>
      </c>
      <c r="G100" s="307" t="s">
        <v>245</v>
      </c>
      <c r="H100" s="307" t="s">
        <v>246</v>
      </c>
      <c r="I100" s="307" t="s">
        <v>247</v>
      </c>
      <c r="J100" s="307" t="s">
        <v>249</v>
      </c>
      <c r="K100" s="308" t="s">
        <v>248</v>
      </c>
      <c r="L100" s="308" t="s">
        <v>250</v>
      </c>
      <c r="M100" s="307" t="s">
        <v>251</v>
      </c>
      <c r="N100" s="309" t="s">
        <v>252</v>
      </c>
      <c r="O100" s="307" t="s">
        <v>253</v>
      </c>
      <c r="P100" s="430"/>
      <c r="Q100" s="305" t="s">
        <v>240</v>
      </c>
      <c r="R100" s="560" t="s">
        <v>75</v>
      </c>
      <c r="S100" s="307" t="s">
        <v>243</v>
      </c>
      <c r="T100" s="307" t="s">
        <v>61</v>
      </c>
      <c r="U100" s="307" t="s">
        <v>91</v>
      </c>
      <c r="V100" s="305" t="s">
        <v>91</v>
      </c>
    </row>
    <row r="101" spans="1:22">
      <c r="A101" s="401">
        <f>IF(D101&lt;&gt;"",ROW()-(ROW()-1),"")</f>
        <v>1</v>
      </c>
      <c r="B101" s="368" t="s">
        <v>358</v>
      </c>
      <c r="C101" s="313">
        <v>7.1509202453987726</v>
      </c>
      <c r="D101" s="68">
        <v>46624</v>
      </c>
      <c r="E101" s="68"/>
      <c r="F101" s="314">
        <v>843390294</v>
      </c>
      <c r="G101" s="68">
        <f>G$105/$D$105*$D101</f>
        <v>2274000</v>
      </c>
      <c r="H101" s="68">
        <f>H$105/$F$105*$F101</f>
        <v>108542170</v>
      </c>
      <c r="I101" s="68">
        <f t="shared" ref="I101" si="11">I$105/$D$105*$D101</f>
        <v>101199462</v>
      </c>
      <c r="J101" s="68">
        <f>J$105/$N$105*$N101</f>
        <v>47047200</v>
      </c>
      <c r="K101" s="68">
        <f>K$105/$F$105*$F101</f>
        <v>144296077</v>
      </c>
      <c r="L101" s="68">
        <f>L$105/$F$105*$F101</f>
        <v>40860000</v>
      </c>
      <c r="M101" s="314">
        <f>ROUND(F101+G101+H101+I101+J101+K101+L101,0)</f>
        <v>1287609203</v>
      </c>
      <c r="N101" s="68">
        <v>6520</v>
      </c>
      <c r="O101" s="68">
        <f>M101/N101</f>
        <v>197486.07407975459</v>
      </c>
      <c r="P101" s="347"/>
      <c r="Q101" s="436" t="s">
        <v>338</v>
      </c>
      <c r="R101" s="366">
        <v>41427</v>
      </c>
      <c r="S101" s="316">
        <v>34200</v>
      </c>
      <c r="T101" s="316">
        <v>30</v>
      </c>
      <c r="U101" s="314">
        <v>1026000</v>
      </c>
      <c r="V101" s="314"/>
    </row>
    <row r="102" spans="1:22">
      <c r="A102" s="401" t="str">
        <f>IF(D102&lt;&gt;"",A101+1,"")</f>
        <v/>
      </c>
      <c r="B102" s="368"/>
      <c r="C102" s="313"/>
      <c r="D102" s="68"/>
      <c r="E102" s="68"/>
      <c r="F102" s="314"/>
      <c r="G102" s="68"/>
      <c r="H102" s="68"/>
      <c r="I102" s="68"/>
      <c r="J102" s="68"/>
      <c r="K102" s="68"/>
      <c r="L102" s="68"/>
      <c r="M102" s="314"/>
      <c r="N102" s="68"/>
      <c r="O102" s="68"/>
      <c r="P102" s="347"/>
      <c r="Q102" s="436" t="s">
        <v>38</v>
      </c>
      <c r="R102" s="315">
        <v>41427</v>
      </c>
      <c r="S102" s="316">
        <v>16500</v>
      </c>
      <c r="T102" s="316">
        <v>50</v>
      </c>
      <c r="U102" s="328">
        <v>825000</v>
      </c>
      <c r="V102" s="328"/>
    </row>
    <row r="103" spans="1:22">
      <c r="A103" s="401" t="str">
        <f>IF(D103&lt;&gt;"",A102+1,"")</f>
        <v/>
      </c>
      <c r="B103" s="368"/>
      <c r="C103" s="313"/>
      <c r="D103" s="68"/>
      <c r="E103" s="68"/>
      <c r="F103" s="314"/>
      <c r="G103" s="68"/>
      <c r="H103" s="68"/>
      <c r="I103" s="68"/>
      <c r="J103" s="68"/>
      <c r="K103" s="68"/>
      <c r="L103" s="68"/>
      <c r="M103" s="314"/>
      <c r="N103" s="68"/>
      <c r="O103" s="68"/>
      <c r="P103" s="347"/>
      <c r="Q103" s="436" t="s">
        <v>340</v>
      </c>
      <c r="R103" s="315">
        <v>41427</v>
      </c>
      <c r="S103" s="316">
        <v>4700</v>
      </c>
      <c r="T103" s="316">
        <v>90</v>
      </c>
      <c r="U103" s="328">
        <v>423000</v>
      </c>
      <c r="V103" s="328"/>
    </row>
    <row r="104" spans="1:22" s="332" customFormat="1">
      <c r="A104" s="444"/>
      <c r="B104" s="355"/>
      <c r="C104" s="356"/>
      <c r="D104" s="357"/>
      <c r="E104" s="357"/>
      <c r="F104" s="358"/>
      <c r="G104" s="357"/>
      <c r="H104" s="330"/>
      <c r="I104" s="359"/>
      <c r="J104" s="445"/>
      <c r="K104" s="357"/>
      <c r="L104" s="357"/>
      <c r="M104" s="330"/>
      <c r="N104" s="361"/>
      <c r="O104" s="360"/>
      <c r="P104" s="440"/>
      <c r="Q104" s="436"/>
      <c r="R104" s="315"/>
      <c r="S104" s="316"/>
      <c r="T104" s="316"/>
      <c r="U104" s="328"/>
      <c r="V104" s="328"/>
    </row>
    <row r="105" spans="1:22" s="291" customFormat="1">
      <c r="A105" s="333"/>
      <c r="B105" s="334" t="s">
        <v>254</v>
      </c>
      <c r="C105" s="335"/>
      <c r="D105" s="336">
        <f>SUM(D101:D104)</f>
        <v>46624</v>
      </c>
      <c r="E105" s="336"/>
      <c r="F105" s="336">
        <f>SUM(F101:F104)</f>
        <v>843390294</v>
      </c>
      <c r="G105" s="337">
        <f>U105</f>
        <v>2274000</v>
      </c>
      <c r="H105" s="337">
        <v>108542170</v>
      </c>
      <c r="I105" s="337">
        <v>101199462</v>
      </c>
      <c r="J105" s="337">
        <f>U111</f>
        <v>47047200</v>
      </c>
      <c r="K105" s="337">
        <v>144296077</v>
      </c>
      <c r="L105" s="336">
        <v>40860000</v>
      </c>
      <c r="M105" s="336">
        <f>SUM(M101:M104)</f>
        <v>1287609203</v>
      </c>
      <c r="N105" s="336">
        <f>SUM(N101:N104)</f>
        <v>6520</v>
      </c>
      <c r="O105" s="336"/>
      <c r="P105" s="340"/>
      <c r="Q105" s="546"/>
      <c r="R105" s="547"/>
      <c r="S105" s="547"/>
      <c r="T105" s="548"/>
      <c r="U105" s="346">
        <f>SUM(U101:U104)</f>
        <v>2274000</v>
      </c>
      <c r="V105" s="346">
        <f>SUM(V101:V104)</f>
        <v>0</v>
      </c>
    </row>
    <row r="106" spans="1:22">
      <c r="Q106" s="436" t="s">
        <v>337</v>
      </c>
      <c r="R106" s="315">
        <v>41437</v>
      </c>
      <c r="S106" s="316">
        <v>9200</v>
      </c>
      <c r="T106" s="316">
        <v>186</v>
      </c>
      <c r="U106" s="328">
        <v>1711200</v>
      </c>
      <c r="V106" s="328"/>
    </row>
    <row r="107" spans="1:22">
      <c r="Q107" s="321" t="s">
        <v>284</v>
      </c>
      <c r="R107" s="315">
        <v>41437</v>
      </c>
      <c r="S107" s="316">
        <v>12050</v>
      </c>
      <c r="T107" s="316">
        <v>120</v>
      </c>
      <c r="U107" s="328">
        <v>1446000</v>
      </c>
      <c r="V107" s="328"/>
    </row>
    <row r="108" spans="1:22">
      <c r="Q108" s="436" t="s">
        <v>277</v>
      </c>
      <c r="R108" s="564">
        <v>41437</v>
      </c>
      <c r="S108" s="570">
        <v>12700</v>
      </c>
      <c r="T108" s="316">
        <v>700</v>
      </c>
      <c r="U108" s="328">
        <v>8890000</v>
      </c>
      <c r="V108" s="328"/>
    </row>
    <row r="109" spans="1:22">
      <c r="Q109" s="321" t="s">
        <v>278</v>
      </c>
      <c r="R109" s="315">
        <v>41451</v>
      </c>
      <c r="S109" s="316">
        <v>14000</v>
      </c>
      <c r="T109" s="316">
        <v>2500</v>
      </c>
      <c r="U109" s="328">
        <v>35000000</v>
      </c>
      <c r="V109" s="328"/>
    </row>
    <row r="110" spans="1:22">
      <c r="Q110" s="342"/>
      <c r="R110" s="366"/>
      <c r="S110" s="316"/>
      <c r="T110" s="322"/>
      <c r="U110" s="328"/>
      <c r="V110" s="328"/>
    </row>
    <row r="111" spans="1:22">
      <c r="Q111" s="457"/>
      <c r="R111" s="457"/>
      <c r="S111" s="457"/>
      <c r="T111" s="457"/>
      <c r="U111" s="346">
        <f>SUM(U106:U110)</f>
        <v>47047200</v>
      </c>
      <c r="V111" s="346">
        <f>SUM(V106:V110)</f>
        <v>0</v>
      </c>
    </row>
    <row r="112" spans="1:22" ht="18" customHeight="1">
      <c r="A112" s="291" t="s">
        <v>239</v>
      </c>
      <c r="B112" s="291"/>
      <c r="C112" s="292"/>
      <c r="D112" s="293"/>
      <c r="E112" s="293"/>
      <c r="F112" s="290"/>
      <c r="G112" s="290"/>
      <c r="H112" s="290"/>
      <c r="I112" s="290"/>
      <c r="J112" s="294"/>
      <c r="K112" s="290"/>
      <c r="L112" s="290"/>
      <c r="M112" s="290"/>
      <c r="N112" s="295"/>
      <c r="O112" s="290"/>
      <c r="P112" s="354"/>
      <c r="Q112" s="296"/>
      <c r="R112" s="363"/>
      <c r="S112" s="459"/>
      <c r="T112" s="459"/>
      <c r="U112" s="354"/>
      <c r="V112" s="354"/>
    </row>
    <row r="113" spans="1:22" ht="18.75" customHeight="1">
      <c r="A113" s="545" t="s">
        <v>471</v>
      </c>
      <c r="B113" s="545"/>
      <c r="C113" s="545"/>
      <c r="D113" s="545"/>
      <c r="E113" s="545"/>
      <c r="F113" s="545"/>
      <c r="G113" s="545"/>
      <c r="H113" s="545"/>
      <c r="I113" s="545"/>
      <c r="J113" s="545"/>
      <c r="K113" s="545"/>
      <c r="L113" s="545"/>
      <c r="M113" s="545"/>
      <c r="N113" s="545"/>
      <c r="O113" s="545"/>
      <c r="P113" s="298"/>
      <c r="Q113" s="290"/>
      <c r="R113" s="562"/>
    </row>
    <row r="114" spans="1:22" ht="18.75" customHeight="1">
      <c r="A114" s="298"/>
      <c r="B114" s="298"/>
      <c r="C114" s="299"/>
      <c r="D114" s="298"/>
      <c r="E114" s="298"/>
      <c r="F114" s="298"/>
      <c r="G114" s="298"/>
      <c r="H114" s="298"/>
      <c r="I114" s="298"/>
      <c r="J114" s="297"/>
      <c r="K114" s="298"/>
      <c r="L114" s="298"/>
      <c r="M114" s="298"/>
      <c r="N114" s="300"/>
      <c r="O114" s="298"/>
      <c r="P114" s="298"/>
      <c r="Q114" s="290"/>
      <c r="R114" s="562"/>
    </row>
    <row r="115" spans="1:22" ht="12.75" customHeight="1">
      <c r="A115" s="301"/>
      <c r="B115" s="301"/>
      <c r="C115" s="302"/>
      <c r="D115" s="301"/>
      <c r="E115" s="301"/>
      <c r="F115" s="301"/>
      <c r="G115" s="301"/>
      <c r="H115" s="301"/>
      <c r="I115" s="301"/>
      <c r="J115" s="301"/>
      <c r="K115" s="301"/>
      <c r="L115" s="301"/>
      <c r="M115" s="301"/>
      <c r="N115" s="303"/>
      <c r="O115" s="301"/>
      <c r="P115" s="422"/>
      <c r="Q115" s="290"/>
      <c r="R115" s="562"/>
    </row>
    <row r="116" spans="1:22" s="310" customFormat="1" ht="30.75" customHeight="1">
      <c r="A116" s="305" t="s">
        <v>30</v>
      </c>
      <c r="B116" s="305" t="s">
        <v>240</v>
      </c>
      <c r="C116" s="306" t="s">
        <v>241</v>
      </c>
      <c r="D116" s="307" t="s">
        <v>242</v>
      </c>
      <c r="E116" s="307" t="s">
        <v>243</v>
      </c>
      <c r="F116" s="307" t="s">
        <v>244</v>
      </c>
      <c r="G116" s="307" t="s">
        <v>245</v>
      </c>
      <c r="H116" s="307" t="s">
        <v>246</v>
      </c>
      <c r="I116" s="307" t="s">
        <v>247</v>
      </c>
      <c r="J116" s="307" t="s">
        <v>249</v>
      </c>
      <c r="K116" s="308" t="s">
        <v>248</v>
      </c>
      <c r="L116" s="308" t="s">
        <v>250</v>
      </c>
      <c r="M116" s="307" t="s">
        <v>251</v>
      </c>
      <c r="N116" s="309" t="s">
        <v>252</v>
      </c>
      <c r="O116" s="307" t="s">
        <v>253</v>
      </c>
      <c r="P116" s="430"/>
      <c r="Q116" s="305" t="s">
        <v>240</v>
      </c>
      <c r="R116" s="560" t="s">
        <v>75</v>
      </c>
      <c r="S116" s="307" t="s">
        <v>243</v>
      </c>
      <c r="T116" s="307" t="s">
        <v>61</v>
      </c>
      <c r="U116" s="307" t="s">
        <v>91</v>
      </c>
      <c r="V116" s="305" t="s">
        <v>91</v>
      </c>
    </row>
    <row r="117" spans="1:22">
      <c r="A117" s="401">
        <v>1</v>
      </c>
      <c r="B117" s="368" t="s">
        <v>358</v>
      </c>
      <c r="C117" s="313">
        <v>7.2000269396551726</v>
      </c>
      <c r="D117" s="68">
        <v>53453</v>
      </c>
      <c r="E117" s="68"/>
      <c r="F117" s="314">
        <v>855248000</v>
      </c>
      <c r="G117" s="68">
        <f>ROUND(G$121/$D$121*$D117,0)</f>
        <v>2875000</v>
      </c>
      <c r="H117" s="68">
        <f>ROUND(H$121/$D$121*$D117,0)</f>
        <v>109028652</v>
      </c>
      <c r="I117" s="68">
        <f>ROUND(I$121/$D$121*$D117,0)</f>
        <v>80924563</v>
      </c>
      <c r="J117" s="68">
        <f>ROUND(J$121/$D$121*$D117,0)</f>
        <v>50511380</v>
      </c>
      <c r="K117" s="68">
        <f>ROUND(K$121/$D$121*$D117,0)</f>
        <v>142509727</v>
      </c>
      <c r="L117" s="68">
        <f>ROUND(L$121/$D$121*$D117,0)</f>
        <v>0</v>
      </c>
      <c r="M117" s="314">
        <f>ROUND(F117+G117+H117+I117+J117+K117+L117,0)</f>
        <v>1241097322</v>
      </c>
      <c r="N117" s="68">
        <v>7424</v>
      </c>
      <c r="O117" s="68">
        <f>M117/N117</f>
        <v>167173.66945043104</v>
      </c>
      <c r="P117" s="347"/>
      <c r="Q117" s="436" t="s">
        <v>338</v>
      </c>
      <c r="R117" s="564">
        <v>41458</v>
      </c>
      <c r="S117" s="570">
        <v>34200</v>
      </c>
      <c r="T117" s="316">
        <v>40</v>
      </c>
      <c r="U117" s="314">
        <v>1368000</v>
      </c>
      <c r="V117" s="314"/>
    </row>
    <row r="118" spans="1:22">
      <c r="A118" s="401" t="str">
        <f>IF(D118&lt;&gt;"",A117+1,"")</f>
        <v/>
      </c>
      <c r="B118" s="368"/>
      <c r="C118" s="313"/>
      <c r="D118" s="68"/>
      <c r="E118" s="68"/>
      <c r="F118" s="314"/>
      <c r="G118" s="68"/>
      <c r="H118" s="68"/>
      <c r="I118" s="68"/>
      <c r="J118" s="68"/>
      <c r="K118" s="68"/>
      <c r="L118" s="68"/>
      <c r="M118" s="314"/>
      <c r="N118" s="68"/>
      <c r="O118" s="68"/>
      <c r="P118" s="347"/>
      <c r="Q118" s="436" t="s">
        <v>38</v>
      </c>
      <c r="R118" s="315">
        <v>41458</v>
      </c>
      <c r="S118" s="316">
        <v>16500</v>
      </c>
      <c r="T118" s="316">
        <v>60</v>
      </c>
      <c r="U118" s="328">
        <v>990000</v>
      </c>
      <c r="V118" s="328"/>
    </row>
    <row r="119" spans="1:22">
      <c r="A119" s="401" t="str">
        <f>IF(D119&lt;&gt;"",A118+1,"")</f>
        <v/>
      </c>
      <c r="B119" s="368"/>
      <c r="C119" s="313"/>
      <c r="D119" s="68"/>
      <c r="E119" s="68"/>
      <c r="F119" s="314"/>
      <c r="G119" s="68"/>
      <c r="H119" s="68"/>
      <c r="I119" s="68"/>
      <c r="J119" s="68"/>
      <c r="K119" s="68"/>
      <c r="L119" s="68"/>
      <c r="M119" s="314"/>
      <c r="N119" s="68"/>
      <c r="O119" s="68"/>
      <c r="P119" s="347"/>
      <c r="Q119" s="436" t="s">
        <v>340</v>
      </c>
      <c r="R119" s="564">
        <v>41458</v>
      </c>
      <c r="S119" s="570">
        <v>4700</v>
      </c>
      <c r="T119" s="316">
        <v>110</v>
      </c>
      <c r="U119" s="328">
        <v>517000</v>
      </c>
      <c r="V119" s="328"/>
    </row>
    <row r="120" spans="1:22">
      <c r="A120" s="439"/>
      <c r="B120" s="324"/>
      <c r="C120" s="325"/>
      <c r="D120" s="326"/>
      <c r="E120" s="326"/>
      <c r="F120" s="327"/>
      <c r="G120" s="326"/>
      <c r="H120" s="364"/>
      <c r="I120" s="328"/>
      <c r="J120" s="329"/>
      <c r="K120" s="326"/>
      <c r="L120" s="326"/>
      <c r="M120" s="330"/>
      <c r="N120" s="331"/>
      <c r="O120" s="326"/>
      <c r="P120" s="347"/>
      <c r="Q120" s="321"/>
      <c r="R120" s="315"/>
      <c r="S120" s="316"/>
      <c r="T120" s="316"/>
      <c r="U120" s="328"/>
      <c r="V120" s="328"/>
    </row>
    <row r="121" spans="1:22">
      <c r="A121" s="333"/>
      <c r="B121" s="334" t="s">
        <v>254</v>
      </c>
      <c r="C121" s="335"/>
      <c r="D121" s="336">
        <f>SUM(D113:D119)</f>
        <v>53453</v>
      </c>
      <c r="E121" s="336"/>
      <c r="F121" s="336">
        <f>SUM(F113:F119)</f>
        <v>855248000</v>
      </c>
      <c r="G121" s="336">
        <f>U121</f>
        <v>2875000</v>
      </c>
      <c r="H121" s="337">
        <v>109028652</v>
      </c>
      <c r="I121" s="337">
        <v>80924563</v>
      </c>
      <c r="J121" s="336">
        <f>U127</f>
        <v>50511380</v>
      </c>
      <c r="K121" s="337">
        <v>142509727</v>
      </c>
      <c r="L121" s="336"/>
      <c r="M121" s="336">
        <f>SUM(M117:M120)</f>
        <v>1241097322</v>
      </c>
      <c r="N121" s="336">
        <f>SUM(N117:N120)</f>
        <v>7424</v>
      </c>
      <c r="O121" s="336"/>
      <c r="P121" s="347"/>
      <c r="Q121" s="546"/>
      <c r="R121" s="547"/>
      <c r="S121" s="547"/>
      <c r="T121" s="548"/>
      <c r="U121" s="346">
        <f>SUM(U117:U120)</f>
        <v>2875000</v>
      </c>
      <c r="V121" s="346">
        <f>SUM(V117:V120)</f>
        <v>0</v>
      </c>
    </row>
    <row r="122" spans="1:22">
      <c r="P122" s="347"/>
      <c r="Q122" s="321" t="s">
        <v>337</v>
      </c>
      <c r="R122" s="315">
        <v>41466</v>
      </c>
      <c r="S122" s="316">
        <v>8994.9090909090901</v>
      </c>
      <c r="T122" s="316">
        <v>220</v>
      </c>
      <c r="U122" s="328">
        <v>1978880</v>
      </c>
      <c r="V122" s="328"/>
    </row>
    <row r="123" spans="1:22">
      <c r="P123" s="347"/>
      <c r="Q123" s="436" t="s">
        <v>47</v>
      </c>
      <c r="R123" s="564">
        <v>41466</v>
      </c>
      <c r="S123" s="569">
        <v>5950</v>
      </c>
      <c r="T123" s="322">
        <v>450</v>
      </c>
      <c r="U123" s="328">
        <v>2677500</v>
      </c>
      <c r="V123" s="328"/>
    </row>
    <row r="124" spans="1:22" s="332" customFormat="1">
      <c r="A124" s="289"/>
      <c r="B124" s="289"/>
      <c r="C124" s="289"/>
      <c r="D124" s="289"/>
      <c r="E124" s="289"/>
      <c r="F124" s="289"/>
      <c r="G124" s="289"/>
      <c r="H124" s="289"/>
      <c r="I124" s="289"/>
      <c r="J124" s="289"/>
      <c r="K124" s="289"/>
      <c r="L124" s="289"/>
      <c r="M124" s="289"/>
      <c r="N124" s="289"/>
      <c r="O124" s="289"/>
      <c r="P124" s="440"/>
      <c r="Q124" s="436" t="s">
        <v>53</v>
      </c>
      <c r="R124" s="564">
        <v>41466</v>
      </c>
      <c r="S124" s="569">
        <v>16700</v>
      </c>
      <c r="T124" s="322">
        <v>650</v>
      </c>
      <c r="U124" s="328">
        <v>10855000</v>
      </c>
      <c r="V124" s="328"/>
    </row>
    <row r="125" spans="1:22" s="291" customFormat="1">
      <c r="A125" s="289"/>
      <c r="B125" s="289"/>
      <c r="C125" s="289"/>
      <c r="D125" s="289"/>
      <c r="E125" s="289"/>
      <c r="F125" s="289"/>
      <c r="G125" s="289"/>
      <c r="H125" s="289"/>
      <c r="I125" s="289"/>
      <c r="J125" s="289"/>
      <c r="K125" s="289"/>
      <c r="L125" s="289"/>
      <c r="M125" s="289"/>
      <c r="N125" s="289"/>
      <c r="O125" s="289"/>
      <c r="P125" s="340"/>
      <c r="Q125" s="342" t="s">
        <v>278</v>
      </c>
      <c r="R125" s="564">
        <v>41474</v>
      </c>
      <c r="S125" s="569">
        <v>14000</v>
      </c>
      <c r="T125" s="322">
        <v>2500</v>
      </c>
      <c r="U125" s="328">
        <v>35000000</v>
      </c>
      <c r="V125" s="328"/>
    </row>
    <row r="126" spans="1:22" s="291" customFormat="1">
      <c r="A126" s="289"/>
      <c r="B126" s="289"/>
      <c r="C126" s="289"/>
      <c r="D126" s="289"/>
      <c r="E126" s="289"/>
      <c r="F126" s="289"/>
      <c r="G126" s="289"/>
      <c r="H126" s="289"/>
      <c r="I126" s="289"/>
      <c r="J126" s="289"/>
      <c r="K126" s="289"/>
      <c r="L126" s="289"/>
      <c r="M126" s="289"/>
      <c r="N126" s="289"/>
      <c r="O126" s="289"/>
      <c r="P126" s="340"/>
      <c r="Q126" s="344"/>
      <c r="R126" s="566"/>
      <c r="S126" s="571"/>
      <c r="T126" s="345"/>
      <c r="U126" s="443"/>
      <c r="V126" s="443"/>
    </row>
    <row r="127" spans="1:22">
      <c r="Q127" s="549"/>
      <c r="R127" s="549"/>
      <c r="S127" s="549"/>
      <c r="T127" s="549"/>
      <c r="U127" s="346">
        <f>SUM(U122:U126)</f>
        <v>50511380</v>
      </c>
      <c r="V127" s="346">
        <f>SUM(V122:V126)</f>
        <v>0</v>
      </c>
    </row>
    <row r="128" spans="1:22" ht="18" customHeight="1">
      <c r="A128" s="291" t="s">
        <v>239</v>
      </c>
      <c r="B128" s="291"/>
      <c r="C128" s="292"/>
      <c r="D128" s="293"/>
      <c r="E128" s="293"/>
      <c r="F128" s="290"/>
      <c r="G128" s="290"/>
      <c r="H128" s="290"/>
      <c r="I128" s="290"/>
      <c r="J128" s="294"/>
      <c r="K128" s="290"/>
      <c r="L128" s="290"/>
      <c r="M128" s="290"/>
      <c r="N128" s="295"/>
      <c r="O128" s="290"/>
      <c r="P128" s="354"/>
      <c r="Q128" s="290"/>
      <c r="R128" s="562"/>
    </row>
    <row r="129" spans="1:22" ht="18.75" customHeight="1">
      <c r="A129" s="545" t="s">
        <v>472</v>
      </c>
      <c r="B129" s="545"/>
      <c r="C129" s="545"/>
      <c r="D129" s="545"/>
      <c r="E129" s="545"/>
      <c r="F129" s="545"/>
      <c r="G129" s="545"/>
      <c r="H129" s="545"/>
      <c r="I129" s="545"/>
      <c r="J129" s="545"/>
      <c r="K129" s="545"/>
      <c r="L129" s="545"/>
      <c r="M129" s="545"/>
      <c r="N129" s="545"/>
      <c r="O129" s="545"/>
      <c r="P129" s="298"/>
      <c r="Q129" s="290"/>
      <c r="R129" s="562"/>
    </row>
    <row r="130" spans="1:22" ht="18.75" customHeight="1">
      <c r="A130" s="298"/>
      <c r="B130" s="298"/>
      <c r="C130" s="299"/>
      <c r="D130" s="298"/>
      <c r="E130" s="298"/>
      <c r="F130" s="298"/>
      <c r="G130" s="298"/>
      <c r="H130" s="298"/>
      <c r="I130" s="298"/>
      <c r="J130" s="297"/>
      <c r="K130" s="298"/>
      <c r="L130" s="298"/>
      <c r="M130" s="298"/>
      <c r="N130" s="300"/>
      <c r="O130" s="298"/>
      <c r="P130" s="298"/>
      <c r="Q130" s="290"/>
      <c r="R130" s="562"/>
    </row>
    <row r="131" spans="1:22" ht="12.75" customHeight="1">
      <c r="A131" s="301"/>
      <c r="B131" s="301"/>
      <c r="C131" s="302"/>
      <c r="D131" s="301"/>
      <c r="E131" s="301"/>
      <c r="F131" s="301"/>
      <c r="G131" s="301"/>
      <c r="H131" s="301"/>
      <c r="I131" s="301"/>
      <c r="J131" s="301"/>
      <c r="K131" s="301"/>
      <c r="L131" s="301"/>
      <c r="M131" s="301"/>
      <c r="N131" s="303"/>
      <c r="O131" s="301"/>
      <c r="P131" s="422"/>
      <c r="Q131" s="290"/>
      <c r="R131" s="562"/>
    </row>
    <row r="132" spans="1:22" s="310" customFormat="1" ht="30.75" customHeight="1">
      <c r="A132" s="305" t="s">
        <v>30</v>
      </c>
      <c r="B132" s="305" t="s">
        <v>240</v>
      </c>
      <c r="C132" s="306" t="s">
        <v>241</v>
      </c>
      <c r="D132" s="307" t="s">
        <v>242</v>
      </c>
      <c r="E132" s="307" t="s">
        <v>243</v>
      </c>
      <c r="F132" s="307" t="s">
        <v>244</v>
      </c>
      <c r="G132" s="307" t="s">
        <v>245</v>
      </c>
      <c r="H132" s="307" t="s">
        <v>246</v>
      </c>
      <c r="I132" s="307" t="s">
        <v>247</v>
      </c>
      <c r="J132" s="307" t="s">
        <v>249</v>
      </c>
      <c r="K132" s="308" t="s">
        <v>248</v>
      </c>
      <c r="L132" s="308" t="s">
        <v>250</v>
      </c>
      <c r="M132" s="307" t="s">
        <v>251</v>
      </c>
      <c r="N132" s="309" t="s">
        <v>252</v>
      </c>
      <c r="O132" s="307" t="s">
        <v>253</v>
      </c>
      <c r="P132" s="430"/>
      <c r="Q132" s="305" t="s">
        <v>240</v>
      </c>
      <c r="R132" s="560" t="s">
        <v>75</v>
      </c>
      <c r="S132" s="307" t="s">
        <v>243</v>
      </c>
      <c r="T132" s="307" t="s">
        <v>61</v>
      </c>
      <c r="U132" s="307" t="s">
        <v>91</v>
      </c>
      <c r="V132" s="305" t="s">
        <v>91</v>
      </c>
    </row>
    <row r="133" spans="1:22">
      <c r="A133" s="401">
        <f>IF(D133&lt;&gt;"",ROW()-(ROW()-1),"")</f>
        <v>1</v>
      </c>
      <c r="B133" s="368" t="s">
        <v>371</v>
      </c>
      <c r="C133" s="313">
        <v>6</v>
      </c>
      <c r="D133" s="68">
        <v>69000</v>
      </c>
      <c r="E133" s="68"/>
      <c r="F133" s="314">
        <v>1242000000</v>
      </c>
      <c r="G133" s="68">
        <f>G$141/$D$141*$D133</f>
        <v>6646935.9931382425</v>
      </c>
      <c r="H133" s="68">
        <f>H$141/$F$141*$F133</f>
        <v>28453660.801690098</v>
      </c>
      <c r="I133" s="68">
        <f>I$141/$D$141*$D133</f>
        <v>44359818.740238287</v>
      </c>
      <c r="J133" s="68">
        <f>J$141/$N$141*$N133</f>
        <v>20926642.460026264</v>
      </c>
      <c r="K133" s="68">
        <f>K$141/$F$141*$F133</f>
        <v>35627355.093483567</v>
      </c>
      <c r="L133" s="68">
        <f>L$141/$D$141*$D133</f>
        <v>12777251.326843629</v>
      </c>
      <c r="M133" s="314">
        <f t="shared" ref="M133:M138" si="12">ROUND(F133+G133+H133+I133+J133+K133+L133,0)</f>
        <v>1390791664</v>
      </c>
      <c r="N133" s="68">
        <v>11500</v>
      </c>
      <c r="O133" s="68">
        <f t="shared" ref="O133:O138" si="13">M133/N133</f>
        <v>120938.40556521738</v>
      </c>
      <c r="P133" s="347"/>
      <c r="Q133" s="436" t="s">
        <v>338</v>
      </c>
      <c r="R133" s="564">
        <v>41509</v>
      </c>
      <c r="S133" s="570">
        <v>32784.615384615383</v>
      </c>
      <c r="T133" s="316">
        <v>520</v>
      </c>
      <c r="U133" s="314">
        <v>17048000</v>
      </c>
      <c r="V133" s="314"/>
    </row>
    <row r="134" spans="1:22">
      <c r="A134" s="401">
        <f t="shared" ref="A134:A139" si="14">IF(D134&lt;&gt;"",A133+1,"")</f>
        <v>2</v>
      </c>
      <c r="B134" s="368" t="s">
        <v>320</v>
      </c>
      <c r="C134" s="313">
        <v>9.0666666666666664</v>
      </c>
      <c r="D134" s="68">
        <v>27200</v>
      </c>
      <c r="E134" s="68"/>
      <c r="F134" s="314">
        <v>489600000</v>
      </c>
      <c r="G134" s="68">
        <f t="shared" ref="G134:G139" si="15">G$141/$D$141*$D134</f>
        <v>2620241.4349762346</v>
      </c>
      <c r="H134" s="68">
        <f t="shared" ref="H134:H139" si="16">H$141/$F$141*$F134</f>
        <v>11216515.562405372</v>
      </c>
      <c r="I134" s="68">
        <f t="shared" ref="I134:I139" si="17">I$141/$D$141*$D134</f>
        <v>17486769.126586687</v>
      </c>
      <c r="J134" s="68">
        <f t="shared" ref="J134:J139" si="18">J$141/$N$141*$N134</f>
        <v>5459124.1200068509</v>
      </c>
      <c r="K134" s="68">
        <f t="shared" ref="K134:K139" si="19">K$141/$F$141*$F134</f>
        <v>14044406.645547144</v>
      </c>
      <c r="L134" s="68">
        <f t="shared" ref="L134:L139" si="20">L$141/$D$141*$D134</f>
        <v>5036829.5085528512</v>
      </c>
      <c r="M134" s="314">
        <f t="shared" si="12"/>
        <v>545463886</v>
      </c>
      <c r="N134" s="68">
        <v>3000</v>
      </c>
      <c r="O134" s="68">
        <f t="shared" si="13"/>
        <v>181821.29533333334</v>
      </c>
      <c r="P134" s="347"/>
      <c r="Q134" s="436" t="s">
        <v>38</v>
      </c>
      <c r="R134" s="315">
        <v>41505</v>
      </c>
      <c r="S134" s="316">
        <v>15107.142857142857</v>
      </c>
      <c r="T134" s="316">
        <v>350</v>
      </c>
      <c r="U134" s="328">
        <v>5287500</v>
      </c>
      <c r="V134" s="328"/>
    </row>
    <row r="135" spans="1:22">
      <c r="A135" s="401">
        <f t="shared" si="14"/>
        <v>3</v>
      </c>
      <c r="B135" s="368" t="s">
        <v>477</v>
      </c>
      <c r="C135" s="313">
        <v>5</v>
      </c>
      <c r="D135" s="68">
        <v>10000</v>
      </c>
      <c r="E135" s="68"/>
      <c r="F135" s="314">
        <v>275000000</v>
      </c>
      <c r="G135" s="68">
        <f t="shared" si="15"/>
        <v>963324.05697655689</v>
      </c>
      <c r="H135" s="68">
        <f t="shared" si="16"/>
        <v>6300126.1839490952</v>
      </c>
      <c r="I135" s="68">
        <f t="shared" si="17"/>
        <v>6428959.2377156941</v>
      </c>
      <c r="J135" s="68">
        <f t="shared" si="18"/>
        <v>3639416.0800045673</v>
      </c>
      <c r="K135" s="68">
        <f t="shared" si="19"/>
        <v>7888504.5496843643</v>
      </c>
      <c r="L135" s="68">
        <f t="shared" si="20"/>
        <v>1851775.5546150187</v>
      </c>
      <c r="M135" s="314">
        <f t="shared" si="12"/>
        <v>302072106</v>
      </c>
      <c r="N135" s="68">
        <v>2000</v>
      </c>
      <c r="O135" s="68">
        <f t="shared" si="13"/>
        <v>151036.05300000001</v>
      </c>
      <c r="P135" s="347"/>
      <c r="Q135" s="436" t="s">
        <v>340</v>
      </c>
      <c r="R135" s="564">
        <v>41491</v>
      </c>
      <c r="S135" s="570">
        <v>4700</v>
      </c>
      <c r="T135" s="316">
        <v>720</v>
      </c>
      <c r="U135" s="328">
        <v>3384000</v>
      </c>
      <c r="V135" s="328"/>
    </row>
    <row r="136" spans="1:22">
      <c r="A136" s="401">
        <f t="shared" si="14"/>
        <v>4</v>
      </c>
      <c r="B136" s="368" t="s">
        <v>321</v>
      </c>
      <c r="C136" s="313">
        <v>5.0001853705557409</v>
      </c>
      <c r="D136" s="68">
        <v>13487</v>
      </c>
      <c r="E136" s="68"/>
      <c r="F136" s="314">
        <v>337175000</v>
      </c>
      <c r="G136" s="68">
        <f t="shared" si="15"/>
        <v>1299235.1556442822</v>
      </c>
      <c r="H136" s="68">
        <f t="shared" si="16"/>
        <v>7724527.4402655866</v>
      </c>
      <c r="I136" s="68">
        <f t="shared" si="17"/>
        <v>8670737.3239071574</v>
      </c>
      <c r="J136" s="68">
        <f t="shared" si="18"/>
        <v>4908298.4962981604</v>
      </c>
      <c r="K136" s="68">
        <f t="shared" si="19"/>
        <v>9672023.7146902736</v>
      </c>
      <c r="L136" s="68">
        <f t="shared" si="20"/>
        <v>2497489.6905092755</v>
      </c>
      <c r="M136" s="314">
        <f t="shared" si="12"/>
        <v>371947312</v>
      </c>
      <c r="N136" s="68">
        <v>2697.3</v>
      </c>
      <c r="O136" s="68">
        <f t="shared" si="13"/>
        <v>137896.15986356727</v>
      </c>
      <c r="P136" s="347"/>
      <c r="Q136" s="436"/>
      <c r="R136" s="564"/>
      <c r="S136" s="570"/>
      <c r="T136" s="316"/>
      <c r="U136" s="328"/>
      <c r="V136" s="328"/>
    </row>
    <row r="137" spans="1:22">
      <c r="A137" s="401">
        <f t="shared" si="14"/>
        <v>5</v>
      </c>
      <c r="B137" s="368" t="s">
        <v>367</v>
      </c>
      <c r="C137" s="313">
        <v>5</v>
      </c>
      <c r="D137" s="68">
        <v>115050</v>
      </c>
      <c r="E137" s="68"/>
      <c r="F137" s="314">
        <v>1955850000</v>
      </c>
      <c r="G137" s="68">
        <f t="shared" si="15"/>
        <v>11083043.275515286</v>
      </c>
      <c r="H137" s="68">
        <f t="shared" si="16"/>
        <v>44807642.897733957</v>
      </c>
      <c r="I137" s="68">
        <f t="shared" si="17"/>
        <v>73965176.029919058</v>
      </c>
      <c r="J137" s="68">
        <f t="shared" si="18"/>
        <v>41871482.000452548</v>
      </c>
      <c r="K137" s="68">
        <f t="shared" si="19"/>
        <v>56104478.630909689</v>
      </c>
      <c r="L137" s="68">
        <f t="shared" si="20"/>
        <v>21304677.755845789</v>
      </c>
      <c r="M137" s="314">
        <f t="shared" si="12"/>
        <v>2204986501</v>
      </c>
      <c r="N137" s="68">
        <v>23010</v>
      </c>
      <c r="O137" s="68">
        <f t="shared" si="13"/>
        <v>95827.314254671888</v>
      </c>
      <c r="P137" s="347"/>
      <c r="Q137" s="436"/>
      <c r="R137" s="564"/>
      <c r="S137" s="570"/>
      <c r="T137" s="316"/>
      <c r="U137" s="328"/>
      <c r="V137" s="328"/>
    </row>
    <row r="138" spans="1:22">
      <c r="A138" s="401">
        <f t="shared" si="14"/>
        <v>6</v>
      </c>
      <c r="B138" s="368" t="s">
        <v>478</v>
      </c>
      <c r="C138" s="313">
        <v>5</v>
      </c>
      <c r="D138" s="68">
        <v>10000</v>
      </c>
      <c r="E138" s="68"/>
      <c r="F138" s="314">
        <v>270000000</v>
      </c>
      <c r="G138" s="68">
        <f t="shared" si="15"/>
        <v>963324.05697655689</v>
      </c>
      <c r="H138" s="68">
        <f t="shared" si="16"/>
        <v>6185578.4351500208</v>
      </c>
      <c r="I138" s="68">
        <f t="shared" si="17"/>
        <v>6428959.2377156941</v>
      </c>
      <c r="J138" s="68">
        <f t="shared" si="18"/>
        <v>3639416.0800045673</v>
      </c>
      <c r="K138" s="68">
        <f t="shared" si="19"/>
        <v>7745077.1942355577</v>
      </c>
      <c r="L138" s="68">
        <f t="shared" si="20"/>
        <v>1851775.5546150187</v>
      </c>
      <c r="M138" s="314">
        <f t="shared" si="12"/>
        <v>296814131</v>
      </c>
      <c r="N138" s="68">
        <v>2000</v>
      </c>
      <c r="O138" s="68">
        <f t="shared" si="13"/>
        <v>148407.0655</v>
      </c>
      <c r="P138" s="347"/>
      <c r="Q138" s="321"/>
      <c r="R138" s="315"/>
      <c r="S138" s="316"/>
      <c r="T138" s="316"/>
      <c r="U138" s="328"/>
      <c r="V138" s="328"/>
    </row>
    <row r="139" spans="1:22">
      <c r="A139" s="401">
        <f t="shared" si="14"/>
        <v>7</v>
      </c>
      <c r="B139" s="368" t="s">
        <v>358</v>
      </c>
      <c r="C139" s="313">
        <v>7.2240259740259738</v>
      </c>
      <c r="D139" s="68">
        <v>22250</v>
      </c>
      <c r="E139" s="68"/>
      <c r="F139" s="314">
        <v>400500000</v>
      </c>
      <c r="G139" s="68">
        <f t="shared" si="15"/>
        <v>2143396.026772839</v>
      </c>
      <c r="H139" s="68">
        <f t="shared" si="16"/>
        <v>9175274.6788058653</v>
      </c>
      <c r="I139" s="68">
        <f t="shared" si="17"/>
        <v>14304434.303917419</v>
      </c>
      <c r="J139" s="68">
        <f t="shared" si="18"/>
        <v>5604700.7632070342</v>
      </c>
      <c r="K139" s="68">
        <f t="shared" si="19"/>
        <v>11488531.17144941</v>
      </c>
      <c r="L139" s="68">
        <f t="shared" si="20"/>
        <v>4120200.6090184166</v>
      </c>
      <c r="M139" s="314">
        <f>ROUND(F139+G139+H139+I139+J139+K139+L139,0)</f>
        <v>447336538</v>
      </c>
      <c r="N139" s="68">
        <v>3080</v>
      </c>
      <c r="O139" s="68">
        <f>M139/N139</f>
        <v>145239.13571428572</v>
      </c>
      <c r="P139" s="347"/>
      <c r="Q139" s="321"/>
      <c r="R139" s="315"/>
      <c r="S139" s="316"/>
      <c r="T139" s="316"/>
      <c r="U139" s="328"/>
      <c r="V139" s="328"/>
    </row>
    <row r="140" spans="1:22" s="332" customFormat="1">
      <c r="A140" s="439"/>
      <c r="B140" s="324"/>
      <c r="C140" s="325"/>
      <c r="D140" s="326"/>
      <c r="E140" s="326"/>
      <c r="F140" s="327"/>
      <c r="G140" s="326"/>
      <c r="H140" s="68"/>
      <c r="I140" s="328"/>
      <c r="J140" s="329"/>
      <c r="K140" s="326"/>
      <c r="L140" s="326"/>
      <c r="M140" s="330"/>
      <c r="N140" s="331"/>
      <c r="O140" s="326"/>
      <c r="P140" s="440"/>
      <c r="Q140" s="436"/>
      <c r="R140" s="564"/>
      <c r="S140" s="570"/>
      <c r="T140" s="316"/>
      <c r="U140" s="328"/>
      <c r="V140" s="328"/>
    </row>
    <row r="141" spans="1:22" s="291" customFormat="1">
      <c r="A141" s="333"/>
      <c r="B141" s="334" t="s">
        <v>254</v>
      </c>
      <c r="C141" s="335"/>
      <c r="D141" s="336">
        <f>SUM(D133:D140)</f>
        <v>266987</v>
      </c>
      <c r="E141" s="336"/>
      <c r="F141" s="336">
        <f>SUM(F133:F140)</f>
        <v>4970125000</v>
      </c>
      <c r="G141" s="336">
        <f>U141</f>
        <v>25719500</v>
      </c>
      <c r="H141" s="337">
        <v>113863326</v>
      </c>
      <c r="I141" s="337">
        <v>171644854</v>
      </c>
      <c r="J141" s="336">
        <f>U150</f>
        <v>86049080</v>
      </c>
      <c r="K141" s="337">
        <v>142570377</v>
      </c>
      <c r="L141" s="336">
        <v>49440000</v>
      </c>
      <c r="M141" s="336">
        <f>SUM(M133:M140)</f>
        <v>5559412138</v>
      </c>
      <c r="N141" s="336">
        <f>SUM(N133:N140)</f>
        <v>47287.3</v>
      </c>
      <c r="O141" s="336"/>
      <c r="P141" s="340"/>
      <c r="Q141" s="546"/>
      <c r="R141" s="547"/>
      <c r="S141" s="547"/>
      <c r="T141" s="548"/>
      <c r="U141" s="346">
        <f>SUM(U133:U140)</f>
        <v>25719500</v>
      </c>
      <c r="V141" s="346">
        <f>SUM(V133:V140)</f>
        <v>0</v>
      </c>
    </row>
    <row r="142" spans="1:22">
      <c r="Q142" s="436" t="s">
        <v>337</v>
      </c>
      <c r="R142" s="564">
        <v>41499</v>
      </c>
      <c r="S142" s="570">
        <v>8854.4</v>
      </c>
      <c r="T142" s="316">
        <v>700</v>
      </c>
      <c r="U142" s="328">
        <v>6198080</v>
      </c>
      <c r="V142" s="328"/>
    </row>
    <row r="143" spans="1:22">
      <c r="O143" s="348"/>
      <c r="Q143" s="367" t="s">
        <v>54</v>
      </c>
      <c r="R143" s="564">
        <v>41509</v>
      </c>
      <c r="S143" s="570">
        <v>12850</v>
      </c>
      <c r="T143" s="316">
        <v>1160</v>
      </c>
      <c r="U143" s="328">
        <v>14906000</v>
      </c>
      <c r="V143" s="328"/>
    </row>
    <row r="144" spans="1:22">
      <c r="O144" s="348"/>
      <c r="Q144" s="367" t="s">
        <v>57</v>
      </c>
      <c r="R144" s="564">
        <v>41509</v>
      </c>
      <c r="S144" s="570">
        <v>13850</v>
      </c>
      <c r="T144" s="316">
        <v>1530</v>
      </c>
      <c r="U144" s="328">
        <v>21190500</v>
      </c>
      <c r="V144" s="328"/>
    </row>
    <row r="145" spans="1:22">
      <c r="O145" s="348"/>
      <c r="Q145" s="367" t="s">
        <v>44</v>
      </c>
      <c r="R145" s="564">
        <v>41513</v>
      </c>
      <c r="S145" s="570">
        <v>16250</v>
      </c>
      <c r="T145" s="316">
        <v>1600</v>
      </c>
      <c r="U145" s="328">
        <v>26000000</v>
      </c>
      <c r="V145" s="328"/>
    </row>
    <row r="146" spans="1:22">
      <c r="O146" s="348"/>
      <c r="Q146" s="367" t="s">
        <v>349</v>
      </c>
      <c r="R146" s="564">
        <v>41499</v>
      </c>
      <c r="S146" s="570">
        <v>12450</v>
      </c>
      <c r="T146" s="316">
        <v>680</v>
      </c>
      <c r="U146" s="328">
        <v>8466000</v>
      </c>
      <c r="V146" s="328"/>
    </row>
    <row r="147" spans="1:22">
      <c r="O147" s="348"/>
      <c r="Q147" s="367" t="s">
        <v>59</v>
      </c>
      <c r="R147" s="564">
        <v>41514</v>
      </c>
      <c r="S147" s="570">
        <v>13650</v>
      </c>
      <c r="T147" s="316">
        <v>330</v>
      </c>
      <c r="U147" s="328">
        <v>4504500</v>
      </c>
      <c r="V147" s="328"/>
    </row>
    <row r="148" spans="1:22">
      <c r="O148" s="348"/>
      <c r="Q148" s="367" t="s">
        <v>60</v>
      </c>
      <c r="R148" s="564">
        <v>41499</v>
      </c>
      <c r="S148" s="570">
        <v>18400</v>
      </c>
      <c r="T148" s="316">
        <v>260</v>
      </c>
      <c r="U148" s="328">
        <v>4784000</v>
      </c>
      <c r="V148" s="328"/>
    </row>
    <row r="149" spans="1:22">
      <c r="O149" s="348"/>
      <c r="Q149" s="367"/>
      <c r="R149" s="564"/>
      <c r="S149" s="570"/>
      <c r="T149" s="316"/>
      <c r="U149" s="328"/>
      <c r="V149" s="328"/>
    </row>
    <row r="150" spans="1:22">
      <c r="Q150" s="546"/>
      <c r="R150" s="547"/>
      <c r="S150" s="547"/>
      <c r="T150" s="548"/>
      <c r="U150" s="346">
        <f>SUM(U142:U149)</f>
        <v>86049080</v>
      </c>
      <c r="V150" s="346">
        <f>SUM(V142:V149)</f>
        <v>0</v>
      </c>
    </row>
    <row r="151" spans="1:22" ht="18" customHeight="1">
      <c r="A151" s="291" t="s">
        <v>239</v>
      </c>
      <c r="B151" s="291"/>
      <c r="C151" s="292"/>
      <c r="D151" s="293"/>
      <c r="E151" s="293"/>
      <c r="F151" s="290"/>
      <c r="G151" s="290"/>
      <c r="H151" s="290"/>
      <c r="I151" s="290"/>
      <c r="J151" s="294"/>
      <c r="K151" s="290"/>
      <c r="L151" s="290"/>
      <c r="M151" s="290"/>
      <c r="N151" s="295"/>
      <c r="O151" s="290"/>
      <c r="P151" s="354"/>
    </row>
    <row r="152" spans="1:22" ht="18.75" customHeight="1">
      <c r="A152" s="545" t="s">
        <v>473</v>
      </c>
      <c r="B152" s="545"/>
      <c r="C152" s="545"/>
      <c r="D152" s="545"/>
      <c r="E152" s="545"/>
      <c r="F152" s="545"/>
      <c r="G152" s="545"/>
      <c r="H152" s="545"/>
      <c r="I152" s="545"/>
      <c r="J152" s="545"/>
      <c r="K152" s="545"/>
      <c r="L152" s="545"/>
      <c r="M152" s="545"/>
      <c r="N152" s="545"/>
      <c r="O152" s="545"/>
      <c r="P152" s="298"/>
      <c r="Q152" s="290"/>
      <c r="R152" s="562"/>
    </row>
    <row r="153" spans="1:22" ht="18.75" customHeight="1">
      <c r="A153" s="298"/>
      <c r="B153" s="298"/>
      <c r="C153" s="299"/>
      <c r="D153" s="298"/>
      <c r="E153" s="298"/>
      <c r="F153" s="298"/>
      <c r="G153" s="298"/>
      <c r="H153" s="298"/>
      <c r="I153" s="298"/>
      <c r="J153" s="297"/>
      <c r="K153" s="298"/>
      <c r="L153" s="298"/>
      <c r="M153" s="298"/>
      <c r="N153" s="300"/>
      <c r="O153" s="298"/>
      <c r="P153" s="298"/>
      <c r="Q153" s="290"/>
      <c r="R153" s="562"/>
    </row>
    <row r="154" spans="1:22" ht="12.75" customHeight="1">
      <c r="A154" s="301"/>
      <c r="B154" s="301"/>
      <c r="C154" s="302"/>
      <c r="D154" s="301"/>
      <c r="E154" s="301"/>
      <c r="F154" s="301"/>
      <c r="G154" s="301"/>
      <c r="H154" s="301"/>
      <c r="I154" s="301"/>
      <c r="J154" s="301"/>
      <c r="K154" s="301"/>
      <c r="L154" s="301"/>
      <c r="M154" s="301"/>
      <c r="N154" s="303"/>
      <c r="O154" s="301"/>
      <c r="P154" s="422"/>
      <c r="Q154" s="290"/>
      <c r="R154" s="562"/>
    </row>
    <row r="155" spans="1:22" s="310" customFormat="1" ht="30.75" customHeight="1">
      <c r="A155" s="305" t="s">
        <v>30</v>
      </c>
      <c r="B155" s="305" t="s">
        <v>240</v>
      </c>
      <c r="C155" s="306" t="s">
        <v>241</v>
      </c>
      <c r="D155" s="307" t="s">
        <v>242</v>
      </c>
      <c r="E155" s="307" t="s">
        <v>243</v>
      </c>
      <c r="F155" s="307" t="s">
        <v>244</v>
      </c>
      <c r="G155" s="307" t="s">
        <v>245</v>
      </c>
      <c r="H155" s="307" t="s">
        <v>246</v>
      </c>
      <c r="I155" s="307" t="s">
        <v>247</v>
      </c>
      <c r="J155" s="307" t="s">
        <v>249</v>
      </c>
      <c r="K155" s="308" t="s">
        <v>248</v>
      </c>
      <c r="L155" s="308" t="s">
        <v>250</v>
      </c>
      <c r="M155" s="307" t="s">
        <v>251</v>
      </c>
      <c r="N155" s="309" t="s">
        <v>252</v>
      </c>
      <c r="O155" s="307" t="s">
        <v>253</v>
      </c>
      <c r="P155" s="430"/>
      <c r="Q155" s="305" t="s">
        <v>240</v>
      </c>
      <c r="R155" s="560" t="s">
        <v>75</v>
      </c>
      <c r="S155" s="307" t="s">
        <v>243</v>
      </c>
      <c r="T155" s="307" t="s">
        <v>61</v>
      </c>
      <c r="U155" s="307" t="s">
        <v>91</v>
      </c>
      <c r="V155" s="305" t="s">
        <v>91</v>
      </c>
    </row>
    <row r="156" spans="1:22">
      <c r="A156" s="401">
        <f>IF(D156&lt;&gt;"",ROW()-(ROW()-1),"")</f>
        <v>1</v>
      </c>
      <c r="B156" s="368" t="s">
        <v>320</v>
      </c>
      <c r="C156" s="313">
        <v>9</v>
      </c>
      <c r="D156" s="68">
        <v>25650</v>
      </c>
      <c r="E156" s="68"/>
      <c r="F156" s="314">
        <v>436050000</v>
      </c>
      <c r="G156" s="68">
        <f>G$161/$D$161*$D156</f>
        <v>3470525.345804764</v>
      </c>
      <c r="H156" s="68">
        <f>H$161/$F$161*$F156</f>
        <v>18246585.267247487</v>
      </c>
      <c r="I156" s="68">
        <f>I$161/$D$161*$D156</f>
        <v>17297531.228449129</v>
      </c>
      <c r="J156" s="68">
        <f>J$161/$N$161*$N156</f>
        <v>7266167.5024540145</v>
      </c>
      <c r="K156" s="68">
        <f>K$161/$F$161*$F156</f>
        <v>24999131.125646327</v>
      </c>
      <c r="L156" s="68">
        <f>L$161/$F$161*$F156</f>
        <v>4557365.7383497693</v>
      </c>
      <c r="M156" s="314">
        <f t="shared" ref="M156:M159" si="21">ROUND(F156+G156+H156+I156+J156+K156+L156,0)</f>
        <v>511887306</v>
      </c>
      <c r="N156" s="68">
        <v>2850</v>
      </c>
      <c r="O156" s="68">
        <f t="shared" ref="O156:O159" si="22">M156/N156</f>
        <v>179609.58105263158</v>
      </c>
      <c r="P156" s="347"/>
      <c r="Q156" s="436" t="s">
        <v>338</v>
      </c>
      <c r="R156" s="366">
        <v>41521</v>
      </c>
      <c r="S156" s="316">
        <v>32728</v>
      </c>
      <c r="T156" s="316">
        <v>500</v>
      </c>
      <c r="U156" s="314">
        <v>16364000</v>
      </c>
      <c r="V156" s="314"/>
    </row>
    <row r="157" spans="1:22">
      <c r="A157" s="401">
        <f>IF(D157&lt;&gt;"",A156+1,"")</f>
        <v>2</v>
      </c>
      <c r="B157" s="368" t="s">
        <v>324</v>
      </c>
      <c r="C157" s="313">
        <v>6</v>
      </c>
      <c r="D157" s="68">
        <v>60000</v>
      </c>
      <c r="E157" s="68"/>
      <c r="F157" s="314">
        <v>1320000000</v>
      </c>
      <c r="G157" s="68">
        <f>G$161/$D$161*$D157</f>
        <v>8118187.9434029572</v>
      </c>
      <c r="H157" s="68">
        <f>H$161/$F$161*$F157</f>
        <v>55235621.036043301</v>
      </c>
      <c r="I157" s="68">
        <f>I$161/$D$161*$D157</f>
        <v>40462061.353097379</v>
      </c>
      <c r="J157" s="68">
        <f>J$161/$N$161*$N157</f>
        <v>25495324.570014086</v>
      </c>
      <c r="K157" s="68">
        <f>K$161/$F$161*$F157</f>
        <v>75676764.32944192</v>
      </c>
      <c r="L157" s="68">
        <f t="shared" ref="L157:L159" si="23">L$161/$F$161*$F157</f>
        <v>13795947.195554858</v>
      </c>
      <c r="M157" s="314">
        <f t="shared" si="21"/>
        <v>1538783906</v>
      </c>
      <c r="N157" s="68">
        <v>10000</v>
      </c>
      <c r="O157" s="68">
        <f t="shared" si="22"/>
        <v>153878.39060000001</v>
      </c>
      <c r="P157" s="347"/>
      <c r="Q157" s="436" t="s">
        <v>38</v>
      </c>
      <c r="R157" s="315">
        <v>41521</v>
      </c>
      <c r="S157" s="316">
        <v>14000</v>
      </c>
      <c r="T157" s="316">
        <v>170</v>
      </c>
      <c r="U157" s="328">
        <v>2380000</v>
      </c>
      <c r="V157" s="328"/>
    </row>
    <row r="158" spans="1:22">
      <c r="A158" s="401">
        <f>IF(D158&lt;&gt;"",A157+1,"")</f>
        <v>3</v>
      </c>
      <c r="B158" s="368" t="s">
        <v>371</v>
      </c>
      <c r="C158" s="313">
        <v>6</v>
      </c>
      <c r="D158" s="68">
        <v>51486</v>
      </c>
      <c r="E158" s="68"/>
      <c r="F158" s="314">
        <v>926748000</v>
      </c>
      <c r="G158" s="68">
        <f>G$161/$D$161*$D158</f>
        <v>6966217.0742340777</v>
      </c>
      <c r="H158" s="68">
        <f>H$161/$F$161*$F158</f>
        <v>38779925.245387167</v>
      </c>
      <c r="I158" s="68">
        <f>I$161/$D$161*$D158</f>
        <v>34720494.847092859</v>
      </c>
      <c r="J158" s="68">
        <f>J$161/$N$161*$N158</f>
        <v>21877538.013529088</v>
      </c>
      <c r="K158" s="68">
        <f>K$161/$F$161*$F158</f>
        <v>53131280.294531547</v>
      </c>
      <c r="L158" s="68">
        <f t="shared" si="23"/>
        <v>9685883.6905955095</v>
      </c>
      <c r="M158" s="314">
        <f t="shared" si="21"/>
        <v>1091909339</v>
      </c>
      <c r="N158" s="68">
        <v>8581</v>
      </c>
      <c r="O158" s="68">
        <f t="shared" si="22"/>
        <v>127247.33003146487</v>
      </c>
      <c r="P158" s="347"/>
      <c r="Q158" s="436" t="s">
        <v>340</v>
      </c>
      <c r="R158" s="315">
        <v>41521</v>
      </c>
      <c r="S158" s="316">
        <v>4700</v>
      </c>
      <c r="T158" s="316">
        <v>370</v>
      </c>
      <c r="U158" s="328">
        <v>1739000</v>
      </c>
      <c r="V158" s="328"/>
    </row>
    <row r="159" spans="1:22">
      <c r="A159" s="401">
        <f>IF(D159&lt;&gt;"",A158+1,"")</f>
        <v>4</v>
      </c>
      <c r="B159" s="368" t="s">
        <v>358</v>
      </c>
      <c r="C159" s="313">
        <v>7.125</v>
      </c>
      <c r="D159" s="68">
        <v>14250</v>
      </c>
      <c r="E159" s="68"/>
      <c r="F159" s="314">
        <v>256500000</v>
      </c>
      <c r="G159" s="68">
        <f>G$161/$D$161*$D159</f>
        <v>1928069.6365582023</v>
      </c>
      <c r="H159" s="68">
        <f>H$161/$F$161*$F159</f>
        <v>10733285.451322051</v>
      </c>
      <c r="I159" s="68">
        <f>I$161/$D$161*$D159</f>
        <v>9609739.5713606272</v>
      </c>
      <c r="J159" s="68">
        <f>J$161/$N$161*$N159</f>
        <v>5099064.9140028171</v>
      </c>
      <c r="K159" s="68">
        <f>K$161/$F$161*$F159</f>
        <v>14705371.250380192</v>
      </c>
      <c r="L159" s="68">
        <f t="shared" si="23"/>
        <v>2680803.3754998641</v>
      </c>
      <c r="M159" s="314">
        <f t="shared" si="21"/>
        <v>301256334</v>
      </c>
      <c r="N159" s="68">
        <v>2000</v>
      </c>
      <c r="O159" s="68">
        <f t="shared" si="22"/>
        <v>150628.16699999999</v>
      </c>
      <c r="P159" s="347"/>
      <c r="Q159" s="436"/>
      <c r="R159" s="315"/>
      <c r="S159" s="316"/>
      <c r="T159" s="316"/>
      <c r="U159" s="328"/>
      <c r="V159" s="328"/>
    </row>
    <row r="160" spans="1:22" s="332" customFormat="1">
      <c r="A160" s="439"/>
      <c r="B160" s="324"/>
      <c r="C160" s="325"/>
      <c r="D160" s="326"/>
      <c r="E160" s="326"/>
      <c r="F160" s="327"/>
      <c r="G160" s="326"/>
      <c r="H160" s="364"/>
      <c r="I160" s="328"/>
      <c r="J160" s="329"/>
      <c r="K160" s="326"/>
      <c r="L160" s="326"/>
      <c r="M160" s="330"/>
      <c r="N160" s="331"/>
      <c r="O160" s="326"/>
      <c r="P160" s="347"/>
      <c r="Q160" s="436"/>
      <c r="R160" s="564"/>
      <c r="S160" s="570"/>
      <c r="T160" s="316"/>
      <c r="U160" s="328"/>
      <c r="V160" s="328"/>
    </row>
    <row r="161" spans="1:22" s="291" customFormat="1">
      <c r="A161" s="333"/>
      <c r="B161" s="334" t="s">
        <v>254</v>
      </c>
      <c r="C161" s="335"/>
      <c r="D161" s="336">
        <f>SUM(D156:D159)</f>
        <v>151386</v>
      </c>
      <c r="E161" s="336"/>
      <c r="F161" s="336">
        <f>SUM(F156:F159)</f>
        <v>2939298000</v>
      </c>
      <c r="G161" s="336">
        <f>U161</f>
        <v>20483000</v>
      </c>
      <c r="H161" s="337">
        <v>122995417</v>
      </c>
      <c r="I161" s="337">
        <v>102089827</v>
      </c>
      <c r="J161" s="336">
        <f>U172</f>
        <v>59738095</v>
      </c>
      <c r="K161" s="337">
        <v>168512547</v>
      </c>
      <c r="L161" s="336">
        <v>30720000</v>
      </c>
      <c r="M161" s="336">
        <f>SUM(M156:M159)</f>
        <v>3443836885</v>
      </c>
      <c r="N161" s="336">
        <f>SUM(N156:N159)</f>
        <v>23431</v>
      </c>
      <c r="O161" s="336"/>
      <c r="P161" s="340"/>
      <c r="Q161" s="546"/>
      <c r="R161" s="547"/>
      <c r="S161" s="547"/>
      <c r="T161" s="548"/>
      <c r="U161" s="346">
        <f>SUM(U156:U160)</f>
        <v>20483000</v>
      </c>
      <c r="V161" s="346">
        <f>SUM(V156:V160)</f>
        <v>0</v>
      </c>
    </row>
    <row r="162" spans="1:22">
      <c r="Q162" s="436" t="s">
        <v>337</v>
      </c>
      <c r="R162" s="564">
        <v>41539</v>
      </c>
      <c r="S162" s="570">
        <v>9431.818181818182</v>
      </c>
      <c r="T162" s="316">
        <v>440</v>
      </c>
      <c r="U162" s="328">
        <v>4150000</v>
      </c>
      <c r="V162" s="328"/>
    </row>
    <row r="163" spans="1:22">
      <c r="O163" s="348"/>
      <c r="Q163" s="367" t="s">
        <v>341</v>
      </c>
      <c r="R163" s="315">
        <v>41523</v>
      </c>
      <c r="S163" s="316">
        <v>14461.73</v>
      </c>
      <c r="T163" s="316">
        <v>300</v>
      </c>
      <c r="U163" s="328">
        <v>4338519</v>
      </c>
      <c r="V163" s="328"/>
    </row>
    <row r="164" spans="1:22">
      <c r="O164" s="348"/>
      <c r="Q164" s="344" t="s">
        <v>343</v>
      </c>
      <c r="R164" s="315">
        <v>41523</v>
      </c>
      <c r="S164" s="345">
        <v>4496.92</v>
      </c>
      <c r="T164" s="345">
        <v>300</v>
      </c>
      <c r="U164" s="443">
        <v>1349076</v>
      </c>
      <c r="V164" s="328"/>
    </row>
    <row r="165" spans="1:22">
      <c r="O165" s="348"/>
      <c r="Q165" s="344" t="s">
        <v>47</v>
      </c>
      <c r="R165" s="315">
        <v>41547</v>
      </c>
      <c r="S165" s="345">
        <v>5950</v>
      </c>
      <c r="T165" s="345">
        <v>900</v>
      </c>
      <c r="U165" s="443">
        <v>5355000</v>
      </c>
      <c r="V165" s="328"/>
    </row>
    <row r="166" spans="1:22">
      <c r="O166" s="348"/>
      <c r="Q166" s="344" t="s">
        <v>291</v>
      </c>
      <c r="R166" s="315">
        <v>41539</v>
      </c>
      <c r="S166" s="345">
        <v>39000</v>
      </c>
      <c r="T166" s="345">
        <v>162</v>
      </c>
      <c r="U166" s="443">
        <v>6318000</v>
      </c>
      <c r="V166" s="328"/>
    </row>
    <row r="167" spans="1:22">
      <c r="Q167" s="344" t="s">
        <v>57</v>
      </c>
      <c r="R167" s="315">
        <v>41539</v>
      </c>
      <c r="S167" s="345">
        <v>13850</v>
      </c>
      <c r="T167" s="345">
        <v>1650</v>
      </c>
      <c r="U167" s="443">
        <v>22852500</v>
      </c>
      <c r="V167" s="328"/>
    </row>
    <row r="168" spans="1:22">
      <c r="Q168" s="342" t="s">
        <v>349</v>
      </c>
      <c r="R168" s="315">
        <v>41544</v>
      </c>
      <c r="S168" s="322">
        <v>12450</v>
      </c>
      <c r="T168" s="322">
        <v>60</v>
      </c>
      <c r="U168" s="328">
        <v>747000</v>
      </c>
      <c r="V168" s="328"/>
    </row>
    <row r="169" spans="1:22">
      <c r="Q169" s="342" t="s">
        <v>60</v>
      </c>
      <c r="R169" s="315">
        <v>41539</v>
      </c>
      <c r="S169" s="322">
        <v>18400</v>
      </c>
      <c r="T169" s="322">
        <v>510</v>
      </c>
      <c r="U169" s="328">
        <v>9384000</v>
      </c>
      <c r="V169" s="328"/>
    </row>
    <row r="170" spans="1:22">
      <c r="Q170" s="342" t="s">
        <v>60</v>
      </c>
      <c r="R170" s="315">
        <v>41539</v>
      </c>
      <c r="S170" s="322">
        <v>18400</v>
      </c>
      <c r="T170" s="322">
        <v>285</v>
      </c>
      <c r="U170" s="328">
        <v>5244000</v>
      </c>
      <c r="V170" s="328"/>
    </row>
    <row r="171" spans="1:22">
      <c r="Q171" s="342"/>
      <c r="R171" s="315"/>
      <c r="S171" s="322"/>
      <c r="T171" s="322"/>
      <c r="U171" s="328"/>
      <c r="V171" s="328"/>
    </row>
    <row r="172" spans="1:22">
      <c r="Q172" s="546"/>
      <c r="R172" s="547"/>
      <c r="S172" s="547"/>
      <c r="T172" s="548"/>
      <c r="U172" s="346">
        <f>SUM(U162:U171)</f>
        <v>59738095</v>
      </c>
      <c r="V172" s="346">
        <f>SUM(V162:V171)</f>
        <v>0</v>
      </c>
    </row>
    <row r="173" spans="1:22" ht="18" customHeight="1">
      <c r="A173" s="291" t="s">
        <v>239</v>
      </c>
      <c r="B173" s="291"/>
      <c r="C173" s="292"/>
      <c r="D173" s="293"/>
      <c r="E173" s="293"/>
      <c r="F173" s="290"/>
      <c r="G173" s="290"/>
      <c r="H173" s="290"/>
      <c r="I173" s="290"/>
      <c r="J173" s="294"/>
      <c r="K173" s="290"/>
      <c r="L173" s="290"/>
      <c r="M173" s="290"/>
      <c r="N173" s="295"/>
      <c r="O173" s="290"/>
      <c r="P173" s="354"/>
      <c r="Q173" s="290"/>
      <c r="R173" s="562"/>
    </row>
    <row r="174" spans="1:22" ht="18.75" customHeight="1">
      <c r="A174" s="545" t="s">
        <v>474</v>
      </c>
      <c r="B174" s="545"/>
      <c r="C174" s="545"/>
      <c r="D174" s="545"/>
      <c r="E174" s="545"/>
      <c r="F174" s="545"/>
      <c r="G174" s="545"/>
      <c r="H174" s="545"/>
      <c r="I174" s="545"/>
      <c r="J174" s="545"/>
      <c r="K174" s="545"/>
      <c r="L174" s="545"/>
      <c r="M174" s="545"/>
      <c r="N174" s="545"/>
      <c r="O174" s="545"/>
      <c r="P174" s="298"/>
      <c r="Q174" s="290"/>
      <c r="R174" s="562"/>
    </row>
    <row r="175" spans="1:22" ht="18.75" customHeight="1">
      <c r="A175" s="298"/>
      <c r="B175" s="298"/>
      <c r="C175" s="299"/>
      <c r="D175" s="298"/>
      <c r="E175" s="298"/>
      <c r="F175" s="298"/>
      <c r="G175" s="298"/>
      <c r="H175" s="298"/>
      <c r="I175" s="298"/>
      <c r="J175" s="297"/>
      <c r="K175" s="298"/>
      <c r="L175" s="298"/>
      <c r="M175" s="298"/>
      <c r="N175" s="300"/>
      <c r="O175" s="298"/>
      <c r="P175" s="298"/>
      <c r="Q175" s="290"/>
      <c r="R175" s="562"/>
    </row>
    <row r="176" spans="1:22" ht="12.75" customHeight="1">
      <c r="A176" s="301"/>
      <c r="B176" s="301"/>
      <c r="C176" s="302"/>
      <c r="D176" s="301"/>
      <c r="E176" s="301"/>
      <c r="F176" s="301"/>
      <c r="G176" s="301"/>
      <c r="H176" s="301"/>
      <c r="I176" s="301"/>
      <c r="J176" s="301"/>
      <c r="K176" s="301"/>
      <c r="L176" s="301"/>
      <c r="M176" s="301"/>
      <c r="N176" s="303"/>
      <c r="O176" s="301"/>
      <c r="P176" s="422"/>
      <c r="Q176" s="290"/>
      <c r="R176" s="562"/>
    </row>
    <row r="177" spans="1:22" s="310" customFormat="1" ht="30.75" customHeight="1">
      <c r="A177" s="305" t="s">
        <v>30</v>
      </c>
      <c r="B177" s="305" t="s">
        <v>240</v>
      </c>
      <c r="C177" s="306" t="s">
        <v>241</v>
      </c>
      <c r="D177" s="307" t="s">
        <v>242</v>
      </c>
      <c r="E177" s="307" t="s">
        <v>243</v>
      </c>
      <c r="F177" s="307" t="s">
        <v>244</v>
      </c>
      <c r="G177" s="307" t="s">
        <v>245</v>
      </c>
      <c r="H177" s="307" t="s">
        <v>246</v>
      </c>
      <c r="I177" s="307" t="s">
        <v>247</v>
      </c>
      <c r="J177" s="307" t="s">
        <v>249</v>
      </c>
      <c r="K177" s="308" t="s">
        <v>248</v>
      </c>
      <c r="L177" s="308" t="s">
        <v>250</v>
      </c>
      <c r="M177" s="307" t="s">
        <v>251</v>
      </c>
      <c r="N177" s="309" t="s">
        <v>252</v>
      </c>
      <c r="O177" s="307" t="s">
        <v>253</v>
      </c>
      <c r="P177" s="430"/>
      <c r="Q177" s="305" t="s">
        <v>240</v>
      </c>
      <c r="R177" s="560" t="s">
        <v>75</v>
      </c>
      <c r="S177" s="307" t="s">
        <v>243</v>
      </c>
      <c r="T177" s="307" t="s">
        <v>61</v>
      </c>
      <c r="U177" s="307" t="s">
        <v>91</v>
      </c>
      <c r="V177" s="305" t="s">
        <v>91</v>
      </c>
    </row>
    <row r="178" spans="1:22">
      <c r="A178" s="401">
        <f>IF(D178&lt;&gt;"",ROW()-(ROW()-1),"")</f>
        <v>1</v>
      </c>
      <c r="B178" s="368" t="s">
        <v>324</v>
      </c>
      <c r="C178" s="313">
        <v>6</v>
      </c>
      <c r="D178" s="68">
        <v>61680</v>
      </c>
      <c r="E178" s="68"/>
      <c r="F178" s="314">
        <v>1418640000</v>
      </c>
      <c r="G178" s="68">
        <f>G$184/$D$184*$D178</f>
        <v>6632392.9678568849</v>
      </c>
      <c r="H178" s="68">
        <f>H$184/$F$184*$F178</f>
        <v>45388641.224606596</v>
      </c>
      <c r="I178" s="68">
        <f>I$184/$D$184*$D178</f>
        <v>28882129.284323923</v>
      </c>
      <c r="J178" s="68">
        <f>J$184/$N$184*$N178</f>
        <v>36944640.683259502</v>
      </c>
      <c r="K178" s="68">
        <f>K$184/$F$184*$F178</f>
        <v>59701917.083028764</v>
      </c>
      <c r="L178" s="68">
        <f>L$184/$F$184*$F178</f>
        <v>31771365.294829402</v>
      </c>
      <c r="M178" s="314">
        <f t="shared" ref="M178:M182" si="24">ROUND(F178+G178+H178+I178+J178+K178+L178,0)</f>
        <v>1627961087</v>
      </c>
      <c r="N178" s="68">
        <v>10280</v>
      </c>
      <c r="O178" s="68">
        <f t="shared" ref="O178:O182" si="25">M178/N178</f>
        <v>158361.97344357977</v>
      </c>
      <c r="P178" s="347"/>
      <c r="Q178" s="436" t="s">
        <v>338</v>
      </c>
      <c r="R178" s="315">
        <v>41551</v>
      </c>
      <c r="S178" s="316">
        <v>32728</v>
      </c>
      <c r="T178" s="316">
        <v>500</v>
      </c>
      <c r="U178" s="314">
        <v>16364000</v>
      </c>
      <c r="V178" s="314"/>
    </row>
    <row r="179" spans="1:22">
      <c r="A179" s="401">
        <f>IF(D179&lt;&gt;"",A178+1,"")</f>
        <v>2</v>
      </c>
      <c r="B179" s="368" t="s">
        <v>320</v>
      </c>
      <c r="C179" s="313">
        <v>9</v>
      </c>
      <c r="D179" s="68">
        <v>18000</v>
      </c>
      <c r="E179" s="68"/>
      <c r="F179" s="314">
        <v>306000000</v>
      </c>
      <c r="G179" s="68">
        <f>G$184/$D$184*$D179</f>
        <v>1935523.239646951</v>
      </c>
      <c r="H179" s="68">
        <f>H$184/$F$184*$F179</f>
        <v>9790309.1797282044</v>
      </c>
      <c r="I179" s="68">
        <f>I$184/$D$184*$D179</f>
        <v>8428636.9506781865</v>
      </c>
      <c r="J179" s="68">
        <f>J$184/$N$184*$N179</f>
        <v>7187673.2846808368</v>
      </c>
      <c r="K179" s="68">
        <f>K$184/$F$184*$F179</f>
        <v>12877676.24443608</v>
      </c>
      <c r="L179" s="68">
        <f>L$184/$F$184*$F179</f>
        <v>6853068.9817133294</v>
      </c>
      <c r="M179" s="314">
        <f t="shared" si="24"/>
        <v>353072888</v>
      </c>
      <c r="N179" s="68">
        <v>2000</v>
      </c>
      <c r="O179" s="68">
        <f t="shared" si="25"/>
        <v>176536.44399999999</v>
      </c>
      <c r="P179" s="347"/>
      <c r="Q179" s="436" t="s">
        <v>38</v>
      </c>
      <c r="R179" s="315">
        <v>41551</v>
      </c>
      <c r="S179" s="316">
        <v>14000</v>
      </c>
      <c r="T179" s="316">
        <v>180</v>
      </c>
      <c r="U179" s="328">
        <v>2520000</v>
      </c>
      <c r="V179" s="328"/>
    </row>
    <row r="180" spans="1:22">
      <c r="A180" s="401">
        <f>IF(D180&lt;&gt;"",A179+1,"")</f>
        <v>3</v>
      </c>
      <c r="B180" s="368" t="s">
        <v>371</v>
      </c>
      <c r="C180" s="313">
        <v>6</v>
      </c>
      <c r="D180" s="68">
        <v>92514</v>
      </c>
      <c r="E180" s="68"/>
      <c r="F180" s="314">
        <v>1737252000</v>
      </c>
      <c r="G180" s="68">
        <f>G$184/$D$184*$D180</f>
        <v>9947944.2773721125</v>
      </c>
      <c r="H180" s="68">
        <f>H$184/$F$184*$F180</f>
        <v>55582464.716016933</v>
      </c>
      <c r="I180" s="68">
        <f>I$184/$D$184*$D180</f>
        <v>43320384.38083566</v>
      </c>
      <c r="J180" s="68">
        <f>J$184/$N$184*$N180</f>
        <v>55413367.188246913</v>
      </c>
      <c r="K180" s="68">
        <f>K$184/$F$184*$F180</f>
        <v>73110355.591500223</v>
      </c>
      <c r="L180" s="68">
        <f>L$184/$F$184*$F180</f>
        <v>38906888.217710607</v>
      </c>
      <c r="M180" s="314">
        <f t="shared" si="24"/>
        <v>2013533404</v>
      </c>
      <c r="N180" s="68">
        <v>15419</v>
      </c>
      <c r="O180" s="68">
        <f t="shared" si="25"/>
        <v>130587.80751021467</v>
      </c>
      <c r="P180" s="347"/>
      <c r="Q180" s="436" t="s">
        <v>340</v>
      </c>
      <c r="R180" s="315">
        <v>41551</v>
      </c>
      <c r="S180" s="316">
        <v>4700</v>
      </c>
      <c r="T180" s="316">
        <v>425</v>
      </c>
      <c r="U180" s="328">
        <v>1997500</v>
      </c>
      <c r="V180" s="328"/>
    </row>
    <row r="181" spans="1:22">
      <c r="A181" s="401">
        <f>IF(D181&lt;&gt;"",A180+1,"")</f>
        <v>4</v>
      </c>
      <c r="B181" s="368" t="s">
        <v>367</v>
      </c>
      <c r="C181" s="313">
        <v>5</v>
      </c>
      <c r="D181" s="68">
        <v>10000</v>
      </c>
      <c r="E181" s="68"/>
      <c r="F181" s="314">
        <v>180000000</v>
      </c>
      <c r="G181" s="68">
        <f>G$184/$D$184*$D181</f>
        <v>1075290.6886927504</v>
      </c>
      <c r="H181" s="68">
        <f>H$184/$F$184*$F181</f>
        <v>5759005.3998401202</v>
      </c>
      <c r="I181" s="68">
        <f>I$184/$D$184*$D181</f>
        <v>4682576.0837101042</v>
      </c>
      <c r="J181" s="68">
        <f>J$184/$N$184*$N181</f>
        <v>7187673.2846808368</v>
      </c>
      <c r="K181" s="68">
        <f>K$184/$F$184*$F181</f>
        <v>7575103.6731976941</v>
      </c>
      <c r="L181" s="68">
        <f>L$184/$F$184*$F181</f>
        <v>4031217.0480666645</v>
      </c>
      <c r="M181" s="314">
        <f t="shared" si="24"/>
        <v>210310866</v>
      </c>
      <c r="N181" s="68">
        <v>2000</v>
      </c>
      <c r="O181" s="68">
        <f t="shared" si="25"/>
        <v>105155.433</v>
      </c>
      <c r="P181" s="347"/>
      <c r="Q181" s="436"/>
      <c r="R181" s="315"/>
      <c r="S181" s="316"/>
      <c r="T181" s="316"/>
      <c r="U181" s="328"/>
      <c r="V181" s="328"/>
    </row>
    <row r="182" spans="1:22">
      <c r="A182" s="401">
        <f>IF(D182&lt;&gt;"",A181+1,"")</f>
        <v>5</v>
      </c>
      <c r="B182" s="368" t="s">
        <v>358</v>
      </c>
      <c r="C182" s="319">
        <v>7.1428571428571432</v>
      </c>
      <c r="D182" s="68">
        <v>12000</v>
      </c>
      <c r="E182" s="320"/>
      <c r="F182" s="314">
        <v>216000000</v>
      </c>
      <c r="G182" s="68">
        <f>G$184/$D$184*$D182</f>
        <v>1290348.8264313007</v>
      </c>
      <c r="H182" s="68">
        <f>H$184/$F$184*$F182</f>
        <v>6910806.4798081443</v>
      </c>
      <c r="I182" s="68">
        <f>I$184/$D$184*$D182</f>
        <v>5619091.3004521253</v>
      </c>
      <c r="J182" s="68">
        <f>J$184/$N$184*$N182</f>
        <v>6037645.5591319036</v>
      </c>
      <c r="K182" s="68">
        <f>K$184/$F$184*$F182</f>
        <v>9090124.4078372326</v>
      </c>
      <c r="L182" s="68">
        <f>L$184/$F$184*$F182</f>
        <v>4837460.4576799972</v>
      </c>
      <c r="M182" s="314">
        <f t="shared" si="24"/>
        <v>249785477</v>
      </c>
      <c r="N182" s="320">
        <v>1680</v>
      </c>
      <c r="O182" s="68">
        <f t="shared" si="25"/>
        <v>148681.83154761905</v>
      </c>
      <c r="P182" s="347"/>
      <c r="Q182" s="436"/>
      <c r="R182" s="315"/>
      <c r="S182" s="316"/>
      <c r="T182" s="316"/>
      <c r="U182" s="328"/>
      <c r="V182" s="328"/>
    </row>
    <row r="183" spans="1:22" s="332" customFormat="1">
      <c r="A183" s="444"/>
      <c r="B183" s="355"/>
      <c r="C183" s="356"/>
      <c r="D183" s="357"/>
      <c r="E183" s="357"/>
      <c r="F183" s="358"/>
      <c r="G183" s="357"/>
      <c r="H183" s="330"/>
      <c r="I183" s="359"/>
      <c r="J183" s="445"/>
      <c r="K183" s="357"/>
      <c r="L183" s="357"/>
      <c r="M183" s="330"/>
      <c r="N183" s="361"/>
      <c r="O183" s="68"/>
      <c r="P183" s="440"/>
      <c r="Q183" s="436"/>
      <c r="R183" s="315"/>
      <c r="S183" s="316"/>
      <c r="T183" s="316"/>
      <c r="U183" s="328"/>
      <c r="V183" s="328"/>
    </row>
    <row r="184" spans="1:22" s="291" customFormat="1">
      <c r="A184" s="333"/>
      <c r="B184" s="334" t="s">
        <v>254</v>
      </c>
      <c r="C184" s="335"/>
      <c r="D184" s="336">
        <f>SUM(D178:D183)</f>
        <v>194194</v>
      </c>
      <c r="E184" s="336"/>
      <c r="F184" s="336">
        <f>SUM(F178:F183)</f>
        <v>3857892000</v>
      </c>
      <c r="G184" s="336">
        <f>U184</f>
        <v>20881500</v>
      </c>
      <c r="H184" s="337">
        <v>123431227</v>
      </c>
      <c r="I184" s="337">
        <v>90932818</v>
      </c>
      <c r="J184" s="336">
        <f>U202</f>
        <v>112771000</v>
      </c>
      <c r="K184" s="337">
        <v>162355177</v>
      </c>
      <c r="L184" s="336">
        <v>86400000</v>
      </c>
      <c r="M184" s="336">
        <f>SUM(M178:M183)</f>
        <v>4454663722</v>
      </c>
      <c r="N184" s="336">
        <f>SUM(N178:N182)</f>
        <v>31379</v>
      </c>
      <c r="O184" s="336"/>
      <c r="P184" s="340"/>
      <c r="Q184" s="546"/>
      <c r="R184" s="547"/>
      <c r="S184" s="547"/>
      <c r="T184" s="548"/>
      <c r="U184" s="346">
        <f>SUM(U178:U183)</f>
        <v>20881500</v>
      </c>
      <c r="V184" s="346">
        <f>SUM(V178:V183)</f>
        <v>0</v>
      </c>
    </row>
    <row r="185" spans="1:22">
      <c r="Q185" s="436" t="s">
        <v>337</v>
      </c>
      <c r="R185" s="564">
        <v>41558</v>
      </c>
      <c r="S185" s="570">
        <v>9083.6065573770484</v>
      </c>
      <c r="T185" s="316">
        <v>610</v>
      </c>
      <c r="U185" s="328">
        <v>5541000</v>
      </c>
      <c r="V185" s="328"/>
    </row>
    <row r="186" spans="1:22">
      <c r="O186" s="348"/>
      <c r="Q186" s="321" t="s">
        <v>55</v>
      </c>
      <c r="R186" s="315">
        <v>41555</v>
      </c>
      <c r="S186" s="316">
        <v>34700</v>
      </c>
      <c r="T186" s="316">
        <v>3</v>
      </c>
      <c r="U186" s="328">
        <v>104100</v>
      </c>
      <c r="V186" s="328"/>
    </row>
    <row r="187" spans="1:22">
      <c r="O187" s="348"/>
      <c r="Q187" s="321" t="s">
        <v>55</v>
      </c>
      <c r="R187" s="315">
        <v>41555</v>
      </c>
      <c r="S187" s="316">
        <v>34700</v>
      </c>
      <c r="T187" s="316">
        <v>497</v>
      </c>
      <c r="U187" s="328">
        <v>17245900</v>
      </c>
      <c r="V187" s="328"/>
    </row>
    <row r="188" spans="1:22">
      <c r="O188" s="348"/>
      <c r="Q188" s="321" t="s">
        <v>55</v>
      </c>
      <c r="R188" s="315">
        <v>41565</v>
      </c>
      <c r="S188" s="316">
        <v>34700</v>
      </c>
      <c r="T188" s="316">
        <v>300</v>
      </c>
      <c r="U188" s="328">
        <v>10410000</v>
      </c>
      <c r="V188" s="328"/>
    </row>
    <row r="189" spans="1:22">
      <c r="O189" s="348"/>
      <c r="Q189" s="321" t="s">
        <v>55</v>
      </c>
      <c r="R189" s="315">
        <v>41566</v>
      </c>
      <c r="S189" s="316">
        <v>34700</v>
      </c>
      <c r="T189" s="316">
        <v>400</v>
      </c>
      <c r="U189" s="328">
        <v>13880000</v>
      </c>
      <c r="V189" s="328"/>
    </row>
    <row r="190" spans="1:22">
      <c r="O190" s="348"/>
      <c r="Q190" s="321" t="s">
        <v>55</v>
      </c>
      <c r="R190" s="315">
        <v>41576</v>
      </c>
      <c r="S190" s="316">
        <v>34700</v>
      </c>
      <c r="T190" s="316">
        <v>200</v>
      </c>
      <c r="U190" s="328">
        <v>6940000</v>
      </c>
      <c r="V190" s="328"/>
    </row>
    <row r="191" spans="1:22">
      <c r="O191" s="348"/>
      <c r="Q191" s="321" t="s">
        <v>344</v>
      </c>
      <c r="R191" s="315">
        <v>41577</v>
      </c>
      <c r="S191" s="316">
        <v>9050</v>
      </c>
      <c r="T191" s="316">
        <v>230</v>
      </c>
      <c r="U191" s="328">
        <v>2081500</v>
      </c>
      <c r="V191" s="328"/>
    </row>
    <row r="192" spans="1:22">
      <c r="Q192" s="321" t="s">
        <v>280</v>
      </c>
      <c r="R192" s="315">
        <v>41575</v>
      </c>
      <c r="S192" s="316">
        <v>6050</v>
      </c>
      <c r="T192" s="316">
        <v>420</v>
      </c>
      <c r="U192" s="328">
        <v>2541000</v>
      </c>
      <c r="V192" s="328"/>
    </row>
    <row r="193" spans="1:22">
      <c r="Q193" s="321" t="s">
        <v>54</v>
      </c>
      <c r="R193" s="315">
        <v>41566</v>
      </c>
      <c r="S193" s="316">
        <v>12850</v>
      </c>
      <c r="T193" s="316">
        <v>1520</v>
      </c>
      <c r="U193" s="328">
        <v>19532000</v>
      </c>
      <c r="V193" s="328"/>
    </row>
    <row r="194" spans="1:22">
      <c r="Q194" s="321" t="s">
        <v>205</v>
      </c>
      <c r="R194" s="315">
        <v>41558</v>
      </c>
      <c r="S194" s="316">
        <v>34064.69002695418</v>
      </c>
      <c r="T194" s="316">
        <v>371</v>
      </c>
      <c r="U194" s="328">
        <v>12638000</v>
      </c>
      <c r="V194" s="328"/>
    </row>
    <row r="195" spans="1:22">
      <c r="Q195" s="321" t="s">
        <v>205</v>
      </c>
      <c r="R195" s="315">
        <v>41577</v>
      </c>
      <c r="S195" s="316">
        <v>12000</v>
      </c>
      <c r="T195" s="316">
        <v>230</v>
      </c>
      <c r="U195" s="328">
        <v>2760000</v>
      </c>
      <c r="V195" s="328"/>
    </row>
    <row r="196" spans="1:22">
      <c r="Q196" s="321" t="s">
        <v>347</v>
      </c>
      <c r="R196" s="315">
        <v>41577</v>
      </c>
      <c r="S196" s="316">
        <v>17050</v>
      </c>
      <c r="T196" s="316">
        <v>410</v>
      </c>
      <c r="U196" s="328">
        <v>6990500</v>
      </c>
      <c r="V196" s="328"/>
    </row>
    <row r="197" spans="1:22">
      <c r="Q197" s="321" t="s">
        <v>284</v>
      </c>
      <c r="R197" s="315">
        <v>41571</v>
      </c>
      <c r="S197" s="316">
        <v>12050</v>
      </c>
      <c r="T197" s="316">
        <v>220</v>
      </c>
      <c r="U197" s="328">
        <v>2651000</v>
      </c>
      <c r="V197" s="328"/>
    </row>
    <row r="198" spans="1:22">
      <c r="Q198" s="321" t="s">
        <v>59</v>
      </c>
      <c r="R198" s="315">
        <v>41571</v>
      </c>
      <c r="S198" s="316">
        <v>13000</v>
      </c>
      <c r="T198" s="316">
        <v>300</v>
      </c>
      <c r="U198" s="328">
        <v>3900000</v>
      </c>
      <c r="V198" s="328"/>
    </row>
    <row r="199" spans="1:22">
      <c r="Q199" s="321" t="s">
        <v>59</v>
      </c>
      <c r="R199" s="315">
        <v>41577</v>
      </c>
      <c r="S199" s="316">
        <v>13000</v>
      </c>
      <c r="T199" s="316">
        <v>100</v>
      </c>
      <c r="U199" s="328">
        <v>1300000</v>
      </c>
      <c r="V199" s="328"/>
    </row>
    <row r="200" spans="1:22">
      <c r="Q200" s="321" t="s">
        <v>350</v>
      </c>
      <c r="R200" s="315">
        <v>41567</v>
      </c>
      <c r="S200" s="316">
        <v>38000</v>
      </c>
      <c r="T200" s="316">
        <v>112</v>
      </c>
      <c r="U200" s="328">
        <v>4256000</v>
      </c>
      <c r="V200" s="328"/>
    </row>
    <row r="201" spans="1:22">
      <c r="Q201" s="342"/>
      <c r="R201" s="315"/>
      <c r="S201" s="322"/>
      <c r="T201" s="322"/>
      <c r="U201" s="328"/>
      <c r="V201" s="328"/>
    </row>
    <row r="202" spans="1:22">
      <c r="Q202" s="546"/>
      <c r="R202" s="547"/>
      <c r="S202" s="547"/>
      <c r="T202" s="548"/>
      <c r="U202" s="346">
        <f>SUM(U185:U201)</f>
        <v>112771000</v>
      </c>
      <c r="V202" s="346">
        <f>SUM(V185:V201)</f>
        <v>0</v>
      </c>
    </row>
    <row r="203" spans="1:22" ht="18" customHeight="1">
      <c r="A203" s="291" t="s">
        <v>239</v>
      </c>
      <c r="B203" s="291"/>
      <c r="C203" s="292"/>
      <c r="D203" s="293"/>
      <c r="E203" s="293"/>
      <c r="F203" s="290"/>
      <c r="G203" s="290"/>
      <c r="H203" s="290"/>
      <c r="I203" s="290"/>
      <c r="J203" s="294"/>
      <c r="K203" s="290"/>
      <c r="L203" s="290"/>
      <c r="M203" s="290"/>
      <c r="N203" s="295"/>
      <c r="O203" s="290"/>
      <c r="P203" s="354"/>
      <c r="Q203" s="290"/>
      <c r="R203" s="562"/>
    </row>
    <row r="204" spans="1:22" ht="18.75" customHeight="1">
      <c r="A204" s="545" t="s">
        <v>475</v>
      </c>
      <c r="B204" s="545"/>
      <c r="C204" s="545"/>
      <c r="D204" s="545"/>
      <c r="E204" s="545"/>
      <c r="F204" s="545"/>
      <c r="G204" s="545"/>
      <c r="H204" s="545"/>
      <c r="I204" s="545"/>
      <c r="J204" s="545"/>
      <c r="K204" s="545"/>
      <c r="L204" s="545"/>
      <c r="M204" s="545"/>
      <c r="N204" s="545"/>
      <c r="O204" s="545"/>
      <c r="P204" s="298"/>
      <c r="Q204" s="290"/>
      <c r="R204" s="562"/>
    </row>
    <row r="205" spans="1:22" ht="18.75" customHeight="1">
      <c r="A205" s="298"/>
      <c r="B205" s="298"/>
      <c r="C205" s="299"/>
      <c r="D205" s="298"/>
      <c r="E205" s="298"/>
      <c r="F205" s="298"/>
      <c r="G205" s="298"/>
      <c r="H205" s="298"/>
      <c r="I205" s="298"/>
      <c r="J205" s="297"/>
      <c r="K205" s="298"/>
      <c r="L205" s="298"/>
      <c r="M205" s="298"/>
      <c r="N205" s="300"/>
      <c r="O205" s="298"/>
      <c r="P205" s="298"/>
      <c r="Q205" s="290"/>
      <c r="R205" s="562"/>
    </row>
    <row r="206" spans="1:22" ht="12.75" customHeight="1">
      <c r="A206" s="301"/>
      <c r="B206" s="301"/>
      <c r="C206" s="302"/>
      <c r="D206" s="301"/>
      <c r="E206" s="301"/>
      <c r="F206" s="301"/>
      <c r="G206" s="301"/>
      <c r="H206" s="301"/>
      <c r="I206" s="301"/>
      <c r="J206" s="301"/>
      <c r="K206" s="301"/>
      <c r="L206" s="301"/>
      <c r="M206" s="301"/>
      <c r="N206" s="303"/>
      <c r="O206" s="301"/>
      <c r="P206" s="422"/>
      <c r="Q206" s="290"/>
      <c r="R206" s="562"/>
    </row>
    <row r="207" spans="1:22" s="310" customFormat="1" ht="30.75" customHeight="1">
      <c r="A207" s="305" t="s">
        <v>30</v>
      </c>
      <c r="B207" s="305" t="s">
        <v>240</v>
      </c>
      <c r="C207" s="306" t="s">
        <v>241</v>
      </c>
      <c r="D207" s="307" t="s">
        <v>242</v>
      </c>
      <c r="E207" s="307" t="s">
        <v>243</v>
      </c>
      <c r="F207" s="307" t="s">
        <v>244</v>
      </c>
      <c r="G207" s="307" t="s">
        <v>245</v>
      </c>
      <c r="H207" s="307" t="s">
        <v>246</v>
      </c>
      <c r="I207" s="307" t="s">
        <v>247</v>
      </c>
      <c r="J207" s="307" t="s">
        <v>249</v>
      </c>
      <c r="K207" s="308" t="s">
        <v>248</v>
      </c>
      <c r="L207" s="308" t="s">
        <v>250</v>
      </c>
      <c r="M207" s="307" t="s">
        <v>251</v>
      </c>
      <c r="N207" s="309" t="s">
        <v>252</v>
      </c>
      <c r="O207" s="307" t="s">
        <v>253</v>
      </c>
      <c r="P207" s="430"/>
      <c r="Q207" s="305" t="s">
        <v>240</v>
      </c>
      <c r="R207" s="560" t="s">
        <v>75</v>
      </c>
      <c r="S207" s="307" t="s">
        <v>243</v>
      </c>
      <c r="T207" s="307" t="s">
        <v>61</v>
      </c>
      <c r="U207" s="307" t="s">
        <v>91</v>
      </c>
      <c r="V207" s="305" t="s">
        <v>91</v>
      </c>
    </row>
    <row r="208" spans="1:22">
      <c r="A208" s="400">
        <f>IF(D208&lt;&gt;"",ROW()-(ROW()-1),"")</f>
        <v>1</v>
      </c>
      <c r="B208" s="447" t="s">
        <v>382</v>
      </c>
      <c r="C208" s="448">
        <v>5</v>
      </c>
      <c r="D208" s="449">
        <v>19000</v>
      </c>
      <c r="E208" s="449"/>
      <c r="F208" s="450">
        <v>332500000</v>
      </c>
      <c r="G208" s="449">
        <f>G$213/$D$213*$D208</f>
        <v>3915105.498721228</v>
      </c>
      <c r="H208" s="449">
        <f>H$213/$F$213*$F208</f>
        <v>19485915.014828123</v>
      </c>
      <c r="I208" s="449">
        <f>I$213/$D$213*$D208</f>
        <v>10186999.829497017</v>
      </c>
      <c r="J208" s="449">
        <f>J$213/$N$213*$N208</f>
        <v>11152187.848630054</v>
      </c>
      <c r="K208" s="449">
        <f>K$213/$F$213*$F208</f>
        <v>23596352.799705707</v>
      </c>
      <c r="L208" s="449">
        <f>L$213/$F$213*$F208</f>
        <v>3016017.3956425227</v>
      </c>
      <c r="M208" s="450">
        <f t="shared" ref="M208:M211" si="26">ROUND(F208+G208+H208+I208+J208+K208+L208,0)</f>
        <v>403852578</v>
      </c>
      <c r="N208" s="449">
        <v>3800</v>
      </c>
      <c r="O208" s="449">
        <f t="shared" ref="O208:O211" si="27">M208/N208</f>
        <v>106276.99421052632</v>
      </c>
      <c r="P208" s="347"/>
      <c r="Q208" s="436" t="s">
        <v>338</v>
      </c>
      <c r="R208" s="366">
        <v>41579</v>
      </c>
      <c r="S208" s="316">
        <v>32728</v>
      </c>
      <c r="T208" s="316">
        <v>500</v>
      </c>
      <c r="U208" s="314">
        <v>16364000</v>
      </c>
      <c r="V208" s="314"/>
    </row>
    <row r="209" spans="1:22">
      <c r="A209" s="401">
        <f t="shared" ref="A209:A211" si="28">IF(D209&lt;&gt;"",A208+1,"")</f>
        <v>2</v>
      </c>
      <c r="B209" s="312" t="s">
        <v>477</v>
      </c>
      <c r="C209" s="319">
        <v>5</v>
      </c>
      <c r="D209" s="320">
        <v>9500</v>
      </c>
      <c r="E209" s="320"/>
      <c r="F209" s="328">
        <v>256500000</v>
      </c>
      <c r="G209" s="320">
        <f>G$213/$D$213*$D209</f>
        <v>1957552.749360614</v>
      </c>
      <c r="H209" s="320">
        <f t="shared" ref="H209:H211" si="29">H$213/$F$213*$F209</f>
        <v>15031991.582867408</v>
      </c>
      <c r="I209" s="320">
        <f t="shared" ref="I209:I211" si="30">I$213/$D$213*$D209</f>
        <v>5093499.9147485085</v>
      </c>
      <c r="J209" s="320">
        <f t="shared" ref="J209:J211" si="31">J$213/$N$213*$N209</f>
        <v>5576093.924315027</v>
      </c>
      <c r="K209" s="320">
        <f t="shared" ref="K209:L211" si="32">K$213/$F$213*$F209</f>
        <v>18202900.731201544</v>
      </c>
      <c r="L209" s="320">
        <f t="shared" si="32"/>
        <v>2326641.9909242317</v>
      </c>
      <c r="M209" s="328">
        <f t="shared" si="26"/>
        <v>304688681</v>
      </c>
      <c r="N209" s="320">
        <v>1900</v>
      </c>
      <c r="O209" s="320">
        <f t="shared" si="27"/>
        <v>160362.46368421052</v>
      </c>
      <c r="P209" s="347"/>
      <c r="Q209" s="436" t="s">
        <v>38</v>
      </c>
      <c r="R209" s="315">
        <v>41579</v>
      </c>
      <c r="S209" s="316">
        <v>14000</v>
      </c>
      <c r="T209" s="316">
        <v>120</v>
      </c>
      <c r="U209" s="328">
        <v>1680000</v>
      </c>
      <c r="V209" s="328"/>
    </row>
    <row r="210" spans="1:22">
      <c r="A210" s="401">
        <f t="shared" si="28"/>
        <v>3</v>
      </c>
      <c r="B210" s="312" t="s">
        <v>320</v>
      </c>
      <c r="C210" s="319">
        <v>9.1666666666666661</v>
      </c>
      <c r="D210" s="320">
        <v>27390</v>
      </c>
      <c r="E210" s="320"/>
      <c r="F210" s="328">
        <v>465630000</v>
      </c>
      <c r="G210" s="320">
        <f>G$213/$D$213*$D210</f>
        <v>5643933.663682865</v>
      </c>
      <c r="H210" s="320">
        <f t="shared" si="29"/>
        <v>27287899.573998254</v>
      </c>
      <c r="I210" s="320">
        <f t="shared" si="30"/>
        <v>14685364.491048595</v>
      </c>
      <c r="J210" s="320">
        <f t="shared" si="31"/>
        <v>8769141.3925543688</v>
      </c>
      <c r="K210" s="320">
        <f t="shared" si="32"/>
        <v>33044119.561284114</v>
      </c>
      <c r="L210" s="320">
        <f t="shared" si="32"/>
        <v>4223603.5486707604</v>
      </c>
      <c r="M210" s="328">
        <f t="shared" si="26"/>
        <v>559284062</v>
      </c>
      <c r="N210" s="320">
        <v>2988</v>
      </c>
      <c r="O210" s="320">
        <f t="shared" si="27"/>
        <v>187176.72757697458</v>
      </c>
      <c r="P210" s="347"/>
      <c r="Q210" s="436" t="s">
        <v>340</v>
      </c>
      <c r="R210" s="366">
        <v>41579</v>
      </c>
      <c r="S210" s="316">
        <v>4700</v>
      </c>
      <c r="T210" s="316">
        <v>275</v>
      </c>
      <c r="U210" s="328">
        <v>1292500</v>
      </c>
      <c r="V210" s="328"/>
    </row>
    <row r="211" spans="1:22">
      <c r="A211" s="401">
        <f t="shared" si="28"/>
        <v>4</v>
      </c>
      <c r="B211" s="312" t="s">
        <v>334</v>
      </c>
      <c r="C211" s="319">
        <v>5</v>
      </c>
      <c r="D211" s="320">
        <v>37950</v>
      </c>
      <c r="E211" s="320"/>
      <c r="F211" s="328">
        <v>929775000</v>
      </c>
      <c r="G211" s="320">
        <f>G$213/$D$213*$D211</f>
        <v>7819908.0882352944</v>
      </c>
      <c r="H211" s="320">
        <f t="shared" si="29"/>
        <v>54488771.82830622</v>
      </c>
      <c r="I211" s="320">
        <f t="shared" si="30"/>
        <v>20347191.764705881</v>
      </c>
      <c r="J211" s="320">
        <f t="shared" si="31"/>
        <v>22275027.834500555</v>
      </c>
      <c r="K211" s="320">
        <f t="shared" si="32"/>
        <v>65982853.907808639</v>
      </c>
      <c r="L211" s="320">
        <f t="shared" si="32"/>
        <v>8433737.0647624861</v>
      </c>
      <c r="M211" s="328">
        <f t="shared" si="26"/>
        <v>1109122490</v>
      </c>
      <c r="N211" s="320">
        <v>7590</v>
      </c>
      <c r="O211" s="320">
        <f t="shared" si="27"/>
        <v>146129.44532279315</v>
      </c>
      <c r="P211" s="347"/>
      <c r="Q211" s="436"/>
      <c r="R211" s="366"/>
      <c r="S211" s="316"/>
      <c r="T211" s="316"/>
      <c r="U211" s="328"/>
      <c r="V211" s="328"/>
    </row>
    <row r="212" spans="1:22" s="332" customFormat="1">
      <c r="A212" s="444"/>
      <c r="B212" s="355"/>
      <c r="C212" s="356"/>
      <c r="D212" s="357"/>
      <c r="E212" s="357"/>
      <c r="F212" s="358"/>
      <c r="G212" s="357"/>
      <c r="H212" s="330"/>
      <c r="I212" s="359"/>
      <c r="J212" s="445"/>
      <c r="K212" s="357"/>
      <c r="L212" s="357"/>
      <c r="M212" s="330"/>
      <c r="N212" s="361"/>
      <c r="O212" s="357"/>
      <c r="P212" s="440"/>
      <c r="Q212" s="436"/>
      <c r="R212" s="315"/>
      <c r="S212" s="316"/>
      <c r="T212" s="316"/>
      <c r="U212" s="328"/>
      <c r="V212" s="328"/>
    </row>
    <row r="213" spans="1:22" s="291" customFormat="1">
      <c r="A213" s="333"/>
      <c r="B213" s="334" t="s">
        <v>254</v>
      </c>
      <c r="C213" s="335"/>
      <c r="D213" s="336">
        <f>SUM(D208:D212)</f>
        <v>93840</v>
      </c>
      <c r="E213" s="336"/>
      <c r="F213" s="336">
        <f>SUM(F208:F212)</f>
        <v>1984405000</v>
      </c>
      <c r="G213" s="336">
        <f>U213</f>
        <v>19336500</v>
      </c>
      <c r="H213" s="337">
        <v>116294578</v>
      </c>
      <c r="I213" s="337">
        <v>50313056</v>
      </c>
      <c r="J213" s="336">
        <f>U225</f>
        <v>47772451</v>
      </c>
      <c r="K213" s="337">
        <v>140826227</v>
      </c>
      <c r="L213" s="336">
        <v>18000000</v>
      </c>
      <c r="M213" s="336">
        <f>SUM(M208:M212)</f>
        <v>2376947811</v>
      </c>
      <c r="N213" s="336">
        <f>SUM(N208:N212)</f>
        <v>16278</v>
      </c>
      <c r="O213" s="336"/>
      <c r="P213" s="340"/>
      <c r="Q213" s="546"/>
      <c r="R213" s="547"/>
      <c r="S213" s="547"/>
      <c r="T213" s="548"/>
      <c r="U213" s="346">
        <f>SUM(U208:U212)</f>
        <v>19336500</v>
      </c>
      <c r="V213" s="346">
        <f>SUM(V208:V212)</f>
        <v>0</v>
      </c>
    </row>
    <row r="214" spans="1:22">
      <c r="Q214" s="572" t="s">
        <v>337</v>
      </c>
      <c r="R214" s="577">
        <v>41581</v>
      </c>
      <c r="S214" s="578">
        <v>8924.3902439024387</v>
      </c>
      <c r="T214" s="317">
        <v>410</v>
      </c>
      <c r="U214" s="450">
        <v>3659000</v>
      </c>
      <c r="V214" s="450"/>
    </row>
    <row r="215" spans="1:22">
      <c r="K215" s="304"/>
      <c r="L215" s="451"/>
      <c r="M215" s="365"/>
      <c r="N215" s="304"/>
      <c r="O215" s="451"/>
      <c r="Q215" s="342" t="s">
        <v>341</v>
      </c>
      <c r="R215" s="315">
        <v>41584</v>
      </c>
      <c r="S215" s="322">
        <v>14461.723076923077</v>
      </c>
      <c r="T215" s="322">
        <v>65</v>
      </c>
      <c r="U215" s="328">
        <v>940012</v>
      </c>
      <c r="V215" s="328"/>
    </row>
    <row r="216" spans="1:22">
      <c r="K216" s="304"/>
      <c r="L216" s="451"/>
      <c r="M216" s="365"/>
      <c r="N216" s="304"/>
      <c r="O216" s="451"/>
      <c r="Q216" s="342" t="s">
        <v>341</v>
      </c>
      <c r="R216" s="315">
        <v>41586</v>
      </c>
      <c r="S216" s="322">
        <v>14461.731428571429</v>
      </c>
      <c r="T216" s="322">
        <v>175</v>
      </c>
      <c r="U216" s="328">
        <v>2530803</v>
      </c>
      <c r="V216" s="328"/>
    </row>
    <row r="217" spans="1:22">
      <c r="K217" s="304"/>
      <c r="L217" s="451"/>
      <c r="M217" s="365"/>
      <c r="N217" s="452"/>
      <c r="O217" s="451"/>
      <c r="Q217" s="342" t="s">
        <v>342</v>
      </c>
      <c r="R217" s="315">
        <v>41584</v>
      </c>
      <c r="S217" s="322">
        <v>35713.461538461539</v>
      </c>
      <c r="T217" s="322">
        <v>325</v>
      </c>
      <c r="U217" s="328">
        <v>11606875</v>
      </c>
      <c r="V217" s="328"/>
    </row>
    <row r="218" spans="1:22">
      <c r="K218" s="304"/>
      <c r="L218" s="451"/>
      <c r="M218" s="365"/>
      <c r="N218" s="304"/>
      <c r="O218" s="451"/>
      <c r="Q218" s="342" t="s">
        <v>343</v>
      </c>
      <c r="R218" s="315">
        <v>41584</v>
      </c>
      <c r="S218" s="322">
        <v>4496.9230769230771</v>
      </c>
      <c r="T218" s="322">
        <v>65</v>
      </c>
      <c r="U218" s="328">
        <v>292300</v>
      </c>
      <c r="V218" s="328"/>
    </row>
    <row r="219" spans="1:22">
      <c r="K219" s="304"/>
      <c r="L219" s="451"/>
      <c r="M219" s="365"/>
      <c r="N219" s="304"/>
      <c r="O219" s="451"/>
      <c r="Q219" s="342" t="s">
        <v>343</v>
      </c>
      <c r="R219" s="315">
        <v>41586</v>
      </c>
      <c r="S219" s="322">
        <v>4496.92</v>
      </c>
      <c r="T219" s="322">
        <v>175</v>
      </c>
      <c r="U219" s="328">
        <v>786961</v>
      </c>
      <c r="V219" s="328"/>
    </row>
    <row r="220" spans="1:22">
      <c r="K220" s="304"/>
      <c r="L220" s="451"/>
      <c r="M220" s="365"/>
      <c r="N220" s="304"/>
      <c r="O220" s="451"/>
      <c r="Q220" s="342" t="s">
        <v>290</v>
      </c>
      <c r="R220" s="315">
        <v>41584</v>
      </c>
      <c r="S220" s="322">
        <v>28000</v>
      </c>
      <c r="T220" s="322">
        <v>215</v>
      </c>
      <c r="U220" s="328">
        <v>6020000</v>
      </c>
      <c r="V220" s="328"/>
    </row>
    <row r="221" spans="1:22">
      <c r="K221" s="304"/>
      <c r="L221" s="451"/>
      <c r="M221" s="365"/>
      <c r="N221" s="304"/>
      <c r="O221" s="304"/>
      <c r="Q221" s="342" t="s">
        <v>205</v>
      </c>
      <c r="R221" s="315">
        <v>41584</v>
      </c>
      <c r="S221" s="322">
        <v>22266.666666666668</v>
      </c>
      <c r="T221" s="322">
        <v>240</v>
      </c>
      <c r="U221" s="328">
        <v>5344000</v>
      </c>
      <c r="V221" s="328"/>
    </row>
    <row r="222" spans="1:22">
      <c r="K222" s="304"/>
      <c r="L222" s="354"/>
      <c r="M222" s="354"/>
      <c r="N222" s="304"/>
      <c r="O222" s="304"/>
      <c r="Q222" s="342" t="s">
        <v>283</v>
      </c>
      <c r="R222" s="315">
        <v>41608</v>
      </c>
      <c r="S222" s="322">
        <v>11400</v>
      </c>
      <c r="T222" s="322">
        <v>700</v>
      </c>
      <c r="U222" s="328">
        <v>7980000</v>
      </c>
      <c r="V222" s="328"/>
    </row>
    <row r="223" spans="1:22">
      <c r="K223" s="304"/>
      <c r="L223" s="354"/>
      <c r="M223" s="354"/>
      <c r="N223" s="304"/>
      <c r="O223" s="304"/>
      <c r="Q223" s="342" t="s">
        <v>44</v>
      </c>
      <c r="R223" s="315">
        <v>41581</v>
      </c>
      <c r="S223" s="322">
        <v>16250</v>
      </c>
      <c r="T223" s="322">
        <v>530</v>
      </c>
      <c r="U223" s="328">
        <v>8612500</v>
      </c>
      <c r="V223" s="328"/>
    </row>
    <row r="224" spans="1:22">
      <c r="L224" s="290"/>
      <c r="M224" s="290"/>
      <c r="Q224" s="437"/>
      <c r="R224" s="565"/>
      <c r="S224" s="568"/>
      <c r="T224" s="568"/>
      <c r="U224" s="359"/>
      <c r="V224" s="359"/>
    </row>
    <row r="225" spans="1:22">
      <c r="L225" s="290"/>
      <c r="M225" s="290"/>
      <c r="Q225" s="546"/>
      <c r="R225" s="547"/>
      <c r="S225" s="547"/>
      <c r="T225" s="548"/>
      <c r="U225" s="346">
        <f>SUM(U214:U224)</f>
        <v>47772451</v>
      </c>
      <c r="V225" s="346">
        <f>SUM(V214:V224)</f>
        <v>0</v>
      </c>
    </row>
    <row r="226" spans="1:22" ht="18" customHeight="1">
      <c r="A226" s="291" t="s">
        <v>239</v>
      </c>
      <c r="B226" s="291"/>
      <c r="C226" s="292"/>
      <c r="D226" s="293"/>
      <c r="E226" s="293"/>
      <c r="F226" s="290"/>
      <c r="G226" s="290"/>
      <c r="H226" s="290"/>
      <c r="I226" s="290"/>
      <c r="J226" s="294"/>
      <c r="K226" s="290"/>
      <c r="L226" s="290"/>
      <c r="M226" s="290"/>
      <c r="N226" s="295"/>
      <c r="O226" s="290"/>
      <c r="P226" s="354"/>
      <c r="Q226" s="290"/>
      <c r="R226" s="562"/>
    </row>
    <row r="227" spans="1:22" ht="18.75" customHeight="1">
      <c r="A227" s="545" t="s">
        <v>476</v>
      </c>
      <c r="B227" s="545"/>
      <c r="C227" s="545"/>
      <c r="D227" s="545"/>
      <c r="E227" s="545"/>
      <c r="F227" s="545"/>
      <c r="G227" s="545"/>
      <c r="H227" s="545"/>
      <c r="I227" s="545"/>
      <c r="J227" s="545"/>
      <c r="K227" s="545"/>
      <c r="L227" s="545"/>
      <c r="M227" s="545"/>
      <c r="N227" s="545"/>
      <c r="O227" s="545"/>
      <c r="P227" s="298"/>
      <c r="Q227" s="290"/>
      <c r="R227" s="562"/>
    </row>
    <row r="228" spans="1:22" ht="18.75" customHeight="1">
      <c r="A228" s="298"/>
      <c r="B228" s="298"/>
      <c r="C228" s="299"/>
      <c r="D228" s="298"/>
      <c r="E228" s="298"/>
      <c r="F228" s="298"/>
      <c r="G228" s="298"/>
      <c r="H228" s="298"/>
      <c r="I228" s="298"/>
      <c r="J228" s="297"/>
      <c r="K228" s="298"/>
      <c r="L228" s="298"/>
      <c r="M228" s="298"/>
      <c r="N228" s="300"/>
      <c r="O228" s="298"/>
      <c r="P228" s="298"/>
      <c r="Q228" s="290"/>
      <c r="R228" s="562"/>
    </row>
    <row r="229" spans="1:22" ht="12.75" customHeight="1">
      <c r="A229" s="301"/>
      <c r="B229" s="301"/>
      <c r="C229" s="302"/>
      <c r="D229" s="301"/>
      <c r="E229" s="301"/>
      <c r="F229" s="301"/>
      <c r="G229" s="301"/>
      <c r="H229" s="301"/>
      <c r="I229" s="301"/>
      <c r="J229" s="301"/>
      <c r="K229" s="301"/>
      <c r="L229" s="301"/>
      <c r="M229" s="301"/>
      <c r="N229" s="303"/>
      <c r="O229" s="301"/>
      <c r="P229" s="422"/>
      <c r="Q229" s="290"/>
      <c r="R229" s="562"/>
    </row>
    <row r="230" spans="1:22" s="310" customFormat="1" ht="30.75" customHeight="1">
      <c r="A230" s="305" t="s">
        <v>30</v>
      </c>
      <c r="B230" s="305" t="s">
        <v>240</v>
      </c>
      <c r="C230" s="306" t="s">
        <v>241</v>
      </c>
      <c r="D230" s="307" t="s">
        <v>242</v>
      </c>
      <c r="E230" s="307" t="s">
        <v>243</v>
      </c>
      <c r="F230" s="307" t="s">
        <v>244</v>
      </c>
      <c r="G230" s="307" t="s">
        <v>245</v>
      </c>
      <c r="H230" s="307" t="s">
        <v>246</v>
      </c>
      <c r="I230" s="307" t="s">
        <v>247</v>
      </c>
      <c r="J230" s="307" t="s">
        <v>249</v>
      </c>
      <c r="K230" s="308" t="s">
        <v>248</v>
      </c>
      <c r="L230" s="308" t="s">
        <v>250</v>
      </c>
      <c r="M230" s="307" t="s">
        <v>251</v>
      </c>
      <c r="N230" s="309" t="s">
        <v>252</v>
      </c>
      <c r="O230" s="307" t="s">
        <v>253</v>
      </c>
      <c r="P230" s="430"/>
      <c r="Q230" s="305" t="s">
        <v>240</v>
      </c>
      <c r="R230" s="560" t="s">
        <v>75</v>
      </c>
      <c r="S230" s="307" t="s">
        <v>243</v>
      </c>
      <c r="T230" s="307" t="s">
        <v>61</v>
      </c>
      <c r="U230" s="307" t="s">
        <v>91</v>
      </c>
      <c r="V230" s="305" t="s">
        <v>91</v>
      </c>
    </row>
    <row r="231" spans="1:22">
      <c r="A231" s="400">
        <f>IF(D231&lt;&gt;"",ROW()-(ROW()-1),"")</f>
        <v>1</v>
      </c>
      <c r="B231" s="453" t="s">
        <v>321</v>
      </c>
      <c r="C231" s="313">
        <v>5.0480769230769234</v>
      </c>
      <c r="D231" s="68">
        <v>5250</v>
      </c>
      <c r="E231" s="68"/>
      <c r="F231" s="314">
        <v>123375000</v>
      </c>
      <c r="G231" s="320">
        <f>G$255/$D$255*$D231</f>
        <v>592202.50314548705</v>
      </c>
      <c r="H231" s="320">
        <f>H$255/$F$255*$F231</f>
        <v>2192070.2532383567</v>
      </c>
      <c r="I231" s="320">
        <f>I$255/$D$255*$D231</f>
        <v>2546773.0256622946</v>
      </c>
      <c r="J231" s="320">
        <f>J$255/$N$255*$N231</f>
        <v>1810787.2861656668</v>
      </c>
      <c r="K231" s="320">
        <f>K$255/$F$255*$F231</f>
        <v>2529240.4420937253</v>
      </c>
      <c r="L231" s="320">
        <f>L$255/$F$255*$F231</f>
        <v>1330633.3858292112</v>
      </c>
      <c r="M231" s="314">
        <f t="shared" ref="M231:M236" si="33">ROUND(F231+G231+H231+I231+J231+K231+L231,0)</f>
        <v>134376707</v>
      </c>
      <c r="N231" s="68">
        <v>1040</v>
      </c>
      <c r="O231" s="68">
        <f t="shared" ref="O231:O238" si="34">M231/N231</f>
        <v>129208.37211538461</v>
      </c>
      <c r="P231" s="347"/>
      <c r="Q231" s="436" t="s">
        <v>338</v>
      </c>
      <c r="R231" s="366">
        <v>41610</v>
      </c>
      <c r="S231" s="316">
        <v>32728</v>
      </c>
      <c r="T231" s="316">
        <v>700</v>
      </c>
      <c r="U231" s="314">
        <v>22909600</v>
      </c>
      <c r="V231" s="314"/>
    </row>
    <row r="232" spans="1:22">
      <c r="A232" s="401">
        <f t="shared" ref="A232:A253" si="35">IF(D232&lt;&gt;"",A231+1,"")</f>
        <v>2</v>
      </c>
      <c r="B232" s="453" t="s">
        <v>371</v>
      </c>
      <c r="C232" s="319">
        <v>6</v>
      </c>
      <c r="D232" s="320">
        <v>72000</v>
      </c>
      <c r="E232" s="68"/>
      <c r="F232" s="328">
        <v>1440000000</v>
      </c>
      <c r="G232" s="320">
        <f t="shared" ref="G232:G253" si="36">G$255/$D$255*$D232</f>
        <v>8121634.3288523937</v>
      </c>
      <c r="H232" s="320">
        <f t="shared" ref="H232:H253" si="37">H$255/$F$255*$F232</f>
        <v>25585257.666976564</v>
      </c>
      <c r="I232" s="320">
        <f t="shared" ref="I232:I253" si="38">I$255/$D$255*$D232</f>
        <v>34927172.923368618</v>
      </c>
      <c r="J232" s="320">
        <f t="shared" ref="J232:J253" si="39">J$255/$N$255*$N232</f>
        <v>20893699.455757692</v>
      </c>
      <c r="K232" s="320">
        <f t="shared" ref="K232:L253" si="40">K$255/$F$255*$F232</f>
        <v>29520617.925957158</v>
      </c>
      <c r="L232" s="320">
        <f t="shared" si="40"/>
        <v>15530796.965301432</v>
      </c>
      <c r="M232" s="328">
        <f t="shared" si="33"/>
        <v>1574579179</v>
      </c>
      <c r="N232" s="320">
        <v>12000</v>
      </c>
      <c r="O232" s="320">
        <f t="shared" si="34"/>
        <v>131214.93158333332</v>
      </c>
      <c r="P232" s="347"/>
      <c r="Q232" s="436" t="s">
        <v>38</v>
      </c>
      <c r="R232" s="366">
        <v>41610</v>
      </c>
      <c r="S232" s="316">
        <v>14000</v>
      </c>
      <c r="T232" s="316">
        <v>390</v>
      </c>
      <c r="U232" s="328">
        <v>5460000</v>
      </c>
      <c r="V232" s="328"/>
    </row>
    <row r="233" spans="1:22">
      <c r="A233" s="401">
        <f t="shared" si="35"/>
        <v>3</v>
      </c>
      <c r="B233" s="453" t="s">
        <v>335</v>
      </c>
      <c r="C233" s="313">
        <v>2.5</v>
      </c>
      <c r="D233" s="320">
        <v>37500</v>
      </c>
      <c r="E233" s="68"/>
      <c r="F233" s="328">
        <v>1406250000</v>
      </c>
      <c r="G233" s="320">
        <f t="shared" si="36"/>
        <v>4230017.8796106214</v>
      </c>
      <c r="H233" s="320">
        <f t="shared" si="37"/>
        <v>24985603.190406799</v>
      </c>
      <c r="I233" s="320">
        <f t="shared" si="38"/>
        <v>18191235.897587821</v>
      </c>
      <c r="J233" s="320">
        <f t="shared" si="39"/>
        <v>26117124.319697116</v>
      </c>
      <c r="K233" s="320">
        <f t="shared" si="40"/>
        <v>28828728.443317536</v>
      </c>
      <c r="L233" s="320">
        <f t="shared" si="40"/>
        <v>15166793.911427179</v>
      </c>
      <c r="M233" s="314">
        <f t="shared" si="33"/>
        <v>1523769504</v>
      </c>
      <c r="N233" s="68">
        <v>15000</v>
      </c>
      <c r="O233" s="68">
        <f t="shared" si="34"/>
        <v>101584.6336</v>
      </c>
      <c r="P233" s="347"/>
      <c r="Q233" s="436" t="s">
        <v>340</v>
      </c>
      <c r="R233" s="366">
        <v>41610</v>
      </c>
      <c r="S233" s="316">
        <v>4700</v>
      </c>
      <c r="T233" s="316">
        <v>850</v>
      </c>
      <c r="U233" s="328">
        <v>3995000</v>
      </c>
      <c r="V233" s="328"/>
    </row>
    <row r="234" spans="1:22">
      <c r="A234" s="401">
        <f t="shared" si="35"/>
        <v>4</v>
      </c>
      <c r="B234" s="453" t="s">
        <v>334</v>
      </c>
      <c r="C234" s="313">
        <v>5</v>
      </c>
      <c r="D234" s="320">
        <v>31050</v>
      </c>
      <c r="E234" s="68"/>
      <c r="F234" s="328">
        <v>776250000</v>
      </c>
      <c r="G234" s="320">
        <f t="shared" si="36"/>
        <v>3502454.804317595</v>
      </c>
      <c r="H234" s="320">
        <f t="shared" si="37"/>
        <v>13792052.961104553</v>
      </c>
      <c r="I234" s="320">
        <f t="shared" si="38"/>
        <v>15062343.323202714</v>
      </c>
      <c r="J234" s="320">
        <f t="shared" si="39"/>
        <v>10812489.468354605</v>
      </c>
      <c r="K234" s="320">
        <f t="shared" si="40"/>
        <v>15913458.10071128</v>
      </c>
      <c r="L234" s="320">
        <f t="shared" si="40"/>
        <v>8372070.2391078034</v>
      </c>
      <c r="M234" s="314">
        <f>ROUND(F234+G234+H234+I234+J234+K234+L234,0)</f>
        <v>843704869</v>
      </c>
      <c r="N234" s="68">
        <v>6210</v>
      </c>
      <c r="O234" s="68">
        <f>M234/N234</f>
        <v>135862.29774557165</v>
      </c>
      <c r="P234" s="347"/>
      <c r="Q234" s="436"/>
      <c r="R234" s="366"/>
      <c r="S234" s="316"/>
      <c r="T234" s="316"/>
      <c r="U234" s="328"/>
      <c r="V234" s="328"/>
    </row>
    <row r="235" spans="1:22">
      <c r="A235" s="401">
        <f t="shared" si="35"/>
        <v>5</v>
      </c>
      <c r="B235" s="453" t="s">
        <v>478</v>
      </c>
      <c r="C235" s="319">
        <v>5</v>
      </c>
      <c r="D235" s="320">
        <v>66000</v>
      </c>
      <c r="E235" s="320"/>
      <c r="F235" s="328">
        <v>1947000000</v>
      </c>
      <c r="G235" s="320">
        <f t="shared" si="36"/>
        <v>7444831.4681146946</v>
      </c>
      <c r="H235" s="320">
        <f t="shared" si="37"/>
        <v>34593400.470557891</v>
      </c>
      <c r="I235" s="320">
        <f t="shared" si="38"/>
        <v>32016575.179754563</v>
      </c>
      <c r="J235" s="320">
        <f t="shared" si="39"/>
        <v>22983069.401333462</v>
      </c>
      <c r="K235" s="320">
        <f t="shared" si="40"/>
        <v>39914335.48738791</v>
      </c>
      <c r="L235" s="320">
        <f t="shared" si="40"/>
        <v>20998931.730167978</v>
      </c>
      <c r="M235" s="328">
        <f t="shared" si="33"/>
        <v>2104951144</v>
      </c>
      <c r="N235" s="320">
        <v>13200</v>
      </c>
      <c r="O235" s="320">
        <f t="shared" si="34"/>
        <v>159465.99575757576</v>
      </c>
      <c r="P235" s="347"/>
      <c r="Q235" s="436"/>
      <c r="R235" s="366"/>
      <c r="S235" s="316"/>
      <c r="T235" s="316"/>
      <c r="U235" s="328"/>
      <c r="V235" s="328"/>
    </row>
    <row r="236" spans="1:22">
      <c r="A236" s="401">
        <f t="shared" si="35"/>
        <v>6</v>
      </c>
      <c r="B236" s="453" t="s">
        <v>320</v>
      </c>
      <c r="C236" s="319">
        <v>9.0004432624113484</v>
      </c>
      <c r="D236" s="320">
        <v>40610</v>
      </c>
      <c r="E236" s="320"/>
      <c r="F236" s="328">
        <v>730980000</v>
      </c>
      <c r="G236" s="320">
        <f t="shared" si="36"/>
        <v>4580827.3624263294</v>
      </c>
      <c r="H236" s="320">
        <f t="shared" si="37"/>
        <v>12987716.423198977</v>
      </c>
      <c r="I236" s="320">
        <f t="shared" si="38"/>
        <v>19699895.728027768</v>
      </c>
      <c r="J236" s="320">
        <f t="shared" si="39"/>
        <v>7856030.9953648923</v>
      </c>
      <c r="K236" s="320">
        <f t="shared" si="40"/>
        <v>14985403.674664002</v>
      </c>
      <c r="L236" s="320">
        <f t="shared" si="40"/>
        <v>7883820.8095111391</v>
      </c>
      <c r="M236" s="328">
        <f t="shared" si="33"/>
        <v>798973695</v>
      </c>
      <c r="N236" s="320">
        <v>4512</v>
      </c>
      <c r="O236" s="320">
        <f t="shared" si="34"/>
        <v>177077.5033244681</v>
      </c>
      <c r="P236" s="347"/>
      <c r="Q236" s="436"/>
      <c r="R236" s="366"/>
      <c r="S236" s="316"/>
      <c r="T236" s="316"/>
      <c r="U236" s="328"/>
      <c r="V236" s="328"/>
    </row>
    <row r="237" spans="1:22">
      <c r="A237" s="401">
        <f t="shared" si="35"/>
        <v>7</v>
      </c>
      <c r="B237" s="454" t="s">
        <v>479</v>
      </c>
      <c r="C237" s="455">
        <v>5</v>
      </c>
      <c r="D237" s="320">
        <v>7500</v>
      </c>
      <c r="E237" s="320"/>
      <c r="F237" s="328">
        <v>165000000</v>
      </c>
      <c r="G237" s="320">
        <f t="shared" si="36"/>
        <v>846003.57592212432</v>
      </c>
      <c r="H237" s="320">
        <f t="shared" si="37"/>
        <v>2931644.1076743975</v>
      </c>
      <c r="I237" s="320">
        <f t="shared" si="38"/>
        <v>3638247.1795175639</v>
      </c>
      <c r="J237" s="320">
        <f t="shared" si="39"/>
        <v>2611712.4319697116</v>
      </c>
      <c r="K237" s="320">
        <f t="shared" si="40"/>
        <v>3382570.8040159242</v>
      </c>
      <c r="L237" s="320">
        <f t="shared" si="40"/>
        <v>1779570.4856074557</v>
      </c>
      <c r="M237" s="328">
        <f>ROUND(F237+G237+H237+I237+J237+K237+L237,0)</f>
        <v>180189749</v>
      </c>
      <c r="N237" s="320">
        <v>1500</v>
      </c>
      <c r="O237" s="320">
        <f t="shared" si="34"/>
        <v>120126.49933333334</v>
      </c>
      <c r="P237" s="347"/>
      <c r="Q237" s="321"/>
      <c r="R237" s="315"/>
      <c r="S237" s="316"/>
      <c r="T237" s="316"/>
      <c r="U237" s="328"/>
      <c r="V237" s="328"/>
    </row>
    <row r="238" spans="1:22">
      <c r="A238" s="401">
        <f t="shared" si="35"/>
        <v>8</v>
      </c>
      <c r="B238" s="454" t="s">
        <v>358</v>
      </c>
      <c r="C238" s="455">
        <v>7.2143916913946589</v>
      </c>
      <c r="D238" s="320">
        <v>19450</v>
      </c>
      <c r="E238" s="417"/>
      <c r="F238" s="328">
        <v>350100000</v>
      </c>
      <c r="G238" s="320">
        <f t="shared" si="36"/>
        <v>2193969.2735580425</v>
      </c>
      <c r="H238" s="320">
        <f t="shared" si="37"/>
        <v>6220415.7702836767</v>
      </c>
      <c r="I238" s="320">
        <f t="shared" si="38"/>
        <v>9435187.6855488829</v>
      </c>
      <c r="J238" s="320">
        <f t="shared" si="39"/>
        <v>4694117.8110602284</v>
      </c>
      <c r="K238" s="320">
        <f t="shared" si="40"/>
        <v>7177200.2332483344</v>
      </c>
      <c r="L238" s="320">
        <f t="shared" si="40"/>
        <v>3775925.0121889105</v>
      </c>
      <c r="M238" s="328">
        <f>ROUND(F238+G238+H238+I238+J238+K238+L238,0)</f>
        <v>383596816</v>
      </c>
      <c r="N238" s="320">
        <v>2696</v>
      </c>
      <c r="O238" s="320">
        <f t="shared" si="34"/>
        <v>142283.68545994067</v>
      </c>
      <c r="P238" s="347"/>
      <c r="Q238" s="436"/>
      <c r="R238" s="315"/>
      <c r="S238" s="316"/>
      <c r="T238" s="316"/>
      <c r="U238" s="328"/>
      <c r="V238" s="328"/>
    </row>
    <row r="239" spans="1:22">
      <c r="A239" s="401">
        <f t="shared" si="35"/>
        <v>9</v>
      </c>
      <c r="B239" s="454" t="s">
        <v>362</v>
      </c>
      <c r="C239" s="455">
        <v>5.3</v>
      </c>
      <c r="D239" s="320">
        <v>742</v>
      </c>
      <c r="E239" s="417"/>
      <c r="F239" s="328">
        <v>25228000</v>
      </c>
      <c r="G239" s="320">
        <f t="shared" si="36"/>
        <v>83697.953777895498</v>
      </c>
      <c r="H239" s="320">
        <f t="shared" si="37"/>
        <v>448239.50029339216</v>
      </c>
      <c r="I239" s="320">
        <f t="shared" si="38"/>
        <v>359943.92096027097</v>
      </c>
      <c r="J239" s="320">
        <f t="shared" si="39"/>
        <v>243759.82698383974</v>
      </c>
      <c r="K239" s="320">
        <f t="shared" si="40"/>
        <v>517184.8257194772</v>
      </c>
      <c r="L239" s="320">
        <f t="shared" si="40"/>
        <v>272090.93461154483</v>
      </c>
      <c r="M239" s="328">
        <f t="shared" ref="M239:M253" si="41">ROUND(F239+G239+H239+I239+J239+K239+L239,0)</f>
        <v>27152917</v>
      </c>
      <c r="N239" s="320">
        <v>140</v>
      </c>
      <c r="O239" s="320">
        <f t="shared" ref="O239:O253" si="42">M239/N239</f>
        <v>193949.40714285715</v>
      </c>
      <c r="P239" s="347"/>
      <c r="Q239" s="436"/>
      <c r="R239" s="315"/>
      <c r="S239" s="316"/>
      <c r="T239" s="316"/>
      <c r="U239" s="328"/>
      <c r="V239" s="328"/>
    </row>
    <row r="240" spans="1:22">
      <c r="A240" s="401">
        <f t="shared" si="35"/>
        <v>10</v>
      </c>
      <c r="B240" s="454" t="s">
        <v>363</v>
      </c>
      <c r="C240" s="455">
        <v>5.15</v>
      </c>
      <c r="D240" s="320">
        <v>618</v>
      </c>
      <c r="E240" s="417"/>
      <c r="F240" s="328">
        <v>21012000</v>
      </c>
      <c r="G240" s="320">
        <f t="shared" si="36"/>
        <v>69710.694655983054</v>
      </c>
      <c r="H240" s="320">
        <f t="shared" si="37"/>
        <v>373331.55145729968</v>
      </c>
      <c r="I240" s="320">
        <f t="shared" si="38"/>
        <v>299791.56759224727</v>
      </c>
      <c r="J240" s="320">
        <f t="shared" si="39"/>
        <v>208936.99455757692</v>
      </c>
      <c r="K240" s="320">
        <f t="shared" si="40"/>
        <v>430755.01656959153</v>
      </c>
      <c r="L240" s="320">
        <f t="shared" si="40"/>
        <v>226620.21238535672</v>
      </c>
      <c r="M240" s="328">
        <f t="shared" si="41"/>
        <v>22621146</v>
      </c>
      <c r="N240" s="320">
        <v>120</v>
      </c>
      <c r="O240" s="320">
        <f t="shared" si="42"/>
        <v>188509.55</v>
      </c>
      <c r="P240" s="347"/>
      <c r="Q240" s="436"/>
      <c r="R240" s="315"/>
      <c r="S240" s="316"/>
      <c r="T240" s="316"/>
      <c r="U240" s="328"/>
      <c r="V240" s="328"/>
    </row>
    <row r="241" spans="1:23">
      <c r="A241" s="401">
        <f t="shared" si="35"/>
        <v>11</v>
      </c>
      <c r="B241" s="454" t="s">
        <v>364</v>
      </c>
      <c r="C241" s="455">
        <v>5.2</v>
      </c>
      <c r="D241" s="320">
        <v>624</v>
      </c>
      <c r="E241" s="417"/>
      <c r="F241" s="328">
        <v>21216000</v>
      </c>
      <c r="G241" s="320">
        <f t="shared" si="36"/>
        <v>70387.497516720745</v>
      </c>
      <c r="H241" s="320">
        <f t="shared" si="37"/>
        <v>376956.12962678802</v>
      </c>
      <c r="I241" s="320">
        <f t="shared" si="38"/>
        <v>302702.16533586133</v>
      </c>
      <c r="J241" s="320">
        <f t="shared" si="39"/>
        <v>208936.99455757692</v>
      </c>
      <c r="K241" s="320">
        <f t="shared" si="40"/>
        <v>434937.10410910216</v>
      </c>
      <c r="L241" s="320">
        <f t="shared" si="40"/>
        <v>228820.40862210776</v>
      </c>
      <c r="M241" s="328">
        <f t="shared" si="41"/>
        <v>22838740</v>
      </c>
      <c r="N241" s="320">
        <v>120</v>
      </c>
      <c r="O241" s="320">
        <f t="shared" si="42"/>
        <v>190322.83333333334</v>
      </c>
      <c r="P241" s="347"/>
      <c r="Q241" s="436"/>
      <c r="R241" s="315"/>
      <c r="S241" s="316"/>
      <c r="T241" s="316"/>
      <c r="U241" s="328"/>
      <c r="V241" s="328"/>
    </row>
    <row r="242" spans="1:23">
      <c r="A242" s="401">
        <f t="shared" si="35"/>
        <v>12</v>
      </c>
      <c r="B242" s="454" t="s">
        <v>365</v>
      </c>
      <c r="C242" s="455">
        <v>5.083333333333333</v>
      </c>
      <c r="D242" s="320">
        <v>122</v>
      </c>
      <c r="E242" s="417"/>
      <c r="F242" s="328">
        <v>4148000</v>
      </c>
      <c r="G242" s="320">
        <f t="shared" si="36"/>
        <v>13761.658168333222</v>
      </c>
      <c r="H242" s="320">
        <f t="shared" si="37"/>
        <v>73699.75611292971</v>
      </c>
      <c r="I242" s="320">
        <f t="shared" si="38"/>
        <v>59182.154120152372</v>
      </c>
      <c r="J242" s="320">
        <f t="shared" si="39"/>
        <v>41787.398911515382</v>
      </c>
      <c r="K242" s="320">
        <f t="shared" si="40"/>
        <v>85035.77997004881</v>
      </c>
      <c r="L242" s="320">
        <f t="shared" si="40"/>
        <v>44737.323480604406</v>
      </c>
      <c r="M242" s="328">
        <f t="shared" si="41"/>
        <v>4466204</v>
      </c>
      <c r="N242" s="320">
        <v>24</v>
      </c>
      <c r="O242" s="320">
        <f t="shared" si="42"/>
        <v>186091.83333333334</v>
      </c>
      <c r="P242" s="347"/>
      <c r="Q242" s="436"/>
      <c r="R242" s="315"/>
      <c r="S242" s="316"/>
      <c r="T242" s="316"/>
      <c r="U242" s="328"/>
      <c r="V242" s="328"/>
    </row>
    <row r="243" spans="1:23">
      <c r="A243" s="401">
        <f t="shared" si="35"/>
        <v>13</v>
      </c>
      <c r="B243" s="454" t="s">
        <v>378</v>
      </c>
      <c r="C243" s="455">
        <v>8.577464788732394</v>
      </c>
      <c r="D243" s="320">
        <v>609</v>
      </c>
      <c r="E243" s="417"/>
      <c r="F243" s="328">
        <v>13398000</v>
      </c>
      <c r="G243" s="320">
        <f t="shared" si="36"/>
        <v>68695.490364876503</v>
      </c>
      <c r="H243" s="320">
        <f t="shared" si="37"/>
        <v>238049.50154316108</v>
      </c>
      <c r="I243" s="320">
        <f t="shared" si="38"/>
        <v>295425.67097682622</v>
      </c>
      <c r="J243" s="320">
        <f t="shared" si="39"/>
        <v>123621.05511323301</v>
      </c>
      <c r="K243" s="320">
        <f t="shared" si="40"/>
        <v>274664.74928609305</v>
      </c>
      <c r="L243" s="320">
        <f t="shared" si="40"/>
        <v>144501.1234313254</v>
      </c>
      <c r="M243" s="328">
        <f t="shared" si="41"/>
        <v>14542958</v>
      </c>
      <c r="N243" s="320">
        <v>71</v>
      </c>
      <c r="O243" s="320">
        <f t="shared" si="42"/>
        <v>204830.39436619717</v>
      </c>
      <c r="P243" s="347"/>
      <c r="Q243" s="436"/>
      <c r="R243" s="315"/>
      <c r="S243" s="316"/>
      <c r="T243" s="316"/>
      <c r="U243" s="328"/>
      <c r="V243" s="328"/>
    </row>
    <row r="244" spans="1:23">
      <c r="A244" s="401">
        <f t="shared" si="35"/>
        <v>14</v>
      </c>
      <c r="B244" s="454" t="s">
        <v>379</v>
      </c>
      <c r="C244" s="455">
        <v>8.4861111111111107</v>
      </c>
      <c r="D244" s="320">
        <v>611</v>
      </c>
      <c r="E244" s="417"/>
      <c r="F244" s="328">
        <v>13442000</v>
      </c>
      <c r="G244" s="320">
        <f t="shared" si="36"/>
        <v>68921.091318455728</v>
      </c>
      <c r="H244" s="320">
        <f t="shared" si="37"/>
        <v>238831.27330520761</v>
      </c>
      <c r="I244" s="320">
        <f t="shared" si="38"/>
        <v>296395.87022469757</v>
      </c>
      <c r="J244" s="320">
        <f t="shared" si="39"/>
        <v>125362.19673454616</v>
      </c>
      <c r="K244" s="320">
        <f t="shared" si="40"/>
        <v>275566.768167164</v>
      </c>
      <c r="L244" s="320">
        <f t="shared" si="40"/>
        <v>144975.67556082073</v>
      </c>
      <c r="M244" s="328">
        <f t="shared" si="41"/>
        <v>14592053</v>
      </c>
      <c r="N244" s="320">
        <v>72</v>
      </c>
      <c r="O244" s="320">
        <f t="shared" si="42"/>
        <v>202667.40277777778</v>
      </c>
      <c r="P244" s="347"/>
      <c r="Q244" s="436"/>
      <c r="R244" s="315"/>
      <c r="S244" s="316"/>
      <c r="T244" s="316"/>
      <c r="U244" s="328"/>
      <c r="V244" s="328"/>
    </row>
    <row r="245" spans="1:23">
      <c r="A245" s="401">
        <f t="shared" si="35"/>
        <v>15</v>
      </c>
      <c r="B245" s="454" t="s">
        <v>373</v>
      </c>
      <c r="C245" s="455">
        <v>2.7027027027027026</v>
      </c>
      <c r="D245" s="320">
        <v>200</v>
      </c>
      <c r="E245" s="417"/>
      <c r="F245" s="328">
        <v>7500000</v>
      </c>
      <c r="G245" s="320">
        <f t="shared" si="36"/>
        <v>22560.095357923317</v>
      </c>
      <c r="H245" s="320">
        <f t="shared" si="37"/>
        <v>133256.55034883626</v>
      </c>
      <c r="I245" s="320">
        <f t="shared" si="38"/>
        <v>97019.924787135038</v>
      </c>
      <c r="J245" s="320">
        <f t="shared" si="39"/>
        <v>128844.47997717244</v>
      </c>
      <c r="K245" s="320">
        <f t="shared" si="40"/>
        <v>153753.21836436019</v>
      </c>
      <c r="L245" s="320">
        <f t="shared" si="40"/>
        <v>80889.567527611624</v>
      </c>
      <c r="M245" s="328">
        <f t="shared" si="41"/>
        <v>8116324</v>
      </c>
      <c r="N245" s="320">
        <v>74</v>
      </c>
      <c r="O245" s="320">
        <f t="shared" si="42"/>
        <v>109680.05405405405</v>
      </c>
      <c r="P245" s="347"/>
      <c r="Q245" s="436"/>
      <c r="R245" s="315"/>
      <c r="S245" s="316"/>
      <c r="T245" s="316"/>
      <c r="U245" s="328"/>
      <c r="V245" s="328"/>
    </row>
    <row r="246" spans="1:23">
      <c r="A246" s="401">
        <f t="shared" si="35"/>
        <v>16</v>
      </c>
      <c r="B246" s="454" t="s">
        <v>374</v>
      </c>
      <c r="C246" s="455">
        <v>2.6785714285714284</v>
      </c>
      <c r="D246" s="320">
        <v>45</v>
      </c>
      <c r="E246" s="417"/>
      <c r="F246" s="328">
        <v>1687500</v>
      </c>
      <c r="G246" s="320">
        <f t="shared" si="36"/>
        <v>5076.0214555327466</v>
      </c>
      <c r="H246" s="320">
        <f t="shared" si="37"/>
        <v>29982.723828488157</v>
      </c>
      <c r="I246" s="320">
        <f t="shared" si="38"/>
        <v>21829.483077105382</v>
      </c>
      <c r="J246" s="320">
        <f t="shared" si="39"/>
        <v>29251.179238060769</v>
      </c>
      <c r="K246" s="320">
        <f t="shared" si="40"/>
        <v>34594.474131981049</v>
      </c>
      <c r="L246" s="320">
        <f t="shared" si="40"/>
        <v>18200.152693712615</v>
      </c>
      <c r="M246" s="328">
        <f t="shared" si="41"/>
        <v>1826434</v>
      </c>
      <c r="N246" s="320">
        <v>16.8</v>
      </c>
      <c r="O246" s="320">
        <f t="shared" si="42"/>
        <v>108716.30952380951</v>
      </c>
      <c r="P246" s="347"/>
      <c r="Q246" s="436"/>
      <c r="R246" s="315"/>
      <c r="S246" s="316"/>
      <c r="T246" s="316"/>
      <c r="U246" s="328"/>
      <c r="V246" s="328"/>
    </row>
    <row r="247" spans="1:23">
      <c r="A247" s="401">
        <f t="shared" si="35"/>
        <v>17</v>
      </c>
      <c r="B247" s="454" t="s">
        <v>383</v>
      </c>
      <c r="C247" s="455">
        <v>9.5</v>
      </c>
      <c r="D247" s="320">
        <v>190</v>
      </c>
      <c r="E247" s="417"/>
      <c r="F247" s="328">
        <v>5320000</v>
      </c>
      <c r="G247" s="320">
        <f t="shared" si="36"/>
        <v>21432.09059002715</v>
      </c>
      <c r="H247" s="320">
        <f t="shared" si="37"/>
        <v>94523.313047441188</v>
      </c>
      <c r="I247" s="320">
        <f t="shared" si="38"/>
        <v>92168.928547778283</v>
      </c>
      <c r="J247" s="320">
        <f t="shared" si="39"/>
        <v>34822.832426262823</v>
      </c>
      <c r="K247" s="320">
        <f t="shared" si="40"/>
        <v>109062.2828931195</v>
      </c>
      <c r="L247" s="320">
        <f t="shared" si="40"/>
        <v>57377.666566252512</v>
      </c>
      <c r="M247" s="328">
        <f t="shared" si="41"/>
        <v>5729387</v>
      </c>
      <c r="N247" s="320">
        <v>20</v>
      </c>
      <c r="O247" s="320">
        <f t="shared" si="42"/>
        <v>286469.34999999998</v>
      </c>
      <c r="P247" s="347"/>
      <c r="Q247" s="436"/>
      <c r="R247" s="315"/>
      <c r="S247" s="316"/>
      <c r="T247" s="316"/>
      <c r="U247" s="328"/>
      <c r="V247" s="328"/>
    </row>
    <row r="248" spans="1:23">
      <c r="A248" s="401">
        <f t="shared" si="35"/>
        <v>18</v>
      </c>
      <c r="B248" s="454" t="s">
        <v>384</v>
      </c>
      <c r="C248" s="455">
        <v>9.2424242424242422</v>
      </c>
      <c r="D248" s="320">
        <v>244</v>
      </c>
      <c r="E248" s="417"/>
      <c r="F248" s="328">
        <v>6832000</v>
      </c>
      <c r="G248" s="320">
        <f t="shared" si="36"/>
        <v>27523.316336666445</v>
      </c>
      <c r="H248" s="320">
        <f t="shared" si="37"/>
        <v>121387.83359776657</v>
      </c>
      <c r="I248" s="320">
        <f t="shared" si="38"/>
        <v>118364.30824030474</v>
      </c>
      <c r="J248" s="320">
        <f t="shared" si="39"/>
        <v>45966.138802666923</v>
      </c>
      <c r="K248" s="320">
        <f t="shared" si="40"/>
        <v>140058.93171537452</v>
      </c>
      <c r="L248" s="320">
        <f t="shared" si="40"/>
        <v>73685.003379819012</v>
      </c>
      <c r="M248" s="328">
        <f t="shared" si="41"/>
        <v>7358986</v>
      </c>
      <c r="N248" s="320">
        <v>26.4</v>
      </c>
      <c r="O248" s="320">
        <f t="shared" si="42"/>
        <v>278749.46969696973</v>
      </c>
      <c r="P248" s="347"/>
      <c r="Q248" s="436"/>
      <c r="R248" s="315"/>
      <c r="S248" s="316"/>
      <c r="T248" s="316"/>
      <c r="U248" s="328"/>
      <c r="V248" s="328"/>
    </row>
    <row r="249" spans="1:23">
      <c r="A249" s="401">
        <f t="shared" si="35"/>
        <v>19</v>
      </c>
      <c r="B249" s="454" t="s">
        <v>385</v>
      </c>
      <c r="C249" s="455">
        <v>5.1363636363636367</v>
      </c>
      <c r="D249" s="320">
        <v>1130</v>
      </c>
      <c r="E249" s="417"/>
      <c r="F249" s="328">
        <v>31640000</v>
      </c>
      <c r="G249" s="320">
        <f t="shared" si="36"/>
        <v>127464.53877226674</v>
      </c>
      <c r="H249" s="320">
        <f t="shared" si="37"/>
        <v>562164.96707162389</v>
      </c>
      <c r="I249" s="320">
        <f t="shared" si="38"/>
        <v>548162.575047313</v>
      </c>
      <c r="J249" s="320">
        <f t="shared" si="39"/>
        <v>383051.15668889106</v>
      </c>
      <c r="K249" s="320">
        <f t="shared" si="40"/>
        <v>648633.5772064476</v>
      </c>
      <c r="L249" s="320">
        <f t="shared" si="40"/>
        <v>341246.12220981758</v>
      </c>
      <c r="M249" s="328">
        <f t="shared" si="41"/>
        <v>34250723</v>
      </c>
      <c r="N249" s="320">
        <v>220</v>
      </c>
      <c r="O249" s="320">
        <f t="shared" si="42"/>
        <v>155685.10454545455</v>
      </c>
      <c r="P249" s="347"/>
      <c r="Q249" s="436"/>
      <c r="R249" s="315"/>
      <c r="S249" s="316"/>
      <c r="T249" s="316"/>
      <c r="U249" s="328"/>
      <c r="V249" s="328"/>
    </row>
    <row r="250" spans="1:23">
      <c r="A250" s="401">
        <f t="shared" si="35"/>
        <v>20</v>
      </c>
      <c r="B250" s="454" t="s">
        <v>369</v>
      </c>
      <c r="C250" s="455">
        <v>5.25</v>
      </c>
      <c r="D250" s="320">
        <v>840</v>
      </c>
      <c r="E250" s="417"/>
      <c r="F250" s="328">
        <v>24780000</v>
      </c>
      <c r="G250" s="320">
        <f t="shared" si="36"/>
        <v>94752.400503277924</v>
      </c>
      <c r="H250" s="320">
        <f t="shared" si="37"/>
        <v>440279.64235255501</v>
      </c>
      <c r="I250" s="320">
        <f t="shared" si="38"/>
        <v>407483.68410596717</v>
      </c>
      <c r="J250" s="320">
        <f t="shared" si="39"/>
        <v>278582.65941010258</v>
      </c>
      <c r="K250" s="320">
        <f t="shared" si="40"/>
        <v>508000.63347584609</v>
      </c>
      <c r="L250" s="320">
        <f t="shared" si="40"/>
        <v>267259.13111122878</v>
      </c>
      <c r="M250" s="328">
        <f t="shared" si="41"/>
        <v>26776358</v>
      </c>
      <c r="N250" s="320">
        <v>160</v>
      </c>
      <c r="O250" s="320">
        <f t="shared" si="42"/>
        <v>167352.23749999999</v>
      </c>
      <c r="P250" s="347"/>
      <c r="Q250" s="436"/>
      <c r="R250" s="315"/>
      <c r="S250" s="316"/>
      <c r="T250" s="316"/>
      <c r="U250" s="328"/>
      <c r="V250" s="328"/>
    </row>
    <row r="251" spans="1:23">
      <c r="A251" s="401">
        <f t="shared" si="35"/>
        <v>21</v>
      </c>
      <c r="B251" s="454" t="s">
        <v>370</v>
      </c>
      <c r="C251" s="455">
        <v>5.125</v>
      </c>
      <c r="D251" s="320">
        <v>820</v>
      </c>
      <c r="E251" s="417"/>
      <c r="F251" s="328">
        <v>24190000</v>
      </c>
      <c r="G251" s="320">
        <f t="shared" si="36"/>
        <v>92496.390967485597</v>
      </c>
      <c r="H251" s="320">
        <f t="shared" si="37"/>
        <v>429796.79372511321</v>
      </c>
      <c r="I251" s="320">
        <f t="shared" si="38"/>
        <v>397781.69162725366</v>
      </c>
      <c r="J251" s="320">
        <f t="shared" si="39"/>
        <v>278582.65941010258</v>
      </c>
      <c r="K251" s="320">
        <f t="shared" si="40"/>
        <v>495905.38029784977</v>
      </c>
      <c r="L251" s="320">
        <f t="shared" si="40"/>
        <v>260895.81846572337</v>
      </c>
      <c r="M251" s="328">
        <f t="shared" si="41"/>
        <v>26145459</v>
      </c>
      <c r="N251" s="320">
        <v>160</v>
      </c>
      <c r="O251" s="320">
        <f t="shared" si="42"/>
        <v>163409.11874999999</v>
      </c>
      <c r="P251" s="347"/>
      <c r="Q251" s="436"/>
      <c r="R251" s="315"/>
      <c r="S251" s="316"/>
      <c r="T251" s="316"/>
      <c r="U251" s="328"/>
      <c r="V251" s="328"/>
    </row>
    <row r="252" spans="1:23">
      <c r="A252" s="401">
        <f t="shared" si="35"/>
        <v>22</v>
      </c>
      <c r="B252" s="454" t="s">
        <v>323</v>
      </c>
      <c r="C252" s="455">
        <v>8.35</v>
      </c>
      <c r="D252" s="320">
        <v>334</v>
      </c>
      <c r="E252" s="417"/>
      <c r="F252" s="328">
        <v>11356000</v>
      </c>
      <c r="G252" s="320">
        <f t="shared" si="36"/>
        <v>37675.35924773194</v>
      </c>
      <c r="H252" s="320">
        <f t="shared" si="37"/>
        <v>201768.18476818461</v>
      </c>
      <c r="I252" s="320">
        <f t="shared" si="38"/>
        <v>162023.27439451552</v>
      </c>
      <c r="J252" s="320">
        <f t="shared" si="39"/>
        <v>69645.664852525646</v>
      </c>
      <c r="K252" s="320">
        <f t="shared" si="40"/>
        <v>232802.87303275659</v>
      </c>
      <c r="L252" s="320">
        <f t="shared" si="40"/>
        <v>122477.59051247434</v>
      </c>
      <c r="M252" s="328">
        <f t="shared" si="41"/>
        <v>12182393</v>
      </c>
      <c r="N252" s="320">
        <v>40</v>
      </c>
      <c r="O252" s="320">
        <f t="shared" si="42"/>
        <v>304559.82500000001</v>
      </c>
      <c r="P252" s="347"/>
      <c r="Q252" s="436"/>
      <c r="R252" s="315"/>
      <c r="S252" s="316"/>
      <c r="T252" s="316"/>
      <c r="U252" s="328"/>
      <c r="V252" s="328"/>
    </row>
    <row r="253" spans="1:23">
      <c r="A253" s="401">
        <f t="shared" si="35"/>
        <v>23</v>
      </c>
      <c r="B253" s="454" t="s">
        <v>386</v>
      </c>
      <c r="C253" s="455">
        <v>8.2375478927203059</v>
      </c>
      <c r="D253" s="320">
        <v>430</v>
      </c>
      <c r="E253" s="417"/>
      <c r="F253" s="328">
        <v>14620000</v>
      </c>
      <c r="G253" s="320">
        <f t="shared" si="36"/>
        <v>48504.205019535133</v>
      </c>
      <c r="H253" s="320">
        <f t="shared" si="37"/>
        <v>259761.43547999815</v>
      </c>
      <c r="I253" s="320">
        <f t="shared" si="38"/>
        <v>208592.83829234034</v>
      </c>
      <c r="J253" s="320">
        <f t="shared" si="39"/>
        <v>90887.592632545973</v>
      </c>
      <c r="K253" s="320">
        <f t="shared" si="40"/>
        <v>299716.27366492618</v>
      </c>
      <c r="L253" s="320">
        <f t="shared" si="40"/>
        <v>157680.73030049092</v>
      </c>
      <c r="M253" s="328">
        <f t="shared" si="41"/>
        <v>15685143</v>
      </c>
      <c r="N253" s="320">
        <v>52.2</v>
      </c>
      <c r="O253" s="320">
        <f t="shared" si="42"/>
        <v>300481.66666666663</v>
      </c>
      <c r="P253" s="347"/>
      <c r="Q253" s="436"/>
      <c r="R253" s="315"/>
      <c r="S253" s="316"/>
      <c r="T253" s="316"/>
      <c r="U253" s="328"/>
      <c r="V253" s="328"/>
    </row>
    <row r="254" spans="1:23" s="332" customFormat="1">
      <c r="A254" s="444"/>
      <c r="B254" s="355"/>
      <c r="C254" s="356"/>
      <c r="D254" s="357"/>
      <c r="E254" s="357"/>
      <c r="F254" s="358"/>
      <c r="G254" s="357"/>
      <c r="H254" s="330"/>
      <c r="I254" s="359"/>
      <c r="J254" s="445"/>
      <c r="K254" s="357"/>
      <c r="L254" s="357"/>
      <c r="M254" s="330"/>
      <c r="N254" s="361"/>
      <c r="O254" s="357"/>
      <c r="P254" s="440"/>
      <c r="Q254" s="321"/>
      <c r="R254" s="315"/>
      <c r="S254" s="316"/>
      <c r="T254" s="316"/>
      <c r="U254" s="328"/>
      <c r="V254" s="328"/>
    </row>
    <row r="255" spans="1:23" s="291" customFormat="1">
      <c r="A255" s="333"/>
      <c r="B255" s="334" t="s">
        <v>254</v>
      </c>
      <c r="C255" s="335"/>
      <c r="D255" s="336">
        <f>SUM(D231:D254)</f>
        <v>286919</v>
      </c>
      <c r="E255" s="336"/>
      <c r="F255" s="336">
        <f>SUM(F231:F254)</f>
        <v>7165324500</v>
      </c>
      <c r="G255" s="336">
        <f>U255</f>
        <v>32364600</v>
      </c>
      <c r="H255" s="337">
        <v>127310190</v>
      </c>
      <c r="I255" s="337">
        <v>139184299</v>
      </c>
      <c r="J255" s="336">
        <f>U266</f>
        <v>100071070</v>
      </c>
      <c r="K255" s="337">
        <v>146892227</v>
      </c>
      <c r="L255" s="336">
        <v>77280000</v>
      </c>
      <c r="M255" s="336">
        <f>SUM(M231:M254)</f>
        <v>7788426888</v>
      </c>
      <c r="N255" s="336">
        <f>SUM(N231:N254)</f>
        <v>57474.400000000001</v>
      </c>
      <c r="O255" s="336"/>
      <c r="P255" s="340"/>
      <c r="Q255" s="546"/>
      <c r="R255" s="547"/>
      <c r="S255" s="547"/>
      <c r="T255" s="548"/>
      <c r="U255" s="346">
        <f>SUM(U231:U254)</f>
        <v>32364600</v>
      </c>
      <c r="V255" s="346">
        <f>SUM(V231:V254)</f>
        <v>0</v>
      </c>
      <c r="W255" s="289"/>
    </row>
    <row r="256" spans="1:23">
      <c r="Q256" s="342" t="s">
        <v>337</v>
      </c>
      <c r="R256" s="366">
        <v>41612</v>
      </c>
      <c r="S256" s="316">
        <v>8335.6164383561645</v>
      </c>
      <c r="T256" s="316">
        <v>730</v>
      </c>
      <c r="U256" s="328">
        <v>6085000</v>
      </c>
      <c r="V256" s="328"/>
    </row>
    <row r="257" spans="12:22">
      <c r="M257" s="290"/>
      <c r="Q257" s="342" t="s">
        <v>56</v>
      </c>
      <c r="R257" s="366">
        <v>41633</v>
      </c>
      <c r="S257" s="316">
        <v>19154.099999999999</v>
      </c>
      <c r="T257" s="316">
        <v>200</v>
      </c>
      <c r="U257" s="328">
        <v>3830820</v>
      </c>
      <c r="V257" s="328"/>
    </row>
    <row r="258" spans="12:22">
      <c r="L258" s="354"/>
      <c r="M258" s="456"/>
      <c r="Q258" s="342" t="s">
        <v>280</v>
      </c>
      <c r="R258" s="315">
        <v>41638</v>
      </c>
      <c r="S258" s="316">
        <v>6050</v>
      </c>
      <c r="T258" s="316">
        <v>20</v>
      </c>
      <c r="U258" s="314">
        <v>121000</v>
      </c>
      <c r="V258" s="314"/>
    </row>
    <row r="259" spans="12:22">
      <c r="L259" s="354"/>
      <c r="M259" s="456"/>
      <c r="Q259" s="342" t="s">
        <v>54</v>
      </c>
      <c r="R259" s="315">
        <v>41612</v>
      </c>
      <c r="S259" s="322">
        <v>12850</v>
      </c>
      <c r="T259" s="322">
        <v>1250</v>
      </c>
      <c r="U259" s="328">
        <v>16062500</v>
      </c>
      <c r="V259" s="328"/>
    </row>
    <row r="260" spans="12:22">
      <c r="L260" s="354"/>
      <c r="M260" s="456"/>
      <c r="Q260" s="342" t="s">
        <v>205</v>
      </c>
      <c r="R260" s="315">
        <v>41633</v>
      </c>
      <c r="S260" s="322">
        <v>12000</v>
      </c>
      <c r="T260" s="322">
        <v>650</v>
      </c>
      <c r="U260" s="328">
        <v>7800000</v>
      </c>
      <c r="V260" s="328"/>
    </row>
    <row r="261" spans="12:22">
      <c r="L261" s="354"/>
      <c r="M261" s="456"/>
      <c r="Q261" s="342" t="s">
        <v>205</v>
      </c>
      <c r="R261" s="315">
        <v>41633</v>
      </c>
      <c r="S261" s="322">
        <v>12000</v>
      </c>
      <c r="T261" s="322">
        <v>225</v>
      </c>
      <c r="U261" s="328">
        <v>2700000</v>
      </c>
      <c r="V261" s="328"/>
    </row>
    <row r="262" spans="12:22">
      <c r="L262" s="354"/>
      <c r="M262" s="456"/>
      <c r="Q262" s="342" t="s">
        <v>44</v>
      </c>
      <c r="R262" s="315">
        <v>41626</v>
      </c>
      <c r="S262" s="322">
        <v>16250</v>
      </c>
      <c r="T262" s="322">
        <v>2900</v>
      </c>
      <c r="U262" s="328">
        <v>47125000</v>
      </c>
      <c r="V262" s="328"/>
    </row>
    <row r="263" spans="12:22">
      <c r="L263" s="354"/>
      <c r="M263" s="456"/>
      <c r="Q263" s="342" t="s">
        <v>284</v>
      </c>
      <c r="R263" s="315">
        <v>41631</v>
      </c>
      <c r="S263" s="322">
        <v>12050</v>
      </c>
      <c r="T263" s="322">
        <v>175</v>
      </c>
      <c r="U263" s="328">
        <v>2108750</v>
      </c>
      <c r="V263" s="328"/>
    </row>
    <row r="264" spans="12:22">
      <c r="L264" s="354"/>
      <c r="M264" s="456"/>
      <c r="Q264" s="342" t="s">
        <v>58</v>
      </c>
      <c r="R264" s="315">
        <v>41614</v>
      </c>
      <c r="S264" s="322">
        <v>12600</v>
      </c>
      <c r="T264" s="322">
        <v>1130</v>
      </c>
      <c r="U264" s="328">
        <v>14238000</v>
      </c>
      <c r="V264" s="328"/>
    </row>
    <row r="265" spans="12:22">
      <c r="L265" s="354"/>
      <c r="M265" s="456"/>
      <c r="Q265" s="342"/>
      <c r="R265" s="315"/>
      <c r="S265" s="322"/>
      <c r="T265" s="322"/>
      <c r="U265" s="328"/>
      <c r="V265" s="328"/>
    </row>
    <row r="266" spans="12:22">
      <c r="Q266" s="546"/>
      <c r="R266" s="547"/>
      <c r="S266" s="547"/>
      <c r="T266" s="548"/>
      <c r="U266" s="346">
        <f>SUM(U256:U265)</f>
        <v>100071070</v>
      </c>
      <c r="V266" s="346">
        <f>SUM(V256:V265)</f>
        <v>0</v>
      </c>
    </row>
  </sheetData>
  <mergeCells count="31">
    <mergeCell ref="Q266:T266"/>
    <mergeCell ref="Q121:T121"/>
    <mergeCell ref="Q141:T141"/>
    <mergeCell ref="Q150:T150"/>
    <mergeCell ref="Q161:T161"/>
    <mergeCell ref="Q172:T172"/>
    <mergeCell ref="Q32:T32"/>
    <mergeCell ref="A6:O6"/>
    <mergeCell ref="R8:T8"/>
    <mergeCell ref="U8:V8"/>
    <mergeCell ref="A23:O23"/>
    <mergeCell ref="A36:O36"/>
    <mergeCell ref="A60:O60"/>
    <mergeCell ref="A79:O79"/>
    <mergeCell ref="A97:O97"/>
    <mergeCell ref="A113:O113"/>
    <mergeCell ref="Q127:T127"/>
    <mergeCell ref="A129:O129"/>
    <mergeCell ref="Q45:T45"/>
    <mergeCell ref="Q69:T69"/>
    <mergeCell ref="Q89:T89"/>
    <mergeCell ref="Q105:T105"/>
    <mergeCell ref="A227:O227"/>
    <mergeCell ref="A152:O152"/>
    <mergeCell ref="A174:O174"/>
    <mergeCell ref="A204:O204"/>
    <mergeCell ref="Q184:T184"/>
    <mergeCell ref="Q202:T202"/>
    <mergeCell ref="Q213:T213"/>
    <mergeCell ref="Q225:T225"/>
    <mergeCell ref="Q255:T255"/>
  </mergeCells>
  <pageMargins left="0.6" right="0.16" top="0.55000000000000004" bottom="1" header="0.5" footer="0.5"/>
  <pageSetup scale="90" orientation="landscape" r:id="rId1"/>
  <headerFooter alignWithMargins="0"/>
  <ignoredErrors>
    <ignoredError sqref="H11:H12 J10:J12 H40:I43 K40:K43 H64:H67 H83:H87 H133:H139 H156:H159 H160 H178:H182 K208 H231:H253" formula="1"/>
  </ignoredErrors>
</worksheet>
</file>

<file path=xl/worksheets/sheet8.xml><?xml version="1.0" encoding="utf-8"?>
<worksheet xmlns="http://schemas.openxmlformats.org/spreadsheetml/2006/main" xmlns:r="http://schemas.openxmlformats.org/officeDocument/2006/relationships">
  <sheetPr>
    <tabColor indexed="50"/>
  </sheetPr>
  <dimension ref="A1:K19"/>
  <sheetViews>
    <sheetView tabSelected="1" zoomScale="90" workbookViewId="0">
      <pane ySplit="10" topLeftCell="A11" activePane="bottomLeft" state="frozen"/>
      <selection pane="bottomLeft" activeCell="E22" sqref="E22"/>
    </sheetView>
  </sheetViews>
  <sheetFormatPr defaultColWidth="10.28515625" defaultRowHeight="12.75"/>
  <cols>
    <col min="1" max="1" width="40.42578125" style="395" customWidth="1"/>
    <col min="2" max="2" width="15.7109375" style="395" customWidth="1"/>
    <col min="3" max="3" width="16.85546875" style="395" customWidth="1"/>
    <col min="4" max="9" width="15.28515625" style="395" customWidth="1"/>
    <col min="10" max="10" width="10.140625" style="395" customWidth="1"/>
    <col min="11" max="11" width="5.85546875" style="395" customWidth="1"/>
    <col min="12" max="16384" width="10.28515625" style="395"/>
  </cols>
  <sheetData>
    <row r="1" spans="1:11" s="370" customFormat="1" ht="15" customHeight="1">
      <c r="A1" s="369" t="s">
        <v>40</v>
      </c>
      <c r="B1" s="369"/>
      <c r="D1" s="371"/>
      <c r="E1" s="371"/>
      <c r="F1" s="371"/>
      <c r="G1" s="552" t="s">
        <v>255</v>
      </c>
      <c r="H1" s="552"/>
      <c r="I1" s="552"/>
      <c r="J1" s="372"/>
      <c r="K1" s="399"/>
    </row>
    <row r="2" spans="1:11" s="370" customFormat="1" ht="29.25" customHeight="1">
      <c r="A2" s="369" t="s">
        <v>256</v>
      </c>
      <c r="B2" s="369"/>
      <c r="D2" s="373"/>
      <c r="E2" s="373"/>
      <c r="F2" s="373"/>
      <c r="G2" s="553" t="s">
        <v>257</v>
      </c>
      <c r="H2" s="553"/>
      <c r="I2" s="553"/>
      <c r="J2" s="372"/>
      <c r="K2" s="283">
        <v>12</v>
      </c>
    </row>
    <row r="3" spans="1:11" s="370" customFormat="1" ht="15">
      <c r="A3" s="374"/>
      <c r="B3" s="375"/>
      <c r="C3" s="373"/>
      <c r="D3" s="373"/>
      <c r="E3" s="373"/>
      <c r="F3" s="373"/>
      <c r="G3" s="553"/>
      <c r="H3" s="553"/>
      <c r="I3" s="553"/>
      <c r="J3" s="372"/>
    </row>
    <row r="4" spans="1:11" s="377" customFormat="1" ht="17.25" customHeight="1">
      <c r="A4" s="554" t="s">
        <v>258</v>
      </c>
      <c r="B4" s="554"/>
      <c r="C4" s="554"/>
      <c r="D4" s="554"/>
      <c r="E4" s="554"/>
      <c r="F4" s="554"/>
      <c r="G4" s="554"/>
      <c r="H4" s="554"/>
      <c r="I4" s="554"/>
      <c r="J4" s="376"/>
    </row>
    <row r="5" spans="1:11" s="379" customFormat="1" ht="17.25" customHeight="1">
      <c r="B5" s="397"/>
      <c r="C5" s="398" t="s">
        <v>115</v>
      </c>
      <c r="D5" s="397" t="str">
        <f>IF($K$2&lt;10,"0"&amp;$K$2&amp;"  năm 2015",$K$2&amp;"  năm 2015")</f>
        <v>12  năm 2015</v>
      </c>
      <c r="E5" s="397"/>
      <c r="F5" s="397"/>
      <c r="G5" s="397"/>
      <c r="H5" s="397"/>
      <c r="I5" s="397"/>
      <c r="J5" s="378"/>
    </row>
    <row r="6" spans="1:11" s="379" customFormat="1" ht="17.25" customHeight="1">
      <c r="B6" s="380"/>
      <c r="C6" s="555" t="s">
        <v>259</v>
      </c>
      <c r="D6" s="555"/>
      <c r="E6" s="558" t="s">
        <v>386</v>
      </c>
      <c r="F6" s="558"/>
      <c r="G6" s="558"/>
      <c r="I6" s="380"/>
      <c r="J6" s="378"/>
    </row>
    <row r="7" spans="1:11" s="383" customFormat="1" ht="9.75" customHeight="1">
      <c r="A7" s="381"/>
      <c r="B7" s="381"/>
      <c r="C7" s="381"/>
      <c r="D7" s="381"/>
      <c r="E7" s="381"/>
      <c r="F7" s="381"/>
      <c r="G7" s="381"/>
      <c r="H7" s="381"/>
      <c r="I7" s="381"/>
      <c r="J7" s="382"/>
    </row>
    <row r="8" spans="1:11" s="385" customFormat="1" ht="17.25" customHeight="1">
      <c r="A8" s="556" t="s">
        <v>260</v>
      </c>
      <c r="B8" s="557" t="s">
        <v>261</v>
      </c>
      <c r="C8" s="557" t="s">
        <v>262</v>
      </c>
      <c r="D8" s="557"/>
      <c r="E8" s="557"/>
      <c r="F8" s="557"/>
      <c r="G8" s="557"/>
      <c r="H8" s="557"/>
      <c r="I8" s="557"/>
      <c r="J8" s="384"/>
    </row>
    <row r="9" spans="1:11" s="388" customFormat="1" ht="28.5">
      <c r="A9" s="556"/>
      <c r="B9" s="557"/>
      <c r="C9" s="386" t="s">
        <v>263</v>
      </c>
      <c r="D9" s="386" t="s">
        <v>264</v>
      </c>
      <c r="E9" s="386" t="s">
        <v>265</v>
      </c>
      <c r="F9" s="386" t="s">
        <v>336</v>
      </c>
      <c r="G9" s="386" t="s">
        <v>266</v>
      </c>
      <c r="H9" s="386" t="s">
        <v>267</v>
      </c>
      <c r="I9" s="386" t="s">
        <v>268</v>
      </c>
      <c r="J9" s="387"/>
    </row>
    <row r="10" spans="1:11" s="391" customFormat="1" ht="15">
      <c r="A10" s="389" t="s">
        <v>13</v>
      </c>
      <c r="B10" s="390">
        <v>1</v>
      </c>
      <c r="C10" s="390">
        <v>2</v>
      </c>
      <c r="D10" s="390">
        <v>3</v>
      </c>
      <c r="E10" s="390">
        <v>4</v>
      </c>
      <c r="F10" s="390">
        <v>5</v>
      </c>
      <c r="G10" s="390">
        <v>6</v>
      </c>
      <c r="H10" s="390">
        <v>7</v>
      </c>
      <c r="I10" s="390">
        <v>8</v>
      </c>
      <c r="J10" s="372"/>
    </row>
    <row r="11" spans="1:11" s="379" customFormat="1" ht="15">
      <c r="A11" s="392" t="s">
        <v>269</v>
      </c>
      <c r="B11" s="393">
        <f>ROUND(SUM(C11:I11),0)</f>
        <v>0</v>
      </c>
      <c r="C11" s="393">
        <v>0</v>
      </c>
      <c r="D11" s="393">
        <v>0</v>
      </c>
      <c r="E11" s="393">
        <v>0</v>
      </c>
      <c r="F11" s="393"/>
      <c r="G11" s="393">
        <v>0</v>
      </c>
      <c r="H11" s="393">
        <v>0</v>
      </c>
      <c r="I11" s="393">
        <v>0</v>
      </c>
      <c r="J11" s="378"/>
    </row>
    <row r="12" spans="1:11" s="379" customFormat="1" ht="15">
      <c r="A12" s="392" t="s">
        <v>270</v>
      </c>
      <c r="B12" s="393">
        <f ca="1">ROUND(SUM(C12:I12),0)</f>
        <v>15685143</v>
      </c>
      <c r="C12" s="393">
        <f ca="1">IF(ISNA(VLOOKUP($E6,INDIRECT("DSSP"&amp;$K$2),5,0)),0,VLOOKUP($E6,INDIRECT("DSSP"&amp;$K$2),5,0))</f>
        <v>14620000</v>
      </c>
      <c r="D12" s="393">
        <f ca="1">IF(ISNA(VLOOKUP($E6,INDIRECT("DSSP"&amp;$K$2),6,0)),0,VLOOKUP($E6,INDIRECT("DSSP"&amp;$K$2),6,0))</f>
        <v>48504.205019535133</v>
      </c>
      <c r="E12" s="393">
        <f ca="1">IF(ISNA(VLOOKUP($E6,INDIRECT("DSSP"&amp;$K$2),7,0)),0,VLOOKUP($E6,INDIRECT("DSSP"&amp;$K$2),7,0))</f>
        <v>259761.43547999815</v>
      </c>
      <c r="F12" s="393">
        <f ca="1">IF(ISNA(VLOOKUP($E6,INDIRECT("DSSP"&amp;$K$2),11,0)),0,VLOOKUP($E6,INDIRECT("DSSP"&amp;$K$2),11,0))</f>
        <v>157680.73030049092</v>
      </c>
      <c r="G12" s="393">
        <f ca="1">IF(ISNA(VLOOKUP($E6,INDIRECT("DSSP"&amp;$K$2),8,0)),0,VLOOKUP($E6,INDIRECT("DSSP"&amp;$K$2),8,0))</f>
        <v>208592.83829234034</v>
      </c>
      <c r="H12" s="393">
        <f ca="1">IF(ISNA(VLOOKUP($E6,INDIRECT("DSSP"&amp;$K$2),10,0)),0,VLOOKUP($E6,INDIRECT("DSSP"&amp;$K$2),10,0))</f>
        <v>299716.27366492618</v>
      </c>
      <c r="I12" s="393">
        <f ca="1">IF(ISNA(VLOOKUP($E6,INDIRECT("DSSP"&amp;$K$2),9,0)),0,VLOOKUP($E6,INDIRECT("DSSP"&amp;$K$2),9,0))</f>
        <v>90887.592632545973</v>
      </c>
      <c r="J12" s="378"/>
    </row>
    <row r="13" spans="1:11" s="379" customFormat="1" ht="15">
      <c r="A13" s="392" t="s">
        <v>271</v>
      </c>
      <c r="B13" s="393">
        <f ca="1">IF(ISNA(VLOOKUP($E6,INDIRECT("DSSP"&amp;$K$2),12,0)),0,VLOOKUP($E6,INDIRECT("DSSP"&amp;$K$2),12,0))</f>
        <v>15685143</v>
      </c>
      <c r="C13" s="393">
        <f t="shared" ref="C13:I13" ca="1" si="0">C12</f>
        <v>14620000</v>
      </c>
      <c r="D13" s="393">
        <f t="shared" ca="1" si="0"/>
        <v>48504.205019535133</v>
      </c>
      <c r="E13" s="393">
        <f t="shared" ca="1" si="0"/>
        <v>259761.43547999815</v>
      </c>
      <c r="F13" s="393">
        <f t="shared" ca="1" si="0"/>
        <v>157680.73030049092</v>
      </c>
      <c r="G13" s="393">
        <f t="shared" ca="1" si="0"/>
        <v>208592.83829234034</v>
      </c>
      <c r="H13" s="393">
        <f t="shared" ca="1" si="0"/>
        <v>299716.27366492618</v>
      </c>
      <c r="I13" s="393">
        <f t="shared" ca="1" si="0"/>
        <v>90887.592632545973</v>
      </c>
      <c r="J13" s="378"/>
    </row>
    <row r="14" spans="1:11" s="379" customFormat="1" ht="15">
      <c r="A14" s="392" t="s">
        <v>272</v>
      </c>
      <c r="B14" s="393">
        <f ca="1">B12-B13</f>
        <v>0</v>
      </c>
      <c r="C14" s="393">
        <f t="shared" ref="C14:I14" ca="1" si="1">C12-C13</f>
        <v>0</v>
      </c>
      <c r="D14" s="393">
        <f t="shared" ca="1" si="1"/>
        <v>0</v>
      </c>
      <c r="E14" s="393">
        <f t="shared" ca="1" si="1"/>
        <v>0</v>
      </c>
      <c r="F14" s="393">
        <f t="shared" ca="1" si="1"/>
        <v>0</v>
      </c>
      <c r="G14" s="393">
        <f t="shared" ca="1" si="1"/>
        <v>0</v>
      </c>
      <c r="H14" s="393">
        <f t="shared" ca="1" si="1"/>
        <v>0</v>
      </c>
      <c r="I14" s="393">
        <f t="shared" ca="1" si="1"/>
        <v>0</v>
      </c>
      <c r="J14" s="378"/>
    </row>
    <row r="15" spans="1:11" s="379" customFormat="1" ht="15">
      <c r="B15" s="378"/>
      <c r="C15" s="378"/>
      <c r="D15" s="378"/>
      <c r="E15" s="378"/>
      <c r="F15" s="378"/>
      <c r="G15" s="378"/>
      <c r="H15" s="378"/>
      <c r="I15" s="378"/>
      <c r="J15" s="378"/>
    </row>
    <row r="16" spans="1:11" s="379" customFormat="1" ht="15">
      <c r="B16" s="378"/>
      <c r="C16" s="378"/>
      <c r="D16" s="378"/>
      <c r="E16" s="551" t="str">
        <f xml:space="preserve"> IF(OR($K$2=1,$K$2=4,$K$2=6,$K$2=9,$K$2=11),"Ngày  30  tháng  "&amp;$K$2&amp;"  năm 2015",IF(OR($K$2=3,$K$2=5,$K$2=7,$K$2=8,$K$2=10,$K$2=12),"Ngày  31  tháng  "&amp;$K$2&amp;"  năm 2015","Ngày  29  tháng  "&amp;$K$2&amp;"  năm 2015"))</f>
        <v>Ngày  31  tháng  12  năm 2015</v>
      </c>
      <c r="F16" s="551"/>
      <c r="G16" s="551"/>
      <c r="H16" s="551"/>
      <c r="I16" s="551"/>
      <c r="J16" s="378"/>
    </row>
    <row r="17" spans="1:10" s="379" customFormat="1" ht="15">
      <c r="A17" s="394" t="s">
        <v>273</v>
      </c>
      <c r="B17" s="378"/>
      <c r="C17" s="378"/>
      <c r="D17" s="378"/>
      <c r="E17" s="551" t="s">
        <v>24</v>
      </c>
      <c r="F17" s="551"/>
      <c r="G17" s="551"/>
      <c r="H17" s="551"/>
      <c r="I17" s="551"/>
      <c r="J17" s="378"/>
    </row>
    <row r="19" spans="1:10" ht="15">
      <c r="E19" s="396"/>
      <c r="F19" s="396"/>
    </row>
  </sheetData>
  <mergeCells count="10">
    <mergeCell ref="E16:I16"/>
    <mergeCell ref="E17:I17"/>
    <mergeCell ref="G1:I1"/>
    <mergeCell ref="G2:I3"/>
    <mergeCell ref="A4:I4"/>
    <mergeCell ref="C6:D6"/>
    <mergeCell ref="A8:A9"/>
    <mergeCell ref="B8:B9"/>
    <mergeCell ref="C8:I8"/>
    <mergeCell ref="E6:G6"/>
  </mergeCells>
  <dataValidations count="2">
    <dataValidation type="list" allowBlank="1" showInputMessage="1" showErrorMessage="1" sqref="E6:F6">
      <formula1>INDIRECT("DSGT"&amp;$K$2)</formula1>
    </dataValidation>
    <dataValidation type="list" allowBlank="1" showInputMessage="1" showErrorMessage="1" sqref="K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38</vt:i4>
      </vt:variant>
    </vt:vector>
  </HeadingPairs>
  <TitlesOfParts>
    <vt:vector size="46" baseType="lpstr">
      <vt:lpstr>IN-NX</vt:lpstr>
      <vt:lpstr>NXT</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2015-09-10T07:38:23Z</cp:lastPrinted>
  <dcterms:created xsi:type="dcterms:W3CDTF">1996-10-14T23:33:28Z</dcterms:created>
  <dcterms:modified xsi:type="dcterms:W3CDTF">2015-09-12T04:30:45Z</dcterms:modified>
</cp:coreProperties>
</file>