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/>
  </bookViews>
  <sheets>
    <sheet name="311-341" sheetId="20" r:id="rId1"/>
    <sheet name="TH-VAY" sheetId="23" r:id="rId2"/>
    <sheet name="CT-VAY" sheetId="25" r:id="rId3"/>
    <sheet name="141-BH" sheetId="4" r:id="rId4"/>
    <sheet name="141-TT" sheetId="6" r:id="rId5"/>
    <sheet name="141-TT-BH" sheetId="7" r:id="rId6"/>
    <sheet name="141-TT-TT" sheetId="19" r:id="rId7"/>
  </sheets>
  <definedNames>
    <definedName name="_Dau1">IF(Loai1='141-TT-TT'!$D$3-1,ROW(Loai1)-1,"")</definedName>
    <definedName name="_Fill" hidden="1">#REF!</definedName>
    <definedName name="_xlnm._FilterDatabase" localSheetId="3" hidden="1">'141-BH'!$A$14:$N$222</definedName>
    <definedName name="_xlnm._FilterDatabase" localSheetId="4" hidden="1">'141-TT'!$A$14:$Q$151</definedName>
    <definedName name="_xlnm._FilterDatabase" localSheetId="1" hidden="1">'TH-VAY'!$A$4:$L$4</definedName>
    <definedName name="_TH1">'TH-VAY'!$H$5:$H$70</definedName>
    <definedName name="_TH2">'TH-VAY'!$I$5:$I$70</definedName>
    <definedName name="_TH3">'TH-VAY'!$J$5:$J$70</definedName>
    <definedName name="_TH4">'TH-VAY'!$K$5:$K$70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'311-341'!$B$20:$G$49</definedName>
    <definedName name="DSKU2">'311-341'!$B$20:$B$49</definedName>
    <definedName name="KUTH">'TH-VAY'!$E$5:$E$70</definedName>
    <definedName name="Loai">OFFSET('141-BH'!$J$15,,,COUNTA('141-BH'!$J$15:$J$40075))</definedName>
    <definedName name="Loai01">OFFSET('141-BH'!$R$16,,,COUNTA('141-BH'!$R$16:$R$40075))</definedName>
    <definedName name="Loai02">OFFSET('141-TT'!$Q$16,,,COUNTA('141-TT'!$Q$16:$R$40074))</definedName>
    <definedName name="Loai1">OFFSET('141-TT'!$J$15,,,COUNTA('141-TT'!$J$15:$J$40073))</definedName>
    <definedName name="Loai4">OFFSET('TH-VAY'!$E$5,,,COUNTA('TH-VAY'!$E$5:$E$40085))</definedName>
    <definedName name="_xlnm.Print_Area" localSheetId="0">'311-341'!$A$1:$O$8</definedName>
  </definedNames>
  <calcPr calcId="124519"/>
</workbook>
</file>

<file path=xl/calcChain.xml><?xml version="1.0" encoding="utf-8"?>
<calcChain xmlns="http://schemas.openxmlformats.org/spreadsheetml/2006/main">
  <c r="B51" i="25"/>
  <c r="C51"/>
  <c r="D51"/>
  <c r="E51"/>
  <c r="F51"/>
  <c r="G51"/>
  <c r="H51"/>
  <c r="I51"/>
  <c r="J51"/>
  <c r="B52"/>
  <c r="C52"/>
  <c r="D52"/>
  <c r="A52" s="1"/>
  <c r="E52"/>
  <c r="F52"/>
  <c r="G52"/>
  <c r="H52"/>
  <c r="I52"/>
  <c r="J52"/>
  <c r="J50"/>
  <c r="I50"/>
  <c r="H50"/>
  <c r="G50"/>
  <c r="F50"/>
  <c r="E50"/>
  <c r="D50"/>
  <c r="C50"/>
  <c r="B50"/>
  <c r="L6" i="2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5"/>
  <c r="J42" i="25"/>
  <c r="N49"/>
  <c r="M49"/>
  <c r="L49"/>
  <c r="K49"/>
  <c r="H44" i="20"/>
  <c r="I44"/>
  <c r="J44"/>
  <c r="K44"/>
  <c r="L44"/>
  <c r="M44"/>
  <c r="N44"/>
  <c r="O44"/>
  <c r="H45"/>
  <c r="I45"/>
  <c r="J45"/>
  <c r="K45"/>
  <c r="L45"/>
  <c r="M45"/>
  <c r="N45"/>
  <c r="O45"/>
  <c r="H46"/>
  <c r="I46"/>
  <c r="J46"/>
  <c r="N46" s="1"/>
  <c r="K46"/>
  <c r="M46" s="1"/>
  <c r="H47"/>
  <c r="I47"/>
  <c r="J47"/>
  <c r="K47"/>
  <c r="M47" s="1"/>
  <c r="H48"/>
  <c r="I48"/>
  <c r="J48"/>
  <c r="N48" s="1"/>
  <c r="K48"/>
  <c r="M48" s="1"/>
  <c r="L48"/>
  <c r="C58" i="25"/>
  <c r="N52"/>
  <c r="A41"/>
  <c r="H24" i="20"/>
  <c r="I24"/>
  <c r="J24"/>
  <c r="L24" s="1"/>
  <c r="K24"/>
  <c r="O24" s="1"/>
  <c r="H25"/>
  <c r="I25"/>
  <c r="J25"/>
  <c r="N25" s="1"/>
  <c r="K25"/>
  <c r="M25" s="1"/>
  <c r="L25"/>
  <c r="H26"/>
  <c r="I26"/>
  <c r="J26"/>
  <c r="L26" s="1"/>
  <c r="K26"/>
  <c r="H27"/>
  <c r="I27"/>
  <c r="J27"/>
  <c r="L27" s="1"/>
  <c r="K27"/>
  <c r="O27" s="1"/>
  <c r="N27"/>
  <c r="H28"/>
  <c r="I28"/>
  <c r="J28"/>
  <c r="L28" s="1"/>
  <c r="K28"/>
  <c r="O28" s="1"/>
  <c r="H29"/>
  <c r="I29"/>
  <c r="J29"/>
  <c r="L29" s="1"/>
  <c r="K29"/>
  <c r="O29" s="1"/>
  <c r="H30"/>
  <c r="I30"/>
  <c r="J30"/>
  <c r="N30" s="1"/>
  <c r="K30"/>
  <c r="M30" s="1"/>
  <c r="L30"/>
  <c r="H31"/>
  <c r="I31"/>
  <c r="J31"/>
  <c r="L31" s="1"/>
  <c r="K31"/>
  <c r="O31" s="1"/>
  <c r="N31"/>
  <c r="H32"/>
  <c r="I32"/>
  <c r="J32"/>
  <c r="L32" s="1"/>
  <c r="K32"/>
  <c r="O32" s="1"/>
  <c r="H33"/>
  <c r="I33"/>
  <c r="J33"/>
  <c r="L33" s="1"/>
  <c r="K33"/>
  <c r="O33" s="1"/>
  <c r="H34"/>
  <c r="I34"/>
  <c r="J34"/>
  <c r="L34" s="1"/>
  <c r="K34"/>
  <c r="O34" s="1"/>
  <c r="H35"/>
  <c r="I35"/>
  <c r="J35"/>
  <c r="L35" s="1"/>
  <c r="K35"/>
  <c r="O35" s="1"/>
  <c r="H36"/>
  <c r="I36"/>
  <c r="J36"/>
  <c r="L36" s="1"/>
  <c r="K36"/>
  <c r="O36" s="1"/>
  <c r="H37"/>
  <c r="I37"/>
  <c r="J37"/>
  <c r="N37" s="1"/>
  <c r="K37"/>
  <c r="M37" s="1"/>
  <c r="H38"/>
  <c r="I38"/>
  <c r="J38"/>
  <c r="N38" s="1"/>
  <c r="K38"/>
  <c r="M38" s="1"/>
  <c r="H39"/>
  <c r="I39"/>
  <c r="J39"/>
  <c r="N39" s="1"/>
  <c r="K39"/>
  <c r="M39" s="1"/>
  <c r="L39"/>
  <c r="H40"/>
  <c r="I40"/>
  <c r="J40"/>
  <c r="N40" s="1"/>
  <c r="K40"/>
  <c r="M40" s="1"/>
  <c r="H41"/>
  <c r="I41"/>
  <c r="J41"/>
  <c r="N41" s="1"/>
  <c r="K41"/>
  <c r="M41" s="1"/>
  <c r="H42"/>
  <c r="I42"/>
  <c r="J42"/>
  <c r="N42" s="1"/>
  <c r="K42"/>
  <c r="M42" s="1"/>
  <c r="H43"/>
  <c r="I43"/>
  <c r="J43"/>
  <c r="N43" s="1"/>
  <c r="K43"/>
  <c r="M43" s="1"/>
  <c r="G50"/>
  <c r="F50"/>
  <c r="E50"/>
  <c r="D50"/>
  <c r="K23"/>
  <c r="J23"/>
  <c r="I23"/>
  <c r="M23" s="1"/>
  <c r="H23"/>
  <c r="L23" s="1"/>
  <c r="K22"/>
  <c r="J22"/>
  <c r="I22"/>
  <c r="M22" s="1"/>
  <c r="H22"/>
  <c r="K21"/>
  <c r="J21"/>
  <c r="I21"/>
  <c r="M21" s="1"/>
  <c r="H21"/>
  <c r="K20"/>
  <c r="J20"/>
  <c r="I20"/>
  <c r="H20"/>
  <c r="I66" i="23"/>
  <c r="K66"/>
  <c r="I67"/>
  <c r="K67"/>
  <c r="J102" i="6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J22" i="4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A59" i="23"/>
  <c r="A56"/>
  <c r="J85" i="6"/>
  <c r="A53" i="23"/>
  <c r="L47" i="20" l="1"/>
  <c r="O26"/>
  <c r="N47"/>
  <c r="L43"/>
  <c r="L41"/>
  <c r="L37"/>
  <c r="L46"/>
  <c r="O30"/>
  <c r="O25"/>
  <c r="O48"/>
  <c r="O47"/>
  <c r="L22"/>
  <c r="M33"/>
  <c r="M34"/>
  <c r="M32"/>
  <c r="M28"/>
  <c r="M26"/>
  <c r="M24"/>
  <c r="M36"/>
  <c r="M31"/>
  <c r="M27"/>
  <c r="M35"/>
  <c r="M29"/>
  <c r="N34"/>
  <c r="N28"/>
  <c r="N26"/>
  <c r="L42"/>
  <c r="L40"/>
  <c r="L38"/>
  <c r="O46"/>
  <c r="N36"/>
  <c r="N35"/>
  <c r="N33"/>
  <c r="N32"/>
  <c r="N29"/>
  <c r="N24"/>
  <c r="L21"/>
  <c r="O37"/>
  <c r="O43"/>
  <c r="O42"/>
  <c r="O41"/>
  <c r="O40"/>
  <c r="O39"/>
  <c r="O38"/>
  <c r="N50" i="25"/>
  <c r="I50" i="20"/>
  <c r="K50"/>
  <c r="A50" i="25"/>
  <c r="H50" i="20"/>
  <c r="A51" i="25"/>
  <c r="G54"/>
  <c r="I54"/>
  <c r="O21" i="20"/>
  <c r="O22"/>
  <c r="O23"/>
  <c r="N21"/>
  <c r="N22"/>
  <c r="N23"/>
  <c r="H54" i="25"/>
  <c r="J54"/>
  <c r="K50"/>
  <c r="M50"/>
  <c r="K52"/>
  <c r="M52"/>
  <c r="L50"/>
  <c r="L52"/>
  <c r="J50" i="20"/>
  <c r="M20"/>
  <c r="O20"/>
  <c r="L20"/>
  <c r="N20"/>
  <c r="L51" i="25" l="1"/>
  <c r="M50" i="20"/>
  <c r="L50"/>
  <c r="K51" i="25"/>
  <c r="M51"/>
  <c r="N51"/>
  <c r="N50" i="20"/>
  <c r="O50"/>
  <c r="M55" i="25"/>
  <c r="K55"/>
  <c r="L55"/>
  <c r="N55"/>
  <c r="A42" i="23" l="1"/>
  <c r="A43"/>
  <c r="A44"/>
  <c r="A45"/>
  <c r="A46"/>
  <c r="A47"/>
  <c r="A48"/>
  <c r="A49"/>
  <c r="A50"/>
  <c r="A51"/>
  <c r="A52"/>
  <c r="A54"/>
  <c r="A55"/>
  <c r="A57"/>
  <c r="A60"/>
  <c r="A58"/>
  <c r="A61"/>
  <c r="A62"/>
  <c r="A63"/>
  <c r="A64"/>
  <c r="A65"/>
  <c r="A66"/>
  <c r="A39" l="1"/>
  <c r="A40"/>
  <c r="A41"/>
  <c r="A67"/>
  <c r="A68"/>
  <c r="I68"/>
  <c r="K68"/>
  <c r="A69"/>
  <c r="I69"/>
  <c r="K69"/>
  <c r="A70"/>
  <c r="I70"/>
  <c r="K70"/>
  <c r="A37"/>
  <c r="A35"/>
  <c r="A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A18" l="1"/>
  <c r="A19"/>
  <c r="A17"/>
  <c r="C25" l="1"/>
  <c r="J9"/>
  <c r="N16"/>
  <c r="M16"/>
  <c r="L16"/>
  <c r="K16"/>
  <c r="K17" s="1"/>
  <c r="M17" l="1"/>
  <c r="M18" s="1"/>
  <c r="K18" l="1"/>
  <c r="K19" s="1"/>
  <c r="A8"/>
  <c r="I21"/>
  <c r="G21"/>
  <c r="H6" i="20"/>
  <c r="I6"/>
  <c r="J6"/>
  <c r="K6"/>
  <c r="H7"/>
  <c r="I7"/>
  <c r="J7"/>
  <c r="K7"/>
  <c r="H8"/>
  <c r="I8"/>
  <c r="J8"/>
  <c r="K8"/>
  <c r="K5"/>
  <c r="J5"/>
  <c r="I5"/>
  <c r="H5"/>
  <c r="K22" i="25" l="1"/>
  <c r="M19"/>
  <c r="M22"/>
  <c r="J19" l="1"/>
  <c r="H19"/>
  <c r="H17"/>
  <c r="J17"/>
  <c r="H16" i="4"/>
  <c r="I16"/>
  <c r="H17" s="1"/>
  <c r="H16" i="6"/>
  <c r="I16"/>
  <c r="G221" i="4"/>
  <c r="F221"/>
  <c r="N6" i="20"/>
  <c r="O6"/>
  <c r="N7"/>
  <c r="O7"/>
  <c r="N8"/>
  <c r="O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52"/>
  <c r="J153"/>
  <c r="J154"/>
  <c r="J16" i="4"/>
  <c r="J17"/>
  <c r="J18"/>
  <c r="J19"/>
  <c r="J20"/>
  <c r="J21"/>
  <c r="J220"/>
  <c r="S37" i="6"/>
  <c r="S45"/>
  <c r="P22" i="4"/>
  <c r="P20"/>
  <c r="P17"/>
  <c r="O17"/>
  <c r="P18"/>
  <c r="O18"/>
  <c r="P19"/>
  <c r="O19"/>
  <c r="O20"/>
  <c r="P21"/>
  <c r="O21"/>
  <c r="O22"/>
  <c r="T17"/>
  <c r="T18"/>
  <c r="T19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Q23"/>
  <c r="U23"/>
  <c r="Q21"/>
  <c r="U21"/>
  <c r="Q24"/>
  <c r="U24"/>
  <c r="Q25"/>
  <c r="U25"/>
  <c r="Q26"/>
  <c r="U26"/>
  <c r="Q27"/>
  <c r="U27"/>
  <c r="Q28"/>
  <c r="U28"/>
  <c r="Q29"/>
  <c r="U29"/>
  <c r="Q30"/>
  <c r="U30"/>
  <c r="Q31"/>
  <c r="U31"/>
  <c r="Q32"/>
  <c r="U32"/>
  <c r="Q33"/>
  <c r="U33"/>
  <c r="Q34"/>
  <c r="U34"/>
  <c r="U35"/>
  <c r="U36"/>
  <c r="U37"/>
  <c r="U38"/>
  <c r="U39"/>
  <c r="U40"/>
  <c r="U41"/>
  <c r="U42"/>
  <c r="U43"/>
  <c r="U44"/>
  <c r="U45"/>
  <c r="U46"/>
  <c r="U47"/>
  <c r="U48"/>
  <c r="U49"/>
  <c r="U50"/>
  <c r="U17"/>
  <c r="U18"/>
  <c r="U19"/>
  <c r="Q17"/>
  <c r="S17"/>
  <c r="S18"/>
  <c r="S19"/>
  <c r="S20"/>
  <c r="S21"/>
  <c r="Q18"/>
  <c r="Q19"/>
  <c r="S22"/>
  <c r="O23"/>
  <c r="P23"/>
  <c r="S23"/>
  <c r="O24"/>
  <c r="P24"/>
  <c r="S24"/>
  <c r="O25"/>
  <c r="P25"/>
  <c r="S25"/>
  <c r="O26"/>
  <c r="P26"/>
  <c r="S26"/>
  <c r="O27"/>
  <c r="P27"/>
  <c r="S27"/>
  <c r="O28"/>
  <c r="P28"/>
  <c r="S28"/>
  <c r="O29"/>
  <c r="P29"/>
  <c r="S29"/>
  <c r="O30"/>
  <c r="P30"/>
  <c r="S30"/>
  <c r="O31"/>
  <c r="P31"/>
  <c r="S31"/>
  <c r="O32"/>
  <c r="P32"/>
  <c r="S32"/>
  <c r="O33"/>
  <c r="P33"/>
  <c r="S33"/>
  <c r="O34"/>
  <c r="P34"/>
  <c r="S34"/>
  <c r="O35"/>
  <c r="P35"/>
  <c r="Q35"/>
  <c r="S35"/>
  <c r="O36"/>
  <c r="P36"/>
  <c r="Q36"/>
  <c r="S36"/>
  <c r="O37"/>
  <c r="P37"/>
  <c r="Q37"/>
  <c r="S37"/>
  <c r="O38"/>
  <c r="P38"/>
  <c r="Q38"/>
  <c r="S38"/>
  <c r="O39"/>
  <c r="P39"/>
  <c r="Q39"/>
  <c r="S39"/>
  <c r="O40"/>
  <c r="P40"/>
  <c r="Q40"/>
  <c r="S40"/>
  <c r="O41"/>
  <c r="P41"/>
  <c r="Q41"/>
  <c r="S41"/>
  <c r="O42"/>
  <c r="P42"/>
  <c r="Q42"/>
  <c r="S42"/>
  <c r="O43"/>
  <c r="P43"/>
  <c r="Q43"/>
  <c r="S43"/>
  <c r="O44"/>
  <c r="P44"/>
  <c r="Q44"/>
  <c r="S44"/>
  <c r="O45"/>
  <c r="P45"/>
  <c r="Q45"/>
  <c r="S45"/>
  <c r="O46"/>
  <c r="P46"/>
  <c r="Q46"/>
  <c r="S46"/>
  <c r="O47"/>
  <c r="P47"/>
  <c r="Q47"/>
  <c r="S47"/>
  <c r="O48"/>
  <c r="P48"/>
  <c r="Q48"/>
  <c r="S48"/>
  <c r="O49"/>
  <c r="P49"/>
  <c r="Q49"/>
  <c r="S49"/>
  <c r="O50"/>
  <c r="P50"/>
  <c r="Q50"/>
  <c r="S50"/>
  <c r="Q16"/>
  <c r="T16"/>
  <c r="D78" i="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153" i="6"/>
  <c r="F153"/>
  <c r="H222" i="4"/>
  <c r="P17" i="6" l="1"/>
  <c r="S47"/>
  <c r="S41"/>
  <c r="O32"/>
  <c r="S48"/>
  <c r="S46"/>
  <c r="S43"/>
  <c r="S39"/>
  <c r="S35"/>
  <c r="H17"/>
  <c r="I17" i="4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23" i="4"/>
  <c r="F223"/>
  <c r="P16"/>
  <c r="J21" i="25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22"/>
  <c r="N17" i="25"/>
  <c r="L17"/>
  <c r="H21"/>
  <c r="R29" i="4"/>
  <c r="R45"/>
  <c r="H154" i="6"/>
  <c r="K224" i="4" s="1"/>
  <c r="R21"/>
  <c r="R37"/>
  <c r="R17"/>
  <c r="R49"/>
  <c r="R41"/>
  <c r="R33"/>
  <c r="R25"/>
  <c r="T21"/>
  <c r="I154" i="6"/>
  <c r="T22" i="4"/>
  <c r="R47"/>
  <c r="R43"/>
  <c r="R39"/>
  <c r="R35"/>
  <c r="R31"/>
  <c r="R27"/>
  <c r="R23"/>
  <c r="R19"/>
  <c r="R16"/>
  <c r="I17" i="6"/>
  <c r="I18" s="1"/>
  <c r="S221" i="4"/>
  <c r="N5" i="20"/>
  <c r="L5"/>
  <c r="F10"/>
  <c r="D10"/>
  <c r="M8"/>
  <c r="M7"/>
  <c r="M6"/>
  <c r="O5"/>
  <c r="M5"/>
  <c r="G10"/>
  <c r="E10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A36" i="7" l="1"/>
  <c r="A34"/>
  <c r="A32"/>
  <c r="A30"/>
  <c r="A28"/>
  <c r="A26"/>
  <c r="A24"/>
  <c r="A37"/>
  <c r="A35"/>
  <c r="A33"/>
  <c r="A31"/>
  <c r="A29"/>
  <c r="A27"/>
  <c r="A25"/>
  <c r="A40" i="19"/>
  <c r="A38"/>
  <c r="A36"/>
  <c r="A34"/>
  <c r="A32"/>
  <c r="A30"/>
  <c r="A28"/>
  <c r="A26"/>
  <c r="A24"/>
  <c r="A41"/>
  <c r="A39"/>
  <c r="A37"/>
  <c r="A35"/>
  <c r="A33"/>
  <c r="A31"/>
  <c r="A29"/>
  <c r="A27"/>
  <c r="A25"/>
  <c r="L22" i="25"/>
  <c r="H18" i="6"/>
  <c r="H19" s="1"/>
  <c r="L18" i="25"/>
  <c r="H19" i="4"/>
  <c r="B28" i="19"/>
  <c r="B26"/>
  <c r="B40"/>
  <c r="B39"/>
  <c r="A18"/>
  <c r="B24"/>
  <c r="B33"/>
  <c r="B22"/>
  <c r="A17"/>
  <c r="B32"/>
  <c r="B27"/>
  <c r="B5"/>
  <c r="B21"/>
  <c r="A21"/>
  <c r="B18"/>
  <c r="A20"/>
  <c r="B17"/>
  <c r="B36"/>
  <c r="B38"/>
  <c r="A16"/>
  <c r="A19"/>
  <c r="B29"/>
  <c r="B25"/>
  <c r="B30"/>
  <c r="B34"/>
  <c r="B31"/>
  <c r="A22"/>
  <c r="B19"/>
  <c r="B41"/>
  <c r="B37"/>
  <c r="B35"/>
  <c r="B20"/>
  <c r="B16"/>
  <c r="A4"/>
  <c r="I19" i="4"/>
  <c r="I20" s="1"/>
  <c r="N18" i="25"/>
  <c r="N22"/>
  <c r="T221" i="4"/>
  <c r="B24" i="7"/>
  <c r="H10" i="20"/>
  <c r="J10"/>
  <c r="B26" i="7"/>
  <c r="A21"/>
  <c r="B16"/>
  <c r="A4"/>
  <c r="A20"/>
  <c r="A17"/>
  <c r="A16"/>
  <c r="B27"/>
  <c r="B29"/>
  <c r="B31"/>
  <c r="B33"/>
  <c r="B35"/>
  <c r="B37"/>
  <c r="B22"/>
  <c r="B25"/>
  <c r="B28"/>
  <c r="B30"/>
  <c r="B32"/>
  <c r="B34"/>
  <c r="B36"/>
  <c r="B17"/>
  <c r="B18"/>
  <c r="B19"/>
  <c r="B20"/>
  <c r="B21"/>
  <c r="N10" i="20"/>
  <c r="A18" i="7"/>
  <c r="A22"/>
  <c r="A19"/>
  <c r="B5"/>
  <c r="I19" i="6" l="1"/>
  <c r="I20" s="1"/>
  <c r="N19" i="25"/>
  <c r="B23" i="7"/>
  <c r="H20" i="6"/>
  <c r="H21" s="1"/>
  <c r="B23" i="19"/>
  <c r="B15"/>
  <c r="H20" i="4"/>
  <c r="H21" s="1"/>
  <c r="L19" i="25"/>
  <c r="L10" i="20"/>
  <c r="K10"/>
  <c r="B15" i="7"/>
  <c r="I10" i="20"/>
  <c r="I21" i="6" l="1"/>
  <c r="I22" s="1"/>
  <c r="I21" i="4"/>
  <c r="I22" s="1"/>
  <c r="O10" i="20"/>
  <c r="M10"/>
  <c r="I23" i="6" l="1"/>
  <c r="I24" s="1"/>
  <c r="H22"/>
  <c r="H23" s="1"/>
  <c r="H24"/>
  <c r="H25" s="1"/>
  <c r="H22" i="4"/>
  <c r="H23" s="1"/>
  <c r="I25" i="6" l="1"/>
  <c r="I26" s="1"/>
  <c r="I23" i="4"/>
  <c r="I24" s="1"/>
  <c r="H26" i="6" l="1"/>
  <c r="H27" s="1"/>
  <c r="H24" i="4"/>
  <c r="H25" s="1"/>
  <c r="I27" i="6" l="1"/>
  <c r="I28" s="1"/>
  <c r="I25" i="4"/>
  <c r="I26" s="1"/>
  <c r="H28" i="6" l="1"/>
  <c r="H29" s="1"/>
  <c r="H26" i="4"/>
  <c r="H27" s="1"/>
  <c r="I29" i="6" l="1"/>
  <c r="I30" s="1"/>
  <c r="I27" i="4"/>
  <c r="I28" s="1"/>
  <c r="I31" i="6" l="1"/>
  <c r="I32" s="1"/>
  <c r="H30"/>
  <c r="H31" s="1"/>
  <c r="H28" i="4"/>
  <c r="H29" s="1"/>
  <c r="I29"/>
  <c r="I30" s="1"/>
  <c r="A28" i="23"/>
  <c r="I33" i="6" l="1"/>
  <c r="I34" s="1"/>
  <c r="H32"/>
  <c r="H33" s="1"/>
  <c r="H30" i="4"/>
  <c r="H31" s="1"/>
  <c r="I31" l="1"/>
  <c r="I32" s="1"/>
  <c r="H34" i="6"/>
  <c r="H35" s="1"/>
  <c r="H32" i="4"/>
  <c r="H33" s="1"/>
  <c r="I35" i="6" l="1"/>
  <c r="I36" s="1"/>
  <c r="I33" i="4"/>
  <c r="I34" s="1"/>
  <c r="H36" i="6" l="1"/>
  <c r="H37" s="1"/>
  <c r="H34" i="4"/>
  <c r="H35" s="1"/>
  <c r="H36" s="1"/>
  <c r="H37" s="1"/>
  <c r="I35"/>
  <c r="I36" s="1"/>
  <c r="I37" i="6" l="1"/>
  <c r="I38" s="1"/>
  <c r="I37" i="4"/>
  <c r="I38" s="1"/>
  <c r="I39" i="6" l="1"/>
  <c r="I40" s="1"/>
  <c r="H38"/>
  <c r="H39" s="1"/>
  <c r="H40"/>
  <c r="H41" s="1"/>
  <c r="H38" i="4"/>
  <c r="H39" s="1"/>
  <c r="I39" l="1"/>
  <c r="I40" s="1"/>
  <c r="I41" i="6"/>
  <c r="I42" s="1"/>
  <c r="H42" l="1"/>
  <c r="I43" s="1"/>
  <c r="H40" i="4"/>
  <c r="H41" s="1"/>
  <c r="H43" i="6" l="1"/>
  <c r="H44" s="1"/>
  <c r="I41" i="4"/>
  <c r="I42" s="1"/>
  <c r="I44" i="6" l="1"/>
  <c r="I45" s="1"/>
  <c r="H42" i="4"/>
  <c r="H45" i="6" l="1"/>
  <c r="H43" i="4"/>
  <c r="I43"/>
  <c r="I44" s="1"/>
  <c r="H46" i="6" l="1"/>
  <c r="H47" s="1"/>
  <c r="I46"/>
  <c r="H44" i="4"/>
  <c r="H45" s="1"/>
  <c r="I45"/>
  <c r="I46" s="1"/>
  <c r="H48" i="6" l="1"/>
  <c r="H49" s="1"/>
  <c r="I47"/>
  <c r="I48" s="1"/>
  <c r="I47" i="4"/>
  <c r="I48" s="1"/>
  <c r="H46"/>
  <c r="H47" s="1"/>
  <c r="H48"/>
  <c r="H49" s="1"/>
  <c r="H50" i="6" l="1"/>
  <c r="I49"/>
  <c r="I50" s="1"/>
  <c r="I51"/>
  <c r="I52" s="1"/>
  <c r="H51"/>
  <c r="H50" i="4"/>
  <c r="H51" s="1"/>
  <c r="I49"/>
  <c r="I50" s="1"/>
  <c r="I51"/>
  <c r="I52" s="1"/>
  <c r="H52"/>
  <c r="H53" s="1"/>
  <c r="I53" i="6" l="1"/>
  <c r="I54" s="1"/>
  <c r="H52"/>
  <c r="H53" s="1"/>
  <c r="I53" i="4"/>
  <c r="I54" s="1"/>
  <c r="H54" i="6" l="1"/>
  <c r="H55" s="1"/>
  <c r="H54" i="4"/>
  <c r="H55" s="1"/>
  <c r="I55" i="6" l="1"/>
  <c r="I56" s="1"/>
  <c r="I55" i="4"/>
  <c r="I56" s="1"/>
  <c r="I57" i="6" l="1"/>
  <c r="I58" s="1"/>
  <c r="H56"/>
  <c r="H57" s="1"/>
  <c r="H56" i="4"/>
  <c r="H57" s="1"/>
  <c r="I57"/>
  <c r="I58" s="1"/>
  <c r="I59" i="6" l="1"/>
  <c r="I60" s="1"/>
  <c r="H58"/>
  <c r="H59" s="1"/>
  <c r="H58" i="4"/>
  <c r="H59" s="1"/>
  <c r="I61" i="6" l="1"/>
  <c r="I62" s="1"/>
  <c r="H60"/>
  <c r="H61" s="1"/>
  <c r="I59" i="4"/>
  <c r="I60" s="1"/>
  <c r="I63" i="6" l="1"/>
  <c r="I64" s="1"/>
  <c r="H62"/>
  <c r="H63" s="1"/>
  <c r="H60" i="4"/>
  <c r="H61" s="1"/>
  <c r="I61"/>
  <c r="I62" s="1"/>
  <c r="I65" i="6" l="1"/>
  <c r="I66" s="1"/>
  <c r="H64"/>
  <c r="H65" s="1"/>
  <c r="H62" i="4"/>
  <c r="H63" s="1"/>
  <c r="I67" i="6" l="1"/>
  <c r="I68" s="1"/>
  <c r="H66"/>
  <c r="H67" s="1"/>
  <c r="I63" i="4"/>
  <c r="I64" s="1"/>
  <c r="I69" i="6" l="1"/>
  <c r="I70" s="1"/>
  <c r="H68"/>
  <c r="H69" s="1"/>
  <c r="H64" i="4"/>
  <c r="H65" s="1"/>
  <c r="I71" i="6" l="1"/>
  <c r="I72" s="1"/>
  <c r="H70"/>
  <c r="H71" s="1"/>
  <c r="I65" i="4"/>
  <c r="I66" s="1"/>
  <c r="I73" i="6" l="1"/>
  <c r="I74" s="1"/>
  <c r="H72"/>
  <c r="H73" s="1"/>
  <c r="H66" i="4"/>
  <c r="H67" s="1"/>
  <c r="I75" i="6" l="1"/>
  <c r="I76" s="1"/>
  <c r="H74"/>
  <c r="H75" s="1"/>
  <c r="I67" i="4"/>
  <c r="I68" s="1"/>
  <c r="I77" i="6" l="1"/>
  <c r="I78" s="1"/>
  <c r="H76"/>
  <c r="H77" s="1"/>
  <c r="H68" i="4"/>
  <c r="H69" s="1"/>
  <c r="I79" i="6" l="1"/>
  <c r="I80" s="1"/>
  <c r="H78"/>
  <c r="H79" s="1"/>
  <c r="H70" i="4"/>
  <c r="H71" s="1"/>
  <c r="I69"/>
  <c r="I70" s="1"/>
  <c r="I81" i="6" l="1"/>
  <c r="I82" s="1"/>
  <c r="H80"/>
  <c r="H81" s="1"/>
  <c r="I71" i="4"/>
  <c r="I72" s="1"/>
  <c r="I83" i="6" l="1"/>
  <c r="I84" s="1"/>
  <c r="H82"/>
  <c r="H83" s="1"/>
  <c r="H72" i="4"/>
  <c r="H73" s="1"/>
  <c r="H74" s="1"/>
  <c r="I73"/>
  <c r="I74"/>
  <c r="I75" s="1"/>
  <c r="B14" i="19" l="1"/>
  <c r="B13" s="1"/>
  <c r="B42" s="1"/>
  <c r="B43" s="1"/>
  <c r="H84" i="6"/>
  <c r="H85" s="1"/>
  <c r="H75" i="4"/>
  <c r="H76" s="1"/>
  <c r="I85" i="6" l="1"/>
  <c r="I86" s="1"/>
  <c r="I76" i="4"/>
  <c r="I77" s="1"/>
  <c r="H86" i="6" l="1"/>
  <c r="H87" s="1"/>
  <c r="H77" i="4"/>
  <c r="H78" s="1"/>
  <c r="H88" i="6" l="1"/>
  <c r="H89" s="1"/>
  <c r="H90" s="1"/>
  <c r="H91" s="1"/>
  <c r="I87"/>
  <c r="I88" s="1"/>
  <c r="I89" s="1"/>
  <c r="I90" s="1"/>
  <c r="I91" s="1"/>
  <c r="I92" s="1"/>
  <c r="I93" s="1"/>
  <c r="I94" s="1"/>
  <c r="H92"/>
  <c r="H93" s="1"/>
  <c r="H79" i="4"/>
  <c r="H80" s="1"/>
  <c r="H81" s="1"/>
  <c r="I78"/>
  <c r="I79" s="1"/>
  <c r="I80" s="1"/>
  <c r="H94" i="6" l="1"/>
  <c r="H95" s="1"/>
  <c r="I81" i="4"/>
  <c r="I82" s="1"/>
  <c r="I95" i="6" l="1"/>
  <c r="I96" s="1"/>
  <c r="H82" i="4"/>
  <c r="H83" s="1"/>
  <c r="B14" i="7"/>
  <c r="B13" s="1"/>
  <c r="B38" s="1"/>
  <c r="B39" s="1"/>
  <c r="I83" i="4"/>
  <c r="H84" s="1"/>
  <c r="I84"/>
  <c r="I97" i="6" l="1"/>
  <c r="I98" s="1"/>
  <c r="H96"/>
  <c r="H97" s="1"/>
  <c r="I85" i="4"/>
  <c r="H85"/>
  <c r="H86" s="1"/>
  <c r="I99" i="6" l="1"/>
  <c r="I100" s="1"/>
  <c r="H98"/>
  <c r="H99" s="1"/>
  <c r="I86" i="4"/>
  <c r="I87" s="1"/>
  <c r="H100" i="6" l="1"/>
  <c r="H87" i="4"/>
  <c r="H88" s="1"/>
  <c r="I88" l="1"/>
  <c r="I89" s="1"/>
  <c r="H89" l="1"/>
  <c r="H90" s="1"/>
  <c r="I90" l="1"/>
  <c r="I91" s="1"/>
  <c r="H91" l="1"/>
  <c r="H92" s="1"/>
  <c r="I92" l="1"/>
  <c r="I93" s="1"/>
  <c r="H93" l="1"/>
  <c r="H94" l="1"/>
  <c r="H95" s="1"/>
  <c r="I94"/>
  <c r="I95" l="1"/>
  <c r="I96" s="1"/>
  <c r="H96" l="1"/>
  <c r="H97" s="1"/>
  <c r="I97" l="1"/>
  <c r="I98" s="1"/>
  <c r="H98" l="1"/>
  <c r="H99" l="1"/>
  <c r="I99"/>
  <c r="I100" l="1"/>
  <c r="H100"/>
  <c r="H101" l="1"/>
  <c r="I101"/>
  <c r="I102" l="1"/>
  <c r="H102"/>
  <c r="H103" l="1"/>
  <c r="I103"/>
  <c r="I104" l="1"/>
  <c r="H104"/>
  <c r="I105" l="1"/>
  <c r="H105"/>
  <c r="I106" s="1"/>
  <c r="H106" l="1"/>
  <c r="I107" s="1"/>
  <c r="H107" l="1"/>
  <c r="H108" s="1"/>
  <c r="I108" l="1"/>
  <c r="I109" s="1"/>
  <c r="H109" l="1"/>
  <c r="H110" s="1"/>
  <c r="I110" l="1"/>
  <c r="I111" s="1"/>
  <c r="H111" l="1"/>
  <c r="H112" s="1"/>
  <c r="I112" l="1"/>
  <c r="H113" s="1"/>
  <c r="I113" l="1"/>
  <c r="I114" s="1"/>
  <c r="H114" l="1"/>
  <c r="H115" s="1"/>
  <c r="I115" l="1"/>
  <c r="H116" s="1"/>
  <c r="I116" l="1"/>
  <c r="H117" s="1"/>
  <c r="H118" s="1"/>
  <c r="I117"/>
  <c r="I118" l="1"/>
  <c r="H119" s="1"/>
  <c r="I119" l="1"/>
  <c r="I120" s="1"/>
  <c r="H120" l="1"/>
  <c r="H121" s="1"/>
  <c r="I121" l="1"/>
  <c r="I122" s="1"/>
  <c r="H122" l="1"/>
  <c r="H123" s="1"/>
  <c r="I123" l="1"/>
  <c r="I124" s="1"/>
  <c r="H124" l="1"/>
  <c r="H125" s="1"/>
  <c r="I125" l="1"/>
  <c r="H126" s="1"/>
  <c r="I126" l="1"/>
  <c r="H127" s="1"/>
  <c r="I127" l="1"/>
  <c r="H128" s="1"/>
  <c r="I128" l="1"/>
  <c r="I129" s="1"/>
  <c r="I130" l="1"/>
  <c r="I131" s="1"/>
  <c r="I132" s="1"/>
  <c r="I133" s="1"/>
  <c r="I134" s="1"/>
  <c r="H129"/>
  <c r="H130" s="1"/>
  <c r="H131" s="1"/>
  <c r="H132" s="1"/>
  <c r="H133" s="1"/>
  <c r="H134" s="1"/>
  <c r="H135" s="1"/>
  <c r="I135" l="1"/>
  <c r="I136" s="1"/>
  <c r="I137" s="1"/>
  <c r="I138" s="1"/>
  <c r="I139" s="1"/>
  <c r="H136"/>
  <c r="H137" s="1"/>
  <c r="H138" s="1"/>
  <c r="I140" l="1"/>
  <c r="I141" s="1"/>
  <c r="H139"/>
  <c r="H140" s="1"/>
  <c r="I142" l="1"/>
  <c r="I143" s="1"/>
  <c r="H141"/>
  <c r="H142" s="1"/>
  <c r="H143" l="1"/>
  <c r="H144" s="1"/>
  <c r="I144" l="1"/>
  <c r="I145" s="1"/>
  <c r="I146" s="1"/>
  <c r="I147" s="1"/>
  <c r="I148" s="1"/>
  <c r="H145"/>
  <c r="H146" s="1"/>
  <c r="H147" s="1"/>
  <c r="I149" l="1"/>
  <c r="I150" s="1"/>
  <c r="I151" s="1"/>
  <c r="I152" s="1"/>
  <c r="I153" s="1"/>
  <c r="I154" s="1"/>
  <c r="I155" s="1"/>
  <c r="I156" s="1"/>
  <c r="H148"/>
  <c r="H149" s="1"/>
  <c r="H150" s="1"/>
  <c r="H151" s="1"/>
  <c r="H152" s="1"/>
  <c r="H153" s="1"/>
  <c r="H154" s="1"/>
  <c r="H155" s="1"/>
  <c r="H156" s="1"/>
  <c r="H157" s="1"/>
  <c r="I157" l="1"/>
  <c r="I158" s="1"/>
  <c r="H158" l="1"/>
  <c r="H159" s="1"/>
  <c r="I159" l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H160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I177" l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H176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</calcChain>
</file>

<file path=xl/sharedStrings.xml><?xml version="1.0" encoding="utf-8"?>
<sst xmlns="http://schemas.openxmlformats.org/spreadsheetml/2006/main" count="1886" uniqueCount="458">
  <si>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</si>
  <si>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</si>
  <si>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</si>
  <si>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</si>
  <si>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</si>
  <si>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</si>
  <si>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</si>
  <si>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</si>
  <si>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</si>
  <si>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</si>
  <si>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</si>
  <si>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</si>
  <si>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</si>
  <si>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</si>
  <si>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</si>
  <si>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</si>
  <si>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</si>
  <si>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</si>
  <si>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</si>
  <si>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</si>
  <si>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</si>
  <si>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</si>
  <si>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</si>
  <si>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</si>
  <si>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</si>
  <si>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</si>
  <si>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</si>
  <si>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</si>
  <si>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</si>
  <si>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</si>
  <si>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</si>
  <si>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</si>
  <si>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</si>
  <si>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</si>
  <si>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</si>
  <si>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</si>
  <si>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</si>
  <si>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</si>
  <si>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</si>
  <si>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</si>
  <si>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</si>
  <si>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</si>
  <si>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</si>
  <si>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</si>
  <si>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</si>
  <si>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</si>
  <si>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</si>
  <si>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</si>
  <si>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</si>
  <si>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</si>
  <si>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</si>
  <si>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</si>
  <si>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</si>
  <si>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</si>
  <si>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</si>
  <si>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</si>
  <si>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</si>
  <si>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</si>
  <si>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</si>
  <si>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</si>
  <si>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</si>
  <si>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</si>
  <si>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</si>
  <si>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</si>
  <si>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</si>
  <si>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</si>
  <si>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</si>
  <si>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</si>
  <si>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</si>
  <si>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</si>
  <si>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</si>
  <si>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</si>
  <si>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</si>
  <si>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</si>
  <si>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</si>
  <si>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</si>
  <si>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</si>
  <si>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</si>
  <si>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</si>
  <si>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</si>
  <si>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</si>
  <si>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</si>
  <si>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</si>
  <si>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</si>
  <si>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</si>
  <si>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</si>
  <si>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</si>
  <si>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</si>
  <si>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</si>
  <si>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</si>
  <si>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</si>
  <si>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</si>
  <si>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</si>
  <si>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</si>
  <si>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</si>
  <si>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</si>
  <si>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</si>
  <si>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</si>
  <si>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</si>
  <si>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</si>
  <si>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</si>
  <si>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</si>
  <si>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</si>
  <si>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</si>
  <si>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</si>
  <si>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</si>
  <si>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</si>
  <si>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</si>
  <si>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</si>
  <si>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</si>
  <si>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</si>
  <si>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</si>
  <si>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</si>
  <si>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</si>
  <si>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</si>
  <si>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</si>
  <si>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</si>
  <si>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</si>
  <si>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</si>
  <si>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</si>
  <si>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</si>
  <si>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</si>
  <si>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</si>
  <si>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</si>
  <si>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</si>
  <si>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</si>
  <si>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</si>
  <si>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</si>
  <si>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</si>
  <si>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</si>
  <si>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</si>
  <si>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</si>
  <si>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</si>
  <si>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</si>
  <si>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</si>
  <si>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</si>
  <si>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1121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</si>
  <si>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</si>
  <si>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</si>
  <si>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</si>
  <si>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</si>
  <si>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</si>
  <si>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C03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</si>
  <si>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</si>
  <si>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</si>
  <si>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</si>
  <si>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</si>
  <si>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</si>
  <si>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</si>
  <si>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</si>
  <si>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</si>
  <si>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</si>
  <si>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Huỳnh Thị Kiều</t>
  </si>
  <si>
    <t>Nguyễn Thị Kim Vân</t>
  </si>
  <si>
    <t>C22</t>
  </si>
  <si>
    <t>TU08</t>
  </si>
  <si>
    <t>TU07</t>
  </si>
  <si>
    <t>C05</t>
  </si>
  <si>
    <t>C06</t>
  </si>
  <si>
    <t>TU09</t>
  </si>
  <si>
    <t>TU10</t>
  </si>
  <si>
    <t>Hồ Thị Mỹ</t>
  </si>
  <si>
    <t>Đỗ Văn Tâm</t>
  </si>
  <si>
    <t>C02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</si>
  <si>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</si>
  <si>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</si>
  <si>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</si>
  <si>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</si>
  <si>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</si>
  <si>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</si>
  <si>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</si>
  <si>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Huỳnh Em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</si>
  <si>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</si>
  <si>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</si>
  <si>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</si>
  <si>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</si>
  <si>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</si>
  <si>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</si>
  <si>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</si>
  <si>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</si>
  <si>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</si>
  <si>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</si>
  <si>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</si>
  <si>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</si>
  <si>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</si>
  <si>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C08</t>
  </si>
  <si>
    <t>C17</t>
  </si>
  <si>
    <t>TU15</t>
  </si>
  <si>
    <t>TU17</t>
  </si>
  <si>
    <t>Trần Thị Tuyết</t>
  </si>
  <si>
    <t>TU19</t>
  </si>
  <si>
    <t>TU21</t>
  </si>
  <si>
    <t>C36</t>
  </si>
  <si>
    <t>TU23</t>
  </si>
  <si>
    <t>C49</t>
  </si>
  <si>
    <t>C53</t>
  </si>
  <si>
    <t>T09</t>
  </si>
  <si>
    <t>Thu tạm ứng mua NL</t>
  </si>
  <si>
    <t>- Ngày mở sổ: 02/01/2014</t>
  </si>
  <si>
    <t>Ngày    31      tháng     12      năm      2014</t>
  </si>
  <si>
    <t>N02/NL &amp; N06/NL &amp; N04/NL</t>
  </si>
  <si>
    <t>N01/NL &amp; N03/NL &amp; N07/NL</t>
  </si>
  <si>
    <t>N18/NL</t>
  </si>
  <si>
    <t>N10/NL &amp; N45/NL</t>
  </si>
  <si>
    <t>N19/NL</t>
  </si>
  <si>
    <t>N17/NL</t>
  </si>
  <si>
    <t>N05/NL &amp; N08/NL &amp; N09/NL</t>
  </si>
  <si>
    <t>N15/NL &amp; N24/NL &amp; N29/NL &amp; N31/NL</t>
  </si>
  <si>
    <t>N20/NL</t>
  </si>
  <si>
    <t>N30/NL &amp; N32/NL</t>
  </si>
  <si>
    <t>N44/NL</t>
  </si>
  <si>
    <t>N46/NL</t>
  </si>
  <si>
    <t>N33/NL &amp; N43/NL</t>
  </si>
  <si>
    <t>N05/NL &amp; N08/NL</t>
  </si>
  <si>
    <t>N07/NL &amp; N04/NL</t>
  </si>
  <si>
    <t>N09/NL &amp; N06/NL</t>
  </si>
  <si>
    <t>N38/NL &amp; N32/NL</t>
  </si>
  <si>
    <t>N07/NL &amp; N39/NL</t>
  </si>
  <si>
    <t>N03/NL &amp; N06/NL &amp; N14/NL</t>
  </si>
  <si>
    <t>N21/NL</t>
  </si>
  <si>
    <t>N04/NL &amp; N15/NL</t>
  </si>
  <si>
    <t>N23/NL</t>
  </si>
  <si>
    <t>N16/NL</t>
  </si>
  <si>
    <t>N08/NL &amp; N34/NL &amp; N40/NL</t>
  </si>
  <si>
    <t>N24/NL</t>
  </si>
  <si>
    <t>N05/NL</t>
  </si>
  <si>
    <t>N04/NL &amp; N02/NL</t>
  </si>
  <si>
    <t>N01/NL &amp; N14/NL &amp; N18/NL</t>
  </si>
  <si>
    <t>N15/NL &amp; N19/NL</t>
  </si>
  <si>
    <t>N16/NL &amp; N20/NL</t>
  </si>
  <si>
    <t>N03/NL &amp; N06/NL</t>
  </si>
  <si>
    <t>N01/NL &amp; N15/NL</t>
  </si>
  <si>
    <t>N05/NL &amp; N09/NL</t>
  </si>
  <si>
    <t>N06/NL</t>
  </si>
  <si>
    <t>N02/NL &amp; N14/NL &amp; N27/NL</t>
  </si>
  <si>
    <t>N26/NL</t>
  </si>
  <si>
    <t>N07/NL</t>
  </si>
  <si>
    <t>N04/NL &amp; N11/NL</t>
  </si>
  <si>
    <t>N24/NL &amp; N25/NL</t>
  </si>
  <si>
    <t>N03/NL &amp; N13/NL</t>
  </si>
  <si>
    <t>N08/NL</t>
  </si>
  <si>
    <t>N12/NL</t>
  </si>
  <si>
    <t>N05/NL &amp; N13/NL &amp; N06/NL &amp; N30/NL &amp; N42/NL</t>
  </si>
  <si>
    <t>N06/NL &amp; N14/NL &amp; N21/NL &amp; N31/NL &amp; N43/NL</t>
  </si>
  <si>
    <t>N01/NL &amp; N25/NL &amp; N21/NL</t>
  </si>
  <si>
    <t>N07/NL &amp; N32/NL</t>
  </si>
  <si>
    <t>N02/NL &amp; N26/NL &amp; N22/NL</t>
  </si>
  <si>
    <t>N03/NL &amp; N27/NL</t>
  </si>
  <si>
    <t>N08/NL &amp; N33/NL</t>
  </si>
  <si>
    <t>N04/NL &amp; N28/NL</t>
  </si>
  <si>
    <t>N15/NL</t>
  </si>
  <si>
    <t>N01/NL &amp; N05/NL &amp; N16/NL &amp; N30/NL</t>
  </si>
  <si>
    <t>N06/NL &amp; N17/NL &amp; N31/NL</t>
  </si>
  <si>
    <t>N35/NL</t>
  </si>
  <si>
    <t>N33/NL</t>
  </si>
  <si>
    <t>N03/NL</t>
  </si>
  <si>
    <t>N36/NL</t>
  </si>
  <si>
    <t>N04/NL</t>
  </si>
  <si>
    <t>N34/NL &amp; N37/NL</t>
  </si>
  <si>
    <t>N02/NL &amp; N07/NL &amp; N18/NL &amp; N32/NL</t>
  </si>
  <si>
    <t>N11/NL</t>
  </si>
  <si>
    <t>N25/NL &amp; N26/NL &amp; N38/NL</t>
  </si>
  <si>
    <t>N39/NL</t>
  </si>
  <si>
    <t>N27/NL &amp; N40/NL</t>
  </si>
  <si>
    <t>N09/NL</t>
  </si>
  <si>
    <t>N10/NL</t>
  </si>
  <si>
    <t>N01/NL</t>
  </si>
  <si>
    <t>N05/NL &amp; N16/NL</t>
  </si>
  <si>
    <t>N02/NL</t>
  </si>
  <si>
    <t>N14/NL</t>
  </si>
  <si>
    <t>N18/NL &amp; N34/NL</t>
  </si>
  <si>
    <t>N22/NL</t>
  </si>
  <si>
    <t>N01/NL &amp; N19/NL &amp; N24/NL &amp; N30/NL &amp; N35/NL</t>
  </si>
  <si>
    <t>N04/NL &amp; N13/NL</t>
  </si>
  <si>
    <t>N16/NL &amp; N20/NL &amp; N36/NL</t>
  </si>
  <si>
    <t>N05/NL &amp; N14/NL</t>
  </si>
  <si>
    <t>N06/NL &amp; N02/NL</t>
  </si>
  <si>
    <t>N25/NL &amp; N32/NL</t>
  </si>
  <si>
    <t>N26/NL &amp; N33/NL</t>
  </si>
  <si>
    <t>N07/NL &amp; N15/NL</t>
  </si>
  <si>
    <t>N05/NL &amp; N33/NL &amp; N39/NL</t>
  </si>
  <si>
    <t>N04/NL &amp; N38/NL</t>
  </si>
  <si>
    <t>N30/NL</t>
  </si>
  <si>
    <t>N40/NL</t>
  </si>
  <si>
    <t>N17/NL &amp; N31/NL &amp; N36/NL</t>
  </si>
  <si>
    <t>N26/NL &amp; N06/NL &amp; N28/NL</t>
  </si>
  <si>
    <t>N20/NL &amp; N32/NL</t>
  </si>
  <si>
    <t>N21/NL &amp; N34/NL &amp; N41/NL</t>
  </si>
  <si>
    <t>N18/NL &amp; N37/NL</t>
  </si>
  <si>
    <t>N07/NL &amp; N42/NL</t>
  </si>
  <si>
    <t>N25/NL</t>
  </si>
  <si>
    <t>N23/NL &amp; N27/NL &amp; N29/NL</t>
  </si>
  <si>
    <t>N09/NL &amp; N22/NL</t>
  </si>
  <si>
    <t>N16/NL &amp; N36/NL</t>
  </si>
  <si>
    <t>N37/NL &amp; N17/NL</t>
  </si>
  <si>
    <t>N37/NL</t>
  </si>
  <si>
    <t>N01/NL &amp; N09/NL</t>
  </si>
  <si>
    <t>N29/NL &amp; N38/NL &amp; N39/NL</t>
  </si>
  <si>
    <t>N18/NL &amp; N38/NL</t>
  </si>
  <si>
    <t>N30/NL &amp; N39/NL &amp; N40/NL</t>
  </si>
  <si>
    <t>N02/NL &amp; N10/NL</t>
  </si>
  <si>
    <t>N03/NL &amp; N11/NL</t>
  </si>
  <si>
    <t>N31/NL &amp; N42/NL</t>
  </si>
  <si>
    <t>N32/NL &amp; N40/NL &amp; N41/NL &amp; N43/NL</t>
  </si>
  <si>
    <t>N44/NL &amp; N08/NL</t>
  </si>
  <si>
    <t>N13/NL &amp; N16/NL</t>
  </si>
  <si>
    <t>N04/NL &amp; N39/NL &amp; N07/NL</t>
  </si>
  <si>
    <t>N05/NL &amp; N08/NL &amp; N21/NL &amp; N24/NL &amp; N30/NL &amp; N40/NL</t>
  </si>
  <si>
    <t>N35/NL &amp; N06/NL &amp; N41/NL &amp; N09/NL</t>
  </si>
  <si>
    <t>N15/NL &amp; N17/NL</t>
  </si>
  <si>
    <t>N10/NL &amp; N25/NL</t>
  </si>
  <si>
    <t>N11/NL &amp; N26/NL</t>
  </si>
  <si>
    <t>N34/NL &amp; N12/NL</t>
  </si>
  <si>
    <t>N22/NL &amp; N32/NL</t>
  </si>
  <si>
    <t>N23/NL &amp; N33/NL</t>
  </si>
  <si>
    <t>N42/NL</t>
  </si>
  <si>
    <t>N43/NL</t>
  </si>
  <si>
    <t>Nguyễn Văn Đức</t>
  </si>
  <si>
    <t>Nguyễn Văn Tư</t>
  </si>
  <si>
    <t>TU12</t>
  </si>
  <si>
    <t>TU14</t>
  </si>
  <si>
    <t>TU16</t>
  </si>
  <si>
    <t>TU18</t>
  </si>
  <si>
    <t>TU20</t>
  </si>
  <si>
    <t>TU22</t>
  </si>
  <si>
    <t>TU24</t>
  </si>
  <si>
    <t>C54</t>
  </si>
  <si>
    <t>T10</t>
  </si>
  <si>
    <t>N13/NL &amp; N36/NL &amp; N21/NL &amp; N35/NL</t>
  </si>
  <si>
    <t>N41/NL &amp; N47/NL &amp; N27/NL</t>
  </si>
  <si>
    <t>N11/NL &amp; N37/NL</t>
  </si>
  <si>
    <t>N12/NL &amp; N22/NL</t>
  </si>
  <si>
    <t>N16/NL &amp; N38/NL</t>
  </si>
  <si>
    <t>N42/NL &amp; N48/NL &amp; N28/NL</t>
  </si>
  <si>
    <t>N14/NL &amp; N23/NL</t>
  </si>
  <si>
    <t>N26/NL &amp; N34/NL &amp; N40/NL</t>
  </si>
  <si>
    <t>N25/NL &amp; N39/NL</t>
  </si>
  <si>
    <t>N16/NL &amp; N13/NL</t>
  </si>
  <si>
    <t>N15/NL &amp; N12/NL</t>
  </si>
  <si>
    <t>N17/NL &amp; N14/NL</t>
  </si>
  <si>
    <t>N28/NL &amp; N41/NL</t>
  </si>
  <si>
    <t>N29/NL</t>
  </si>
  <si>
    <t>N35/NL &amp; N46/NL &amp; N42/NL &amp; N49/NL</t>
  </si>
  <si>
    <t>N25/NL &amp; N47/NL &amp; N50/NL</t>
  </si>
  <si>
    <t>N11/NL &amp; N18/NL</t>
  </si>
  <si>
    <t>N22/NL &amp; N31/NL &amp; N33/NL &amp; N43/NL</t>
  </si>
  <si>
    <t>N12/NL &amp; N01/NL &amp; N19/NL</t>
  </si>
  <si>
    <t>N26/NL &amp; N36/NL &amp; N48/NL</t>
  </si>
  <si>
    <t>N02/NL &amp; N13/NL &amp; N20/NL</t>
  </si>
  <si>
    <t>N27/NL &amp; N37/NL &amp; N51/NL</t>
  </si>
  <si>
    <t>N45/NL</t>
  </si>
  <si>
    <t>N07/NL &amp; N09/NL &amp; N26/NL</t>
  </si>
  <si>
    <t>N13/NL &amp; N23/NL</t>
  </si>
  <si>
    <t>N08/NL &amp; N10/NL &amp; N27/NL</t>
  </si>
  <si>
    <t>N21/NL &amp; N24/NL</t>
  </si>
  <si>
    <t>N11/NL &amp; N28/NL</t>
  </si>
  <si>
    <t>N22/NL &amp; N25/NL</t>
  </si>
  <si>
    <t>N09/NL &amp; N37/NL</t>
  </si>
  <si>
    <t>N01/NL &amp; N07/NL</t>
  </si>
  <si>
    <t>N10/NL &amp; N38/NL</t>
  </si>
  <si>
    <t>N02/NL &amp; N09/NL</t>
  </si>
  <si>
    <t>N11/NL &amp; N39/NL</t>
  </si>
  <si>
    <t>N04/NL &amp; N10/NL</t>
  </si>
  <si>
    <t>N12/NL &amp; N40/NL</t>
  </si>
  <si>
    <t>N27/NL</t>
  </si>
  <si>
    <t>N19/NL &amp; N22/NL</t>
  </si>
  <si>
    <t>N08/NL &amp; N13/NL</t>
  </si>
  <si>
    <t>N09/NL &amp; N14/NL &amp; N28/NL</t>
  </si>
  <si>
    <t xml:space="preserve">N20/NL &amp; N23/NL </t>
  </si>
  <si>
    <t>N10/NL &amp; N15/NL &amp; N29/NL</t>
  </si>
  <si>
    <t>N13/NL</t>
  </si>
  <si>
    <t>N08/NL &amp; N12/NL</t>
  </si>
  <si>
    <t>N11/NL &amp; N27/NL</t>
  </si>
  <si>
    <t>N12/NL &amp; N31/NL</t>
  </si>
  <si>
    <t>N28/NL</t>
  </si>
  <si>
    <t>N01/NL &amp; N13/NL</t>
  </si>
  <si>
    <t>N02/NL &amp; N16/NL</t>
  </si>
  <si>
    <t>N03/NL &amp; N12/NL</t>
  </si>
  <si>
    <t>N23/NL &amp; N26/NL</t>
  </si>
  <si>
    <t>N14/NL &amp; N20/NL</t>
  </si>
  <si>
    <t>N25/NL &amp; N27/NL</t>
  </si>
  <si>
    <t>N12/NL &amp; N15/NL &amp; N21/NL</t>
  </si>
  <si>
    <t>N27/NL &amp; N36/NL &amp; N44/NL</t>
  </si>
  <si>
    <t>N18/NL &amp; N37/NL &amp; N45/NL</t>
  </si>
  <si>
    <t>N31/NL</t>
  </si>
  <si>
    <t>N19/NL &amp; N28/NL &amp; N38/NL</t>
  </si>
  <si>
    <t>N20/NL &amp; N29/NL &amp; N46/NL</t>
  </si>
  <si>
    <t>TỔNG HỢP TÀI KHOẢN 341 - 2014</t>
  </si>
  <si>
    <t>TỔNG HỢP TÀI KHOẢN 311 - 2014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</si>
  <si>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</si>
  <si>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</si>
  <si>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</si>
  <si>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</si>
  <si>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</si>
  <si>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</si>
  <si>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</si>
  <si>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KU 1015LDS201400091</t>
  </si>
  <si>
    <t>KU 1015LDS201400123</t>
  </si>
  <si>
    <t>KU 1015LDS201400256</t>
  </si>
  <si>
    <t>KU 1015LDS201400441</t>
  </si>
  <si>
    <t>KU 1015LDS201400651</t>
  </si>
  <si>
    <t>KU 1015LDS201401258</t>
  </si>
  <si>
    <t>KU 1402LDS201400889 - VND</t>
  </si>
  <si>
    <t>KU 1402LDS201401052 - TM</t>
  </si>
  <si>
    <t>KU 1402LDS201401189 - VND</t>
  </si>
  <si>
    <t>KU 1402LDS201401704 - TM</t>
  </si>
  <si>
    <t>KU 1402LDS201402734 - VND</t>
  </si>
  <si>
    <t>KU 1402LDS201403120 - TM</t>
  </si>
  <si>
    <t>KU 1402LDS201403271 - VND</t>
  </si>
  <si>
    <t>Tất toán KU 1015LDS201301328</t>
  </si>
  <si>
    <t>515</t>
  </si>
  <si>
    <t>Tất toán KU 1015LDS201301388</t>
  </si>
  <si>
    <t>NH</t>
  </si>
  <si>
    <t>Tất toán KU 1015LDS201301628</t>
  </si>
  <si>
    <t>Tất toán KU 1015LDS201301795</t>
  </si>
  <si>
    <t>Tất toán KU 1015LDS201301994</t>
  </si>
  <si>
    <t>311</t>
  </si>
  <si>
    <t>Vay KU 1015LDS201400091</t>
  </si>
  <si>
    <t>Tất toán vay KU 1015LDS201400091</t>
  </si>
  <si>
    <t>Vay  KU 1015LDS201400123</t>
  </si>
  <si>
    <t>Tất toán KU 1015LDS201400123</t>
  </si>
  <si>
    <t>Vay KU 1015LDS201400256</t>
  </si>
  <si>
    <t>Trả một phần gốc KU 1015LDS201400256</t>
  </si>
  <si>
    <t>Tất toán KU 1015LDS201400256</t>
  </si>
  <si>
    <t>Vay KU 1015LDS201400441</t>
  </si>
  <si>
    <t>Trả một phần gốc KU 1015LDS201400441</t>
  </si>
  <si>
    <t>Tất toán gốc KU 1015LDS201400441</t>
  </si>
  <si>
    <t>Vay KU 1015LDS201400651</t>
  </si>
  <si>
    <t>Tất toán gốc KU 1015LDS201400651</t>
  </si>
  <si>
    <t>Vay KU 1015LDS201401258</t>
  </si>
  <si>
    <t>Trả nợ KU 1015LDS201401258</t>
  </si>
  <si>
    <t>Vay KU 1015LDS201401292</t>
  </si>
  <si>
    <t>Trả nợ 1 phần  KU 1015LDS201401292</t>
  </si>
  <si>
    <t>Vay KU 1015LDS201401534</t>
  </si>
  <si>
    <t>Vay KU 1015LDS201401631</t>
  </si>
  <si>
    <t>Vay KU 1015LDS201401746</t>
  </si>
  <si>
    <t>Vay KU 1015LDS201401772</t>
  </si>
  <si>
    <t>Vay KU 1015LDS201401879</t>
  </si>
  <si>
    <t>Vay KU 1015LDS201402000</t>
  </si>
  <si>
    <t>Vay KU 1015LDS201402368</t>
  </si>
  <si>
    <t>Vay KU 1015LDS201402775</t>
  </si>
  <si>
    <t>Vay KU 1015LDS201402807</t>
  </si>
  <si>
    <t>Vay KU 1015LDS201402868</t>
  </si>
  <si>
    <t>Vay KU 1402LDS201400889</t>
  </si>
  <si>
    <t>Tất toán KU 1402LDS201400889</t>
  </si>
  <si>
    <t>Vay KU 1402LDS201401052</t>
  </si>
  <si>
    <t>Tất toán KU 1402LDS201401052</t>
  </si>
  <si>
    <t>Vay KU 1402LDS201401189</t>
  </si>
  <si>
    <t>Tất toán KU 1402LDS201401189</t>
  </si>
  <si>
    <t>Vay KU 1402LDS201401704</t>
  </si>
  <si>
    <t>Vay KU 1402LDS201402734</t>
  </si>
  <si>
    <t>T04</t>
  </si>
  <si>
    <t>Vay KU 1402LDS201403120</t>
  </si>
  <si>
    <t>Vay KU 1402LDS201403271</t>
  </si>
  <si>
    <t>Trả một phần gốc KU 1015LDS201000102</t>
  </si>
  <si>
    <t>Trả một phần gốc KU 1015LDS201200376</t>
  </si>
  <si>
    <t>Trả một phần gốc KU 1015LDS201200377</t>
  </si>
  <si>
    <t>Trả một phần gốc KU 1015LDS201200378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</si>
</sst>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04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54" fillId="0" borderId="29" xfId="61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25" borderId="0" xfId="54" applyFont="1" applyFill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O50"/>
  <sheetViews>
    <sheetView showZeros="0" tabSelected="1" workbookViewId="0">
      <pane ySplit="4" topLeftCell="A5" activePane="bottomLeft" state="frozen"/>
      <selection pane="bottomLeft" activeCell="B5" sqref="B5:B8"/>
    </sheetView>
  </sheetViews>
  <sheetFormatPr defaultColWidth="9.140625" defaultRowHeight="13.5"/>
  <cols>
    <col min="1" max="1" width="4.28515625" style="149" customWidth="1"/>
    <col min="2" max="2" width="23.5703125" style="149" customWidth="1"/>
    <col min="3" max="3" width="8.7109375" style="149" customWidth="1"/>
    <col min="4" max="4" width="8.28515625" style="149" customWidth="1"/>
    <col min="5" max="5" width="9" style="149" customWidth="1"/>
    <col min="6" max="6" width="10.42578125" style="149" customWidth="1"/>
    <col min="7" max="7" width="12.28515625" style="149" customWidth="1"/>
    <col min="8" max="8" width="11.140625" style="149" customWidth="1"/>
    <col min="9" max="9" width="14.140625" style="168" customWidth="1"/>
    <col min="10" max="10" width="11" style="149" customWidth="1"/>
    <col min="11" max="11" width="13.85546875" style="149" customWidth="1"/>
    <col min="12" max="12" width="9.7109375" style="149" customWidth="1"/>
    <col min="13" max="13" width="10.85546875" style="149" customWidth="1"/>
    <col min="14" max="14" width="11.42578125" style="149" customWidth="1"/>
    <col min="15" max="15" width="13" style="168" customWidth="1"/>
    <col min="16" max="16384" width="9.140625" style="149"/>
  </cols>
  <sheetData>
    <row r="1" spans="1:15" ht="21.75" customHeight="1">
      <c r="A1" s="249" t="s">
        <v>387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</row>
    <row r="2" spans="1:15" s="152" customFormat="1" ht="13.5" customHeight="1">
      <c r="A2" s="252" t="s">
        <v>97</v>
      </c>
      <c r="B2" s="255" t="s">
        <v>98</v>
      </c>
      <c r="C2" s="255" t="s">
        <v>145</v>
      </c>
      <c r="D2" s="150" t="s">
        <v>99</v>
      </c>
      <c r="E2" s="150"/>
      <c r="F2" s="150"/>
      <c r="G2" s="150"/>
      <c r="H2" s="150" t="s">
        <v>100</v>
      </c>
      <c r="I2" s="151"/>
      <c r="J2" s="150"/>
      <c r="K2" s="150"/>
      <c r="L2" s="150" t="s">
        <v>101</v>
      </c>
      <c r="M2" s="150"/>
      <c r="N2" s="150"/>
      <c r="O2" s="151"/>
    </row>
    <row r="3" spans="1:15" s="152" customFormat="1" ht="14.25" customHeight="1">
      <c r="A3" s="253"/>
      <c r="B3" s="256"/>
      <c r="C3" s="256"/>
      <c r="D3" s="250" t="s">
        <v>102</v>
      </c>
      <c r="E3" s="251"/>
      <c r="F3" s="250" t="s">
        <v>103</v>
      </c>
      <c r="G3" s="251"/>
      <c r="H3" s="250" t="s">
        <v>102</v>
      </c>
      <c r="I3" s="251"/>
      <c r="J3" s="250" t="s">
        <v>103</v>
      </c>
      <c r="K3" s="251"/>
      <c r="L3" s="250" t="s">
        <v>102</v>
      </c>
      <c r="M3" s="251"/>
      <c r="N3" s="250" t="s">
        <v>103</v>
      </c>
      <c r="O3" s="251"/>
    </row>
    <row r="4" spans="1:15" s="152" customFormat="1" ht="30" customHeight="1">
      <c r="A4" s="254"/>
      <c r="B4" s="257"/>
      <c r="C4" s="257"/>
      <c r="D4" s="153" t="s">
        <v>104</v>
      </c>
      <c r="E4" s="153" t="s">
        <v>105</v>
      </c>
      <c r="F4" s="153" t="s">
        <v>104</v>
      </c>
      <c r="G4" s="153" t="s">
        <v>105</v>
      </c>
      <c r="H4" s="153" t="s">
        <v>104</v>
      </c>
      <c r="I4" s="154" t="s">
        <v>105</v>
      </c>
      <c r="J4" s="153" t="s">
        <v>104</v>
      </c>
      <c r="K4" s="153" t="s">
        <v>105</v>
      </c>
      <c r="L4" s="153" t="s">
        <v>104</v>
      </c>
      <c r="M4" s="153" t="s">
        <v>105</v>
      </c>
      <c r="N4" s="153" t="s">
        <v>104</v>
      </c>
      <c r="O4" s="154" t="s">
        <v>105</v>
      </c>
    </row>
    <row r="5" spans="1:15" s="152" customFormat="1" ht="18" customHeight="1">
      <c r="A5" s="155">
        <v>1</v>
      </c>
      <c r="B5" s="156" t="s">
        <v>106</v>
      </c>
      <c r="C5" s="218">
        <v>40200</v>
      </c>
      <c r="D5" s="157">
        <v>0</v>
      </c>
      <c r="E5" s="158">
        <v>0</v>
      </c>
      <c r="F5" s="157">
        <v>37981</v>
      </c>
      <c r="G5" s="158">
        <v>615404499</v>
      </c>
      <c r="H5" s="157">
        <f t="shared" ref="H5:H8" si="0">SUMIF(KUTH,$B5,_TH1)</f>
        <v>10055</v>
      </c>
      <c r="I5" s="158">
        <f t="shared" ref="I5:I8" si="1">SUMIF(KUTH,$B5,_TH2)</f>
        <v>213467650</v>
      </c>
      <c r="J5" s="157">
        <f t="shared" ref="J5:J8" si="2">SUMIF(KUTH,$B5,_TH3)</f>
        <v>0</v>
      </c>
      <c r="K5" s="158">
        <f t="shared" ref="K5:K8" si="3">SUMIF(KUTH,$B5,_TH4)</f>
        <v>0</v>
      </c>
      <c r="L5" s="159">
        <f t="shared" ref="L5:L8" si="4">ROUND(MAX(D5+H5-F5-J5,0),2)</f>
        <v>0</v>
      </c>
      <c r="M5" s="160">
        <f t="shared" ref="M5:M8" si="5">ROUND(MAX(E5+I5-G5-K5,0),2)</f>
        <v>0</v>
      </c>
      <c r="N5" s="159">
        <f t="shared" ref="N5:N8" si="6">ROUND(MAX(F5+J5-D5-H5,0),2)</f>
        <v>27926</v>
      </c>
      <c r="O5" s="160">
        <f t="shared" ref="O5:O8" si="7">ROUND(MAX(G5+K5-E5-I5,0),2)</f>
        <v>401936849</v>
      </c>
    </row>
    <row r="6" spans="1:15" s="152" customFormat="1" ht="18" customHeight="1">
      <c r="A6" s="155">
        <v>2</v>
      </c>
      <c r="B6" s="156" t="s">
        <v>107</v>
      </c>
      <c r="C6" s="218">
        <v>40964</v>
      </c>
      <c r="D6" s="157">
        <v>0</v>
      </c>
      <c r="E6" s="158">
        <v>0</v>
      </c>
      <c r="F6" s="157">
        <v>99141.39</v>
      </c>
      <c r="G6" s="158">
        <v>2067907207</v>
      </c>
      <c r="H6" s="157">
        <f t="shared" si="0"/>
        <v>32911</v>
      </c>
      <c r="I6" s="158">
        <f t="shared" si="1"/>
        <v>698700530</v>
      </c>
      <c r="J6" s="157">
        <f t="shared" si="2"/>
        <v>0</v>
      </c>
      <c r="K6" s="158">
        <f t="shared" si="3"/>
        <v>0</v>
      </c>
      <c r="L6" s="159">
        <f t="shared" si="4"/>
        <v>0</v>
      </c>
      <c r="M6" s="160">
        <f t="shared" si="5"/>
        <v>0</v>
      </c>
      <c r="N6" s="159">
        <f t="shared" si="6"/>
        <v>66230.39</v>
      </c>
      <c r="O6" s="160">
        <f t="shared" si="7"/>
        <v>1369206677</v>
      </c>
    </row>
    <row r="7" spans="1:15" s="152" customFormat="1" ht="18" customHeight="1">
      <c r="A7" s="155">
        <v>3</v>
      </c>
      <c r="B7" s="156" t="s">
        <v>108</v>
      </c>
      <c r="C7" s="218">
        <v>40964</v>
      </c>
      <c r="D7" s="157">
        <v>0</v>
      </c>
      <c r="E7" s="158">
        <v>0</v>
      </c>
      <c r="F7" s="157">
        <v>61831.96</v>
      </c>
      <c r="G7" s="158">
        <v>1289242264</v>
      </c>
      <c r="H7" s="157">
        <f t="shared" si="0"/>
        <v>20658</v>
      </c>
      <c r="I7" s="158">
        <f t="shared" si="1"/>
        <v>438569340</v>
      </c>
      <c r="J7" s="157">
        <f t="shared" si="2"/>
        <v>0</v>
      </c>
      <c r="K7" s="158">
        <f t="shared" si="3"/>
        <v>0</v>
      </c>
      <c r="L7" s="159">
        <f t="shared" si="4"/>
        <v>0</v>
      </c>
      <c r="M7" s="160">
        <f t="shared" si="5"/>
        <v>0</v>
      </c>
      <c r="N7" s="159">
        <f t="shared" si="6"/>
        <v>41173.96</v>
      </c>
      <c r="O7" s="160">
        <f t="shared" si="7"/>
        <v>850672924</v>
      </c>
    </row>
    <row r="8" spans="1:15" s="152" customFormat="1" ht="18" customHeight="1">
      <c r="A8" s="155">
        <v>4</v>
      </c>
      <c r="B8" s="156" t="s">
        <v>109</v>
      </c>
      <c r="C8" s="218">
        <v>40964</v>
      </c>
      <c r="D8" s="157">
        <v>0</v>
      </c>
      <c r="E8" s="158">
        <v>0</v>
      </c>
      <c r="F8" s="157">
        <v>86559.38</v>
      </c>
      <c r="G8" s="158">
        <v>1804337638</v>
      </c>
      <c r="H8" s="157">
        <f t="shared" si="0"/>
        <v>28920</v>
      </c>
      <c r="I8" s="158">
        <f t="shared" si="1"/>
        <v>613971600</v>
      </c>
      <c r="J8" s="157">
        <f t="shared" si="2"/>
        <v>0</v>
      </c>
      <c r="K8" s="158">
        <f t="shared" si="3"/>
        <v>0</v>
      </c>
      <c r="L8" s="159">
        <f t="shared" si="4"/>
        <v>0</v>
      </c>
      <c r="M8" s="160">
        <f t="shared" si="5"/>
        <v>0</v>
      </c>
      <c r="N8" s="159">
        <f t="shared" si="6"/>
        <v>57639.38</v>
      </c>
      <c r="O8" s="160">
        <f t="shared" si="7"/>
        <v>1190366038</v>
      </c>
    </row>
    <row r="9" spans="1:15" s="152" customFormat="1" ht="18" customHeight="1">
      <c r="A9" s="155"/>
      <c r="B9" s="162"/>
      <c r="C9" s="219"/>
      <c r="D9" s="157"/>
      <c r="E9" s="158"/>
      <c r="F9" s="157"/>
      <c r="G9" s="158"/>
      <c r="H9" s="157"/>
      <c r="I9" s="158"/>
      <c r="J9" s="157"/>
      <c r="K9" s="158"/>
      <c r="L9" s="159"/>
      <c r="M9" s="160"/>
      <c r="N9" s="159"/>
      <c r="O9" s="160"/>
    </row>
    <row r="10" spans="1:15" s="167" customFormat="1" ht="18" customHeight="1">
      <c r="A10" s="163"/>
      <c r="B10" s="164" t="s">
        <v>121</v>
      </c>
      <c r="C10" s="164"/>
      <c r="D10" s="165">
        <f>SUM(D5:D9)</f>
        <v>0</v>
      </c>
      <c r="E10" s="166">
        <f>SUM(E5:E9)</f>
        <v>0</v>
      </c>
      <c r="F10" s="165">
        <f>SUM(F5:F9)</f>
        <v>285513.73</v>
      </c>
      <c r="G10" s="166">
        <f>SUM(G5:G9)</f>
        <v>5776891608</v>
      </c>
      <c r="H10" s="165">
        <f>SUM(H5:H9)</f>
        <v>92544</v>
      </c>
      <c r="I10" s="166">
        <f>SUM(I5:I9)</f>
        <v>1964709120</v>
      </c>
      <c r="J10" s="165">
        <f>SUM(J5:J9)</f>
        <v>0</v>
      </c>
      <c r="K10" s="166">
        <f>SUM(K5:K9)</f>
        <v>0</v>
      </c>
      <c r="L10" s="165">
        <f>SUM(L5:L9)</f>
        <v>0</v>
      </c>
      <c r="M10" s="166">
        <f>SUM(M5:M9)</f>
        <v>0</v>
      </c>
      <c r="N10" s="165">
        <f>SUM(N5:N9)</f>
        <v>192969.73</v>
      </c>
      <c r="O10" s="166">
        <f>SUM(O5:O9)</f>
        <v>3812182488</v>
      </c>
    </row>
    <row r="12" spans="1:15">
      <c r="G12" s="168"/>
      <c r="K12" s="168"/>
    </row>
    <row r="14" spans="1:15">
      <c r="G14" s="243"/>
      <c r="H14" s="243"/>
      <c r="I14" s="243"/>
      <c r="J14" s="243"/>
      <c r="K14" s="243"/>
    </row>
    <row r="16" spans="1:15" ht="21.75" customHeight="1">
      <c r="B16" s="299"/>
      <c r="C16" s="299"/>
      <c r="D16" s="299"/>
      <c r="E16" s="299"/>
      <c r="F16" s="299"/>
      <c r="G16" s="299"/>
      <c r="H16" s="244" t="s">
        <v>388</v>
      </c>
      <c r="I16" s="299"/>
      <c r="J16" s="299"/>
      <c r="K16" s="299"/>
      <c r="L16" s="299"/>
      <c r="M16" s="299"/>
      <c r="N16" s="299"/>
      <c r="O16" s="299"/>
    </row>
    <row r="17" spans="1:15" s="152" customFormat="1" ht="13.5" customHeight="1">
      <c r="A17" s="252" t="s">
        <v>97</v>
      </c>
      <c r="B17" s="255" t="s">
        <v>98</v>
      </c>
      <c r="C17" s="255" t="s">
        <v>145</v>
      </c>
      <c r="D17" s="150" t="s">
        <v>99</v>
      </c>
      <c r="E17" s="150"/>
      <c r="F17" s="150"/>
      <c r="G17" s="150"/>
      <c r="H17" s="150" t="s">
        <v>100</v>
      </c>
      <c r="I17" s="151"/>
      <c r="J17" s="150"/>
      <c r="K17" s="150"/>
      <c r="L17" s="150" t="s">
        <v>101</v>
      </c>
      <c r="M17" s="150"/>
      <c r="N17" s="150"/>
      <c r="O17" s="151"/>
    </row>
    <row r="18" spans="1:15" s="152" customFormat="1" ht="14.25" customHeight="1">
      <c r="A18" s="253"/>
      <c r="B18" s="256"/>
      <c r="C18" s="256"/>
      <c r="D18" s="250" t="s">
        <v>102</v>
      </c>
      <c r="E18" s="251"/>
      <c r="F18" s="250" t="s">
        <v>103</v>
      </c>
      <c r="G18" s="251"/>
      <c r="H18" s="250" t="s">
        <v>102</v>
      </c>
      <c r="I18" s="251"/>
      <c r="J18" s="250" t="s">
        <v>103</v>
      </c>
      <c r="K18" s="251"/>
      <c r="L18" s="250" t="s">
        <v>102</v>
      </c>
      <c r="M18" s="251"/>
      <c r="N18" s="250" t="s">
        <v>103</v>
      </c>
      <c r="O18" s="251"/>
    </row>
    <row r="19" spans="1:15" s="152" customFormat="1" ht="30" customHeight="1">
      <c r="A19" s="254"/>
      <c r="B19" s="257"/>
      <c r="C19" s="257"/>
      <c r="D19" s="153" t="s">
        <v>104</v>
      </c>
      <c r="E19" s="153" t="s">
        <v>105</v>
      </c>
      <c r="F19" s="153" t="s">
        <v>104</v>
      </c>
      <c r="G19" s="153" t="s">
        <v>105</v>
      </c>
      <c r="H19" s="153" t="s">
        <v>104</v>
      </c>
      <c r="I19" s="154" t="s">
        <v>105</v>
      </c>
      <c r="J19" s="153" t="s">
        <v>104</v>
      </c>
      <c r="K19" s="153" t="s">
        <v>105</v>
      </c>
      <c r="L19" s="153" t="s">
        <v>104</v>
      </c>
      <c r="M19" s="153" t="s">
        <v>105</v>
      </c>
      <c r="N19" s="153" t="s">
        <v>104</v>
      </c>
      <c r="O19" s="154" t="s">
        <v>105</v>
      </c>
    </row>
    <row r="20" spans="1:15" s="152" customFormat="1" ht="18" customHeight="1">
      <c r="A20" s="155">
        <v>1</v>
      </c>
      <c r="B20" s="156" t="s">
        <v>391</v>
      </c>
      <c r="C20" s="218">
        <v>41464</v>
      </c>
      <c r="D20" s="157">
        <v>0</v>
      </c>
      <c r="E20" s="158">
        <v>0</v>
      </c>
      <c r="F20" s="157">
        <v>92500</v>
      </c>
      <c r="G20" s="158">
        <v>1965255000</v>
      </c>
      <c r="H20" s="157">
        <f t="shared" ref="H20:H48" si="8">SUMIF(KUTH,$B20,_TH1)</f>
        <v>92500</v>
      </c>
      <c r="I20" s="158">
        <f t="shared" ref="I20:I48" si="9">SUMIF(KUTH,$B20,_TH2)</f>
        <v>1965255000</v>
      </c>
      <c r="J20" s="157">
        <f t="shared" ref="J20:J48" si="10">SUMIF(KUTH,$B20,_TH3)</f>
        <v>0</v>
      </c>
      <c r="K20" s="158">
        <f t="shared" ref="K20:K48" si="11">SUMIF(KUTH,$B20,_TH4)</f>
        <v>0</v>
      </c>
      <c r="L20" s="159">
        <f t="shared" ref="L20:L23" si="12">ROUND(MAX(D20+H20-F20-J20,0),2)</f>
        <v>0</v>
      </c>
      <c r="M20" s="160">
        <f t="shared" ref="M20:M23" si="13">ROUND(MAX(E20+I20-G20-K20,0),2)</f>
        <v>0</v>
      </c>
      <c r="N20" s="159">
        <f t="shared" ref="N20:N23" si="14">ROUND(MAX(F20+J20-D20-H20,0),2)</f>
        <v>0</v>
      </c>
      <c r="O20" s="160">
        <f t="shared" ref="O20:O23" si="15">ROUND(MAX(G20+K20-E20-I20,0),2)</f>
        <v>0</v>
      </c>
    </row>
    <row r="21" spans="1:15" s="152" customFormat="1" ht="18" customHeight="1">
      <c r="A21" s="155">
        <v>2</v>
      </c>
      <c r="B21" s="156" t="s">
        <v>392</v>
      </c>
      <c r="C21" s="218">
        <v>41471</v>
      </c>
      <c r="D21" s="157">
        <v>0</v>
      </c>
      <c r="E21" s="158">
        <v>0</v>
      </c>
      <c r="F21" s="157">
        <v>95000</v>
      </c>
      <c r="G21" s="158">
        <v>2015900000</v>
      </c>
      <c r="H21" s="157">
        <f t="shared" si="8"/>
        <v>95000</v>
      </c>
      <c r="I21" s="158">
        <f t="shared" si="9"/>
        <v>2015900000</v>
      </c>
      <c r="J21" s="157">
        <f t="shared" si="10"/>
        <v>0</v>
      </c>
      <c r="K21" s="158">
        <f t="shared" si="11"/>
        <v>0</v>
      </c>
      <c r="L21" s="159">
        <f t="shared" si="12"/>
        <v>0</v>
      </c>
      <c r="M21" s="160">
        <f t="shared" si="13"/>
        <v>0</v>
      </c>
      <c r="N21" s="159">
        <f t="shared" si="14"/>
        <v>0</v>
      </c>
      <c r="O21" s="160">
        <f t="shared" si="15"/>
        <v>0</v>
      </c>
    </row>
    <row r="22" spans="1:15" s="152" customFormat="1" ht="18" customHeight="1">
      <c r="A22" s="155">
        <v>3</v>
      </c>
      <c r="B22" s="156" t="s">
        <v>393</v>
      </c>
      <c r="C22" s="218">
        <v>41499</v>
      </c>
      <c r="D22" s="157">
        <v>0</v>
      </c>
      <c r="E22" s="158">
        <v>0</v>
      </c>
      <c r="F22" s="157">
        <v>98000</v>
      </c>
      <c r="G22" s="158">
        <v>2066330000</v>
      </c>
      <c r="H22" s="157">
        <f t="shared" si="8"/>
        <v>98000</v>
      </c>
      <c r="I22" s="158">
        <f t="shared" si="9"/>
        <v>2068290000</v>
      </c>
      <c r="J22" s="157">
        <f t="shared" si="10"/>
        <v>0</v>
      </c>
      <c r="K22" s="158">
        <f t="shared" si="11"/>
        <v>1960000</v>
      </c>
      <c r="L22" s="159">
        <f t="shared" si="12"/>
        <v>0</v>
      </c>
      <c r="M22" s="160">
        <f t="shared" si="13"/>
        <v>0</v>
      </c>
      <c r="N22" s="159">
        <f t="shared" si="14"/>
        <v>0</v>
      </c>
      <c r="O22" s="160">
        <f t="shared" si="15"/>
        <v>0</v>
      </c>
    </row>
    <row r="23" spans="1:15" s="152" customFormat="1" ht="18" customHeight="1">
      <c r="A23" s="155">
        <v>4</v>
      </c>
      <c r="B23" s="156" t="s">
        <v>394</v>
      </c>
      <c r="C23" s="218">
        <v>41522</v>
      </c>
      <c r="D23" s="157">
        <v>0</v>
      </c>
      <c r="E23" s="158">
        <v>0</v>
      </c>
      <c r="F23" s="157">
        <v>95370</v>
      </c>
      <c r="G23" s="158">
        <v>2017075500</v>
      </c>
      <c r="H23" s="157">
        <f t="shared" si="8"/>
        <v>95370</v>
      </c>
      <c r="I23" s="158">
        <f t="shared" si="9"/>
        <v>2017075500</v>
      </c>
      <c r="J23" s="157">
        <f t="shared" si="10"/>
        <v>0</v>
      </c>
      <c r="K23" s="158">
        <f t="shared" si="11"/>
        <v>0</v>
      </c>
      <c r="L23" s="159">
        <f t="shared" si="12"/>
        <v>0</v>
      </c>
      <c r="M23" s="160">
        <f t="shared" si="13"/>
        <v>0</v>
      </c>
      <c r="N23" s="159">
        <f t="shared" si="14"/>
        <v>0</v>
      </c>
      <c r="O23" s="160">
        <f t="shared" si="15"/>
        <v>0</v>
      </c>
    </row>
    <row r="24" spans="1:15" s="152" customFormat="1" ht="18" customHeight="1">
      <c r="A24" s="155">
        <v>5</v>
      </c>
      <c r="B24" s="156" t="s">
        <v>395</v>
      </c>
      <c r="C24" s="218">
        <v>41548</v>
      </c>
      <c r="D24" s="157">
        <v>0</v>
      </c>
      <c r="E24" s="157">
        <v>0</v>
      </c>
      <c r="F24" s="157">
        <v>90500</v>
      </c>
      <c r="G24" s="158">
        <v>1909550000</v>
      </c>
      <c r="H24" s="157">
        <f t="shared" si="8"/>
        <v>90500</v>
      </c>
      <c r="I24" s="158">
        <f t="shared" si="9"/>
        <v>1909550000</v>
      </c>
      <c r="J24" s="157">
        <f t="shared" si="10"/>
        <v>0</v>
      </c>
      <c r="K24" s="158">
        <f t="shared" si="11"/>
        <v>0</v>
      </c>
      <c r="L24" s="159">
        <f t="shared" ref="L24:L44" si="16">ROUND(MAX(D24+H24-F24-J24,0),2)</f>
        <v>0</v>
      </c>
      <c r="M24" s="160">
        <f t="shared" ref="M24:M44" si="17">ROUND(MAX(E24+I24-G24-K24,0),2)</f>
        <v>0</v>
      </c>
      <c r="N24" s="159">
        <f t="shared" ref="N24:N44" si="18">ROUND(MAX(F24+J24-D24-H24,0),2)</f>
        <v>0</v>
      </c>
      <c r="O24" s="160">
        <f t="shared" ref="O24:O44" si="19">ROUND(MAX(G24+K24-E24-I24,0),2)</f>
        <v>0</v>
      </c>
    </row>
    <row r="25" spans="1:15" s="152" customFormat="1" ht="18" customHeight="1">
      <c r="A25" s="155">
        <v>6</v>
      </c>
      <c r="B25" s="156" t="s">
        <v>396</v>
      </c>
      <c r="C25" s="218">
        <v>41653</v>
      </c>
      <c r="D25" s="157"/>
      <c r="E25" s="157"/>
      <c r="F25" s="157"/>
      <c r="G25" s="158"/>
      <c r="H25" s="157">
        <f t="shared" si="8"/>
        <v>92500</v>
      </c>
      <c r="I25" s="158">
        <f t="shared" si="9"/>
        <v>1971175000</v>
      </c>
      <c r="J25" s="157">
        <f t="shared" si="10"/>
        <v>92500</v>
      </c>
      <c r="K25" s="158">
        <f t="shared" si="11"/>
        <v>1971175000</v>
      </c>
      <c r="L25" s="159">
        <f t="shared" si="16"/>
        <v>0</v>
      </c>
      <c r="M25" s="160">
        <f t="shared" si="17"/>
        <v>0</v>
      </c>
      <c r="N25" s="159">
        <f t="shared" si="18"/>
        <v>0</v>
      </c>
      <c r="O25" s="160">
        <f t="shared" si="19"/>
        <v>0</v>
      </c>
    </row>
    <row r="26" spans="1:15" s="152" customFormat="1" ht="18" customHeight="1">
      <c r="A26" s="155">
        <v>7</v>
      </c>
      <c r="B26" s="156" t="s">
        <v>397</v>
      </c>
      <c r="C26" s="218">
        <v>41655</v>
      </c>
      <c r="D26" s="157"/>
      <c r="E26" s="157"/>
      <c r="F26" s="157"/>
      <c r="G26" s="158"/>
      <c r="H26" s="157">
        <f t="shared" si="8"/>
        <v>95000</v>
      </c>
      <c r="I26" s="158">
        <f t="shared" si="9"/>
        <v>2027300000</v>
      </c>
      <c r="J26" s="157">
        <f t="shared" si="10"/>
        <v>95000</v>
      </c>
      <c r="K26" s="158">
        <f t="shared" si="11"/>
        <v>2027300000</v>
      </c>
      <c r="L26" s="159">
        <f t="shared" si="16"/>
        <v>0</v>
      </c>
      <c r="M26" s="160">
        <f t="shared" si="17"/>
        <v>0</v>
      </c>
      <c r="N26" s="159">
        <f t="shared" si="18"/>
        <v>0</v>
      </c>
      <c r="O26" s="160">
        <f t="shared" si="19"/>
        <v>0</v>
      </c>
    </row>
    <row r="27" spans="1:15" s="152" customFormat="1" ht="18" customHeight="1">
      <c r="A27" s="155">
        <v>8</v>
      </c>
      <c r="B27" s="156" t="s">
        <v>398</v>
      </c>
      <c r="C27" s="218">
        <v>41681</v>
      </c>
      <c r="D27" s="157"/>
      <c r="E27" s="157"/>
      <c r="F27" s="157"/>
      <c r="G27" s="158"/>
      <c r="H27" s="157">
        <f t="shared" si="8"/>
        <v>98000</v>
      </c>
      <c r="I27" s="158">
        <f t="shared" si="9"/>
        <v>2079658000</v>
      </c>
      <c r="J27" s="157">
        <f t="shared" si="10"/>
        <v>98000</v>
      </c>
      <c r="K27" s="158">
        <f t="shared" si="11"/>
        <v>2079658000</v>
      </c>
      <c r="L27" s="159">
        <f t="shared" si="16"/>
        <v>0</v>
      </c>
      <c r="M27" s="160">
        <f t="shared" si="17"/>
        <v>0</v>
      </c>
      <c r="N27" s="159">
        <f t="shared" si="18"/>
        <v>0</v>
      </c>
      <c r="O27" s="160">
        <f t="shared" si="19"/>
        <v>0</v>
      </c>
    </row>
    <row r="28" spans="1:15" s="152" customFormat="1" ht="18" customHeight="1">
      <c r="A28" s="155">
        <v>9</v>
      </c>
      <c r="B28" s="156" t="s">
        <v>399</v>
      </c>
      <c r="C28" s="218">
        <v>41709</v>
      </c>
      <c r="D28" s="157"/>
      <c r="E28" s="157"/>
      <c r="F28" s="157"/>
      <c r="G28" s="158"/>
      <c r="H28" s="157">
        <f t="shared" si="8"/>
        <v>95370</v>
      </c>
      <c r="I28" s="158">
        <f t="shared" si="9"/>
        <v>2020937700</v>
      </c>
      <c r="J28" s="157">
        <f t="shared" si="10"/>
        <v>95370</v>
      </c>
      <c r="K28" s="158">
        <f t="shared" si="11"/>
        <v>2020937700</v>
      </c>
      <c r="L28" s="159">
        <f t="shared" si="16"/>
        <v>0</v>
      </c>
      <c r="M28" s="160">
        <f t="shared" si="17"/>
        <v>0</v>
      </c>
      <c r="N28" s="159">
        <f t="shared" si="18"/>
        <v>0</v>
      </c>
      <c r="O28" s="160">
        <f t="shared" si="19"/>
        <v>0</v>
      </c>
    </row>
    <row r="29" spans="1:15" s="152" customFormat="1" ht="18" customHeight="1">
      <c r="A29" s="155">
        <v>10</v>
      </c>
      <c r="B29" s="156" t="s">
        <v>400</v>
      </c>
      <c r="C29" s="218">
        <v>41733</v>
      </c>
      <c r="D29" s="157"/>
      <c r="E29" s="157"/>
      <c r="F29" s="157"/>
      <c r="G29" s="158"/>
      <c r="H29" s="157">
        <f t="shared" si="8"/>
        <v>90500</v>
      </c>
      <c r="I29" s="158">
        <f t="shared" si="9"/>
        <v>1919505000</v>
      </c>
      <c r="J29" s="157">
        <f t="shared" si="10"/>
        <v>90500</v>
      </c>
      <c r="K29" s="158">
        <f t="shared" si="11"/>
        <v>1919505000</v>
      </c>
      <c r="L29" s="159">
        <f t="shared" si="16"/>
        <v>0</v>
      </c>
      <c r="M29" s="160">
        <f t="shared" si="17"/>
        <v>0</v>
      </c>
      <c r="N29" s="159">
        <f t="shared" si="18"/>
        <v>0</v>
      </c>
      <c r="O29" s="160">
        <f t="shared" si="19"/>
        <v>0</v>
      </c>
    </row>
    <row r="30" spans="1:15" s="152" customFormat="1" ht="18" customHeight="1">
      <c r="A30" s="155">
        <v>11</v>
      </c>
      <c r="B30" s="156" t="s">
        <v>401</v>
      </c>
      <c r="C30" s="218">
        <v>41817</v>
      </c>
      <c r="D30" s="157"/>
      <c r="E30" s="157"/>
      <c r="F30" s="157"/>
      <c r="G30" s="158"/>
      <c r="H30" s="157">
        <f t="shared" si="8"/>
        <v>90300</v>
      </c>
      <c r="I30" s="158">
        <f t="shared" si="9"/>
        <v>1932420000</v>
      </c>
      <c r="J30" s="157">
        <f t="shared" si="10"/>
        <v>90300</v>
      </c>
      <c r="K30" s="158">
        <f t="shared" si="11"/>
        <v>1932420000</v>
      </c>
      <c r="L30" s="159">
        <f t="shared" si="16"/>
        <v>0</v>
      </c>
      <c r="M30" s="160">
        <f t="shared" si="17"/>
        <v>0</v>
      </c>
      <c r="N30" s="159">
        <f t="shared" si="18"/>
        <v>0</v>
      </c>
      <c r="O30" s="160">
        <f t="shared" si="19"/>
        <v>0</v>
      </c>
    </row>
    <row r="31" spans="1:15" s="152" customFormat="1" ht="18" customHeight="1">
      <c r="A31" s="155">
        <v>12</v>
      </c>
      <c r="B31" s="156" t="s">
        <v>110</v>
      </c>
      <c r="C31" s="218">
        <v>41822</v>
      </c>
      <c r="D31" s="157"/>
      <c r="E31" s="157"/>
      <c r="F31" s="157"/>
      <c r="G31" s="158"/>
      <c r="H31" s="157">
        <f t="shared" si="8"/>
        <v>43500</v>
      </c>
      <c r="I31" s="158">
        <f t="shared" si="9"/>
        <v>930030000</v>
      </c>
      <c r="J31" s="157">
        <f t="shared" si="10"/>
        <v>95000</v>
      </c>
      <c r="K31" s="158">
        <f t="shared" si="11"/>
        <v>2024925000</v>
      </c>
      <c r="L31" s="159">
        <f t="shared" si="16"/>
        <v>0</v>
      </c>
      <c r="M31" s="160">
        <f t="shared" si="17"/>
        <v>0</v>
      </c>
      <c r="N31" s="159">
        <f t="shared" si="18"/>
        <v>51500</v>
      </c>
      <c r="O31" s="160">
        <f t="shared" si="19"/>
        <v>1094895000</v>
      </c>
    </row>
    <row r="32" spans="1:15" s="152" customFormat="1" ht="18" customHeight="1">
      <c r="A32" s="155">
        <v>13</v>
      </c>
      <c r="B32" s="156" t="s">
        <v>111</v>
      </c>
      <c r="C32" s="218">
        <v>41857</v>
      </c>
      <c r="D32" s="157"/>
      <c r="E32" s="157"/>
      <c r="F32" s="157"/>
      <c r="G32" s="158"/>
      <c r="H32" s="157">
        <f t="shared" si="8"/>
        <v>0</v>
      </c>
      <c r="I32" s="158">
        <f t="shared" si="9"/>
        <v>0</v>
      </c>
      <c r="J32" s="157">
        <f t="shared" si="10"/>
        <v>60000</v>
      </c>
      <c r="K32" s="158">
        <f t="shared" si="11"/>
        <v>1273500000</v>
      </c>
      <c r="L32" s="159">
        <f t="shared" si="16"/>
        <v>0</v>
      </c>
      <c r="M32" s="160">
        <f t="shared" si="17"/>
        <v>0</v>
      </c>
      <c r="N32" s="159">
        <f t="shared" si="18"/>
        <v>60000</v>
      </c>
      <c r="O32" s="160">
        <f t="shared" si="19"/>
        <v>1273500000</v>
      </c>
    </row>
    <row r="33" spans="1:15" s="152" customFormat="1" ht="18" customHeight="1">
      <c r="A33" s="155">
        <v>14</v>
      </c>
      <c r="B33" s="156" t="s">
        <v>112</v>
      </c>
      <c r="C33" s="218">
        <v>41871</v>
      </c>
      <c r="D33" s="157"/>
      <c r="E33" s="157"/>
      <c r="F33" s="157"/>
      <c r="G33" s="158"/>
      <c r="H33" s="157">
        <f t="shared" si="8"/>
        <v>0</v>
      </c>
      <c r="I33" s="158">
        <f t="shared" si="9"/>
        <v>0</v>
      </c>
      <c r="J33" s="157">
        <f t="shared" si="10"/>
        <v>38000</v>
      </c>
      <c r="K33" s="158">
        <f t="shared" si="11"/>
        <v>806550000</v>
      </c>
      <c r="L33" s="159">
        <f t="shared" si="16"/>
        <v>0</v>
      </c>
      <c r="M33" s="160">
        <f t="shared" si="17"/>
        <v>0</v>
      </c>
      <c r="N33" s="159">
        <f t="shared" si="18"/>
        <v>38000</v>
      </c>
      <c r="O33" s="160">
        <f t="shared" si="19"/>
        <v>806550000</v>
      </c>
    </row>
    <row r="34" spans="1:15" s="152" customFormat="1" ht="18" customHeight="1">
      <c r="A34" s="155">
        <v>15</v>
      </c>
      <c r="B34" s="156" t="s">
        <v>113</v>
      </c>
      <c r="C34" s="218">
        <v>41890</v>
      </c>
      <c r="D34" s="157"/>
      <c r="E34" s="157"/>
      <c r="F34" s="157"/>
      <c r="G34" s="158"/>
      <c r="H34" s="157">
        <f t="shared" si="8"/>
        <v>0</v>
      </c>
      <c r="I34" s="158">
        <f t="shared" si="9"/>
        <v>0</v>
      </c>
      <c r="J34" s="157">
        <f t="shared" si="10"/>
        <v>46500</v>
      </c>
      <c r="K34" s="158">
        <f t="shared" si="11"/>
        <v>984405000</v>
      </c>
      <c r="L34" s="159">
        <f t="shared" si="16"/>
        <v>0</v>
      </c>
      <c r="M34" s="160">
        <f t="shared" si="17"/>
        <v>0</v>
      </c>
      <c r="N34" s="159">
        <f t="shared" si="18"/>
        <v>46500</v>
      </c>
      <c r="O34" s="160">
        <f t="shared" si="19"/>
        <v>984405000</v>
      </c>
    </row>
    <row r="35" spans="1:15" s="152" customFormat="1" ht="18" customHeight="1">
      <c r="A35" s="155">
        <v>16</v>
      </c>
      <c r="B35" s="156" t="s">
        <v>114</v>
      </c>
      <c r="C35" s="218">
        <v>41893</v>
      </c>
      <c r="D35" s="157"/>
      <c r="E35" s="157"/>
      <c r="F35" s="157"/>
      <c r="G35" s="158"/>
      <c r="H35" s="157">
        <f t="shared" si="8"/>
        <v>0</v>
      </c>
      <c r="I35" s="158">
        <f t="shared" si="9"/>
        <v>0</v>
      </c>
      <c r="J35" s="157">
        <f t="shared" si="10"/>
        <v>50870</v>
      </c>
      <c r="K35" s="158">
        <f t="shared" si="11"/>
        <v>1078952700</v>
      </c>
      <c r="L35" s="159">
        <f t="shared" si="16"/>
        <v>0</v>
      </c>
      <c r="M35" s="160">
        <f t="shared" si="17"/>
        <v>0</v>
      </c>
      <c r="N35" s="159">
        <f t="shared" si="18"/>
        <v>50870</v>
      </c>
      <c r="O35" s="160">
        <f t="shared" si="19"/>
        <v>1078952700</v>
      </c>
    </row>
    <row r="36" spans="1:15" s="152" customFormat="1" ht="18" customHeight="1">
      <c r="A36" s="155">
        <v>17</v>
      </c>
      <c r="B36" s="156" t="s">
        <v>115</v>
      </c>
      <c r="C36" s="218">
        <v>41906</v>
      </c>
      <c r="D36" s="157"/>
      <c r="E36" s="157"/>
      <c r="F36" s="157"/>
      <c r="G36" s="158"/>
      <c r="H36" s="157">
        <f t="shared" si="8"/>
        <v>0</v>
      </c>
      <c r="I36" s="158">
        <f t="shared" si="9"/>
        <v>0</v>
      </c>
      <c r="J36" s="157">
        <f t="shared" si="10"/>
        <v>90000</v>
      </c>
      <c r="K36" s="158">
        <f t="shared" si="11"/>
        <v>1908900000</v>
      </c>
      <c r="L36" s="159">
        <f t="shared" si="16"/>
        <v>0</v>
      </c>
      <c r="M36" s="160">
        <f t="shared" si="17"/>
        <v>0</v>
      </c>
      <c r="N36" s="159">
        <f t="shared" si="18"/>
        <v>90000</v>
      </c>
      <c r="O36" s="160">
        <f t="shared" si="19"/>
        <v>1908900000</v>
      </c>
    </row>
    <row r="37" spans="1:15" s="152" customFormat="1" ht="18" customHeight="1">
      <c r="A37" s="155">
        <v>18</v>
      </c>
      <c r="B37" s="156" t="s">
        <v>116</v>
      </c>
      <c r="C37" s="218">
        <v>41921</v>
      </c>
      <c r="D37" s="157"/>
      <c r="E37" s="157"/>
      <c r="F37" s="157"/>
      <c r="G37" s="158"/>
      <c r="H37" s="157">
        <f t="shared" si="8"/>
        <v>0</v>
      </c>
      <c r="I37" s="158">
        <f t="shared" si="9"/>
        <v>0</v>
      </c>
      <c r="J37" s="157">
        <f t="shared" si="10"/>
        <v>92500</v>
      </c>
      <c r="K37" s="158">
        <f t="shared" si="11"/>
        <v>1962850000</v>
      </c>
      <c r="L37" s="159">
        <f t="shared" si="16"/>
        <v>0</v>
      </c>
      <c r="M37" s="160">
        <f t="shared" si="17"/>
        <v>0</v>
      </c>
      <c r="N37" s="159">
        <f t="shared" si="18"/>
        <v>92500</v>
      </c>
      <c r="O37" s="160">
        <f t="shared" si="19"/>
        <v>1962850000</v>
      </c>
    </row>
    <row r="38" spans="1:15" s="152" customFormat="1" ht="18" customHeight="1">
      <c r="A38" s="155">
        <v>19</v>
      </c>
      <c r="B38" s="156" t="s">
        <v>117</v>
      </c>
      <c r="C38" s="218">
        <v>41958</v>
      </c>
      <c r="D38" s="157"/>
      <c r="E38" s="157"/>
      <c r="F38" s="157"/>
      <c r="G38" s="158"/>
      <c r="H38" s="157">
        <f t="shared" si="8"/>
        <v>0</v>
      </c>
      <c r="I38" s="158">
        <f t="shared" si="9"/>
        <v>0</v>
      </c>
      <c r="J38" s="157">
        <f t="shared" si="10"/>
        <v>69000</v>
      </c>
      <c r="K38" s="158">
        <f t="shared" si="11"/>
        <v>1471770000</v>
      </c>
      <c r="L38" s="159">
        <f t="shared" si="16"/>
        <v>0</v>
      </c>
      <c r="M38" s="160">
        <f t="shared" si="17"/>
        <v>0</v>
      </c>
      <c r="N38" s="159">
        <f t="shared" si="18"/>
        <v>69000</v>
      </c>
      <c r="O38" s="160">
        <f t="shared" si="19"/>
        <v>1471770000</v>
      </c>
    </row>
    <row r="39" spans="1:15" s="152" customFormat="1" ht="18" customHeight="1">
      <c r="A39" s="155">
        <v>20</v>
      </c>
      <c r="B39" s="156" t="s">
        <v>118</v>
      </c>
      <c r="C39" s="218">
        <v>41988</v>
      </c>
      <c r="D39" s="157"/>
      <c r="E39" s="157"/>
      <c r="F39" s="157"/>
      <c r="G39" s="158"/>
      <c r="H39" s="157">
        <f t="shared" si="8"/>
        <v>0</v>
      </c>
      <c r="I39" s="158">
        <f t="shared" si="9"/>
        <v>0</v>
      </c>
      <c r="J39" s="157">
        <f t="shared" si="10"/>
        <v>70000</v>
      </c>
      <c r="K39" s="158">
        <f t="shared" si="11"/>
        <v>1498000000</v>
      </c>
      <c r="L39" s="159">
        <f t="shared" si="16"/>
        <v>0</v>
      </c>
      <c r="M39" s="160">
        <f t="shared" si="17"/>
        <v>0</v>
      </c>
      <c r="N39" s="159">
        <f t="shared" si="18"/>
        <v>70000</v>
      </c>
      <c r="O39" s="160">
        <f t="shared" si="19"/>
        <v>1498000000</v>
      </c>
    </row>
    <row r="40" spans="1:15" s="152" customFormat="1" ht="18" customHeight="1">
      <c r="A40" s="155">
        <v>21</v>
      </c>
      <c r="B40" s="156" t="s">
        <v>119</v>
      </c>
      <c r="C40" s="218">
        <v>42000</v>
      </c>
      <c r="D40" s="157"/>
      <c r="E40" s="157"/>
      <c r="F40" s="157"/>
      <c r="G40" s="158"/>
      <c r="H40" s="157">
        <f t="shared" si="8"/>
        <v>0</v>
      </c>
      <c r="I40" s="158">
        <f t="shared" si="9"/>
        <v>0</v>
      </c>
      <c r="J40" s="157">
        <f t="shared" si="10"/>
        <v>19500</v>
      </c>
      <c r="K40" s="158">
        <f t="shared" si="11"/>
        <v>417300000</v>
      </c>
      <c r="L40" s="159">
        <f t="shared" si="16"/>
        <v>0</v>
      </c>
      <c r="M40" s="160">
        <f t="shared" si="17"/>
        <v>0</v>
      </c>
      <c r="N40" s="159">
        <f t="shared" si="18"/>
        <v>19500</v>
      </c>
      <c r="O40" s="160">
        <f t="shared" si="19"/>
        <v>417300000</v>
      </c>
    </row>
    <row r="41" spans="1:15" s="152" customFormat="1" ht="18" customHeight="1">
      <c r="A41" s="155">
        <v>22</v>
      </c>
      <c r="B41" s="156" t="s">
        <v>120</v>
      </c>
      <c r="C41" s="218">
        <v>42004</v>
      </c>
      <c r="D41" s="157"/>
      <c r="E41" s="157"/>
      <c r="F41" s="157"/>
      <c r="G41" s="158"/>
      <c r="H41" s="157">
        <f t="shared" si="8"/>
        <v>0</v>
      </c>
      <c r="I41" s="158">
        <f t="shared" si="9"/>
        <v>0</v>
      </c>
      <c r="J41" s="157">
        <f t="shared" si="10"/>
        <v>43500</v>
      </c>
      <c r="K41" s="158">
        <f t="shared" si="11"/>
        <v>930030000</v>
      </c>
      <c r="L41" s="159">
        <f t="shared" si="16"/>
        <v>0</v>
      </c>
      <c r="M41" s="160">
        <f t="shared" si="17"/>
        <v>0</v>
      </c>
      <c r="N41" s="159">
        <f t="shared" si="18"/>
        <v>43500</v>
      </c>
      <c r="O41" s="160">
        <f t="shared" si="19"/>
        <v>930030000</v>
      </c>
    </row>
    <row r="42" spans="1:15" s="152" customFormat="1" ht="18" customHeight="1">
      <c r="A42" s="155">
        <v>23</v>
      </c>
      <c r="B42" s="156" t="s">
        <v>402</v>
      </c>
      <c r="C42" s="218">
        <v>41779</v>
      </c>
      <c r="D42" s="157"/>
      <c r="E42" s="157"/>
      <c r="F42" s="157"/>
      <c r="G42" s="158"/>
      <c r="H42" s="157">
        <f t="shared" si="8"/>
        <v>83000</v>
      </c>
      <c r="I42" s="158">
        <f t="shared" si="9"/>
        <v>1774540000</v>
      </c>
      <c r="J42" s="157">
        <f t="shared" si="10"/>
        <v>83000</v>
      </c>
      <c r="K42" s="158">
        <f t="shared" si="11"/>
        <v>1774540000</v>
      </c>
      <c r="L42" s="159">
        <f t="shared" si="16"/>
        <v>0</v>
      </c>
      <c r="M42" s="160">
        <f t="shared" si="17"/>
        <v>0</v>
      </c>
      <c r="N42" s="159">
        <f t="shared" si="18"/>
        <v>0</v>
      </c>
      <c r="O42" s="160">
        <f t="shared" si="19"/>
        <v>0</v>
      </c>
    </row>
    <row r="43" spans="1:15" s="152" customFormat="1" ht="18" customHeight="1">
      <c r="A43" s="155">
        <v>24</v>
      </c>
      <c r="B43" s="156" t="s">
        <v>403</v>
      </c>
      <c r="C43" s="218">
        <v>41803</v>
      </c>
      <c r="D43" s="157"/>
      <c r="E43" s="157"/>
      <c r="F43" s="157"/>
      <c r="G43" s="158"/>
      <c r="H43" s="157">
        <f t="shared" si="8"/>
        <v>96000</v>
      </c>
      <c r="I43" s="158">
        <f t="shared" si="9"/>
        <v>2052480000</v>
      </c>
      <c r="J43" s="157">
        <f t="shared" si="10"/>
        <v>96000</v>
      </c>
      <c r="K43" s="158">
        <f t="shared" si="11"/>
        <v>2052480000</v>
      </c>
      <c r="L43" s="159">
        <f t="shared" si="16"/>
        <v>0</v>
      </c>
      <c r="M43" s="160">
        <f t="shared" si="17"/>
        <v>0</v>
      </c>
      <c r="N43" s="159">
        <f t="shared" si="18"/>
        <v>0</v>
      </c>
      <c r="O43" s="160">
        <f t="shared" si="19"/>
        <v>0</v>
      </c>
    </row>
    <row r="44" spans="1:15" s="152" customFormat="1" ht="18" customHeight="1">
      <c r="A44" s="155">
        <v>25</v>
      </c>
      <c r="B44" s="156" t="s">
        <v>404</v>
      </c>
      <c r="C44" s="218">
        <v>42186</v>
      </c>
      <c r="D44" s="157"/>
      <c r="E44" s="157"/>
      <c r="F44" s="157"/>
      <c r="G44" s="158"/>
      <c r="H44" s="157">
        <f t="shared" si="8"/>
        <v>43600</v>
      </c>
      <c r="I44" s="158">
        <f t="shared" si="9"/>
        <v>932168000</v>
      </c>
      <c r="J44" s="157">
        <f t="shared" si="10"/>
        <v>43600</v>
      </c>
      <c r="K44" s="158">
        <f t="shared" si="11"/>
        <v>932168000</v>
      </c>
      <c r="L44" s="159">
        <f t="shared" ref="L44:L48" si="20">ROUND(MAX(D44+H44-F44-J44,0),2)</f>
        <v>0</v>
      </c>
      <c r="M44" s="160">
        <f t="shared" ref="M44:M48" si="21">ROUND(MAX(E44+I44-G44-K44,0),2)</f>
        <v>0</v>
      </c>
      <c r="N44" s="159">
        <f t="shared" ref="N44:N48" si="22">ROUND(MAX(F44+J44-D44-H44,0),2)</f>
        <v>0</v>
      </c>
      <c r="O44" s="160">
        <f t="shared" ref="O44:O48" si="23">ROUND(MAX(G44+K44-E44-I44,0),2)</f>
        <v>0</v>
      </c>
    </row>
    <row r="45" spans="1:15" s="152" customFormat="1" ht="18" customHeight="1">
      <c r="A45" s="155">
        <v>26</v>
      </c>
      <c r="B45" s="156" t="s">
        <v>405</v>
      </c>
      <c r="C45" s="218">
        <v>41877</v>
      </c>
      <c r="D45" s="157"/>
      <c r="E45" s="157"/>
      <c r="F45" s="157"/>
      <c r="G45" s="158"/>
      <c r="H45" s="157">
        <f t="shared" si="8"/>
        <v>0</v>
      </c>
      <c r="I45" s="158">
        <f t="shared" si="9"/>
        <v>0</v>
      </c>
      <c r="J45" s="157">
        <f t="shared" si="10"/>
        <v>55000</v>
      </c>
      <c r="K45" s="158">
        <f t="shared" si="11"/>
        <v>1165725000</v>
      </c>
      <c r="L45" s="159">
        <f t="shared" si="20"/>
        <v>0</v>
      </c>
      <c r="M45" s="160">
        <f t="shared" si="21"/>
        <v>0</v>
      </c>
      <c r="N45" s="159">
        <f t="shared" si="22"/>
        <v>55000</v>
      </c>
      <c r="O45" s="160">
        <f t="shared" si="23"/>
        <v>1165725000</v>
      </c>
    </row>
    <row r="46" spans="1:15" s="152" customFormat="1" ht="18" customHeight="1">
      <c r="A46" s="155">
        <v>27</v>
      </c>
      <c r="B46" s="156" t="s">
        <v>406</v>
      </c>
      <c r="C46" s="218">
        <v>41962</v>
      </c>
      <c r="D46" s="157"/>
      <c r="E46" s="157"/>
      <c r="F46" s="157"/>
      <c r="G46" s="158"/>
      <c r="H46" s="157">
        <f t="shared" si="8"/>
        <v>0</v>
      </c>
      <c r="I46" s="158">
        <f t="shared" si="9"/>
        <v>0</v>
      </c>
      <c r="J46" s="157">
        <f t="shared" si="10"/>
        <v>81000</v>
      </c>
      <c r="K46" s="158">
        <f t="shared" si="11"/>
        <v>1730970000</v>
      </c>
      <c r="L46" s="159">
        <f t="shared" si="20"/>
        <v>0</v>
      </c>
      <c r="M46" s="160">
        <f t="shared" si="21"/>
        <v>0</v>
      </c>
      <c r="N46" s="159">
        <f t="shared" si="22"/>
        <v>81000</v>
      </c>
      <c r="O46" s="160">
        <f t="shared" si="23"/>
        <v>1730970000</v>
      </c>
    </row>
    <row r="47" spans="1:15" s="152" customFormat="1" ht="18" customHeight="1">
      <c r="A47" s="155">
        <v>28</v>
      </c>
      <c r="B47" s="156" t="s">
        <v>407</v>
      </c>
      <c r="C47" s="218">
        <v>41991</v>
      </c>
      <c r="D47" s="157"/>
      <c r="E47" s="157"/>
      <c r="F47" s="157"/>
      <c r="G47" s="158"/>
      <c r="H47" s="157">
        <f t="shared" si="8"/>
        <v>0</v>
      </c>
      <c r="I47" s="158">
        <f t="shared" si="9"/>
        <v>0</v>
      </c>
      <c r="J47" s="157">
        <f t="shared" si="10"/>
        <v>95700</v>
      </c>
      <c r="K47" s="158">
        <f t="shared" si="11"/>
        <v>2047980000</v>
      </c>
      <c r="L47" s="159">
        <f t="shared" si="20"/>
        <v>0</v>
      </c>
      <c r="M47" s="160">
        <f t="shared" si="21"/>
        <v>0</v>
      </c>
      <c r="N47" s="159">
        <f t="shared" si="22"/>
        <v>95700</v>
      </c>
      <c r="O47" s="160">
        <f t="shared" si="23"/>
        <v>2047980000</v>
      </c>
    </row>
    <row r="48" spans="1:15" s="152" customFormat="1" ht="18" customHeight="1">
      <c r="A48" s="155">
        <v>29</v>
      </c>
      <c r="B48" s="156" t="s">
        <v>408</v>
      </c>
      <c r="C48" s="218">
        <v>42003</v>
      </c>
      <c r="D48" s="157"/>
      <c r="E48" s="157"/>
      <c r="F48" s="157"/>
      <c r="G48" s="158"/>
      <c r="H48" s="157">
        <f t="shared" si="8"/>
        <v>0</v>
      </c>
      <c r="I48" s="158">
        <f t="shared" si="9"/>
        <v>0</v>
      </c>
      <c r="J48" s="157">
        <f t="shared" si="10"/>
        <v>43600</v>
      </c>
      <c r="K48" s="158">
        <f t="shared" si="11"/>
        <v>933040000</v>
      </c>
      <c r="L48" s="159">
        <f t="shared" si="20"/>
        <v>0</v>
      </c>
      <c r="M48" s="160">
        <f t="shared" si="21"/>
        <v>0</v>
      </c>
      <c r="N48" s="159">
        <f t="shared" si="22"/>
        <v>43600</v>
      </c>
      <c r="O48" s="160">
        <f t="shared" si="23"/>
        <v>933040000</v>
      </c>
    </row>
    <row r="49" spans="1:15" s="152" customFormat="1" ht="18" customHeight="1">
      <c r="A49" s="155"/>
      <c r="B49" s="162"/>
      <c r="C49" s="219"/>
      <c r="D49" s="157"/>
      <c r="E49" s="158"/>
      <c r="F49" s="157"/>
      <c r="G49" s="158"/>
      <c r="H49" s="157"/>
      <c r="I49" s="158"/>
      <c r="J49" s="157"/>
      <c r="K49" s="158"/>
      <c r="L49" s="159"/>
      <c r="M49" s="160"/>
      <c r="N49" s="159"/>
      <c r="O49" s="160"/>
    </row>
    <row r="50" spans="1:15" s="167" customFormat="1" ht="18" customHeight="1">
      <c r="A50" s="163"/>
      <c r="B50" s="164" t="s">
        <v>121</v>
      </c>
      <c r="C50" s="164"/>
      <c r="D50" s="165">
        <f>SUM(D20:D49)</f>
        <v>0</v>
      </c>
      <c r="E50" s="166">
        <f>SUM(E20:E49)</f>
        <v>0</v>
      </c>
      <c r="F50" s="165">
        <f>SUM(F20:F49)</f>
        <v>471370</v>
      </c>
      <c r="G50" s="166">
        <f>SUM(G20:G49)</f>
        <v>9974110500</v>
      </c>
      <c r="H50" s="165">
        <f>SUM(H20:H49)</f>
        <v>1299140</v>
      </c>
      <c r="I50" s="166">
        <f>SUM(I20:I49)</f>
        <v>27616284200</v>
      </c>
      <c r="J50" s="165">
        <f>SUM(J20:J49)</f>
        <v>1734440</v>
      </c>
      <c r="K50" s="166">
        <f>SUM(K20:K49)</f>
        <v>36947041400</v>
      </c>
      <c r="L50" s="165">
        <f>SUM(L20:L49)</f>
        <v>0</v>
      </c>
      <c r="M50" s="166">
        <f>SUM(M20:M49)</f>
        <v>0</v>
      </c>
      <c r="N50" s="165">
        <f>SUM(N20:N49)</f>
        <v>906670</v>
      </c>
      <c r="O50" s="166">
        <f>SUM(O20:O49)</f>
        <v>19304867700</v>
      </c>
    </row>
  </sheetData>
  <mergeCells count="19">
    <mergeCell ref="A17:A19"/>
    <mergeCell ref="B17:B19"/>
    <mergeCell ref="C17:C19"/>
    <mergeCell ref="D18:E18"/>
    <mergeCell ref="F18:G18"/>
    <mergeCell ref="H18:I18"/>
    <mergeCell ref="J18:K18"/>
    <mergeCell ref="L18:M18"/>
    <mergeCell ref="N18:O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70"/>
  <sheetViews>
    <sheetView workbookViewId="0">
      <pane ySplit="4" topLeftCell="A53" activePane="bottomLeft" state="frozen"/>
      <selection pane="bottomLeft" activeCell="E62" sqref="E62:E65"/>
    </sheetView>
  </sheetViews>
  <sheetFormatPr defaultRowHeight="12.75"/>
  <cols>
    <col min="1" max="1" width="5.42578125" style="227" customWidth="1"/>
    <col min="2" max="2" width="9.140625" style="227"/>
    <col min="3" max="3" width="11.5703125" style="227" customWidth="1"/>
    <col min="4" max="4" width="32.140625" style="227" customWidth="1"/>
    <col min="5" max="5" width="23.7109375" style="227" customWidth="1"/>
    <col min="6" max="7" width="9.140625" style="227"/>
    <col min="8" max="8" width="10.5703125" style="227" customWidth="1"/>
    <col min="9" max="9" width="14.85546875" style="227" customWidth="1"/>
    <col min="10" max="10" width="10.5703125" style="227" customWidth="1"/>
    <col min="11" max="11" width="14.85546875" style="227" customWidth="1"/>
    <col min="12" max="12" width="7" style="227" customWidth="1"/>
    <col min="13" max="16384" width="9.140625" style="227"/>
  </cols>
  <sheetData>
    <row r="1" spans="1:12" s="175" customFormat="1" ht="15.75" customHeight="1">
      <c r="A1" s="265" t="s">
        <v>96</v>
      </c>
      <c r="B1" s="258" t="s">
        <v>7</v>
      </c>
      <c r="C1" s="260"/>
      <c r="D1" s="265" t="s">
        <v>8</v>
      </c>
      <c r="E1" s="265" t="s">
        <v>146</v>
      </c>
      <c r="F1" s="265" t="s">
        <v>9</v>
      </c>
      <c r="G1" s="265" t="s">
        <v>125</v>
      </c>
      <c r="H1" s="258" t="s">
        <v>10</v>
      </c>
      <c r="I1" s="259"/>
      <c r="J1" s="259"/>
      <c r="K1" s="260"/>
      <c r="L1" s="301" t="s">
        <v>412</v>
      </c>
    </row>
    <row r="2" spans="1:12" s="175" customFormat="1" ht="15.75" customHeight="1">
      <c r="A2" s="266"/>
      <c r="B2" s="261" t="s">
        <v>12</v>
      </c>
      <c r="C2" s="261" t="s">
        <v>13</v>
      </c>
      <c r="D2" s="266"/>
      <c r="E2" s="266"/>
      <c r="F2" s="266"/>
      <c r="G2" s="266"/>
      <c r="H2" s="263" t="s">
        <v>14</v>
      </c>
      <c r="I2" s="264"/>
      <c r="J2" s="263" t="s">
        <v>15</v>
      </c>
      <c r="K2" s="264"/>
      <c r="L2" s="302"/>
    </row>
    <row r="3" spans="1:12" s="175" customFormat="1" ht="27" customHeight="1">
      <c r="A3" s="267"/>
      <c r="B3" s="262"/>
      <c r="C3" s="262"/>
      <c r="D3" s="267"/>
      <c r="E3" s="267"/>
      <c r="F3" s="267"/>
      <c r="G3" s="267"/>
      <c r="H3" s="176" t="s">
        <v>104</v>
      </c>
      <c r="I3" s="176" t="s">
        <v>126</v>
      </c>
      <c r="J3" s="176" t="s">
        <v>104</v>
      </c>
      <c r="K3" s="176" t="s">
        <v>126</v>
      </c>
      <c r="L3" s="303"/>
    </row>
    <row r="4" spans="1:12" s="175" customFormat="1">
      <c r="A4" s="177" t="s">
        <v>16</v>
      </c>
      <c r="B4" s="177" t="s">
        <v>17</v>
      </c>
      <c r="C4" s="177" t="s">
        <v>18</v>
      </c>
      <c r="D4" s="177" t="s">
        <v>19</v>
      </c>
      <c r="E4" s="177"/>
      <c r="F4" s="177" t="s">
        <v>20</v>
      </c>
      <c r="G4" s="177">
        <v>1</v>
      </c>
      <c r="H4" s="177">
        <v>2</v>
      </c>
      <c r="I4" s="177">
        <v>3</v>
      </c>
      <c r="J4" s="177">
        <v>4</v>
      </c>
      <c r="K4" s="177">
        <v>5</v>
      </c>
      <c r="L4" s="177">
        <v>6</v>
      </c>
    </row>
    <row r="5" spans="1:12" s="175" customFormat="1" ht="18.75" customHeight="1">
      <c r="A5" s="236">
        <f>IF(C5&lt;&gt;"",MONTH(C5),"")</f>
        <v>1</v>
      </c>
      <c r="B5" s="184" t="s">
        <v>130</v>
      </c>
      <c r="C5" s="184">
        <v>41652</v>
      </c>
      <c r="D5" s="161" t="s">
        <v>409</v>
      </c>
      <c r="E5" s="217" t="s">
        <v>391</v>
      </c>
      <c r="F5" s="185" t="s">
        <v>131</v>
      </c>
      <c r="G5" s="186">
        <v>21070</v>
      </c>
      <c r="H5" s="169">
        <v>92500</v>
      </c>
      <c r="I5" s="158">
        <v>1948975000</v>
      </c>
      <c r="J5" s="169"/>
      <c r="K5" s="158"/>
      <c r="L5" s="300" t="str">
        <f>IF(E5&lt;&gt;"",IF(MID(E5,4,4)="1015","Q11","Q4"),"")</f>
        <v>Q11</v>
      </c>
    </row>
    <row r="6" spans="1:12" s="192" customFormat="1" ht="18.75" customHeight="1">
      <c r="A6" s="236">
        <f t="shared" ref="A6:A38" si="0">IF(C6&lt;&gt;"",MONTH(C6),"")</f>
        <v>1</v>
      </c>
      <c r="B6" s="221" t="s">
        <v>132</v>
      </c>
      <c r="C6" s="187">
        <v>41652</v>
      </c>
      <c r="D6" s="222" t="s">
        <v>133</v>
      </c>
      <c r="E6" s="217" t="s">
        <v>391</v>
      </c>
      <c r="F6" s="189" t="s">
        <v>410</v>
      </c>
      <c r="G6" s="223"/>
      <c r="H6" s="170"/>
      <c r="I6" s="158">
        <v>16280000</v>
      </c>
      <c r="J6" s="169"/>
      <c r="K6" s="158"/>
      <c r="L6" s="194" t="str">
        <f t="shared" ref="L6:L69" si="1">IF(E6&lt;&gt;"",IF(MID(E6,4,4)="1015","Q11","Q4"),"")</f>
        <v>Q11</v>
      </c>
    </row>
    <row r="7" spans="1:12" s="175" customFormat="1" ht="18.75" customHeight="1">
      <c r="A7" s="236">
        <f t="shared" si="0"/>
        <v>1</v>
      </c>
      <c r="B7" s="184" t="s">
        <v>130</v>
      </c>
      <c r="C7" s="184">
        <v>41654</v>
      </c>
      <c r="D7" s="161" t="s">
        <v>411</v>
      </c>
      <c r="E7" s="217" t="s">
        <v>392</v>
      </c>
      <c r="F7" s="185" t="s">
        <v>131</v>
      </c>
      <c r="G7" s="186">
        <v>21075</v>
      </c>
      <c r="H7" s="169">
        <v>95000</v>
      </c>
      <c r="I7" s="158">
        <v>2002125000</v>
      </c>
      <c r="J7" s="169"/>
      <c r="K7" s="158"/>
      <c r="L7" s="194" t="str">
        <f t="shared" si="1"/>
        <v>Q11</v>
      </c>
    </row>
    <row r="8" spans="1:12" s="175" customFormat="1" ht="18.75" customHeight="1">
      <c r="A8" s="236">
        <f t="shared" si="0"/>
        <v>1</v>
      </c>
      <c r="B8" s="221" t="s">
        <v>132</v>
      </c>
      <c r="C8" s="187">
        <v>41654</v>
      </c>
      <c r="D8" s="222" t="s">
        <v>133</v>
      </c>
      <c r="E8" s="217" t="s">
        <v>392</v>
      </c>
      <c r="F8" s="189" t="s">
        <v>410</v>
      </c>
      <c r="G8" s="223"/>
      <c r="H8" s="170"/>
      <c r="I8" s="158">
        <v>13775000</v>
      </c>
      <c r="J8" s="169"/>
      <c r="K8" s="158"/>
      <c r="L8" s="194" t="str">
        <f t="shared" si="1"/>
        <v>Q11</v>
      </c>
    </row>
    <row r="9" spans="1:12" s="175" customFormat="1" ht="18.75" customHeight="1">
      <c r="A9" s="236">
        <f t="shared" si="0"/>
        <v>2</v>
      </c>
      <c r="B9" s="184" t="s">
        <v>130</v>
      </c>
      <c r="C9" s="184">
        <v>41680</v>
      </c>
      <c r="D9" s="161" t="s">
        <v>413</v>
      </c>
      <c r="E9" s="217" t="s">
        <v>393</v>
      </c>
      <c r="F9" s="185" t="s">
        <v>131</v>
      </c>
      <c r="G9" s="186">
        <v>21105</v>
      </c>
      <c r="H9" s="169">
        <v>98000</v>
      </c>
      <c r="I9" s="158">
        <v>2068290000</v>
      </c>
      <c r="J9" s="169"/>
      <c r="K9" s="158"/>
      <c r="L9" s="194" t="str">
        <f t="shared" si="1"/>
        <v>Q11</v>
      </c>
    </row>
    <row r="10" spans="1:12" s="175" customFormat="1" ht="18.75" customHeight="1">
      <c r="A10" s="236">
        <f t="shared" si="0"/>
        <v>2</v>
      </c>
      <c r="B10" s="221" t="s">
        <v>132</v>
      </c>
      <c r="C10" s="187">
        <v>41680</v>
      </c>
      <c r="D10" s="222" t="s">
        <v>133</v>
      </c>
      <c r="E10" s="217" t="s">
        <v>393</v>
      </c>
      <c r="F10" s="189" t="s">
        <v>134</v>
      </c>
      <c r="G10" s="223"/>
      <c r="H10" s="170"/>
      <c r="I10" s="158">
        <v>0</v>
      </c>
      <c r="J10" s="169"/>
      <c r="K10" s="158">
        <v>1960000</v>
      </c>
      <c r="L10" s="194" t="str">
        <f t="shared" si="1"/>
        <v>Q11</v>
      </c>
    </row>
    <row r="11" spans="1:12" s="175" customFormat="1" ht="18.75" customHeight="1">
      <c r="A11" s="236">
        <f t="shared" si="0"/>
        <v>3</v>
      </c>
      <c r="B11" s="184" t="s">
        <v>130</v>
      </c>
      <c r="C11" s="184">
        <v>41709</v>
      </c>
      <c r="D11" s="161" t="s">
        <v>414</v>
      </c>
      <c r="E11" s="222" t="s">
        <v>394</v>
      </c>
      <c r="F11" s="185" t="s">
        <v>131</v>
      </c>
      <c r="G11" s="186">
        <v>21100</v>
      </c>
      <c r="H11" s="169">
        <v>95370</v>
      </c>
      <c r="I11" s="158">
        <v>2012307000</v>
      </c>
      <c r="J11" s="169"/>
      <c r="K11" s="158"/>
      <c r="L11" s="194" t="str">
        <f t="shared" si="1"/>
        <v>Q11</v>
      </c>
    </row>
    <row r="12" spans="1:12" s="175" customFormat="1" ht="18.75" customHeight="1">
      <c r="A12" s="236">
        <f t="shared" si="0"/>
        <v>3</v>
      </c>
      <c r="B12" s="221" t="s">
        <v>132</v>
      </c>
      <c r="C12" s="187">
        <v>41709</v>
      </c>
      <c r="D12" s="222" t="s">
        <v>133</v>
      </c>
      <c r="E12" s="222" t="s">
        <v>394</v>
      </c>
      <c r="F12" s="189" t="s">
        <v>410</v>
      </c>
      <c r="G12" s="223"/>
      <c r="H12" s="170"/>
      <c r="I12" s="158">
        <v>4768500</v>
      </c>
      <c r="J12" s="169"/>
      <c r="K12" s="158"/>
      <c r="L12" s="194" t="str">
        <f t="shared" si="1"/>
        <v>Q11</v>
      </c>
    </row>
    <row r="13" spans="1:12" s="175" customFormat="1" ht="18.75" customHeight="1">
      <c r="A13" s="236">
        <f t="shared" si="0"/>
        <v>4</v>
      </c>
      <c r="B13" s="184" t="s">
        <v>130</v>
      </c>
      <c r="C13" s="184">
        <v>41733</v>
      </c>
      <c r="D13" s="161" t="s">
        <v>415</v>
      </c>
      <c r="E13" s="222" t="s">
        <v>395</v>
      </c>
      <c r="F13" s="185" t="s">
        <v>416</v>
      </c>
      <c r="G13" s="186">
        <v>21092</v>
      </c>
      <c r="H13" s="169">
        <v>90500</v>
      </c>
      <c r="I13" s="158">
        <v>1908826000</v>
      </c>
      <c r="J13" s="169"/>
      <c r="K13" s="158"/>
      <c r="L13" s="194" t="str">
        <f t="shared" si="1"/>
        <v>Q11</v>
      </c>
    </row>
    <row r="14" spans="1:12" s="175" customFormat="1" ht="18.75" customHeight="1">
      <c r="A14" s="236">
        <f t="shared" si="0"/>
        <v>4</v>
      </c>
      <c r="B14" s="221" t="s">
        <v>132</v>
      </c>
      <c r="C14" s="187">
        <v>41733</v>
      </c>
      <c r="D14" s="222" t="s">
        <v>133</v>
      </c>
      <c r="E14" s="222" t="s">
        <v>395</v>
      </c>
      <c r="F14" s="189" t="s">
        <v>410</v>
      </c>
      <c r="G14" s="223"/>
      <c r="H14" s="170"/>
      <c r="I14" s="158">
        <v>724000</v>
      </c>
      <c r="J14" s="169"/>
      <c r="K14" s="158">
        <v>0</v>
      </c>
      <c r="L14" s="194" t="str">
        <f t="shared" si="1"/>
        <v>Q11</v>
      </c>
    </row>
    <row r="15" spans="1:12" s="175" customFormat="1" ht="18.75" customHeight="1">
      <c r="A15" s="236">
        <f t="shared" si="0"/>
        <v>1</v>
      </c>
      <c r="B15" s="184" t="s">
        <v>135</v>
      </c>
      <c r="C15" s="183">
        <v>41653</v>
      </c>
      <c r="D15" s="161" t="s">
        <v>417</v>
      </c>
      <c r="E15" s="156" t="s">
        <v>396</v>
      </c>
      <c r="F15" s="185" t="s">
        <v>131</v>
      </c>
      <c r="G15" s="186">
        <v>21085</v>
      </c>
      <c r="H15" s="169"/>
      <c r="I15" s="158">
        <v>0</v>
      </c>
      <c r="J15" s="169">
        <v>92500</v>
      </c>
      <c r="K15" s="158">
        <v>1950362500</v>
      </c>
      <c r="L15" s="194" t="str">
        <f t="shared" si="1"/>
        <v>Q11</v>
      </c>
    </row>
    <row r="16" spans="1:12" s="192" customFormat="1" ht="18.75" customHeight="1">
      <c r="A16" s="236">
        <f t="shared" si="0"/>
        <v>6</v>
      </c>
      <c r="B16" s="187" t="s">
        <v>130</v>
      </c>
      <c r="C16" s="220">
        <v>41816</v>
      </c>
      <c r="D16" s="224" t="s">
        <v>418</v>
      </c>
      <c r="E16" s="156" t="s">
        <v>396</v>
      </c>
      <c r="F16" s="189" t="s">
        <v>131</v>
      </c>
      <c r="G16" s="223">
        <v>21310</v>
      </c>
      <c r="H16" s="170">
        <v>92500</v>
      </c>
      <c r="I16" s="158">
        <v>1971175000</v>
      </c>
      <c r="J16" s="169"/>
      <c r="K16" s="158"/>
      <c r="L16" s="194" t="str">
        <f t="shared" si="1"/>
        <v>Q11</v>
      </c>
    </row>
    <row r="17" spans="1:12" s="175" customFormat="1" ht="18.75" customHeight="1">
      <c r="A17" s="236">
        <f t="shared" si="0"/>
        <v>6</v>
      </c>
      <c r="B17" s="184" t="s">
        <v>132</v>
      </c>
      <c r="C17" s="184">
        <v>41816</v>
      </c>
      <c r="D17" s="161" t="s">
        <v>133</v>
      </c>
      <c r="E17" s="156" t="s">
        <v>396</v>
      </c>
      <c r="F17" s="185" t="s">
        <v>134</v>
      </c>
      <c r="G17" s="186"/>
      <c r="H17" s="169"/>
      <c r="I17" s="158">
        <v>0</v>
      </c>
      <c r="J17" s="169"/>
      <c r="K17" s="158">
        <v>20812500</v>
      </c>
      <c r="L17" s="194" t="str">
        <f t="shared" si="1"/>
        <v>Q11</v>
      </c>
    </row>
    <row r="18" spans="1:12" s="175" customFormat="1" ht="18.75" customHeight="1">
      <c r="A18" s="236">
        <f t="shared" si="0"/>
        <v>1</v>
      </c>
      <c r="B18" s="184" t="s">
        <v>135</v>
      </c>
      <c r="C18" s="184">
        <v>41655</v>
      </c>
      <c r="D18" s="217" t="s">
        <v>419</v>
      </c>
      <c r="E18" s="156" t="s">
        <v>397</v>
      </c>
      <c r="F18" s="185" t="s">
        <v>131</v>
      </c>
      <c r="G18" s="186">
        <v>21085</v>
      </c>
      <c r="H18" s="169"/>
      <c r="I18" s="158">
        <v>0</v>
      </c>
      <c r="J18" s="169">
        <v>95000</v>
      </c>
      <c r="K18" s="158">
        <v>2003075000</v>
      </c>
      <c r="L18" s="194" t="str">
        <f t="shared" si="1"/>
        <v>Q11</v>
      </c>
    </row>
    <row r="19" spans="1:12" s="192" customFormat="1" ht="18.75" customHeight="1">
      <c r="A19" s="236">
        <f t="shared" si="0"/>
        <v>7</v>
      </c>
      <c r="B19" s="187" t="s">
        <v>130</v>
      </c>
      <c r="C19" s="220">
        <v>41821</v>
      </c>
      <c r="D19" s="224" t="s">
        <v>420</v>
      </c>
      <c r="E19" s="156" t="s">
        <v>397</v>
      </c>
      <c r="F19" s="189" t="s">
        <v>131</v>
      </c>
      <c r="G19" s="223">
        <v>21340</v>
      </c>
      <c r="H19" s="170">
        <v>95000</v>
      </c>
      <c r="I19" s="158">
        <v>2027300000</v>
      </c>
      <c r="J19" s="169"/>
      <c r="K19" s="158"/>
      <c r="L19" s="194" t="str">
        <f t="shared" si="1"/>
        <v>Q11</v>
      </c>
    </row>
    <row r="20" spans="1:12" s="175" customFormat="1" ht="18.75" customHeight="1">
      <c r="A20" s="236">
        <f t="shared" si="0"/>
        <v>7</v>
      </c>
      <c r="B20" s="184" t="s">
        <v>132</v>
      </c>
      <c r="C20" s="184">
        <v>41821</v>
      </c>
      <c r="D20" s="161" t="s">
        <v>133</v>
      </c>
      <c r="E20" s="156" t="s">
        <v>397</v>
      </c>
      <c r="F20" s="185" t="s">
        <v>134</v>
      </c>
      <c r="G20" s="186"/>
      <c r="H20" s="169"/>
      <c r="I20" s="158">
        <v>0</v>
      </c>
      <c r="J20" s="169"/>
      <c r="K20" s="158">
        <v>24225000</v>
      </c>
      <c r="L20" s="194" t="str">
        <f t="shared" si="1"/>
        <v>Q11</v>
      </c>
    </row>
    <row r="21" spans="1:12" s="175" customFormat="1" ht="18.75" customHeight="1">
      <c r="A21" s="236">
        <f t="shared" si="0"/>
        <v>2</v>
      </c>
      <c r="B21" s="184" t="s">
        <v>135</v>
      </c>
      <c r="C21" s="184">
        <v>41681</v>
      </c>
      <c r="D21" s="161" t="s">
        <v>421</v>
      </c>
      <c r="E21" s="156" t="s">
        <v>398</v>
      </c>
      <c r="F21" s="185" t="s">
        <v>131</v>
      </c>
      <c r="G21" s="186">
        <v>21103</v>
      </c>
      <c r="H21" s="169"/>
      <c r="I21" s="158">
        <v>0</v>
      </c>
      <c r="J21" s="169">
        <v>98000</v>
      </c>
      <c r="K21" s="158">
        <v>2068094000</v>
      </c>
      <c r="L21" s="194" t="str">
        <f t="shared" si="1"/>
        <v>Q11</v>
      </c>
    </row>
    <row r="22" spans="1:12" s="175" customFormat="1" ht="18.75" customHeight="1">
      <c r="A22" s="236">
        <f t="shared" si="0"/>
        <v>8</v>
      </c>
      <c r="B22" s="184" t="s">
        <v>130</v>
      </c>
      <c r="C22" s="184">
        <v>41856</v>
      </c>
      <c r="D22" s="161" t="s">
        <v>422</v>
      </c>
      <c r="E22" s="156" t="s">
        <v>398</v>
      </c>
      <c r="F22" s="185" t="s">
        <v>131</v>
      </c>
      <c r="G22" s="186">
        <v>21225</v>
      </c>
      <c r="H22" s="169">
        <v>60000</v>
      </c>
      <c r="I22" s="158">
        <v>1273500000</v>
      </c>
      <c r="J22" s="169"/>
      <c r="K22" s="158">
        <v>0</v>
      </c>
      <c r="L22" s="194" t="str">
        <f t="shared" si="1"/>
        <v>Q11</v>
      </c>
    </row>
    <row r="23" spans="1:12" s="175" customFormat="1" ht="18.75" customHeight="1">
      <c r="A23" s="236">
        <f t="shared" si="0"/>
        <v>8</v>
      </c>
      <c r="B23" s="184" t="s">
        <v>130</v>
      </c>
      <c r="C23" s="184">
        <v>41870</v>
      </c>
      <c r="D23" s="161" t="s">
        <v>422</v>
      </c>
      <c r="E23" s="156" t="s">
        <v>398</v>
      </c>
      <c r="F23" s="185" t="s">
        <v>131</v>
      </c>
      <c r="G23" s="186">
        <v>21205</v>
      </c>
      <c r="H23" s="169">
        <v>19600</v>
      </c>
      <c r="I23" s="158">
        <v>415618000</v>
      </c>
      <c r="J23" s="169"/>
      <c r="K23" s="158">
        <v>0</v>
      </c>
      <c r="L23" s="194" t="str">
        <f t="shared" si="1"/>
        <v>Q11</v>
      </c>
    </row>
    <row r="24" spans="1:12" s="175" customFormat="1" ht="18.75" customHeight="1">
      <c r="A24" s="236">
        <f t="shared" si="0"/>
        <v>8</v>
      </c>
      <c r="B24" s="184" t="s">
        <v>130</v>
      </c>
      <c r="C24" s="184">
        <v>41871</v>
      </c>
      <c r="D24" s="225" t="s">
        <v>423</v>
      </c>
      <c r="E24" s="156" t="s">
        <v>398</v>
      </c>
      <c r="F24" s="185" t="s">
        <v>131</v>
      </c>
      <c r="G24" s="186">
        <v>21225</v>
      </c>
      <c r="H24" s="169">
        <v>18400</v>
      </c>
      <c r="I24" s="158">
        <v>390540000</v>
      </c>
      <c r="J24" s="169"/>
      <c r="K24" s="158">
        <v>0</v>
      </c>
      <c r="L24" s="194" t="str">
        <f t="shared" si="1"/>
        <v>Q11</v>
      </c>
    </row>
    <row r="25" spans="1:12" ht="18.75" customHeight="1">
      <c r="A25" s="236">
        <f t="shared" si="0"/>
        <v>8</v>
      </c>
      <c r="B25" s="184" t="s">
        <v>132</v>
      </c>
      <c r="C25" s="184">
        <v>41871</v>
      </c>
      <c r="D25" s="225" t="s">
        <v>133</v>
      </c>
      <c r="E25" s="156" t="s">
        <v>398</v>
      </c>
      <c r="F25" s="185" t="s">
        <v>134</v>
      </c>
      <c r="G25" s="186"/>
      <c r="H25" s="169"/>
      <c r="I25" s="158">
        <v>0</v>
      </c>
      <c r="J25" s="169"/>
      <c r="K25" s="158">
        <v>11564000</v>
      </c>
      <c r="L25" s="194" t="str">
        <f t="shared" si="1"/>
        <v>Q11</v>
      </c>
    </row>
    <row r="26" spans="1:12" ht="18.75" customHeight="1">
      <c r="A26" s="236">
        <f t="shared" si="0"/>
        <v>3</v>
      </c>
      <c r="B26" s="184" t="s">
        <v>135</v>
      </c>
      <c r="C26" s="184">
        <v>41709</v>
      </c>
      <c r="D26" s="225" t="s">
        <v>424</v>
      </c>
      <c r="E26" s="156" t="s">
        <v>399</v>
      </c>
      <c r="F26" s="185" t="s">
        <v>131</v>
      </c>
      <c r="G26" s="186">
        <v>21090</v>
      </c>
      <c r="H26" s="169"/>
      <c r="I26" s="158">
        <v>0</v>
      </c>
      <c r="J26" s="169">
        <v>95370</v>
      </c>
      <c r="K26" s="158">
        <v>2011353300</v>
      </c>
      <c r="L26" s="194" t="str">
        <f t="shared" si="1"/>
        <v>Q11</v>
      </c>
    </row>
    <row r="27" spans="1:12" ht="18.75" customHeight="1">
      <c r="A27" s="236">
        <f t="shared" si="0"/>
        <v>9</v>
      </c>
      <c r="B27" s="184" t="s">
        <v>130</v>
      </c>
      <c r="C27" s="184">
        <v>41888</v>
      </c>
      <c r="D27" s="225" t="s">
        <v>425</v>
      </c>
      <c r="E27" s="156" t="s">
        <v>399</v>
      </c>
      <c r="F27" s="185" t="s">
        <v>131</v>
      </c>
      <c r="G27" s="186">
        <v>21170</v>
      </c>
      <c r="H27" s="169">
        <v>46500</v>
      </c>
      <c r="I27" s="158">
        <v>984405000</v>
      </c>
      <c r="J27" s="169"/>
      <c r="K27" s="158">
        <v>0</v>
      </c>
      <c r="L27" s="194" t="str">
        <f t="shared" si="1"/>
        <v>Q11</v>
      </c>
    </row>
    <row r="28" spans="1:12" ht="18.75" customHeight="1">
      <c r="A28" s="236">
        <f t="shared" si="0"/>
        <v>9</v>
      </c>
      <c r="B28" s="238" t="s">
        <v>130</v>
      </c>
      <c r="C28" s="237">
        <v>41892</v>
      </c>
      <c r="D28" s="239" t="s">
        <v>426</v>
      </c>
      <c r="E28" s="156" t="s">
        <v>399</v>
      </c>
      <c r="F28" s="240" t="s">
        <v>131</v>
      </c>
      <c r="G28" s="186">
        <v>21210</v>
      </c>
      <c r="H28" s="169">
        <v>48870</v>
      </c>
      <c r="I28" s="158">
        <v>1036532700</v>
      </c>
      <c r="J28" s="169"/>
      <c r="K28" s="158">
        <v>0</v>
      </c>
      <c r="L28" s="194" t="str">
        <f t="shared" si="1"/>
        <v>Q11</v>
      </c>
    </row>
    <row r="29" spans="1:12" ht="18.75" customHeight="1">
      <c r="A29" s="236">
        <f t="shared" ref="A29" si="2">IF(C29&lt;&gt;"",MONTH(C29),"")</f>
        <v>9</v>
      </c>
      <c r="B29" s="238" t="s">
        <v>132</v>
      </c>
      <c r="C29" s="237">
        <v>41892</v>
      </c>
      <c r="D29" s="225" t="s">
        <v>133</v>
      </c>
      <c r="E29" s="156" t="s">
        <v>399</v>
      </c>
      <c r="F29" s="240" t="s">
        <v>134</v>
      </c>
      <c r="G29" s="186"/>
      <c r="H29" s="169"/>
      <c r="I29" s="158">
        <v>0</v>
      </c>
      <c r="J29" s="169"/>
      <c r="K29" s="158">
        <v>9584400</v>
      </c>
      <c r="L29" s="194" t="str">
        <f t="shared" si="1"/>
        <v>Q11</v>
      </c>
    </row>
    <row r="30" spans="1:12" ht="18.75" customHeight="1">
      <c r="A30" s="236">
        <f t="shared" si="0"/>
        <v>4</v>
      </c>
      <c r="B30" s="184" t="s">
        <v>135</v>
      </c>
      <c r="C30" s="237">
        <v>41733</v>
      </c>
      <c r="D30" s="239" t="s">
        <v>427</v>
      </c>
      <c r="E30" s="156" t="s">
        <v>400</v>
      </c>
      <c r="F30" s="185" t="s">
        <v>131</v>
      </c>
      <c r="G30" s="186">
        <v>21092</v>
      </c>
      <c r="H30" s="169"/>
      <c r="I30" s="158">
        <v>0</v>
      </c>
      <c r="J30" s="169">
        <v>90500</v>
      </c>
      <c r="K30" s="158">
        <v>1908826000</v>
      </c>
      <c r="L30" s="194" t="str">
        <f t="shared" si="1"/>
        <v>Q11</v>
      </c>
    </row>
    <row r="31" spans="1:12" ht="18.75" customHeight="1">
      <c r="A31" s="236">
        <f t="shared" si="0"/>
        <v>9</v>
      </c>
      <c r="B31" s="184" t="s">
        <v>130</v>
      </c>
      <c r="C31" s="184">
        <v>41906</v>
      </c>
      <c r="D31" s="225" t="s">
        <v>428</v>
      </c>
      <c r="E31" s="156" t="s">
        <v>400</v>
      </c>
      <c r="F31" s="185" t="s">
        <v>131</v>
      </c>
      <c r="G31" s="186">
        <v>21210</v>
      </c>
      <c r="H31" s="169">
        <v>90500</v>
      </c>
      <c r="I31" s="158">
        <v>1919505000</v>
      </c>
      <c r="J31" s="169"/>
      <c r="K31" s="158">
        <v>0</v>
      </c>
      <c r="L31" s="194" t="str">
        <f t="shared" si="1"/>
        <v>Q11</v>
      </c>
    </row>
    <row r="32" spans="1:12" ht="18.75" customHeight="1">
      <c r="A32" s="236">
        <f t="shared" ref="A32" si="3">IF(C32&lt;&gt;"",MONTH(C32),"")</f>
        <v>9</v>
      </c>
      <c r="B32" s="184" t="s">
        <v>132</v>
      </c>
      <c r="C32" s="184">
        <v>41906</v>
      </c>
      <c r="D32" s="225" t="s">
        <v>133</v>
      </c>
      <c r="E32" s="156" t="s">
        <v>400</v>
      </c>
      <c r="F32" s="185" t="s">
        <v>134</v>
      </c>
      <c r="G32" s="186"/>
      <c r="H32" s="169"/>
      <c r="I32" s="158">
        <v>0</v>
      </c>
      <c r="J32" s="169"/>
      <c r="K32" s="158">
        <v>10679000</v>
      </c>
      <c r="L32" s="194" t="str">
        <f t="shared" si="1"/>
        <v>Q11</v>
      </c>
    </row>
    <row r="33" spans="1:12" ht="18.75" customHeight="1">
      <c r="A33" s="236">
        <f t="shared" si="0"/>
        <v>6</v>
      </c>
      <c r="B33" s="184" t="s">
        <v>135</v>
      </c>
      <c r="C33" s="184">
        <v>41817</v>
      </c>
      <c r="D33" s="239" t="s">
        <v>429</v>
      </c>
      <c r="E33" s="156" t="s">
        <v>401</v>
      </c>
      <c r="F33" s="185" t="s">
        <v>131</v>
      </c>
      <c r="G33" s="186">
        <v>21320</v>
      </c>
      <c r="H33" s="169"/>
      <c r="I33" s="158">
        <v>0</v>
      </c>
      <c r="J33" s="169">
        <v>90300</v>
      </c>
      <c r="K33" s="158">
        <v>1925196000</v>
      </c>
      <c r="L33" s="194" t="str">
        <f t="shared" si="1"/>
        <v>Q11</v>
      </c>
    </row>
    <row r="34" spans="1:12" ht="18.75" customHeight="1">
      <c r="A34" s="236">
        <f t="shared" si="0"/>
        <v>12</v>
      </c>
      <c r="B34" s="238" t="s">
        <v>130</v>
      </c>
      <c r="C34" s="237">
        <v>41996</v>
      </c>
      <c r="D34" s="239" t="s">
        <v>430</v>
      </c>
      <c r="E34" s="156" t="s">
        <v>401</v>
      </c>
      <c r="F34" s="185" t="s">
        <v>131</v>
      </c>
      <c r="G34" s="186">
        <v>21400</v>
      </c>
      <c r="H34" s="169">
        <v>70000</v>
      </c>
      <c r="I34" s="158">
        <v>1498000000</v>
      </c>
      <c r="J34" s="169"/>
      <c r="K34" s="158"/>
      <c r="L34" s="194" t="str">
        <f t="shared" si="1"/>
        <v>Q11</v>
      </c>
    </row>
    <row r="35" spans="1:12" ht="18.75" customHeight="1">
      <c r="A35" s="236">
        <f t="shared" ref="A35" si="4">IF(C35&lt;&gt;"",MONTH(C35),"")</f>
        <v>12</v>
      </c>
      <c r="B35" s="238" t="s">
        <v>130</v>
      </c>
      <c r="C35" s="237">
        <v>41999</v>
      </c>
      <c r="D35" s="225" t="s">
        <v>430</v>
      </c>
      <c r="E35" s="156" t="s">
        <v>401</v>
      </c>
      <c r="F35" s="185" t="s">
        <v>131</v>
      </c>
      <c r="G35" s="186">
        <v>21400</v>
      </c>
      <c r="H35" s="169">
        <v>20300</v>
      </c>
      <c r="I35" s="158">
        <v>434420000</v>
      </c>
      <c r="J35" s="169"/>
      <c r="K35" s="158"/>
      <c r="L35" s="194" t="str">
        <f t="shared" si="1"/>
        <v>Q11</v>
      </c>
    </row>
    <row r="36" spans="1:12" ht="18.75" customHeight="1">
      <c r="A36" s="236">
        <f t="shared" si="0"/>
        <v>12</v>
      </c>
      <c r="B36" s="238" t="s">
        <v>132</v>
      </c>
      <c r="C36" s="237">
        <v>41999</v>
      </c>
      <c r="D36" s="239" t="s">
        <v>133</v>
      </c>
      <c r="E36" s="156" t="s">
        <v>401</v>
      </c>
      <c r="F36" s="185" t="s">
        <v>134</v>
      </c>
      <c r="G36" s="186"/>
      <c r="H36" s="169"/>
      <c r="I36" s="158">
        <v>0</v>
      </c>
      <c r="J36" s="169"/>
      <c r="K36" s="158">
        <v>7224000</v>
      </c>
      <c r="L36" s="194" t="str">
        <f t="shared" si="1"/>
        <v>Q11</v>
      </c>
    </row>
    <row r="37" spans="1:12" ht="18.75" customHeight="1">
      <c r="A37" s="236">
        <f t="shared" ref="A37" si="5">IF(C37&lt;&gt;"",MONTH(C37),"")</f>
        <v>7</v>
      </c>
      <c r="B37" s="238" t="s">
        <v>135</v>
      </c>
      <c r="C37" s="237">
        <v>41822</v>
      </c>
      <c r="D37" s="225" t="s">
        <v>431</v>
      </c>
      <c r="E37" s="156" t="s">
        <v>110</v>
      </c>
      <c r="F37" s="185" t="s">
        <v>131</v>
      </c>
      <c r="G37" s="186">
        <v>21315</v>
      </c>
      <c r="H37" s="169"/>
      <c r="I37" s="158">
        <v>0</v>
      </c>
      <c r="J37" s="169">
        <v>95000</v>
      </c>
      <c r="K37" s="158">
        <v>2024925000</v>
      </c>
      <c r="L37" s="194" t="str">
        <f t="shared" si="1"/>
        <v>Q11</v>
      </c>
    </row>
    <row r="38" spans="1:12" ht="18.75" customHeight="1">
      <c r="A38" s="236">
        <f t="shared" si="0"/>
        <v>12</v>
      </c>
      <c r="B38" s="184" t="s">
        <v>130</v>
      </c>
      <c r="C38" s="184">
        <v>42003</v>
      </c>
      <c r="D38" s="225" t="s">
        <v>432</v>
      </c>
      <c r="E38" s="156" t="s">
        <v>110</v>
      </c>
      <c r="F38" s="185" t="s">
        <v>131</v>
      </c>
      <c r="G38" s="186">
        <v>21380</v>
      </c>
      <c r="H38" s="169">
        <v>43500</v>
      </c>
      <c r="I38" s="158">
        <v>930030000</v>
      </c>
      <c r="J38" s="169"/>
      <c r="K38" s="158"/>
      <c r="L38" s="194" t="str">
        <f t="shared" si="1"/>
        <v>Q11</v>
      </c>
    </row>
    <row r="39" spans="1:12" ht="18.75" customHeight="1">
      <c r="A39" s="236">
        <f t="shared" ref="A39:A70" si="6">IF(C39&lt;&gt;"",MONTH(C39),"")</f>
        <v>8</v>
      </c>
      <c r="B39" s="184" t="s">
        <v>135</v>
      </c>
      <c r="C39" s="184">
        <v>41857</v>
      </c>
      <c r="D39" s="225" t="s">
        <v>433</v>
      </c>
      <c r="E39" s="156" t="s">
        <v>111</v>
      </c>
      <c r="F39" s="185" t="s">
        <v>131</v>
      </c>
      <c r="G39" s="186">
        <v>21225</v>
      </c>
      <c r="H39" s="169"/>
      <c r="I39" s="158">
        <v>0</v>
      </c>
      <c r="J39" s="169">
        <v>60000</v>
      </c>
      <c r="K39" s="158">
        <v>1273500000</v>
      </c>
      <c r="L39" s="194" t="str">
        <f t="shared" si="1"/>
        <v>Q11</v>
      </c>
    </row>
    <row r="40" spans="1:12" ht="18.75" customHeight="1">
      <c r="A40" s="236">
        <f t="shared" si="6"/>
        <v>8</v>
      </c>
      <c r="B40" s="184" t="s">
        <v>135</v>
      </c>
      <c r="C40" s="184">
        <v>41871</v>
      </c>
      <c r="D40" s="225" t="s">
        <v>434</v>
      </c>
      <c r="E40" s="156" t="s">
        <v>112</v>
      </c>
      <c r="F40" s="185" t="s">
        <v>131</v>
      </c>
      <c r="G40" s="186">
        <v>21225</v>
      </c>
      <c r="H40" s="169"/>
      <c r="I40" s="158">
        <v>0</v>
      </c>
      <c r="J40" s="169">
        <v>38000</v>
      </c>
      <c r="K40" s="158">
        <v>806550000</v>
      </c>
      <c r="L40" s="194" t="str">
        <f t="shared" si="1"/>
        <v>Q11</v>
      </c>
    </row>
    <row r="41" spans="1:12" ht="18.75" customHeight="1">
      <c r="A41" s="236">
        <f t="shared" si="6"/>
        <v>9</v>
      </c>
      <c r="B41" s="184" t="s">
        <v>135</v>
      </c>
      <c r="C41" s="184">
        <v>41890</v>
      </c>
      <c r="D41" s="225" t="s">
        <v>435</v>
      </c>
      <c r="E41" s="156" t="s">
        <v>113</v>
      </c>
      <c r="F41" s="185" t="s">
        <v>131</v>
      </c>
      <c r="G41" s="186">
        <v>21170</v>
      </c>
      <c r="H41" s="169"/>
      <c r="I41" s="158">
        <v>0</v>
      </c>
      <c r="J41" s="169">
        <v>46500</v>
      </c>
      <c r="K41" s="158">
        <v>984405000</v>
      </c>
      <c r="L41" s="194" t="str">
        <f t="shared" si="1"/>
        <v>Q11</v>
      </c>
    </row>
    <row r="42" spans="1:12" ht="18.75" customHeight="1">
      <c r="A42" s="236">
        <f t="shared" ref="A42:A66" si="7">IF(C42&lt;&gt;"",MONTH(C42),"")</f>
        <v>9</v>
      </c>
      <c r="B42" s="184" t="s">
        <v>135</v>
      </c>
      <c r="C42" s="184">
        <v>41893</v>
      </c>
      <c r="D42" s="225" t="s">
        <v>436</v>
      </c>
      <c r="E42" s="156" t="s">
        <v>114</v>
      </c>
      <c r="F42" s="185" t="s">
        <v>131</v>
      </c>
      <c r="G42" s="186">
        <v>21210</v>
      </c>
      <c r="H42" s="169"/>
      <c r="I42" s="158">
        <v>0</v>
      </c>
      <c r="J42" s="169">
        <v>50870</v>
      </c>
      <c r="K42" s="158">
        <v>1078952700</v>
      </c>
      <c r="L42" s="194" t="str">
        <f t="shared" si="1"/>
        <v>Q11</v>
      </c>
    </row>
    <row r="43" spans="1:12" ht="18.75" customHeight="1">
      <c r="A43" s="236">
        <f t="shared" si="7"/>
        <v>9</v>
      </c>
      <c r="B43" s="184" t="s">
        <v>135</v>
      </c>
      <c r="C43" s="184">
        <v>41906</v>
      </c>
      <c r="D43" s="225" t="s">
        <v>437</v>
      </c>
      <c r="E43" s="156" t="s">
        <v>115</v>
      </c>
      <c r="F43" s="185" t="s">
        <v>131</v>
      </c>
      <c r="G43" s="186">
        <v>21210</v>
      </c>
      <c r="H43" s="169"/>
      <c r="I43" s="158">
        <v>0</v>
      </c>
      <c r="J43" s="169">
        <v>90000</v>
      </c>
      <c r="K43" s="158">
        <v>1908900000</v>
      </c>
      <c r="L43" s="194" t="str">
        <f t="shared" si="1"/>
        <v>Q11</v>
      </c>
    </row>
    <row r="44" spans="1:12" ht="18.75" customHeight="1">
      <c r="A44" s="236">
        <f t="shared" si="7"/>
        <v>10</v>
      </c>
      <c r="B44" s="184" t="s">
        <v>135</v>
      </c>
      <c r="C44" s="184">
        <v>41921</v>
      </c>
      <c r="D44" s="225" t="s">
        <v>438</v>
      </c>
      <c r="E44" s="156" t="s">
        <v>116</v>
      </c>
      <c r="F44" s="185" t="s">
        <v>45</v>
      </c>
      <c r="G44" s="186">
        <v>21220</v>
      </c>
      <c r="H44" s="169"/>
      <c r="I44" s="158">
        <v>0</v>
      </c>
      <c r="J44" s="169">
        <v>92500</v>
      </c>
      <c r="K44" s="158">
        <v>1962850000</v>
      </c>
      <c r="L44" s="194" t="str">
        <f t="shared" si="1"/>
        <v>Q11</v>
      </c>
    </row>
    <row r="45" spans="1:12" ht="18.75" customHeight="1">
      <c r="A45" s="236">
        <f t="shared" si="7"/>
        <v>11</v>
      </c>
      <c r="B45" s="184" t="s">
        <v>135</v>
      </c>
      <c r="C45" s="184">
        <v>41958</v>
      </c>
      <c r="D45" s="225" t="s">
        <v>439</v>
      </c>
      <c r="E45" s="156" t="s">
        <v>117</v>
      </c>
      <c r="F45" s="185" t="s">
        <v>131</v>
      </c>
      <c r="G45" s="186">
        <v>21330</v>
      </c>
      <c r="H45" s="169"/>
      <c r="I45" s="158">
        <v>0</v>
      </c>
      <c r="J45" s="169">
        <v>69000</v>
      </c>
      <c r="K45" s="158">
        <v>1471770000</v>
      </c>
      <c r="L45" s="194" t="str">
        <f t="shared" si="1"/>
        <v>Q11</v>
      </c>
    </row>
    <row r="46" spans="1:12" ht="18.75" customHeight="1">
      <c r="A46" s="236">
        <f t="shared" si="7"/>
        <v>12</v>
      </c>
      <c r="B46" s="184" t="s">
        <v>135</v>
      </c>
      <c r="C46" s="184">
        <v>41988</v>
      </c>
      <c r="D46" s="225" t="s">
        <v>440</v>
      </c>
      <c r="E46" s="156" t="s">
        <v>118</v>
      </c>
      <c r="F46" s="185">
        <v>1122</v>
      </c>
      <c r="G46" s="186">
        <v>21400</v>
      </c>
      <c r="H46" s="169"/>
      <c r="I46" s="158">
        <v>0</v>
      </c>
      <c r="J46" s="169">
        <v>70000</v>
      </c>
      <c r="K46" s="158">
        <v>1498000000</v>
      </c>
      <c r="L46" s="194" t="str">
        <f t="shared" si="1"/>
        <v>Q11</v>
      </c>
    </row>
    <row r="47" spans="1:12" ht="18.75" customHeight="1">
      <c r="A47" s="236">
        <f t="shared" si="7"/>
        <v>12</v>
      </c>
      <c r="B47" s="184" t="s">
        <v>135</v>
      </c>
      <c r="C47" s="184">
        <v>42000</v>
      </c>
      <c r="D47" s="225" t="s">
        <v>441</v>
      </c>
      <c r="E47" s="156" t="s">
        <v>119</v>
      </c>
      <c r="F47" s="185">
        <v>1122</v>
      </c>
      <c r="G47" s="186">
        <v>21400</v>
      </c>
      <c r="H47" s="169"/>
      <c r="I47" s="158">
        <v>0</v>
      </c>
      <c r="J47" s="169">
        <v>19500</v>
      </c>
      <c r="K47" s="158">
        <v>417300000</v>
      </c>
      <c r="L47" s="194" t="str">
        <f t="shared" si="1"/>
        <v>Q11</v>
      </c>
    </row>
    <row r="48" spans="1:12" ht="18.75" customHeight="1">
      <c r="A48" s="236">
        <f t="shared" si="7"/>
        <v>12</v>
      </c>
      <c r="B48" s="238" t="s">
        <v>135</v>
      </c>
      <c r="C48" s="184">
        <v>42004</v>
      </c>
      <c r="D48" s="225" t="s">
        <v>442</v>
      </c>
      <c r="E48" s="156" t="s">
        <v>120</v>
      </c>
      <c r="F48" s="185">
        <v>1122</v>
      </c>
      <c r="G48" s="186">
        <v>21380</v>
      </c>
      <c r="H48" s="169"/>
      <c r="I48" s="158">
        <v>0</v>
      </c>
      <c r="J48" s="169">
        <v>43500</v>
      </c>
      <c r="K48" s="158">
        <v>930030000</v>
      </c>
      <c r="L48" s="194" t="str">
        <f t="shared" si="1"/>
        <v>Q11</v>
      </c>
    </row>
    <row r="49" spans="1:12" ht="18.75" customHeight="1">
      <c r="A49" s="236">
        <f t="shared" si="7"/>
        <v>5</v>
      </c>
      <c r="B49" s="238" t="s">
        <v>135</v>
      </c>
      <c r="C49" s="184">
        <v>41779</v>
      </c>
      <c r="D49" s="225" t="s">
        <v>443</v>
      </c>
      <c r="E49" s="156" t="s">
        <v>402</v>
      </c>
      <c r="F49" s="185" t="s">
        <v>45</v>
      </c>
      <c r="G49" s="186">
        <v>21110</v>
      </c>
      <c r="H49" s="169"/>
      <c r="I49" s="158">
        <v>0</v>
      </c>
      <c r="J49" s="169">
        <v>83000</v>
      </c>
      <c r="K49" s="158">
        <v>1752130000</v>
      </c>
      <c r="L49" s="194" t="str">
        <f t="shared" si="1"/>
        <v>Q4</v>
      </c>
    </row>
    <row r="50" spans="1:12" ht="18.75" customHeight="1">
      <c r="A50" s="236">
        <f t="shared" si="7"/>
        <v>11</v>
      </c>
      <c r="B50" s="238" t="s">
        <v>130</v>
      </c>
      <c r="C50" s="184">
        <v>41962</v>
      </c>
      <c r="D50" s="225" t="s">
        <v>444</v>
      </c>
      <c r="E50" s="156" t="s">
        <v>402</v>
      </c>
      <c r="F50" s="185">
        <v>1122</v>
      </c>
      <c r="G50" s="186">
        <v>21380</v>
      </c>
      <c r="H50" s="169">
        <v>83000</v>
      </c>
      <c r="I50" s="158">
        <v>1774540000</v>
      </c>
      <c r="J50" s="169"/>
      <c r="K50" s="158"/>
      <c r="L50" s="194" t="str">
        <f t="shared" si="1"/>
        <v>Q4</v>
      </c>
    </row>
    <row r="51" spans="1:12" ht="18.75" customHeight="1">
      <c r="A51" s="236">
        <f t="shared" si="7"/>
        <v>11</v>
      </c>
      <c r="B51" s="238" t="s">
        <v>132</v>
      </c>
      <c r="C51" s="184">
        <v>41962</v>
      </c>
      <c r="D51" s="225" t="s">
        <v>133</v>
      </c>
      <c r="E51" s="156" t="s">
        <v>402</v>
      </c>
      <c r="F51" s="185" t="s">
        <v>134</v>
      </c>
      <c r="G51" s="186"/>
      <c r="H51" s="169"/>
      <c r="I51" s="158"/>
      <c r="J51" s="169"/>
      <c r="K51" s="158">
        <v>22410000</v>
      </c>
      <c r="L51" s="194" t="str">
        <f t="shared" si="1"/>
        <v>Q4</v>
      </c>
    </row>
    <row r="52" spans="1:12" ht="18.75" customHeight="1">
      <c r="A52" s="236">
        <f t="shared" si="7"/>
        <v>6</v>
      </c>
      <c r="B52" s="184" t="s">
        <v>135</v>
      </c>
      <c r="C52" s="184">
        <v>41803</v>
      </c>
      <c r="D52" s="225" t="s">
        <v>445</v>
      </c>
      <c r="E52" s="156" t="s">
        <v>403</v>
      </c>
      <c r="F52" s="185" t="s">
        <v>136</v>
      </c>
      <c r="G52" s="186">
        <v>21220</v>
      </c>
      <c r="H52" s="169"/>
      <c r="I52" s="158">
        <v>0</v>
      </c>
      <c r="J52" s="169">
        <v>96000</v>
      </c>
      <c r="K52" s="158">
        <v>2037120000</v>
      </c>
      <c r="L52" s="194" t="str">
        <f t="shared" si="1"/>
        <v>Q4</v>
      </c>
    </row>
    <row r="53" spans="1:12" ht="18.75" customHeight="1">
      <c r="A53" s="236">
        <f t="shared" ref="A53" si="8">IF(C53&lt;&gt;"",MONTH(C53),"")</f>
        <v>12</v>
      </c>
      <c r="B53" s="184" t="s">
        <v>130</v>
      </c>
      <c r="C53" s="184">
        <v>41990</v>
      </c>
      <c r="D53" s="225" t="s">
        <v>446</v>
      </c>
      <c r="E53" s="156" t="s">
        <v>403</v>
      </c>
      <c r="F53" s="185" t="s">
        <v>131</v>
      </c>
      <c r="G53" s="186">
        <v>21380</v>
      </c>
      <c r="H53" s="169">
        <v>96000</v>
      </c>
      <c r="I53" s="158">
        <v>2052480000</v>
      </c>
      <c r="J53" s="169"/>
      <c r="K53" s="158"/>
      <c r="L53" s="194" t="str">
        <f t="shared" si="1"/>
        <v>Q4</v>
      </c>
    </row>
    <row r="54" spans="1:12" ht="18.75" customHeight="1">
      <c r="A54" s="236">
        <f t="shared" si="7"/>
        <v>12</v>
      </c>
      <c r="B54" s="184" t="s">
        <v>132</v>
      </c>
      <c r="C54" s="184">
        <v>41990</v>
      </c>
      <c r="D54" s="225" t="s">
        <v>133</v>
      </c>
      <c r="E54" s="156" t="s">
        <v>403</v>
      </c>
      <c r="F54" s="185" t="s">
        <v>134</v>
      </c>
      <c r="G54" s="186"/>
      <c r="H54" s="169"/>
      <c r="I54" s="158"/>
      <c r="J54" s="169"/>
      <c r="K54" s="158">
        <v>15360000</v>
      </c>
      <c r="L54" s="194" t="str">
        <f t="shared" si="1"/>
        <v>Q4</v>
      </c>
    </row>
    <row r="55" spans="1:12" ht="18.75" customHeight="1">
      <c r="A55" s="236">
        <f t="shared" si="7"/>
        <v>7</v>
      </c>
      <c r="B55" s="184" t="s">
        <v>135</v>
      </c>
      <c r="C55" s="184">
        <v>41821</v>
      </c>
      <c r="D55" s="225" t="s">
        <v>447</v>
      </c>
      <c r="E55" s="156" t="s">
        <v>404</v>
      </c>
      <c r="F55" s="185" t="s">
        <v>136</v>
      </c>
      <c r="G55" s="186">
        <v>21330</v>
      </c>
      <c r="H55" s="169"/>
      <c r="I55" s="158">
        <v>0</v>
      </c>
      <c r="J55" s="169">
        <v>43600</v>
      </c>
      <c r="K55" s="158">
        <v>929988000</v>
      </c>
      <c r="L55" s="194" t="str">
        <f t="shared" si="1"/>
        <v>Q4</v>
      </c>
    </row>
    <row r="56" spans="1:12" ht="18.75" customHeight="1">
      <c r="A56" s="236">
        <f t="shared" ref="A56" si="9">IF(C56&lt;&gt;"",MONTH(C56),"")</f>
        <v>12</v>
      </c>
      <c r="B56" s="184" t="s">
        <v>130</v>
      </c>
      <c r="C56" s="184">
        <v>42002</v>
      </c>
      <c r="D56" s="225" t="s">
        <v>448</v>
      </c>
      <c r="E56" s="156" t="s">
        <v>404</v>
      </c>
      <c r="F56" s="185">
        <v>1122</v>
      </c>
      <c r="G56" s="186">
        <v>21380</v>
      </c>
      <c r="H56" s="169">
        <v>43600</v>
      </c>
      <c r="I56" s="158">
        <v>932168000</v>
      </c>
      <c r="J56" s="169"/>
      <c r="K56" s="158"/>
      <c r="L56" s="194" t="str">
        <f t="shared" si="1"/>
        <v>Q4</v>
      </c>
    </row>
    <row r="57" spans="1:12" ht="18.75" customHeight="1">
      <c r="A57" s="236">
        <f t="shared" si="7"/>
        <v>12</v>
      </c>
      <c r="B57" s="184" t="s">
        <v>132</v>
      </c>
      <c r="C57" s="184">
        <v>42002</v>
      </c>
      <c r="D57" s="225" t="s">
        <v>133</v>
      </c>
      <c r="E57" s="156" t="s">
        <v>404</v>
      </c>
      <c r="F57" s="185" t="s">
        <v>134</v>
      </c>
      <c r="G57" s="186"/>
      <c r="H57" s="169"/>
      <c r="I57" s="158"/>
      <c r="J57" s="169"/>
      <c r="K57" s="158">
        <v>2180000</v>
      </c>
      <c r="L57" s="194" t="str">
        <f t="shared" si="1"/>
        <v>Q4</v>
      </c>
    </row>
    <row r="58" spans="1:12" ht="18.75" customHeight="1">
      <c r="A58" s="236">
        <f>IF(C58&lt;&gt;"",MONTH(C58),"")</f>
        <v>8</v>
      </c>
      <c r="B58" s="184" t="s">
        <v>135</v>
      </c>
      <c r="C58" s="184">
        <v>41877</v>
      </c>
      <c r="D58" s="225" t="s">
        <v>449</v>
      </c>
      <c r="E58" s="156" t="s">
        <v>405</v>
      </c>
      <c r="F58" s="185" t="s">
        <v>45</v>
      </c>
      <c r="G58" s="186">
        <v>21195</v>
      </c>
      <c r="H58" s="169"/>
      <c r="I58" s="158">
        <v>0</v>
      </c>
      <c r="J58" s="169">
        <v>55000</v>
      </c>
      <c r="K58" s="158">
        <v>1165725000</v>
      </c>
      <c r="L58" s="194" t="str">
        <f t="shared" si="1"/>
        <v>Q4</v>
      </c>
    </row>
    <row r="59" spans="1:12" ht="18.75" customHeight="1">
      <c r="A59" s="236">
        <f>IF(C59&lt;&gt;"",MONTH(C59),"")</f>
        <v>11</v>
      </c>
      <c r="B59" s="184" t="s">
        <v>135</v>
      </c>
      <c r="C59" s="184">
        <v>41962</v>
      </c>
      <c r="D59" s="225" t="s">
        <v>450</v>
      </c>
      <c r="E59" s="156" t="s">
        <v>406</v>
      </c>
      <c r="F59" s="185" t="s">
        <v>136</v>
      </c>
      <c r="G59" s="186">
        <v>21370</v>
      </c>
      <c r="H59" s="169"/>
      <c r="I59" s="158">
        <v>0</v>
      </c>
      <c r="J59" s="169">
        <v>81000</v>
      </c>
      <c r="K59" s="158">
        <v>1730970000</v>
      </c>
      <c r="L59" s="194" t="str">
        <f t="shared" si="1"/>
        <v>Q4</v>
      </c>
    </row>
    <row r="60" spans="1:12" ht="18.75" customHeight="1">
      <c r="A60" s="236">
        <f t="shared" si="7"/>
        <v>12</v>
      </c>
      <c r="B60" s="184" t="s">
        <v>451</v>
      </c>
      <c r="C60" s="184">
        <v>41991</v>
      </c>
      <c r="D60" s="225" t="s">
        <v>452</v>
      </c>
      <c r="E60" s="156" t="s">
        <v>407</v>
      </c>
      <c r="F60" s="185" t="s">
        <v>45</v>
      </c>
      <c r="G60" s="186">
        <v>21400</v>
      </c>
      <c r="H60" s="169"/>
      <c r="I60" s="158">
        <v>0</v>
      </c>
      <c r="J60" s="169">
        <v>95700</v>
      </c>
      <c r="K60" s="158">
        <v>2047980000</v>
      </c>
      <c r="L60" s="194" t="str">
        <f t="shared" si="1"/>
        <v>Q4</v>
      </c>
    </row>
    <row r="61" spans="1:12" ht="18.75" customHeight="1">
      <c r="A61" s="236">
        <f t="shared" si="7"/>
        <v>12</v>
      </c>
      <c r="B61" s="184" t="s">
        <v>135</v>
      </c>
      <c r="C61" s="184">
        <v>42003</v>
      </c>
      <c r="D61" s="225" t="s">
        <v>453</v>
      </c>
      <c r="E61" s="156" t="s">
        <v>408</v>
      </c>
      <c r="F61" s="185">
        <v>1121</v>
      </c>
      <c r="G61" s="186">
        <v>21400</v>
      </c>
      <c r="H61" s="169"/>
      <c r="I61" s="158">
        <v>0</v>
      </c>
      <c r="J61" s="169">
        <v>43600</v>
      </c>
      <c r="K61" s="158">
        <v>933040000</v>
      </c>
      <c r="L61" s="194" t="str">
        <f t="shared" si="1"/>
        <v>Q4</v>
      </c>
    </row>
    <row r="62" spans="1:12" ht="18.75" customHeight="1">
      <c r="A62" s="236">
        <f t="shared" si="7"/>
        <v>10</v>
      </c>
      <c r="B62" s="184" t="s">
        <v>130</v>
      </c>
      <c r="C62" s="184">
        <v>41920</v>
      </c>
      <c r="D62" s="225" t="s">
        <v>454</v>
      </c>
      <c r="E62" s="156" t="s">
        <v>106</v>
      </c>
      <c r="F62" s="185" t="s">
        <v>131</v>
      </c>
      <c r="G62" s="186">
        <v>21230</v>
      </c>
      <c r="H62" s="169">
        <v>10055</v>
      </c>
      <c r="I62" s="158">
        <v>213467650</v>
      </c>
      <c r="J62" s="169"/>
      <c r="K62" s="158">
        <v>0</v>
      </c>
      <c r="L62" s="194" t="str">
        <f t="shared" si="1"/>
        <v>Q11</v>
      </c>
    </row>
    <row r="63" spans="1:12" ht="18.75" customHeight="1">
      <c r="A63" s="236">
        <f t="shared" si="7"/>
        <v>10</v>
      </c>
      <c r="B63" s="184" t="s">
        <v>130</v>
      </c>
      <c r="C63" s="184">
        <v>41920</v>
      </c>
      <c r="D63" s="225" t="s">
        <v>455</v>
      </c>
      <c r="E63" s="156" t="s">
        <v>107</v>
      </c>
      <c r="F63" s="185" t="s">
        <v>131</v>
      </c>
      <c r="G63" s="186">
        <v>21230</v>
      </c>
      <c r="H63" s="169">
        <v>32911</v>
      </c>
      <c r="I63" s="158">
        <v>698700530</v>
      </c>
      <c r="J63" s="169"/>
      <c r="K63" s="158">
        <v>0</v>
      </c>
      <c r="L63" s="194" t="str">
        <f t="shared" si="1"/>
        <v>Q11</v>
      </c>
    </row>
    <row r="64" spans="1:12" ht="18.75" customHeight="1">
      <c r="A64" s="236">
        <f t="shared" si="7"/>
        <v>10</v>
      </c>
      <c r="B64" s="184" t="s">
        <v>130</v>
      </c>
      <c r="C64" s="184">
        <v>41920</v>
      </c>
      <c r="D64" s="225" t="s">
        <v>456</v>
      </c>
      <c r="E64" s="156" t="s">
        <v>108</v>
      </c>
      <c r="F64" s="185" t="s">
        <v>131</v>
      </c>
      <c r="G64" s="186">
        <v>21230</v>
      </c>
      <c r="H64" s="169">
        <v>20658</v>
      </c>
      <c r="I64" s="158">
        <v>438569340</v>
      </c>
      <c r="J64" s="169"/>
      <c r="K64" s="158">
        <v>0</v>
      </c>
      <c r="L64" s="194" t="str">
        <f t="shared" si="1"/>
        <v>Q11</v>
      </c>
    </row>
    <row r="65" spans="1:12" ht="18.75" customHeight="1">
      <c r="A65" s="236">
        <f t="shared" si="7"/>
        <v>10</v>
      </c>
      <c r="B65" s="184" t="s">
        <v>130</v>
      </c>
      <c r="C65" s="184">
        <v>41920</v>
      </c>
      <c r="D65" s="225" t="s">
        <v>457</v>
      </c>
      <c r="E65" s="156" t="s">
        <v>109</v>
      </c>
      <c r="F65" s="185" t="s">
        <v>131</v>
      </c>
      <c r="G65" s="186">
        <v>21230</v>
      </c>
      <c r="H65" s="169">
        <v>28920</v>
      </c>
      <c r="I65" s="158">
        <v>613971600</v>
      </c>
      <c r="J65" s="169"/>
      <c r="K65" s="158">
        <v>0</v>
      </c>
      <c r="L65" s="194" t="str">
        <f t="shared" si="1"/>
        <v>Q11</v>
      </c>
    </row>
    <row r="66" spans="1:12" ht="18.75" customHeight="1">
      <c r="A66" s="236" t="str">
        <f t="shared" si="7"/>
        <v/>
      </c>
      <c r="B66" s="184"/>
      <c r="C66" s="184"/>
      <c r="D66" s="225"/>
      <c r="E66" s="226"/>
      <c r="F66" s="185"/>
      <c r="G66" s="186"/>
      <c r="H66" s="169"/>
      <c r="I66" s="158">
        <f t="shared" ref="I6:I67" si="10">G66*H66</f>
        <v>0</v>
      </c>
      <c r="J66" s="169"/>
      <c r="K66" s="158">
        <f t="shared" ref="K6:K67" si="11">G66*J66</f>
        <v>0</v>
      </c>
      <c r="L66" s="194" t="str">
        <f t="shared" si="1"/>
        <v/>
      </c>
    </row>
    <row r="67" spans="1:12" ht="18.75" customHeight="1">
      <c r="A67" s="236" t="str">
        <f t="shared" si="6"/>
        <v/>
      </c>
      <c r="B67" s="184"/>
      <c r="C67" s="184"/>
      <c r="D67" s="225"/>
      <c r="E67" s="226"/>
      <c r="F67" s="185"/>
      <c r="G67" s="186"/>
      <c r="H67" s="169"/>
      <c r="I67" s="158">
        <f t="shared" si="10"/>
        <v>0</v>
      </c>
      <c r="J67" s="169"/>
      <c r="K67" s="158">
        <f t="shared" si="11"/>
        <v>0</v>
      </c>
      <c r="L67" s="194" t="str">
        <f t="shared" si="1"/>
        <v/>
      </c>
    </row>
    <row r="68" spans="1:12" ht="18.75" customHeight="1">
      <c r="A68" s="236" t="str">
        <f t="shared" si="6"/>
        <v/>
      </c>
      <c r="B68" s="184"/>
      <c r="C68" s="184"/>
      <c r="D68" s="225"/>
      <c r="E68" s="226"/>
      <c r="F68" s="185"/>
      <c r="G68" s="186"/>
      <c r="H68" s="169"/>
      <c r="I68" s="158">
        <f t="shared" ref="I67:I70" si="12">G68*H68</f>
        <v>0</v>
      </c>
      <c r="J68" s="169"/>
      <c r="K68" s="158">
        <f t="shared" ref="K67:K70" si="13">G68*J68</f>
        <v>0</v>
      </c>
      <c r="L68" s="194" t="str">
        <f t="shared" si="1"/>
        <v/>
      </c>
    </row>
    <row r="69" spans="1:12" ht="18.75" customHeight="1">
      <c r="A69" s="236" t="str">
        <f t="shared" si="6"/>
        <v/>
      </c>
      <c r="B69" s="184"/>
      <c r="C69" s="184"/>
      <c r="D69" s="225"/>
      <c r="E69" s="226"/>
      <c r="F69" s="185"/>
      <c r="G69" s="186"/>
      <c r="H69" s="169"/>
      <c r="I69" s="158">
        <f t="shared" si="12"/>
        <v>0</v>
      </c>
      <c r="J69" s="169"/>
      <c r="K69" s="158">
        <f t="shared" si="13"/>
        <v>0</v>
      </c>
      <c r="L69" s="194" t="str">
        <f t="shared" si="1"/>
        <v/>
      </c>
    </row>
    <row r="70" spans="1:12" ht="18.75" customHeight="1">
      <c r="A70" s="236" t="str">
        <f t="shared" si="6"/>
        <v/>
      </c>
      <c r="B70" s="184"/>
      <c r="C70" s="184"/>
      <c r="D70" s="225"/>
      <c r="E70" s="226"/>
      <c r="F70" s="185"/>
      <c r="G70" s="186"/>
      <c r="H70" s="169"/>
      <c r="I70" s="158">
        <f t="shared" si="12"/>
        <v>0</v>
      </c>
      <c r="J70" s="169"/>
      <c r="K70" s="158">
        <f t="shared" si="13"/>
        <v>0</v>
      </c>
      <c r="L70" s="194" t="str">
        <f t="shared" ref="L70" si="14">IF(E70&lt;&gt;"",IF(MID(E70,4,4)="1015","Q11","Q4"),"")</f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14 E66:E7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62"/>
  <sheetViews>
    <sheetView topLeftCell="A34" workbookViewId="0">
      <selection activeCell="F61" sqref="F61"/>
    </sheetView>
  </sheetViews>
  <sheetFormatPr defaultRowHeight="12.75"/>
  <cols>
    <col min="1" max="1" width="9.140625" style="230"/>
    <col min="2" max="2" width="7.42578125" style="230" customWidth="1"/>
    <col min="3" max="3" width="9.140625" style="230"/>
    <col min="4" max="4" width="33" style="230" customWidth="1"/>
    <col min="5" max="5" width="7.28515625" style="230" customWidth="1"/>
    <col min="6" max="6" width="9.140625" style="230"/>
    <col min="7" max="7" width="9.7109375" style="230" customWidth="1"/>
    <col min="8" max="8" width="12.140625" style="230" customWidth="1"/>
    <col min="9" max="9" width="9.7109375" style="230" customWidth="1"/>
    <col min="10" max="10" width="12.140625" style="230" customWidth="1"/>
    <col min="11" max="11" width="10.85546875" style="230" customWidth="1"/>
    <col min="12" max="12" width="13.42578125" style="230" customWidth="1"/>
    <col min="13" max="13" width="10.85546875" style="230" customWidth="1"/>
    <col min="14" max="14" width="13.42578125" style="230" customWidth="1"/>
    <col min="15" max="16384" width="9.140625" style="230"/>
  </cols>
  <sheetData>
    <row r="1" spans="1:14" s="173" customFormat="1" ht="16.5" customHeight="1">
      <c r="A1" s="171" t="s">
        <v>0</v>
      </c>
      <c r="B1" s="172"/>
      <c r="C1" s="172"/>
      <c r="H1" s="172"/>
      <c r="I1" s="172"/>
      <c r="J1" s="275" t="s">
        <v>148</v>
      </c>
      <c r="K1" s="275"/>
      <c r="L1" s="275"/>
      <c r="M1" s="275"/>
      <c r="N1" s="275"/>
    </row>
    <row r="2" spans="1:14" s="173" customFormat="1" ht="16.5" customHeight="1">
      <c r="A2" s="171" t="s">
        <v>1</v>
      </c>
      <c r="B2" s="215"/>
      <c r="C2" s="215"/>
      <c r="H2" s="174"/>
      <c r="I2" s="174"/>
      <c r="J2" s="276" t="s">
        <v>149</v>
      </c>
      <c r="K2" s="276"/>
      <c r="L2" s="276"/>
      <c r="M2" s="276"/>
      <c r="N2" s="276"/>
    </row>
    <row r="3" spans="1:14" s="173" customFormat="1" ht="16.5" customHeight="1">
      <c r="A3" s="215"/>
      <c r="B3" s="215"/>
      <c r="C3" s="215"/>
      <c r="H3" s="174"/>
      <c r="I3" s="174"/>
      <c r="J3" s="276"/>
      <c r="K3" s="276"/>
      <c r="L3" s="276"/>
      <c r="M3" s="276"/>
      <c r="N3" s="276"/>
    </row>
    <row r="4" spans="1:14" s="173" customFormat="1" ht="16.5" customHeight="1">
      <c r="A4" s="215"/>
      <c r="B4" s="215"/>
      <c r="C4" s="215"/>
      <c r="H4" s="174"/>
      <c r="I4" s="174"/>
      <c r="J4" s="216"/>
      <c r="K4" s="216"/>
      <c r="L4" s="216"/>
      <c r="M4" s="216"/>
      <c r="N4" s="216"/>
    </row>
    <row r="5" spans="1:14" s="175" customFormat="1" ht="23.25" customHeight="1">
      <c r="A5" s="277" t="s">
        <v>122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</row>
    <row r="6" spans="1:14" s="175" customFormat="1">
      <c r="A6" s="269" t="s">
        <v>123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</row>
    <row r="7" spans="1:14" s="175" customFormat="1">
      <c r="A7" s="269" t="s">
        <v>129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</row>
    <row r="8" spans="1:14" s="175" customFormat="1" ht="15" customHeight="1">
      <c r="A8" s="269" t="str">
        <f>IF(MID($H$9,4,4)="1015","Đối tượng cho vay: NH Eximbank CN Q11","Đối tượng cho vay: NH Eximbank CN Q4")</f>
        <v>Đối tượng cho vay: NH Eximbank CN Q11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</row>
    <row r="9" spans="1:14" s="175" customFormat="1">
      <c r="A9" s="214"/>
      <c r="B9" s="214"/>
      <c r="C9" s="214"/>
      <c r="D9" s="214"/>
      <c r="E9" s="214"/>
      <c r="F9" s="214"/>
      <c r="G9" s="228" t="s">
        <v>147</v>
      </c>
      <c r="H9" s="268" t="s">
        <v>106</v>
      </c>
      <c r="I9" s="268"/>
      <c r="J9" s="229" t="str">
        <f>"ngày "&amp; TEXT(VLOOKUP($H$9,'311-341'!$B$5:$C$9,2,0),"dd/MM/yy")</f>
        <v>ngày 22/01/10</v>
      </c>
      <c r="K9" s="214"/>
      <c r="L9" s="214"/>
      <c r="M9" s="214"/>
      <c r="N9" s="214"/>
    </row>
    <row r="10" spans="1:14" s="175" customFormat="1">
      <c r="A10" s="269" t="s">
        <v>124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175" customFormat="1"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</row>
    <row r="12" spans="1:14" s="175" customFormat="1" ht="15.75" customHeight="1">
      <c r="A12" s="265" t="s">
        <v>6</v>
      </c>
      <c r="B12" s="258" t="s">
        <v>7</v>
      </c>
      <c r="C12" s="260"/>
      <c r="D12" s="265" t="s">
        <v>8</v>
      </c>
      <c r="E12" s="265" t="s">
        <v>9</v>
      </c>
      <c r="F12" s="265" t="s">
        <v>125</v>
      </c>
      <c r="G12" s="258" t="s">
        <v>10</v>
      </c>
      <c r="H12" s="273"/>
      <c r="I12" s="273"/>
      <c r="J12" s="274"/>
      <c r="K12" s="258" t="s">
        <v>11</v>
      </c>
      <c r="L12" s="273"/>
      <c r="M12" s="273"/>
      <c r="N12" s="274"/>
    </row>
    <row r="13" spans="1:14" s="175" customFormat="1" ht="15.75" customHeight="1">
      <c r="A13" s="266"/>
      <c r="B13" s="261" t="s">
        <v>12</v>
      </c>
      <c r="C13" s="261" t="s">
        <v>13</v>
      </c>
      <c r="D13" s="266"/>
      <c r="E13" s="266"/>
      <c r="F13" s="271"/>
      <c r="G13" s="263" t="s">
        <v>14</v>
      </c>
      <c r="H13" s="274"/>
      <c r="I13" s="263" t="s">
        <v>15</v>
      </c>
      <c r="J13" s="274"/>
      <c r="K13" s="263" t="s">
        <v>14</v>
      </c>
      <c r="L13" s="274"/>
      <c r="M13" s="263" t="s">
        <v>15</v>
      </c>
      <c r="N13" s="274"/>
    </row>
    <row r="14" spans="1:14" s="175" customFormat="1" ht="32.25" customHeight="1">
      <c r="A14" s="267"/>
      <c r="B14" s="262"/>
      <c r="C14" s="262"/>
      <c r="D14" s="267"/>
      <c r="E14" s="267"/>
      <c r="F14" s="272"/>
      <c r="G14" s="176" t="s">
        <v>104</v>
      </c>
      <c r="H14" s="176" t="s">
        <v>126</v>
      </c>
      <c r="I14" s="176" t="s">
        <v>104</v>
      </c>
      <c r="J14" s="176" t="s">
        <v>126</v>
      </c>
      <c r="K14" s="176" t="s">
        <v>104</v>
      </c>
      <c r="L14" s="176" t="s">
        <v>126</v>
      </c>
      <c r="M14" s="176" t="s">
        <v>104</v>
      </c>
      <c r="N14" s="176" t="s">
        <v>126</v>
      </c>
    </row>
    <row r="15" spans="1:14" s="214" customFormat="1">
      <c r="A15" s="177" t="s">
        <v>16</v>
      </c>
      <c r="B15" s="213" t="s">
        <v>17</v>
      </c>
      <c r="C15" s="177" t="s">
        <v>18</v>
      </c>
      <c r="D15" s="177" t="s">
        <v>19</v>
      </c>
      <c r="E15" s="177" t="s">
        <v>20</v>
      </c>
      <c r="F15" s="177">
        <v>1</v>
      </c>
      <c r="G15" s="177">
        <v>2</v>
      </c>
      <c r="H15" s="177">
        <v>3</v>
      </c>
      <c r="I15" s="177">
        <v>4</v>
      </c>
      <c r="J15" s="177">
        <v>5</v>
      </c>
      <c r="K15" s="177">
        <v>6</v>
      </c>
      <c r="L15" s="177">
        <v>7</v>
      </c>
      <c r="M15" s="177">
        <v>8</v>
      </c>
      <c r="N15" s="177">
        <v>9</v>
      </c>
    </row>
    <row r="16" spans="1:14" s="175" customFormat="1" ht="19.5" customHeight="1">
      <c r="A16" s="178"/>
      <c r="B16" s="178"/>
      <c r="C16" s="178"/>
      <c r="D16" s="179" t="s">
        <v>21</v>
      </c>
      <c r="E16" s="180"/>
      <c r="F16" s="180"/>
      <c r="G16" s="178"/>
      <c r="H16" s="178"/>
      <c r="I16" s="178"/>
      <c r="J16" s="178"/>
      <c r="K16" s="181">
        <f>VLOOKUP($H$9,'311-341'!$B$5:$G$9,3,0)</f>
        <v>0</v>
      </c>
      <c r="L16" s="182">
        <f>VLOOKUP($H$9,'311-341'!$B$5:$G$9,4,0)</f>
        <v>0</v>
      </c>
      <c r="M16" s="181">
        <f>VLOOKUP($H$9,'311-341'!$B$5:$G$9,5,0)</f>
        <v>37981</v>
      </c>
      <c r="N16" s="182">
        <f>VLOOKUP($H$9,'311-341'!$B$5:$G$9,6,0)</f>
        <v>615404499</v>
      </c>
    </row>
    <row r="17" spans="1:14" s="175" customFormat="1" ht="19.5" customHeight="1">
      <c r="A17" s="183">
        <f ca="1">IF(D17&lt;&gt;"",C17,"")</f>
        <v>41920</v>
      </c>
      <c r="B17" s="184" t="str">
        <f ca="1">IF(ROWS($1:1)&gt;COUNT(Dong4),"",OFFSET('TH-VAY'!B$1,SMALL(Dong4,ROWS($1:1)),))</f>
        <v>GBN</v>
      </c>
      <c r="C17" s="184">
        <f ca="1">IF(ROWS($1:1)&gt;COUNT(Dong4),"",OFFSET('TH-VAY'!C$1,SMALL(Dong4,ROWS($1:1)),))</f>
        <v>41920</v>
      </c>
      <c r="D17" s="234" t="str">
        <f ca="1">IF(ROWS($1:1)&gt;COUNT(Dong4),"",OFFSET('TH-VAY'!D$1,SMALL(Dong4,ROWS($1:1)),))</f>
        <v>Trả một phần gốc KU 1015LDS201000102</v>
      </c>
      <c r="E17" s="184" t="str">
        <f ca="1">IF(ROWS($1:1)&gt;COUNT(Dong4),"",OFFSET('TH-VAY'!F$1,SMALL(Dong4,ROWS($1:1)),))</f>
        <v>1122</v>
      </c>
      <c r="F17" s="231">
        <f ca="1">IF(ROWS($1:1)&gt;COUNT(Dong4),"",OFFSET('TH-VAY'!G$1,SMALL(Dong4,ROWS($1:1)),))</f>
        <v>21230</v>
      </c>
      <c r="G17" s="232">
        <f ca="1">IF(ROWS($1:1)&gt;COUNT(Dong4),"",OFFSET('TH-VAY'!H$1,SMALL(Dong4,ROWS($1:1)),))</f>
        <v>10055</v>
      </c>
      <c r="H17" s="231">
        <f ca="1">IF(ROWS($1:1)&gt;COUNT(Dong4),"",OFFSET('TH-VAY'!I$1,SMALL(Dong4,ROWS($1:1)),))</f>
        <v>213467650</v>
      </c>
      <c r="I17" s="232">
        <f ca="1">IF(ROWS($1:1)&gt;COUNT(Dong4),"",OFFSET('TH-VAY'!J$1,SMALL(Dong4,ROWS($1:1)),))</f>
        <v>0</v>
      </c>
      <c r="J17" s="231">
        <f ca="1">IF(ROWS($1:1)&gt;COUNT(Dong4),"",OFFSET('TH-VAY'!K$1,SMALL(Dong4,ROWS($1:1)),))</f>
        <v>0</v>
      </c>
      <c r="K17" s="157">
        <f t="shared" ref="K17" ca="1" si="0">IF(C17&lt;&gt;"",ROUND(MAX(K16+G17-I17-M16,0),2),0)</f>
        <v>0</v>
      </c>
      <c r="L17" s="158">
        <f t="shared" ref="L17" ca="1" si="1">IF(C17&lt;&gt;"",MAX(L16-N16+H17-J17,0),0)</f>
        <v>0</v>
      </c>
      <c r="M17" s="157">
        <f t="shared" ref="M17" ca="1" si="2">IF(C17&lt;&gt;"",ROUND(MAX(M16+I17-G17-K16,0),2),0)</f>
        <v>27926</v>
      </c>
      <c r="N17" s="158">
        <f t="shared" ref="N17" ca="1" si="3">IF(C17&lt;&gt;"",MAX(N16-L16+J17-H17,0),0)</f>
        <v>401936849</v>
      </c>
    </row>
    <row r="18" spans="1:14" s="192" customFormat="1" ht="19.5" customHeight="1">
      <c r="A18" s="183" t="str">
        <f t="shared" ref="A18:A19" ca="1" si="4">IF(D18&lt;&gt;"",C18,"")</f>
        <v/>
      </c>
      <c r="B18" s="184" t="str">
        <f ca="1">IF(ROWS($1:2)&gt;COUNT(Dong4),"",OFFSET('TH-VAY'!B$1,SMALL(Dong4,ROWS($1:2)),))</f>
        <v/>
      </c>
      <c r="C18" s="184" t="str">
        <f ca="1">IF(ROWS($1:2)&gt;COUNT(Dong4),"",OFFSET('TH-VAY'!C$1,SMALL(Dong4,ROWS($1:2)),))</f>
        <v/>
      </c>
      <c r="D18" s="234" t="str">
        <f ca="1">IF(ROWS($1:2)&gt;COUNT(Dong4),"",OFFSET('TH-VAY'!D$1,SMALL(Dong4,ROWS($1:2)),))</f>
        <v/>
      </c>
      <c r="E18" s="184" t="str">
        <f ca="1">IF(ROWS($1:2)&gt;COUNT(Dong4),"",OFFSET('TH-VAY'!F$1,SMALL(Dong4,ROWS($1:2)),))</f>
        <v/>
      </c>
      <c r="F18" s="231" t="str">
        <f ca="1">IF(ROWS($1:2)&gt;COUNT(Dong4),"",OFFSET('TH-VAY'!G$1,SMALL(Dong4,ROWS($1:2)),))</f>
        <v/>
      </c>
      <c r="G18" s="232" t="str">
        <f ca="1">IF(ROWS($1:2)&gt;COUNT(Dong4),"",OFFSET('TH-VAY'!H$1,SMALL(Dong4,ROWS($1:2)),))</f>
        <v/>
      </c>
      <c r="H18" s="231" t="str">
        <f ca="1">IF(ROWS($1:2)&gt;COUNT(Dong4),"",OFFSET('TH-VAY'!I$1,SMALL(Dong4,ROWS($1:2)),))</f>
        <v/>
      </c>
      <c r="I18" s="232" t="str">
        <f ca="1">IF(ROWS($1:2)&gt;COUNT(Dong4),"",OFFSET('TH-VAY'!J$1,SMALL(Dong4,ROWS($1:2)),))</f>
        <v/>
      </c>
      <c r="J18" s="231" t="str">
        <f ca="1">IF(ROWS($1:2)&gt;COUNT(Dong4),"",OFFSET('TH-VAY'!K$1,SMALL(Dong4,ROWS($1:2)),))</f>
        <v/>
      </c>
      <c r="K18" s="157">
        <f t="shared" ref="K18:K19" ca="1" si="5">IF(C18&lt;&gt;"",ROUND(MAX(K17+G18-I18-M17,0),2),0)</f>
        <v>0</v>
      </c>
      <c r="L18" s="158">
        <f t="shared" ref="L18:L19" ca="1" si="6">IF(C18&lt;&gt;"",MAX(L17-N17+H18-J18,0),0)</f>
        <v>0</v>
      </c>
      <c r="M18" s="157">
        <f t="shared" ref="M18:M19" ca="1" si="7">IF(C18&lt;&gt;"",ROUND(MAX(M17+I18-G18-K17,0),2),0)</f>
        <v>0</v>
      </c>
      <c r="N18" s="158">
        <f t="shared" ref="N18:N19" ca="1" si="8">IF(C18&lt;&gt;"",MAX(N17-L17+J18-H18,0),0)</f>
        <v>0</v>
      </c>
    </row>
    <row r="19" spans="1:14" s="192" customFormat="1" ht="19.5" customHeight="1">
      <c r="A19" s="183" t="str">
        <f t="shared" ca="1" si="4"/>
        <v/>
      </c>
      <c r="B19" s="184" t="str">
        <f ca="1">IF(ROWS($1:3)&gt;COUNT(Dong4),"",OFFSET('TH-VAY'!B$1,SMALL(Dong4,ROWS($1:3)),))</f>
        <v/>
      </c>
      <c r="C19" s="184" t="str">
        <f ca="1">IF(ROWS($1:3)&gt;COUNT(Dong4),"",OFFSET('TH-VAY'!C$1,SMALL(Dong4,ROWS($1:3)),))</f>
        <v/>
      </c>
      <c r="D19" s="234" t="str">
        <f ca="1">IF(ROWS($1:3)&gt;COUNT(Dong4),"",OFFSET('TH-VAY'!D$1,SMALL(Dong4,ROWS($1:3)),))</f>
        <v/>
      </c>
      <c r="E19" s="184" t="str">
        <f ca="1">IF(ROWS($1:3)&gt;COUNT(Dong4),"",OFFSET('TH-VAY'!F$1,SMALL(Dong4,ROWS($1:3)),))</f>
        <v/>
      </c>
      <c r="F19" s="231" t="str">
        <f ca="1">IF(ROWS($1:3)&gt;COUNT(Dong4),"",OFFSET('TH-VAY'!G$1,SMALL(Dong4,ROWS($1:3)),))</f>
        <v/>
      </c>
      <c r="G19" s="232" t="str">
        <f ca="1">IF(ROWS($1:3)&gt;COUNT(Dong4),"",OFFSET('TH-VAY'!H$1,SMALL(Dong4,ROWS($1:3)),))</f>
        <v/>
      </c>
      <c r="H19" s="231" t="str">
        <f ca="1">IF(ROWS($1:3)&gt;COUNT(Dong4),"",OFFSET('TH-VAY'!I$1,SMALL(Dong4,ROWS($1:3)),))</f>
        <v/>
      </c>
      <c r="I19" s="232" t="str">
        <f ca="1">IF(ROWS($1:3)&gt;COUNT(Dong4),"",OFFSET('TH-VAY'!J$1,SMALL(Dong4,ROWS($1:3)),))</f>
        <v/>
      </c>
      <c r="J19" s="231" t="str">
        <f ca="1">IF(ROWS($1:3)&gt;COUNT(Dong4),"",OFFSET('TH-VAY'!K$1,SMALL(Dong4,ROWS($1:3)),))</f>
        <v/>
      </c>
      <c r="K19" s="157">
        <f t="shared" ca="1" si="5"/>
        <v>0</v>
      </c>
      <c r="L19" s="158">
        <f t="shared" ca="1" si="6"/>
        <v>0</v>
      </c>
      <c r="M19" s="157">
        <f t="shared" ca="1" si="7"/>
        <v>0</v>
      </c>
      <c r="N19" s="158">
        <f t="shared" ca="1" si="8"/>
        <v>0</v>
      </c>
    </row>
    <row r="20" spans="1:14" s="192" customFormat="1" ht="19.5" customHeight="1">
      <c r="A20" s="187"/>
      <c r="B20" s="187"/>
      <c r="C20" s="187"/>
      <c r="D20" s="235"/>
      <c r="E20" s="189"/>
      <c r="F20" s="190"/>
      <c r="G20" s="188"/>
      <c r="H20" s="188"/>
      <c r="I20" s="188"/>
      <c r="J20" s="191"/>
      <c r="K20" s="157"/>
      <c r="L20" s="158"/>
      <c r="M20" s="157"/>
      <c r="N20" s="158"/>
    </row>
    <row r="21" spans="1:14" s="175" customFormat="1" ht="19.5" customHeight="1">
      <c r="A21" s="184"/>
      <c r="B21" s="184"/>
      <c r="C21" s="184"/>
      <c r="D21" s="193" t="s">
        <v>127</v>
      </c>
      <c r="E21" s="194" t="s">
        <v>23</v>
      </c>
      <c r="F21" s="194" t="s">
        <v>23</v>
      </c>
      <c r="G21" s="195">
        <f ca="1">SUM(G17:G18)</f>
        <v>10055</v>
      </c>
      <c r="H21" s="196">
        <f ca="1">SUM(H17:H18)</f>
        <v>213467650</v>
      </c>
      <c r="I21" s="195">
        <f ca="1">SUM(I17:I18)</f>
        <v>0</v>
      </c>
      <c r="J21" s="196">
        <f ca="1">SUM(J17:J19)</f>
        <v>0</v>
      </c>
      <c r="K21" s="196" t="s">
        <v>23</v>
      </c>
      <c r="L21" s="196" t="s">
        <v>23</v>
      </c>
      <c r="M21" s="196" t="s">
        <v>23</v>
      </c>
      <c r="N21" s="196" t="s">
        <v>23</v>
      </c>
    </row>
    <row r="22" spans="1:14" s="175" customFormat="1" ht="19.5" customHeight="1">
      <c r="A22" s="197"/>
      <c r="B22" s="197"/>
      <c r="C22" s="197"/>
      <c r="D22" s="198" t="s">
        <v>24</v>
      </c>
      <c r="E22" s="199" t="s">
        <v>23</v>
      </c>
      <c r="F22" s="199" t="s">
        <v>23</v>
      </c>
      <c r="G22" s="199" t="s">
        <v>23</v>
      </c>
      <c r="H22" s="199" t="s">
        <v>23</v>
      </c>
      <c r="I22" s="199" t="s">
        <v>23</v>
      </c>
      <c r="J22" s="199" t="s">
        <v>23</v>
      </c>
      <c r="K22" s="200">
        <f ca="1">MAX(K16+G21-M16-I21,0)</f>
        <v>0</v>
      </c>
      <c r="L22" s="201">
        <f ca="1">MAX(L16+H21-N16-J21,0)</f>
        <v>0</v>
      </c>
      <c r="M22" s="200">
        <f ca="1">MAX(M16+I21-K16-G21,0)</f>
        <v>27926</v>
      </c>
      <c r="N22" s="201">
        <f ca="1">MAX(N16+J21-L16-H21,0)</f>
        <v>401936849</v>
      </c>
    </row>
    <row r="23" spans="1:14" s="175" customFormat="1">
      <c r="E23" s="214"/>
      <c r="F23" s="214"/>
    </row>
    <row r="24" spans="1:14" s="175" customFormat="1">
      <c r="C24" s="202" t="s">
        <v>128</v>
      </c>
      <c r="E24" s="214"/>
      <c r="F24" s="214"/>
    </row>
    <row r="25" spans="1:14" s="175" customFormat="1">
      <c r="C25" s="202" t="str">
        <f>"- Ngày mở sổ: "&amp;TEXT(VLOOKUP($H$9,'311-341'!$B$5:$C$9,2,0),"dd/MM/yy")</f>
        <v>- Ngày mở sổ: 22/01/10</v>
      </c>
      <c r="E25" s="214"/>
      <c r="F25" s="214"/>
    </row>
    <row r="26" spans="1:14" s="175" customFormat="1">
      <c r="E26" s="214"/>
      <c r="F26" s="214"/>
      <c r="L26" s="246" t="s">
        <v>389</v>
      </c>
    </row>
    <row r="27" spans="1:14" s="175" customFormat="1">
      <c r="C27" s="214" t="s">
        <v>25</v>
      </c>
      <c r="E27" s="214"/>
      <c r="F27" s="214"/>
      <c r="L27" s="214" t="s">
        <v>26</v>
      </c>
    </row>
    <row r="28" spans="1:14" s="175" customFormat="1">
      <c r="C28" s="214" t="s">
        <v>27</v>
      </c>
      <c r="E28" s="214"/>
      <c r="F28" s="214"/>
      <c r="L28" s="214" t="s">
        <v>27</v>
      </c>
    </row>
    <row r="29" spans="1:14" s="175" customFormat="1">
      <c r="E29" s="214"/>
      <c r="F29" s="214"/>
    </row>
    <row r="30" spans="1:14" s="175" customFormat="1">
      <c r="E30" s="214"/>
      <c r="F30" s="214"/>
    </row>
    <row r="31" spans="1:14" s="233" customFormat="1"/>
    <row r="32" spans="1:14" s="233" customFormat="1"/>
    <row r="33" spans="1:14" s="233" customFormat="1"/>
    <row r="34" spans="1:14" s="173" customFormat="1" ht="16.5" customHeight="1">
      <c r="A34" s="171" t="s">
        <v>0</v>
      </c>
      <c r="B34" s="172"/>
      <c r="C34" s="172"/>
      <c r="H34" s="172"/>
      <c r="I34" s="172"/>
      <c r="J34" s="275" t="s">
        <v>148</v>
      </c>
      <c r="K34" s="275"/>
      <c r="L34" s="275"/>
      <c r="M34" s="275"/>
      <c r="N34" s="275"/>
    </row>
    <row r="35" spans="1:14" s="173" customFormat="1" ht="16.5" customHeight="1">
      <c r="A35" s="171" t="s">
        <v>1</v>
      </c>
      <c r="B35" s="247"/>
      <c r="C35" s="247"/>
      <c r="H35" s="174"/>
      <c r="I35" s="174"/>
      <c r="J35" s="276" t="s">
        <v>149</v>
      </c>
      <c r="K35" s="276"/>
      <c r="L35" s="276"/>
      <c r="M35" s="276"/>
      <c r="N35" s="276"/>
    </row>
    <row r="36" spans="1:14" s="173" customFormat="1" ht="16.5" customHeight="1">
      <c r="A36" s="247"/>
      <c r="B36" s="247"/>
      <c r="C36" s="247"/>
      <c r="H36" s="174"/>
      <c r="I36" s="174"/>
      <c r="J36" s="276"/>
      <c r="K36" s="276"/>
      <c r="L36" s="276"/>
      <c r="M36" s="276"/>
      <c r="N36" s="276"/>
    </row>
    <row r="37" spans="1:14" s="173" customFormat="1" ht="16.5" customHeight="1">
      <c r="A37" s="247"/>
      <c r="B37" s="247"/>
      <c r="C37" s="247"/>
      <c r="H37" s="174"/>
      <c r="I37" s="174"/>
      <c r="J37" s="248"/>
      <c r="K37" s="248"/>
      <c r="L37" s="248"/>
      <c r="M37" s="248"/>
      <c r="N37" s="248"/>
    </row>
    <row r="38" spans="1:14" s="175" customFormat="1" ht="23.25" customHeight="1">
      <c r="A38" s="277" t="s">
        <v>122</v>
      </c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</row>
    <row r="39" spans="1:14" s="175" customFormat="1">
      <c r="A39" s="269" t="s">
        <v>123</v>
      </c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</row>
    <row r="40" spans="1:14" s="175" customFormat="1">
      <c r="A40" s="269" t="s">
        <v>390</v>
      </c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</row>
    <row r="41" spans="1:14" s="175" customFormat="1" ht="15" customHeight="1">
      <c r="A41" s="269" t="str">
        <f>IF(MID($H$9,4,4)="1015","Đối tượng cho vay: NH Eximbank CN Q11","Đối tượng cho vay: NH Eximbank CN Q4")</f>
        <v>Đối tượng cho vay: NH Eximbank CN Q11</v>
      </c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</row>
    <row r="42" spans="1:14" s="175" customFormat="1">
      <c r="A42" s="246"/>
      <c r="B42" s="246"/>
      <c r="C42" s="246"/>
      <c r="D42" s="246"/>
      <c r="E42" s="246"/>
      <c r="F42" s="246"/>
      <c r="G42" s="228" t="s">
        <v>147</v>
      </c>
      <c r="H42" s="268" t="s">
        <v>391</v>
      </c>
      <c r="I42" s="268"/>
      <c r="J42" s="229" t="str">
        <f>"ngày "&amp; TEXT(VLOOKUP($H$42,DSKU1,2,0),"dd/MM/yy")</f>
        <v>ngày 09/07/13</v>
      </c>
      <c r="K42" s="246"/>
      <c r="L42" s="246"/>
      <c r="M42" s="246"/>
      <c r="N42" s="246"/>
    </row>
    <row r="43" spans="1:14" s="175" customFormat="1">
      <c r="A43" s="269" t="s">
        <v>124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</row>
    <row r="44" spans="1:14" s="175" customFormat="1"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</row>
    <row r="45" spans="1:14" s="175" customFormat="1" ht="15.75" customHeight="1">
      <c r="A45" s="265" t="s">
        <v>6</v>
      </c>
      <c r="B45" s="258" t="s">
        <v>7</v>
      </c>
      <c r="C45" s="260"/>
      <c r="D45" s="265" t="s">
        <v>8</v>
      </c>
      <c r="E45" s="265" t="s">
        <v>9</v>
      </c>
      <c r="F45" s="265" t="s">
        <v>125</v>
      </c>
      <c r="G45" s="258" t="s">
        <v>10</v>
      </c>
      <c r="H45" s="273"/>
      <c r="I45" s="273"/>
      <c r="J45" s="274"/>
      <c r="K45" s="258" t="s">
        <v>11</v>
      </c>
      <c r="L45" s="273"/>
      <c r="M45" s="273"/>
      <c r="N45" s="274"/>
    </row>
    <row r="46" spans="1:14" s="175" customFormat="1" ht="15.75" customHeight="1">
      <c r="A46" s="266"/>
      <c r="B46" s="261" t="s">
        <v>12</v>
      </c>
      <c r="C46" s="261" t="s">
        <v>13</v>
      </c>
      <c r="D46" s="266"/>
      <c r="E46" s="266"/>
      <c r="F46" s="271"/>
      <c r="G46" s="263" t="s">
        <v>14</v>
      </c>
      <c r="H46" s="274"/>
      <c r="I46" s="263" t="s">
        <v>15</v>
      </c>
      <c r="J46" s="274"/>
      <c r="K46" s="263" t="s">
        <v>14</v>
      </c>
      <c r="L46" s="274"/>
      <c r="M46" s="263" t="s">
        <v>15</v>
      </c>
      <c r="N46" s="274"/>
    </row>
    <row r="47" spans="1:14" s="175" customFormat="1" ht="32.25" customHeight="1">
      <c r="A47" s="267"/>
      <c r="B47" s="262"/>
      <c r="C47" s="262"/>
      <c r="D47" s="267"/>
      <c r="E47" s="267"/>
      <c r="F47" s="272"/>
      <c r="G47" s="176" t="s">
        <v>104</v>
      </c>
      <c r="H47" s="176" t="s">
        <v>126</v>
      </c>
      <c r="I47" s="176" t="s">
        <v>104</v>
      </c>
      <c r="J47" s="176" t="s">
        <v>126</v>
      </c>
      <c r="K47" s="176" t="s">
        <v>104</v>
      </c>
      <c r="L47" s="176" t="s">
        <v>126</v>
      </c>
      <c r="M47" s="176" t="s">
        <v>104</v>
      </c>
      <c r="N47" s="176" t="s">
        <v>126</v>
      </c>
    </row>
    <row r="48" spans="1:14" s="246" customFormat="1">
      <c r="A48" s="177" t="s">
        <v>16</v>
      </c>
      <c r="B48" s="245" t="s">
        <v>17</v>
      </c>
      <c r="C48" s="177" t="s">
        <v>18</v>
      </c>
      <c r="D48" s="177" t="s">
        <v>19</v>
      </c>
      <c r="E48" s="177" t="s">
        <v>20</v>
      </c>
      <c r="F48" s="177">
        <v>1</v>
      </c>
      <c r="G48" s="177">
        <v>2</v>
      </c>
      <c r="H48" s="177">
        <v>3</v>
      </c>
      <c r="I48" s="177">
        <v>4</v>
      </c>
      <c r="J48" s="177">
        <v>5</v>
      </c>
      <c r="K48" s="177">
        <v>6</v>
      </c>
      <c r="L48" s="177">
        <v>7</v>
      </c>
      <c r="M48" s="177">
        <v>8</v>
      </c>
      <c r="N48" s="177">
        <v>9</v>
      </c>
    </row>
    <row r="49" spans="1:14" s="175" customFormat="1" ht="19.5" customHeight="1">
      <c r="A49" s="178"/>
      <c r="B49" s="178"/>
      <c r="C49" s="178"/>
      <c r="D49" s="179" t="s">
        <v>21</v>
      </c>
      <c r="E49" s="180"/>
      <c r="F49" s="180"/>
      <c r="G49" s="178"/>
      <c r="H49" s="178"/>
      <c r="I49" s="178"/>
      <c r="J49" s="178"/>
      <c r="K49" s="181">
        <f>VLOOKUP($H$42,DSKU1,3,0)</f>
        <v>0</v>
      </c>
      <c r="L49" s="181">
        <f>VLOOKUP($H$42,DSKU1,4,0)</f>
        <v>0</v>
      </c>
      <c r="M49" s="181">
        <f>VLOOKUP($H$42,DSKU1,5,0)</f>
        <v>92500</v>
      </c>
      <c r="N49" s="182">
        <f>VLOOKUP($H$42,DSKU1,6,0)</f>
        <v>1965255000</v>
      </c>
    </row>
    <row r="50" spans="1:14" s="175" customFormat="1" ht="19.5" customHeight="1">
      <c r="A50" s="183">
        <f ca="1">IF(D50&lt;&gt;"",C50,"")</f>
        <v>41652</v>
      </c>
      <c r="B50" s="184" t="str">
        <f ca="1">IF(ROWS($1:1)&gt;COUNT(Dong5),"",OFFSET('TH-VAY'!B$1,SMALL(Dong5,ROWS($1:1)),))</f>
        <v>GBN</v>
      </c>
      <c r="C50" s="184">
        <f ca="1">IF(ROWS($1:1)&gt;COUNT(Dong5),"",OFFSET('TH-VAY'!C$1,SMALL(Dong5,ROWS($1:1)),))</f>
        <v>41652</v>
      </c>
      <c r="D50" s="234" t="str">
        <f ca="1">IF(ROWS($1:1)&gt;COUNT(Dong5),"",OFFSET('TH-VAY'!D$1,SMALL(Dong5,ROWS($1:1)),))</f>
        <v>Tất toán KU 1015LDS201301328</v>
      </c>
      <c r="E50" s="184" t="str">
        <f ca="1">IF(ROWS($1:1)&gt;COUNT(Dong5),"",OFFSET('TH-VAY'!F$1,SMALL(Dong5,ROWS($1:1)),))</f>
        <v>1122</v>
      </c>
      <c r="F50" s="231">
        <f ca="1">IF(ROWS($1:1)&gt;COUNT(Dong5),"",OFFSET('TH-VAY'!G$1,SMALL(Dong5,ROWS($1:1)),))</f>
        <v>21070</v>
      </c>
      <c r="G50" s="232">
        <f ca="1">IF(ROWS($1:1)&gt;COUNT(Dong5),"",OFFSET('TH-VAY'!H$1,SMALL(Dong5,ROWS($1:1)),))</f>
        <v>92500</v>
      </c>
      <c r="H50" s="231">
        <f ca="1">IF(ROWS($1:1)&gt;COUNT(Dong5),"",OFFSET('TH-VAY'!I$1,SMALL(Dong5,ROWS($1:1)),))</f>
        <v>1948975000</v>
      </c>
      <c r="I50" s="232">
        <f ca="1">IF(ROWS($1:1)&gt;COUNT(Dong5),"",OFFSET('TH-VAY'!J$1,SMALL(Dong5,ROWS($1:1)),))</f>
        <v>0</v>
      </c>
      <c r="J50" s="231">
        <f ca="1">IF(ROWS($1:1)&gt;COUNT(Dong5),"",OFFSET('TH-VAY'!K$1,SMALL(Dong5,ROWS($1:1)),))</f>
        <v>0</v>
      </c>
      <c r="K50" s="157">
        <f t="shared" ref="K50:K52" ca="1" si="9">IF(C50&lt;&gt;"",ROUND(MAX(K49+G50-I50-M49,0),2),0)</f>
        <v>0</v>
      </c>
      <c r="L50" s="158">
        <f t="shared" ref="L50:L52" ca="1" si="10">IF(C50&lt;&gt;"",MAX(L49-N49+H50-J50,0),0)</f>
        <v>0</v>
      </c>
      <c r="M50" s="157">
        <f t="shared" ref="M50:M52" ca="1" si="11">IF(C50&lt;&gt;"",ROUND(MAX(M49+I50-G50-K49,0),2),0)</f>
        <v>0</v>
      </c>
      <c r="N50" s="158">
        <f t="shared" ref="N50:N52" ca="1" si="12">IF(C50&lt;&gt;"",MAX(N49-L49+J50-H50,0),0)</f>
        <v>16280000</v>
      </c>
    </row>
    <row r="51" spans="1:14" s="192" customFormat="1" ht="19.5" customHeight="1">
      <c r="A51" s="183">
        <f t="shared" ref="A51:A52" ca="1" si="13">IF(D51&lt;&gt;"",C51,"")</f>
        <v>41652</v>
      </c>
      <c r="B51" s="184" t="str">
        <f ca="1">IF(ROWS($1:2)&gt;COUNT(Dong5),"",OFFSET('TH-VAY'!B$1,SMALL(Dong5,ROWS($1:2)),))</f>
        <v>CTGS</v>
      </c>
      <c r="C51" s="184">
        <f ca="1">IF(ROWS($1:2)&gt;COUNT(Dong5),"",OFFSET('TH-VAY'!C$1,SMALL(Dong5,ROWS($1:2)),))</f>
        <v>41652</v>
      </c>
      <c r="D51" s="234" t="str">
        <f ca="1">IF(ROWS($1:2)&gt;COUNT(Dong5),"",OFFSET('TH-VAY'!D$1,SMALL(Dong5,ROWS($1:2)),))</f>
        <v>Chênh lệch tỷ giá vay NH</v>
      </c>
      <c r="E51" s="184" t="str">
        <f ca="1">IF(ROWS($1:2)&gt;COUNT(Dong5),"",OFFSET('TH-VAY'!F$1,SMALL(Dong5,ROWS($1:2)),))</f>
        <v>515</v>
      </c>
      <c r="F51" s="231">
        <f ca="1">IF(ROWS($1:2)&gt;COUNT(Dong5),"",OFFSET('TH-VAY'!G$1,SMALL(Dong5,ROWS($1:2)),))</f>
        <v>0</v>
      </c>
      <c r="G51" s="232">
        <f ca="1">IF(ROWS($1:2)&gt;COUNT(Dong5),"",OFFSET('TH-VAY'!H$1,SMALL(Dong5,ROWS($1:2)),))</f>
        <v>0</v>
      </c>
      <c r="H51" s="231">
        <f ca="1">IF(ROWS($1:2)&gt;COUNT(Dong5),"",OFFSET('TH-VAY'!I$1,SMALL(Dong5,ROWS($1:2)),))</f>
        <v>16280000</v>
      </c>
      <c r="I51" s="232">
        <f ca="1">IF(ROWS($1:2)&gt;COUNT(Dong5),"",OFFSET('TH-VAY'!J$1,SMALL(Dong5,ROWS($1:2)),))</f>
        <v>0</v>
      </c>
      <c r="J51" s="231">
        <f ca="1">IF(ROWS($1:2)&gt;COUNT(Dong5),"",OFFSET('TH-VAY'!K$1,SMALL(Dong5,ROWS($1:2)),))</f>
        <v>0</v>
      </c>
      <c r="K51" s="157">
        <f t="shared" ca="1" si="9"/>
        <v>0</v>
      </c>
      <c r="L51" s="158">
        <f t="shared" ca="1" si="10"/>
        <v>0</v>
      </c>
      <c r="M51" s="157">
        <f t="shared" ca="1" si="11"/>
        <v>0</v>
      </c>
      <c r="N51" s="158">
        <f t="shared" ca="1" si="12"/>
        <v>0</v>
      </c>
    </row>
    <row r="52" spans="1:14" s="192" customFormat="1" ht="19.5" customHeight="1">
      <c r="A52" s="183" t="str">
        <f t="shared" ca="1" si="13"/>
        <v/>
      </c>
      <c r="B52" s="184" t="str">
        <f ca="1">IF(ROWS($1:3)&gt;COUNT(Dong5),"",OFFSET('TH-VAY'!B$1,SMALL(Dong5,ROWS($1:3)),))</f>
        <v/>
      </c>
      <c r="C52" s="184" t="str">
        <f ca="1">IF(ROWS($1:3)&gt;COUNT(Dong5),"",OFFSET('TH-VAY'!C$1,SMALL(Dong5,ROWS($1:3)),))</f>
        <v/>
      </c>
      <c r="D52" s="234" t="str">
        <f ca="1">IF(ROWS($1:3)&gt;COUNT(Dong5),"",OFFSET('TH-VAY'!D$1,SMALL(Dong5,ROWS($1:3)),))</f>
        <v/>
      </c>
      <c r="E52" s="184" t="str">
        <f ca="1">IF(ROWS($1:3)&gt;COUNT(Dong5),"",OFFSET('TH-VAY'!F$1,SMALL(Dong5,ROWS($1:3)),))</f>
        <v/>
      </c>
      <c r="F52" s="231" t="str">
        <f ca="1">IF(ROWS($1:3)&gt;COUNT(Dong5),"",OFFSET('TH-VAY'!G$1,SMALL(Dong5,ROWS($1:3)),))</f>
        <v/>
      </c>
      <c r="G52" s="232" t="str">
        <f ca="1">IF(ROWS($1:3)&gt;COUNT(Dong5),"",OFFSET('TH-VAY'!H$1,SMALL(Dong5,ROWS($1:3)),))</f>
        <v/>
      </c>
      <c r="H52" s="231" t="str">
        <f ca="1">IF(ROWS($1:3)&gt;COUNT(Dong5),"",OFFSET('TH-VAY'!I$1,SMALL(Dong5,ROWS($1:3)),))</f>
        <v/>
      </c>
      <c r="I52" s="232" t="str">
        <f ca="1">IF(ROWS($1:3)&gt;COUNT(Dong5),"",OFFSET('TH-VAY'!J$1,SMALL(Dong5,ROWS($1:3)),))</f>
        <v/>
      </c>
      <c r="J52" s="231" t="str">
        <f ca="1">IF(ROWS($1:3)&gt;COUNT(Dong5),"",OFFSET('TH-VAY'!K$1,SMALL(Dong5,ROWS($1:3)),))</f>
        <v/>
      </c>
      <c r="K52" s="157">
        <f t="shared" ca="1" si="9"/>
        <v>0</v>
      </c>
      <c r="L52" s="158">
        <f t="shared" ca="1" si="10"/>
        <v>0</v>
      </c>
      <c r="M52" s="157">
        <f t="shared" ca="1" si="11"/>
        <v>0</v>
      </c>
      <c r="N52" s="158">
        <f t="shared" ca="1" si="12"/>
        <v>0</v>
      </c>
    </row>
    <row r="53" spans="1:14" s="192" customFormat="1" ht="19.5" customHeight="1">
      <c r="A53" s="187"/>
      <c r="B53" s="187"/>
      <c r="C53" s="187"/>
      <c r="D53" s="235"/>
      <c r="E53" s="189"/>
      <c r="F53" s="190"/>
      <c r="G53" s="188"/>
      <c r="H53" s="188"/>
      <c r="I53" s="188"/>
      <c r="J53" s="191"/>
      <c r="K53" s="157"/>
      <c r="L53" s="158"/>
      <c r="M53" s="157"/>
      <c r="N53" s="158"/>
    </row>
    <row r="54" spans="1:14" s="175" customFormat="1" ht="19.5" customHeight="1">
      <c r="A54" s="184"/>
      <c r="B54" s="184"/>
      <c r="C54" s="184"/>
      <c r="D54" s="193" t="s">
        <v>127</v>
      </c>
      <c r="E54" s="194" t="s">
        <v>23</v>
      </c>
      <c r="F54" s="194" t="s">
        <v>23</v>
      </c>
      <c r="G54" s="195">
        <f ca="1">SUM(G50:G51)</f>
        <v>92500</v>
      </c>
      <c r="H54" s="196">
        <f ca="1">SUM(H50:H51)</f>
        <v>1965255000</v>
      </c>
      <c r="I54" s="195">
        <f ca="1">SUM(I50:I51)</f>
        <v>0</v>
      </c>
      <c r="J54" s="196">
        <f ca="1">SUM(J50:J52)</f>
        <v>0</v>
      </c>
      <c r="K54" s="196" t="s">
        <v>23</v>
      </c>
      <c r="L54" s="196" t="s">
        <v>23</v>
      </c>
      <c r="M54" s="196" t="s">
        <v>23</v>
      </c>
      <c r="N54" s="196" t="s">
        <v>23</v>
      </c>
    </row>
    <row r="55" spans="1:14" s="175" customFormat="1" ht="19.5" customHeight="1">
      <c r="A55" s="197"/>
      <c r="B55" s="197"/>
      <c r="C55" s="197"/>
      <c r="D55" s="198" t="s">
        <v>24</v>
      </c>
      <c r="E55" s="199" t="s">
        <v>23</v>
      </c>
      <c r="F55" s="199" t="s">
        <v>23</v>
      </c>
      <c r="G55" s="199" t="s">
        <v>23</v>
      </c>
      <c r="H55" s="199" t="s">
        <v>23</v>
      </c>
      <c r="I55" s="199" t="s">
        <v>23</v>
      </c>
      <c r="J55" s="199" t="s">
        <v>23</v>
      </c>
      <c r="K55" s="200">
        <f ca="1">MAX(K49+G54-M49-I54,0)</f>
        <v>0</v>
      </c>
      <c r="L55" s="201">
        <f ca="1">MAX(L49+H54-N49-J54,0)</f>
        <v>0</v>
      </c>
      <c r="M55" s="200">
        <f ca="1">MAX(M49+I54-K49-G54,0)</f>
        <v>0</v>
      </c>
      <c r="N55" s="201">
        <f ca="1">MAX(N49+J54-L49-H54,0)</f>
        <v>0</v>
      </c>
    </row>
    <row r="56" spans="1:14" s="175" customFormat="1">
      <c r="E56" s="246"/>
      <c r="F56" s="246"/>
    </row>
    <row r="57" spans="1:14" s="175" customFormat="1">
      <c r="C57" s="202" t="s">
        <v>128</v>
      </c>
      <c r="E57" s="246"/>
      <c r="F57" s="246"/>
    </row>
    <row r="58" spans="1:14" s="175" customFormat="1">
      <c r="C58" s="202" t="str">
        <f>"- Ngày mở sổ: "&amp;TEXT(VLOOKUP($H$9,'311-341'!$B$5:$C$9,2,0),"dd/MM/yy")</f>
        <v>- Ngày mở sổ: 22/01/10</v>
      </c>
      <c r="E58" s="246"/>
      <c r="F58" s="246"/>
    </row>
    <row r="59" spans="1:14" s="175" customFormat="1">
      <c r="E59" s="246"/>
      <c r="F59" s="246"/>
      <c r="L59" s="246" t="s">
        <v>389</v>
      </c>
    </row>
    <row r="60" spans="1:14" s="175" customFormat="1">
      <c r="C60" s="246" t="s">
        <v>25</v>
      </c>
      <c r="E60" s="246"/>
      <c r="F60" s="246"/>
      <c r="L60" s="246" t="s">
        <v>26</v>
      </c>
    </row>
    <row r="61" spans="1:14" s="175" customFormat="1">
      <c r="C61" s="246" t="s">
        <v>27</v>
      </c>
      <c r="E61" s="246"/>
      <c r="F61" s="246"/>
      <c r="L61" s="246" t="s">
        <v>27</v>
      </c>
    </row>
    <row r="62" spans="1:14" s="175" customFormat="1">
      <c r="E62" s="246"/>
      <c r="F62" s="246"/>
    </row>
  </sheetData>
  <mergeCells count="44">
    <mergeCell ref="M46:N46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G45:J45"/>
    <mergeCell ref="K45:N45"/>
    <mergeCell ref="B46:B47"/>
    <mergeCell ref="C46:C47"/>
    <mergeCell ref="G46:H46"/>
    <mergeCell ref="I46:J46"/>
    <mergeCell ref="K46:L46"/>
    <mergeCell ref="J34:N34"/>
    <mergeCell ref="J35:N36"/>
    <mergeCell ref="A38:N38"/>
    <mergeCell ref="A39:N39"/>
    <mergeCell ref="A40:N40"/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310"/>
  <sheetViews>
    <sheetView topLeftCell="A11" zoomScale="90" workbookViewId="0">
      <pane ySplit="5" topLeftCell="A16" activePane="bottomLeft" state="frozen"/>
      <selection activeCell="A11" sqref="A11"/>
      <selection pane="bottomLeft" activeCell="E218" sqref="E218:E219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6.57031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5.28515625" style="27" customWidth="1"/>
    <col min="9" max="9" width="13.7109375" style="27" customWidth="1"/>
    <col min="10" max="10" width="7.5703125" style="28" customWidth="1"/>
    <col min="11" max="11" width="14" style="136" customWidth="1"/>
    <col min="12" max="12" width="12.85546875" style="28" customWidth="1"/>
    <col min="13" max="14" width="0" style="28" hidden="1" customWidth="1"/>
    <col min="15" max="15" width="0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0" style="140" hidden="1" customWidth="1"/>
    <col min="22" max="24" width="0" style="28" hidden="1" customWidth="1"/>
    <col min="25" max="16384" width="9.140625" style="28"/>
  </cols>
  <sheetData>
    <row r="2" spans="1:21" ht="15.75" customHeight="1">
      <c r="A2" s="15" t="s">
        <v>0</v>
      </c>
      <c r="G2" s="289" t="s">
        <v>137</v>
      </c>
      <c r="H2" s="289"/>
      <c r="I2" s="289"/>
      <c r="O2" s="15" t="s">
        <v>0</v>
      </c>
      <c r="T2" s="28"/>
    </row>
    <row r="3" spans="1:21" ht="15.75" customHeight="1">
      <c r="A3" s="15" t="s">
        <v>1</v>
      </c>
      <c r="G3" s="290" t="s">
        <v>138</v>
      </c>
      <c r="H3" s="290"/>
      <c r="I3" s="290"/>
      <c r="O3" s="15" t="s">
        <v>1</v>
      </c>
      <c r="T3" s="28"/>
    </row>
    <row r="4" spans="1:21">
      <c r="F4" s="3"/>
      <c r="G4" s="290"/>
      <c r="H4" s="290"/>
      <c r="I4" s="290"/>
      <c r="S4" s="3"/>
      <c r="T4" s="28"/>
    </row>
    <row r="5" spans="1:21" ht="23.25" customHeight="1">
      <c r="A5" s="293" t="s">
        <v>2</v>
      </c>
      <c r="B5" s="293"/>
      <c r="C5" s="293"/>
      <c r="D5" s="293"/>
      <c r="E5" s="293"/>
      <c r="F5" s="293"/>
      <c r="G5" s="293"/>
      <c r="H5" s="293"/>
      <c r="I5" s="293"/>
      <c r="O5" s="28"/>
      <c r="P5" s="28"/>
      <c r="R5" s="28"/>
      <c r="S5" s="28"/>
      <c r="T5" s="28"/>
    </row>
    <row r="6" spans="1:21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O6" s="28"/>
      <c r="P6" s="28"/>
      <c r="R6" s="28"/>
      <c r="S6" s="28"/>
      <c r="T6" s="28"/>
    </row>
    <row r="7" spans="1:21">
      <c r="A7" s="294" t="s">
        <v>28</v>
      </c>
      <c r="B7" s="294"/>
      <c r="C7" s="294"/>
      <c r="D7" s="294"/>
      <c r="E7" s="294"/>
      <c r="F7" s="294"/>
      <c r="G7" s="294"/>
      <c r="H7" s="294"/>
      <c r="I7" s="294"/>
      <c r="O7" s="28"/>
      <c r="P7" s="28"/>
      <c r="R7" s="28"/>
      <c r="S7" s="28"/>
      <c r="T7" s="28"/>
    </row>
    <row r="8" spans="1:21">
      <c r="A8" s="291" t="s">
        <v>43</v>
      </c>
      <c r="B8" s="291"/>
      <c r="C8" s="291"/>
      <c r="D8" s="291"/>
      <c r="E8" s="291"/>
      <c r="F8" s="291"/>
      <c r="G8" s="291"/>
      <c r="H8" s="291"/>
      <c r="I8" s="291"/>
      <c r="O8" s="28"/>
      <c r="P8" s="28"/>
      <c r="R8" s="28"/>
      <c r="S8" s="28"/>
      <c r="T8" s="28"/>
    </row>
    <row r="9" spans="1:21">
      <c r="A9" s="291" t="s">
        <v>5</v>
      </c>
      <c r="B9" s="291"/>
      <c r="C9" s="291"/>
      <c r="D9" s="291"/>
      <c r="E9" s="291"/>
      <c r="F9" s="291"/>
      <c r="G9" s="291"/>
      <c r="H9" s="291"/>
      <c r="I9" s="291"/>
      <c r="O9" s="28"/>
      <c r="P9" s="28"/>
      <c r="R9" s="28"/>
      <c r="S9" s="28"/>
      <c r="T9" s="28"/>
    </row>
    <row r="10" spans="1:21" ht="15" customHeight="1">
      <c r="A10" s="295"/>
      <c r="B10" s="295"/>
      <c r="C10" s="295"/>
      <c r="D10" s="295"/>
      <c r="E10" s="295"/>
      <c r="F10" s="295"/>
      <c r="G10" s="295"/>
      <c r="H10" s="295"/>
      <c r="I10" s="295"/>
      <c r="O10" s="28"/>
      <c r="P10" s="28"/>
      <c r="R10" s="28"/>
      <c r="S10" s="28"/>
      <c r="T10" s="28"/>
    </row>
    <row r="11" spans="1:21" ht="15.75" customHeight="1">
      <c r="A11" s="288" t="s">
        <v>6</v>
      </c>
      <c r="B11" s="280" t="s">
        <v>7</v>
      </c>
      <c r="C11" s="281"/>
      <c r="D11" s="288" t="s">
        <v>8</v>
      </c>
      <c r="E11" s="288" t="s">
        <v>9</v>
      </c>
      <c r="F11" s="280" t="s">
        <v>10</v>
      </c>
      <c r="G11" s="281"/>
      <c r="H11" s="280" t="s">
        <v>11</v>
      </c>
      <c r="I11" s="292"/>
      <c r="O11" s="288" t="s">
        <v>6</v>
      </c>
      <c r="P11" s="118" t="s">
        <v>7</v>
      </c>
      <c r="Q11" s="288" t="s">
        <v>8</v>
      </c>
      <c r="R11" s="288" t="s">
        <v>9</v>
      </c>
      <c r="S11" s="280" t="s">
        <v>10</v>
      </c>
      <c r="T11" s="281"/>
    </row>
    <row r="12" spans="1:21" ht="15.75" customHeight="1">
      <c r="A12" s="288"/>
      <c r="B12" s="282" t="s">
        <v>12</v>
      </c>
      <c r="C12" s="284" t="s">
        <v>13</v>
      </c>
      <c r="D12" s="288"/>
      <c r="E12" s="288"/>
      <c r="F12" s="284" t="s">
        <v>14</v>
      </c>
      <c r="G12" s="286" t="s">
        <v>15</v>
      </c>
      <c r="H12" s="284" t="s">
        <v>14</v>
      </c>
      <c r="I12" s="284" t="s">
        <v>15</v>
      </c>
      <c r="O12" s="288"/>
      <c r="P12" s="282" t="s">
        <v>12</v>
      </c>
      <c r="Q12" s="288"/>
      <c r="R12" s="288"/>
      <c r="S12" s="284" t="s">
        <v>14</v>
      </c>
      <c r="T12" s="286" t="s">
        <v>15</v>
      </c>
    </row>
    <row r="13" spans="1:21" ht="18" customHeight="1">
      <c r="A13" s="288"/>
      <c r="B13" s="283"/>
      <c r="C13" s="285"/>
      <c r="D13" s="288"/>
      <c r="E13" s="288"/>
      <c r="F13" s="285"/>
      <c r="G13" s="287"/>
      <c r="H13" s="285"/>
      <c r="I13" s="285"/>
      <c r="O13" s="288"/>
      <c r="P13" s="283"/>
      <c r="Q13" s="288"/>
      <c r="R13" s="288"/>
      <c r="S13" s="285"/>
      <c r="T13" s="287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41"/>
    </row>
    <row r="15" spans="1:21" ht="19.5" customHeight="1">
      <c r="A15" s="32"/>
      <c r="B15" s="33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19.5" customHeight="1">
      <c r="A16" s="61">
        <v>41670</v>
      </c>
      <c r="B16" s="94" t="s">
        <v>71</v>
      </c>
      <c r="C16" s="95">
        <v>41670</v>
      </c>
      <c r="D16" s="96" t="s">
        <v>164</v>
      </c>
      <c r="E16" s="97" t="s">
        <v>42</v>
      </c>
      <c r="F16" s="98"/>
      <c r="G16" s="99">
        <v>369489000</v>
      </c>
      <c r="H16" s="93">
        <f>MAX(H15+F16-I15-G16,0)</f>
        <v>0</v>
      </c>
      <c r="I16" s="93">
        <f>MAX(I15+G16-H15-F16,0)</f>
        <v>369489000</v>
      </c>
      <c r="J16" s="36">
        <f t="shared" ref="J16:J79" si="0">IF(A16&lt;&gt;"",MONTH(A16),"")</f>
        <v>1</v>
      </c>
      <c r="K16" s="136" t="s">
        <v>200</v>
      </c>
      <c r="O16" s="61">
        <f ca="1">IF(ROWS($1:1)&gt;COUNT(Dong),"",OFFSET('141-BH'!A$1,SMALL(Dong,ROWS($1:1)),))</f>
        <v>41820</v>
      </c>
      <c r="P16" s="61" t="str">
        <f ca="1">IF(ROWS($1:1)&gt;COUNT(Dong),"",OFFSET('141-BH'!B$1,SMALL(Dong,ROWS($1:1)),))</f>
        <v>TU11</v>
      </c>
      <c r="Q16" s="100" t="str">
        <f ca="1">IF(ROWS($1:1)&gt;COUNT(Dong),"",OFFSET('141-BH'!D$1,SMALL(Dong,ROWS($1:1)),))</f>
        <v>Đặng Thanh Phong</v>
      </c>
      <c r="R16" s="61" t="str">
        <f ca="1">IF(ROWS($1:1)&gt;COUNT(Dong),"",OFFSET('141-BH'!E$1,SMALL(Dong,ROWS($1:1)),))</f>
        <v>331</v>
      </c>
      <c r="S16" s="93">
        <f ca="1">IF(ROWS($1:1)&gt;COUNT(Dong),"",OFFSET('141-BH'!F$1,SMALL(Dong,ROWS($1:1)),))</f>
        <v>0</v>
      </c>
      <c r="T16" s="93">
        <f ca="1">IF(ROWS($1:1)&gt;COUNT(Dong),"",OFFSET('141-BH'!G$1,SMALL(Dong,ROWS($1:1)),))</f>
        <v>748410000</v>
      </c>
      <c r="U16" s="142" t="str">
        <f ca="1">IF(IF(ROWS($1:1)&gt;COUNT(Dong),"",OFFSET('141-BH'!K$1,SMALL(Dong,ROWS($1:1)),))=0,"",IF(ROWS($1:1)&gt;COUNT(Dong),"",OFFSET('141-BH'!K$1,SMALL(Dong,ROWS($1:1)),)))</f>
        <v>N05/NL &amp; N13/NL &amp; N06/NL &amp; N30/NL &amp; N42/NL</v>
      </c>
    </row>
    <row r="17" spans="1:21" ht="19.5" customHeight="1">
      <c r="A17" s="11">
        <v>41670</v>
      </c>
      <c r="B17" s="17" t="s">
        <v>71</v>
      </c>
      <c r="C17" s="14">
        <v>41670</v>
      </c>
      <c r="D17" s="16" t="s">
        <v>165</v>
      </c>
      <c r="E17" s="37" t="s">
        <v>42</v>
      </c>
      <c r="F17" s="9"/>
      <c r="G17" s="19">
        <v>371400000</v>
      </c>
      <c r="H17" s="5">
        <f>MAX(H16+F17-I16-G17,0)</f>
        <v>0</v>
      </c>
      <c r="I17" s="5">
        <f>MAX(I16+G17-H16-F17,0)</f>
        <v>740889000</v>
      </c>
      <c r="J17" s="36">
        <f t="shared" si="0"/>
        <v>1</v>
      </c>
      <c r="K17" s="136" t="s">
        <v>201</v>
      </c>
      <c r="O17" s="61">
        <f ca="1">IF(ROWS($1:2)&gt;COUNT(Dong),"",OFFSET('141-BH'!A$1,SMALL(Dong,ROWS($1:2)),))</f>
        <v>41820</v>
      </c>
      <c r="P17" s="61" t="str">
        <f ca="1">IF(ROWS($1:2)&gt;COUNT(Dong),"",OFFSET('141-BH'!B$1,SMALL(Dong,ROWS($1:2)),))</f>
        <v>TU11</v>
      </c>
      <c r="Q17" s="100" t="str">
        <f ca="1">IF(ROWS($1:2)&gt;COUNT(Dong),"",OFFSET('141-BH'!D$1,SMALL(Dong,ROWS($1:2)),))</f>
        <v>Đỗ Ngọc Trương</v>
      </c>
      <c r="R17" s="61" t="str">
        <f ca="1">IF(ROWS($1:2)&gt;COUNT(Dong),"",OFFSET('141-BH'!E$1,SMALL(Dong,ROWS($1:2)),))</f>
        <v>331</v>
      </c>
      <c r="S17" s="93">
        <f ca="1">IF(ROWS($1:2)&gt;COUNT(Dong),"",OFFSET('141-BH'!F$1,SMALL(Dong,ROWS($1:2)),))</f>
        <v>0</v>
      </c>
      <c r="T17" s="93">
        <f ca="1">IF(ROWS($1:2)&gt;COUNT(Dong),"",OFFSET('141-BH'!G$1,SMALL(Dong,ROWS($1:2)),))</f>
        <v>754003000</v>
      </c>
      <c r="U17" s="142" t="str">
        <f ca="1">IF(IF(ROWS($1:2)&gt;COUNT(Dong),"",OFFSET('141-BH'!K$1,SMALL(Dong,ROWS($1:2)),))=0,"",IF(ROWS($1:2)&gt;COUNT(Dong),"",OFFSET('141-BH'!K$1,SMALL(Dong,ROWS($1:2)),)))</f>
        <v>N06/NL &amp; N14/NL &amp; N21/NL &amp; N31/NL &amp; N43/NL</v>
      </c>
    </row>
    <row r="18" spans="1:21" ht="19.5" customHeight="1">
      <c r="A18" s="11">
        <v>41670</v>
      </c>
      <c r="B18" s="17" t="s">
        <v>71</v>
      </c>
      <c r="C18" s="14">
        <v>41670</v>
      </c>
      <c r="D18" s="16" t="s">
        <v>152</v>
      </c>
      <c r="E18" s="37" t="s">
        <v>42</v>
      </c>
      <c r="F18" s="9"/>
      <c r="G18" s="19">
        <v>145548000</v>
      </c>
      <c r="H18" s="5">
        <f t="shared" ref="H18:H25" si="1">MAX(H17+F18-I17-G18,0)</f>
        <v>0</v>
      </c>
      <c r="I18" s="5">
        <f t="shared" ref="I18:I25" si="2">MAX(I17+G18-H17-F18,0)</f>
        <v>886437000</v>
      </c>
      <c r="J18" s="36">
        <f t="shared" si="0"/>
        <v>1</v>
      </c>
      <c r="K18" s="136" t="s">
        <v>202</v>
      </c>
      <c r="O18" s="61">
        <f ca="1">IF(ROWS($1:3)&gt;COUNT(Dong),"",OFFSET('141-BH'!A$1,SMALL(Dong,ROWS($1:3)),))</f>
        <v>41820</v>
      </c>
      <c r="P18" s="61" t="str">
        <f ca="1">IF(ROWS($1:3)&gt;COUNT(Dong),"",OFFSET('141-BH'!B$1,SMALL(Dong,ROWS($1:3)),))</f>
        <v>TU11</v>
      </c>
      <c r="Q18" s="100" t="str">
        <f ca="1">IF(ROWS($1:3)&gt;COUNT(Dong),"",OFFSET('141-BH'!D$1,SMALL(Dong,ROWS($1:3)),))</f>
        <v>Huỳnh Thị Kiều</v>
      </c>
      <c r="R18" s="61" t="str">
        <f ca="1">IF(ROWS($1:3)&gt;COUNT(Dong),"",OFFSET('141-BH'!E$1,SMALL(Dong,ROWS($1:3)),))</f>
        <v>331</v>
      </c>
      <c r="S18" s="93">
        <f ca="1">IF(ROWS($1:3)&gt;COUNT(Dong),"",OFFSET('141-BH'!F$1,SMALL(Dong,ROWS($1:3)),))</f>
        <v>0</v>
      </c>
      <c r="T18" s="93">
        <f ca="1">IF(ROWS($1:3)&gt;COUNT(Dong),"",OFFSET('141-BH'!G$1,SMALL(Dong,ROWS($1:3)),))</f>
        <v>450644000</v>
      </c>
      <c r="U18" s="142" t="str">
        <f ca="1">IF(IF(ROWS($1:3)&gt;COUNT(Dong),"",OFFSET('141-BH'!K$1,SMALL(Dong,ROWS($1:3)),))=0,"",IF(ROWS($1:3)&gt;COUNT(Dong),"",OFFSET('141-BH'!K$1,SMALL(Dong,ROWS($1:3)),)))</f>
        <v>N01/NL &amp; N25/NL &amp; N21/NL</v>
      </c>
    </row>
    <row r="19" spans="1:21" ht="19.5" customHeight="1">
      <c r="A19" s="11">
        <v>41670</v>
      </c>
      <c r="B19" s="17" t="s">
        <v>71</v>
      </c>
      <c r="C19" s="14">
        <v>41670</v>
      </c>
      <c r="D19" s="16" t="s">
        <v>166</v>
      </c>
      <c r="E19" s="37" t="s">
        <v>42</v>
      </c>
      <c r="F19" s="9"/>
      <c r="G19" s="19">
        <v>215139000</v>
      </c>
      <c r="H19" s="5">
        <f t="shared" si="1"/>
        <v>0</v>
      </c>
      <c r="I19" s="5">
        <f t="shared" si="2"/>
        <v>1101576000</v>
      </c>
      <c r="J19" s="36">
        <f t="shared" si="0"/>
        <v>1</v>
      </c>
      <c r="K19" s="136" t="s">
        <v>203</v>
      </c>
      <c r="O19" s="61">
        <f ca="1">IF(ROWS($1:4)&gt;COUNT(Dong),"",OFFSET('141-BH'!A$1,SMALL(Dong,ROWS($1:4)),))</f>
        <v>41820</v>
      </c>
      <c r="P19" s="61" t="str">
        <f ca="1">IF(ROWS($1:4)&gt;COUNT(Dong),"",OFFSET('141-BH'!B$1,SMALL(Dong,ROWS($1:4)),))</f>
        <v>TU11</v>
      </c>
      <c r="Q19" s="100" t="str">
        <f ca="1">IF(ROWS($1:4)&gt;COUNT(Dong),"",OFFSET('141-BH'!D$1,SMALL(Dong,ROWS($1:4)),))</f>
        <v>Lê Thị Diễm</v>
      </c>
      <c r="R19" s="61" t="str">
        <f ca="1">IF(ROWS($1:4)&gt;COUNT(Dong),"",OFFSET('141-BH'!E$1,SMALL(Dong,ROWS($1:4)),))</f>
        <v>331</v>
      </c>
      <c r="S19" s="93">
        <f ca="1">IF(ROWS($1:4)&gt;COUNT(Dong),"",OFFSET('141-BH'!F$1,SMALL(Dong,ROWS($1:4)),))</f>
        <v>0</v>
      </c>
      <c r="T19" s="93">
        <f ca="1">IF(ROWS($1:4)&gt;COUNT(Dong),"",OFFSET('141-BH'!G$1,SMALL(Dong,ROWS($1:4)),))</f>
        <v>309591000</v>
      </c>
      <c r="U19" s="142" t="str">
        <f ca="1">IF(IF(ROWS($1:4)&gt;COUNT(Dong),"",OFFSET('141-BH'!K$1,SMALL(Dong,ROWS($1:4)),))=0,"",IF(ROWS($1:4)&gt;COUNT(Dong),"",OFFSET('141-BH'!K$1,SMALL(Dong,ROWS($1:4)),)))</f>
        <v>N07/NL &amp; N32/NL</v>
      </c>
    </row>
    <row r="20" spans="1:21" ht="19.5" customHeight="1">
      <c r="A20" s="11">
        <v>41670</v>
      </c>
      <c r="B20" s="17" t="s">
        <v>71</v>
      </c>
      <c r="C20" s="14">
        <v>41670</v>
      </c>
      <c r="D20" s="16" t="s">
        <v>153</v>
      </c>
      <c r="E20" s="37" t="s">
        <v>42</v>
      </c>
      <c r="F20" s="9"/>
      <c r="G20" s="19">
        <v>150748000</v>
      </c>
      <c r="H20" s="5">
        <f t="shared" si="1"/>
        <v>0</v>
      </c>
      <c r="I20" s="5">
        <f t="shared" si="2"/>
        <v>1252324000</v>
      </c>
      <c r="J20" s="36">
        <f t="shared" si="0"/>
        <v>1</v>
      </c>
      <c r="K20" s="136" t="s">
        <v>204</v>
      </c>
      <c r="O20" s="61">
        <f ca="1">IF(ROWS($1:5)&gt;COUNT(Dong),"",OFFSET('141-BH'!A$1,SMALL(Dong,ROWS($1:5)),))</f>
        <v>41820</v>
      </c>
      <c r="P20" s="61" t="str">
        <f ca="1">IF(ROWS($1:5)&gt;COUNT(Dong),"",OFFSET('141-BH'!B$1,SMALL(Dong,ROWS($1:5)),))</f>
        <v>TU11</v>
      </c>
      <c r="Q20" s="100" t="str">
        <f ca="1">IF(ROWS($1:5)&gt;COUNT(Dong),"",OFFSET('141-BH'!D$1,SMALL(Dong,ROWS($1:5)),))</f>
        <v>Nguyễn Thị Kim Vân</v>
      </c>
      <c r="R20" s="61" t="str">
        <f ca="1">IF(ROWS($1:5)&gt;COUNT(Dong),"",OFFSET('141-BH'!E$1,SMALL(Dong,ROWS($1:5)),))</f>
        <v>331</v>
      </c>
      <c r="S20" s="93">
        <f ca="1">IF(ROWS($1:5)&gt;COUNT(Dong),"",OFFSET('141-BH'!F$1,SMALL(Dong,ROWS($1:5)),))</f>
        <v>0</v>
      </c>
      <c r="T20" s="93">
        <f ca="1">IF(ROWS($1:5)&gt;COUNT(Dong),"",OFFSET('141-BH'!G$1,SMALL(Dong,ROWS($1:5)),))</f>
        <v>453167000</v>
      </c>
      <c r="U20" s="142" t="str">
        <f ca="1">IF(IF(ROWS($1:5)&gt;COUNT(Dong),"",OFFSET('141-BH'!K$1,SMALL(Dong,ROWS($1:5)),))=0,"",IF(ROWS($1:5)&gt;COUNT(Dong),"",OFFSET('141-BH'!K$1,SMALL(Dong,ROWS($1:5)),)))</f>
        <v>N02/NL &amp; N26/NL &amp; N22/NL</v>
      </c>
    </row>
    <row r="21" spans="1:21" ht="19.5" customHeight="1">
      <c r="A21" s="11">
        <v>41670</v>
      </c>
      <c r="B21" s="17" t="s">
        <v>71</v>
      </c>
      <c r="C21" s="14">
        <v>41670</v>
      </c>
      <c r="D21" s="16" t="s">
        <v>52</v>
      </c>
      <c r="E21" s="37" t="s">
        <v>42</v>
      </c>
      <c r="F21" s="89"/>
      <c r="G21" s="19">
        <v>152438000</v>
      </c>
      <c r="H21" s="5">
        <f t="shared" si="1"/>
        <v>0</v>
      </c>
      <c r="I21" s="5">
        <f t="shared" si="2"/>
        <v>1404762000</v>
      </c>
      <c r="J21" s="36">
        <f t="shared" si="0"/>
        <v>1</v>
      </c>
      <c r="K21" s="136" t="s">
        <v>205</v>
      </c>
      <c r="O21" s="61">
        <f ca="1">IF(ROWS($1:6)&gt;COUNT(Dong),"",OFFSET('141-BH'!A$1,SMALL(Dong,ROWS($1:6)),))</f>
        <v>41820</v>
      </c>
      <c r="P21" s="61" t="str">
        <f ca="1">IF(ROWS($1:6)&gt;COUNT(Dong),"",OFFSET('141-BH'!B$1,SMALL(Dong,ROWS($1:6)),))</f>
        <v>TU11</v>
      </c>
      <c r="Q21" s="100" t="str">
        <f ca="1">IF(ROWS($1:6)&gt;COUNT(Dong),"",OFFSET('141-BH'!D$1,SMALL(Dong,ROWS($1:6)),))</f>
        <v>Nguyễn Văn Hải</v>
      </c>
      <c r="R21" s="61" t="str">
        <f ca="1">IF(ROWS($1:6)&gt;COUNT(Dong),"",OFFSET('141-BH'!E$1,SMALL(Dong,ROWS($1:6)),))</f>
        <v>331</v>
      </c>
      <c r="S21" s="93">
        <f ca="1">IF(ROWS($1:6)&gt;COUNT(Dong),"",OFFSET('141-BH'!F$1,SMALL(Dong,ROWS($1:6)),))</f>
        <v>0</v>
      </c>
      <c r="T21" s="93">
        <f ca="1">IF(ROWS($1:6)&gt;COUNT(Dong),"",OFFSET('141-BH'!G$1,SMALL(Dong,ROWS($1:6)),))</f>
        <v>300962000</v>
      </c>
      <c r="U21" s="142" t="str">
        <f ca="1">IF(IF(ROWS($1:6)&gt;COUNT(Dong),"",OFFSET('141-BH'!K$1,SMALL(Dong,ROWS($1:6)),))=0,"",IF(ROWS($1:6)&gt;COUNT(Dong),"",OFFSET('141-BH'!K$1,SMALL(Dong,ROWS($1:6)),)))</f>
        <v>N03/NL &amp; N27/NL</v>
      </c>
    </row>
    <row r="22" spans="1:21" ht="19.5" customHeight="1">
      <c r="A22" s="11">
        <v>41670</v>
      </c>
      <c r="B22" s="38" t="s">
        <v>71</v>
      </c>
      <c r="C22" s="14">
        <v>41670</v>
      </c>
      <c r="D22" s="10" t="s">
        <v>167</v>
      </c>
      <c r="E22" s="37" t="s">
        <v>42</v>
      </c>
      <c r="F22" s="19"/>
      <c r="G22" s="9">
        <v>375552000</v>
      </c>
      <c r="H22" s="5">
        <f t="shared" si="1"/>
        <v>0</v>
      </c>
      <c r="I22" s="5">
        <f t="shared" si="2"/>
        <v>1780314000</v>
      </c>
      <c r="J22" s="36">
        <f t="shared" si="0"/>
        <v>1</v>
      </c>
      <c r="K22" s="136" t="s">
        <v>206</v>
      </c>
      <c r="O22" s="61">
        <f ca="1">IF(ROWS($1:7)&gt;COUNT(Dong),"",OFFSET('141-BH'!A$1,SMALL(Dong,ROWS($1:7)),))</f>
        <v>41820</v>
      </c>
      <c r="P22" s="61" t="str">
        <f ca="1">IF(ROWS($1:7)&gt;COUNT(Dong),"",OFFSET('141-BH'!B$1,SMALL(Dong,ROWS($1:7)),))</f>
        <v>TU11</v>
      </c>
      <c r="Q22" s="100" t="str">
        <f ca="1">IF(ROWS($1:7)&gt;COUNT(Dong),"",OFFSET('141-BH'!D$1,SMALL(Dong,ROWS($1:7)),))</f>
        <v>Nguyễn Văn Hiền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306798000</v>
      </c>
      <c r="U22" s="142" t="str">
        <f ca="1">IF(IF(ROWS($1:7)&gt;COUNT(Dong),"",OFFSET('141-BH'!K$1,SMALL(Dong,ROWS($1:7)),))=0,"",IF(ROWS($1:7)&gt;COUNT(Dong),"",OFFSET('141-BH'!K$1,SMALL(Dong,ROWS($1:7)),)))</f>
        <v>N08/NL &amp; N33/NL</v>
      </c>
    </row>
    <row r="23" spans="1:21" ht="19.5" customHeight="1">
      <c r="A23" s="11">
        <v>41670</v>
      </c>
      <c r="B23" s="38" t="s">
        <v>71</v>
      </c>
      <c r="C23" s="14">
        <v>41670</v>
      </c>
      <c r="D23" s="16" t="s">
        <v>168</v>
      </c>
      <c r="E23" s="37" t="s">
        <v>42</v>
      </c>
      <c r="F23" s="19"/>
      <c r="G23" s="19">
        <v>536246000</v>
      </c>
      <c r="H23" s="5">
        <f t="shared" si="1"/>
        <v>0</v>
      </c>
      <c r="I23" s="5">
        <f t="shared" si="2"/>
        <v>2316560000</v>
      </c>
      <c r="J23" s="36">
        <f t="shared" si="0"/>
        <v>1</v>
      </c>
      <c r="K23" s="136" t="s">
        <v>207</v>
      </c>
      <c r="O23" s="61">
        <f ca="1">IF(ROWS($1:8)&gt;COUNT(Dong),"",OFFSET('141-BH'!A$1,SMALL(Dong,ROWS($1:8)),))</f>
        <v>41820</v>
      </c>
      <c r="P23" s="61" t="str">
        <f ca="1">IF(ROWS($1:8)&gt;COUNT(Dong),"",OFFSET('141-BH'!B$1,SMALL(Dong,ROWS($1:8)),))</f>
        <v>TU11</v>
      </c>
      <c r="Q23" s="100" t="str">
        <f ca="1">IF(ROWS($1:8)&gt;COUNT(Dong),"",OFFSET('141-BH'!D$1,SMALL(Dong,ROWS($1:8)),))</f>
        <v>Phạm Thị Bảy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298258000</v>
      </c>
      <c r="U23" s="142" t="str">
        <f ca="1">IF(IF(ROWS($1:8)&gt;COUNT(Dong),"",OFFSET('141-BH'!K$1,SMALL(Dong,ROWS($1:8)),))=0,"",IF(ROWS($1:8)&gt;COUNT(Dong),"",OFFSET('141-BH'!K$1,SMALL(Dong,ROWS($1:8)),)))</f>
        <v>N04/NL &amp; N28/NL</v>
      </c>
    </row>
    <row r="24" spans="1:21" ht="19.5" customHeight="1">
      <c r="A24" s="11">
        <v>41670</v>
      </c>
      <c r="B24" s="38" t="s">
        <v>71</v>
      </c>
      <c r="C24" s="14">
        <v>41670</v>
      </c>
      <c r="D24" s="16" t="s">
        <v>169</v>
      </c>
      <c r="E24" s="37" t="s">
        <v>42</v>
      </c>
      <c r="F24" s="19"/>
      <c r="G24" s="19">
        <v>148824000</v>
      </c>
      <c r="H24" s="5">
        <f t="shared" si="1"/>
        <v>0</v>
      </c>
      <c r="I24" s="5">
        <f t="shared" si="2"/>
        <v>2465384000</v>
      </c>
      <c r="J24" s="36">
        <f t="shared" si="0"/>
        <v>1</v>
      </c>
      <c r="K24" s="136" t="s">
        <v>208</v>
      </c>
      <c r="O24" s="61">
        <f ca="1">IF(ROWS($1:9)&gt;COUNT(Dong),"",OFFSET('141-BH'!A$1,SMALL(Dong,ROWS($1:9)),))</f>
        <v>41820</v>
      </c>
      <c r="P24" s="61" t="str">
        <f ca="1">IF(ROWS($1:9)&gt;COUNT(Dong),"",OFFSET('141-BH'!B$1,SMALL(Dong,ROWS($1:9)),))</f>
        <v>TU11</v>
      </c>
      <c r="Q24" s="100" t="str">
        <f ca="1">IF(ROWS($1:9)&gt;COUNT(Dong),"",OFFSET('141-BH'!D$1,SMALL(Dong,ROWS($1:9)),))</f>
        <v>Phan Quốc Việt</v>
      </c>
      <c r="R24" s="61" t="str">
        <f ca="1">IF(ROWS($1:9)&gt;COUNT(Dong),"",OFFSET('141-BH'!E$1,SMALL(Dong,ROWS($1:9)),))</f>
        <v>331</v>
      </c>
      <c r="S24" s="93">
        <f ca="1">IF(ROWS($1:9)&gt;COUNT(Dong),"",OFFSET('141-BH'!F$1,SMALL(Dong,ROWS($1:9)),))</f>
        <v>0</v>
      </c>
      <c r="T24" s="93">
        <f ca="1">IF(ROWS($1:9)&gt;COUNT(Dong),"",OFFSET('141-BH'!G$1,SMALL(Dong,ROWS($1:9)),))</f>
        <v>109327000</v>
      </c>
      <c r="U24" s="142" t="str">
        <f ca="1">IF(IF(ROWS($1:9)&gt;COUNT(Dong),"",OFFSET('141-BH'!K$1,SMALL(Dong,ROWS($1:9)),))=0,"",IF(ROWS($1:9)&gt;COUNT(Dong),"",OFFSET('141-BH'!K$1,SMALL(Dong,ROWS($1:9)),)))</f>
        <v>N15/NL</v>
      </c>
    </row>
    <row r="25" spans="1:21" ht="19.5" customHeight="1">
      <c r="A25" s="11">
        <v>41670</v>
      </c>
      <c r="B25" s="38" t="s">
        <v>71</v>
      </c>
      <c r="C25" s="14">
        <v>41670</v>
      </c>
      <c r="D25" s="16" t="s">
        <v>170</v>
      </c>
      <c r="E25" s="37" t="s">
        <v>42</v>
      </c>
      <c r="F25" s="19"/>
      <c r="G25" s="19">
        <v>280458000</v>
      </c>
      <c r="H25" s="5">
        <f t="shared" si="1"/>
        <v>0</v>
      </c>
      <c r="I25" s="5">
        <f t="shared" si="2"/>
        <v>2745842000</v>
      </c>
      <c r="J25" s="36">
        <f t="shared" si="0"/>
        <v>1</v>
      </c>
      <c r="K25" s="136" t="s">
        <v>209</v>
      </c>
      <c r="O25" s="61">
        <f ca="1">IF(ROWS($1:10)&gt;COUNT(Dong),"",OFFSET('141-BH'!A$1,SMALL(Dong,ROWS($1:10)),))</f>
        <v>41820</v>
      </c>
      <c r="P25" s="61" t="str">
        <f ca="1">IF(ROWS($1:10)&gt;COUNT(Dong),"",OFFSET('141-BH'!B$1,SMALL(Dong,ROWS($1:10)),))</f>
        <v>TU11</v>
      </c>
      <c r="Q25" s="100" t="str">
        <f ca="1">IF(ROWS($1:10)&gt;COUNT(Dong),"",OFFSET('141-BH'!D$1,SMALL(Dong,ROWS($1:10)),))</f>
        <v>Trương Thị Nhớ</v>
      </c>
      <c r="R25" s="61" t="str">
        <f ca="1">IF(ROWS($1:10)&gt;COUNT(Dong),"",OFFSET('141-BH'!E$1,SMALL(Dong,ROWS($1:10)),))</f>
        <v>331</v>
      </c>
      <c r="S25" s="93">
        <f ca="1">IF(ROWS($1:10)&gt;COUNT(Dong),"",OFFSET('141-BH'!F$1,SMALL(Dong,ROWS($1:10)),))</f>
        <v>0</v>
      </c>
      <c r="T25" s="93">
        <f ca="1">IF(ROWS($1:10)&gt;COUNT(Dong),"",OFFSET('141-BH'!G$1,SMALL(Dong,ROWS($1:10)),))</f>
        <v>117997000</v>
      </c>
      <c r="U25" s="142" t="str">
        <f ca="1">IF(IF(ROWS($1:10)&gt;COUNT(Dong),"",OFFSET('141-BH'!K$1,SMALL(Dong,ROWS($1:10)),))=0,"",IF(ROWS($1:10)&gt;COUNT(Dong),"",OFFSET('141-BH'!K$1,SMALL(Dong,ROWS($1:10)),)))</f>
        <v>N19/NL</v>
      </c>
    </row>
    <row r="26" spans="1:21" s="52" customFormat="1" ht="19.5" customHeight="1">
      <c r="A26" s="11">
        <v>41670</v>
      </c>
      <c r="B26" s="38" t="s">
        <v>71</v>
      </c>
      <c r="C26" s="14">
        <v>41670</v>
      </c>
      <c r="D26" s="16" t="s">
        <v>171</v>
      </c>
      <c r="E26" s="37" t="s">
        <v>42</v>
      </c>
      <c r="F26" s="19"/>
      <c r="G26" s="19">
        <v>120120000</v>
      </c>
      <c r="H26" s="5">
        <f t="shared" ref="H26:H83" si="3">MAX(H25+F26-I25-G26,0)</f>
        <v>0</v>
      </c>
      <c r="I26" s="5">
        <f t="shared" ref="I26:I83" si="4">MAX(I25+G26-H25-F26,0)</f>
        <v>2865962000</v>
      </c>
      <c r="J26" s="36">
        <f t="shared" si="0"/>
        <v>1</v>
      </c>
      <c r="K26" s="136" t="s">
        <v>210</v>
      </c>
      <c r="O26" s="61">
        <f ca="1">IF(ROWS($1:11)&gt;COUNT(Dong),"",OFFSET('141-BH'!A$1,SMALL(Dong,ROWS($1:11)),))</f>
        <v>41794</v>
      </c>
      <c r="P26" s="61" t="str">
        <f ca="1">IF(ROWS($1:11)&gt;COUNT(Dong),"",OFFSET('141-BH'!B$1,SMALL(Dong,ROWS($1:11)),))</f>
        <v>C06</v>
      </c>
      <c r="Q26" s="100" t="str">
        <f ca="1">IF(ROWS($1:11)&gt;COUNT(Dong),"",OFFSET('141-BH'!D$1,SMALL(Dong,ROWS($1:11)),))</f>
        <v>Tạm ứng mua NL</v>
      </c>
      <c r="R26" s="61" t="str">
        <f ca="1">IF(ROWS($1:11)&gt;COUNT(Dong),"",OFFSET('141-BH'!E$1,SMALL(Dong,ROWS($1:11)),))</f>
        <v>111</v>
      </c>
      <c r="S26" s="93">
        <f ca="1">IF(ROWS($1:11)&gt;COUNT(Dong),"",OFFSET('141-BH'!F$1,SMALL(Dong,ROWS($1:11)),))</f>
        <v>800000000</v>
      </c>
      <c r="T26" s="93">
        <f ca="1">IF(ROWS($1:11)&gt;COUNT(Dong),"",OFFSET('141-BH'!G$1,SMALL(Dong,ROWS($1:11)),))</f>
        <v>0</v>
      </c>
      <c r="U26" s="142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41670</v>
      </c>
      <c r="B27" s="38" t="s">
        <v>71</v>
      </c>
      <c r="C27" s="14">
        <v>41670</v>
      </c>
      <c r="D27" s="16" t="s">
        <v>172</v>
      </c>
      <c r="E27" s="37" t="s">
        <v>42</v>
      </c>
      <c r="F27" s="19"/>
      <c r="G27" s="19">
        <v>136760000</v>
      </c>
      <c r="H27" s="5">
        <f t="shared" si="3"/>
        <v>0</v>
      </c>
      <c r="I27" s="5">
        <f t="shared" si="4"/>
        <v>3002722000</v>
      </c>
      <c r="J27" s="36">
        <f t="shared" si="0"/>
        <v>1</v>
      </c>
      <c r="K27" s="136" t="s">
        <v>211</v>
      </c>
      <c r="O27" s="61">
        <f ca="1">IF(ROWS($1:12)&gt;COUNT(Dong),"",OFFSET('141-BH'!A$1,SMALL(Dong,ROWS($1:12)),))</f>
        <v>41803</v>
      </c>
      <c r="P27" s="61" t="str">
        <f ca="1">IF(ROWS($1:12)&gt;COUNT(Dong),"",OFFSET('141-BH'!B$1,SMALL(Dong,ROWS($1:12)),))</f>
        <v>C11</v>
      </c>
      <c r="Q27" s="100" t="str">
        <f ca="1">IF(ROWS($1:12)&gt;COUNT(Dong),"",OFFSET('141-BH'!D$1,SMALL(Dong,ROWS($1:12)),))</f>
        <v>Tạm ứng mua NL</v>
      </c>
      <c r="R27" s="61" t="str">
        <f ca="1">IF(ROWS($1:12)&gt;COUNT(Dong),"",OFFSET('141-BH'!E$1,SMALL(Dong,ROWS($1:12)),))</f>
        <v>111</v>
      </c>
      <c r="S27" s="93">
        <f ca="1">IF(ROWS($1:12)&gt;COUNT(Dong),"",OFFSET('141-BH'!F$1,SMALL(Dong,ROWS($1:12)),))</f>
        <v>800000000</v>
      </c>
      <c r="T27" s="93">
        <f ca="1">IF(ROWS($1:12)&gt;COUNT(Dong),"",OFFSET('141-BH'!G$1,SMALL(Dong,ROWS($1:12)),))</f>
        <v>0</v>
      </c>
      <c r="U27" s="142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41670</v>
      </c>
      <c r="B28" s="38" t="s">
        <v>71</v>
      </c>
      <c r="C28" s="14">
        <v>41670</v>
      </c>
      <c r="D28" s="16" t="s">
        <v>173</v>
      </c>
      <c r="E28" s="37" t="s">
        <v>42</v>
      </c>
      <c r="F28" s="19"/>
      <c r="G28" s="19">
        <v>278044000</v>
      </c>
      <c r="H28" s="5">
        <f t="shared" si="3"/>
        <v>0</v>
      </c>
      <c r="I28" s="5">
        <f t="shared" si="4"/>
        <v>3280766000</v>
      </c>
      <c r="J28" s="36">
        <f t="shared" si="0"/>
        <v>1</v>
      </c>
      <c r="K28" s="136" t="s">
        <v>212</v>
      </c>
      <c r="O28" s="61">
        <f ca="1">IF(ROWS($1:13)&gt;COUNT(Dong),"",OFFSET('141-BH'!A$1,SMALL(Dong,ROWS($1:13)),))</f>
        <v>41805</v>
      </c>
      <c r="P28" s="61" t="str">
        <f ca="1">IF(ROWS($1:13)&gt;COUNT(Dong),"",OFFSET('141-BH'!B$1,SMALL(Dong,ROWS($1:13)),))</f>
        <v>C14</v>
      </c>
      <c r="Q28" s="100" t="str">
        <f ca="1">IF(ROWS($1:13)&gt;COUNT(Dong),"",OFFSET('141-BH'!D$1,SMALL(Dong,ROWS($1:13)),))</f>
        <v>Tạm ứng mua NL</v>
      </c>
      <c r="R28" s="61" t="str">
        <f ca="1">IF(ROWS($1:13)&gt;COUNT(Dong),"",OFFSET('141-BH'!E$1,SMALL(Dong,ROWS($1:13)),))</f>
        <v>111</v>
      </c>
      <c r="S28" s="93">
        <f ca="1">IF(ROWS($1:13)&gt;COUNT(Dong),"",OFFSET('141-BH'!F$1,SMALL(Dong,ROWS($1:13)),))</f>
        <v>800000000</v>
      </c>
      <c r="T28" s="93">
        <f ca="1">IF(ROWS($1:13)&gt;COUNT(Dong),"",OFFSET('141-BH'!G$1,SMALL(Dong,ROWS($1:13)),))</f>
        <v>0</v>
      </c>
      <c r="U28" s="142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41650</v>
      </c>
      <c r="B29" s="38" t="s">
        <v>174</v>
      </c>
      <c r="C29" s="14">
        <v>41650</v>
      </c>
      <c r="D29" s="16" t="s">
        <v>44</v>
      </c>
      <c r="E29" s="37" t="s">
        <v>45</v>
      </c>
      <c r="F29" s="19">
        <v>450000000</v>
      </c>
      <c r="G29" s="19"/>
      <c r="H29" s="5">
        <f t="shared" si="3"/>
        <v>0</v>
      </c>
      <c r="I29" s="5">
        <f t="shared" si="4"/>
        <v>2830766000</v>
      </c>
      <c r="J29" s="36">
        <f t="shared" si="0"/>
        <v>1</v>
      </c>
      <c r="O29" s="61">
        <f ca="1">IF(ROWS($1:14)&gt;COUNT(Dong),"",OFFSET('141-BH'!A$1,SMALL(Dong,ROWS($1:14)),))</f>
        <v>41810</v>
      </c>
      <c r="P29" s="61" t="str">
        <f ca="1">IF(ROWS($1:14)&gt;COUNT(Dong),"",OFFSET('141-BH'!B$1,SMALL(Dong,ROWS($1:14)),))</f>
        <v>C18</v>
      </c>
      <c r="Q29" s="100" t="str">
        <f ca="1">IF(ROWS($1:14)&gt;COUNT(Dong),"",OFFSET('141-BH'!D$1,SMALL(Dong,ROWS($1:14)),))</f>
        <v>Tạm ứng mua NL</v>
      </c>
      <c r="R29" s="61" t="str">
        <f ca="1">IF(ROWS($1:14)&gt;COUNT(Dong),"",OFFSET('141-BH'!E$1,SMALL(Dong,ROWS($1:14)),))</f>
        <v>111</v>
      </c>
      <c r="S29" s="93">
        <f ca="1">IF(ROWS($1:14)&gt;COUNT(Dong),"",OFFSET('141-BH'!F$1,SMALL(Dong,ROWS($1:14)),))</f>
        <v>800000000</v>
      </c>
      <c r="T29" s="93">
        <f ca="1">IF(ROWS($1:14)&gt;COUNT(Dong),"",OFFSET('141-BH'!G$1,SMALL(Dong,ROWS($1:14)),))</f>
        <v>0</v>
      </c>
      <c r="U29" s="142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41653</v>
      </c>
      <c r="B30" s="38" t="s">
        <v>54</v>
      </c>
      <c r="C30" s="14">
        <v>41653</v>
      </c>
      <c r="D30" s="16" t="s">
        <v>44</v>
      </c>
      <c r="E30" s="37" t="s">
        <v>45</v>
      </c>
      <c r="F30" s="19">
        <v>450000000</v>
      </c>
      <c r="G30" s="19"/>
      <c r="H30" s="5">
        <f t="shared" si="3"/>
        <v>0</v>
      </c>
      <c r="I30" s="5">
        <f t="shared" si="4"/>
        <v>2380766000</v>
      </c>
      <c r="J30" s="36">
        <f t="shared" si="0"/>
        <v>1</v>
      </c>
      <c r="O30" s="61">
        <f ca="1">IF(ROWS($1:15)&gt;COUNT(Dong),"",OFFSET('141-BH'!A$1,SMALL(Dong,ROWS($1:15)),))</f>
        <v>41816</v>
      </c>
      <c r="P30" s="61" t="str">
        <f ca="1">IF(ROWS($1:15)&gt;COUNT(Dong),"",OFFSET('141-BH'!B$1,SMALL(Dong,ROWS($1:15)),))</f>
        <v>C25</v>
      </c>
      <c r="Q30" s="100" t="str">
        <f ca="1">IF(ROWS($1:15)&gt;COUNT(Dong),"",OFFSET('141-BH'!D$1,SMALL(Dong,ROWS($1:15)),))</f>
        <v>Tạm ứng mua NL</v>
      </c>
      <c r="R30" s="61" t="str">
        <f ca="1">IF(ROWS($1:15)&gt;COUNT(Dong),"",OFFSET('141-BH'!E$1,SMALL(Dong,ROWS($1:15)),))</f>
        <v>111</v>
      </c>
      <c r="S30" s="93">
        <f ca="1">IF(ROWS($1:15)&gt;COUNT(Dong),"",OFFSET('141-BH'!F$1,SMALL(Dong,ROWS($1:15)),))</f>
        <v>650000000</v>
      </c>
      <c r="T30" s="93">
        <f ca="1">IF(ROWS($1:15)&gt;COUNT(Dong),"",OFFSET('141-BH'!G$1,SMALL(Dong,ROWS($1:15)),))</f>
        <v>0</v>
      </c>
      <c r="U30" s="142" t="str">
        <f ca="1">IF(IF(ROWS($1:15)&gt;COUNT(Dong),"",OFFSET('141-BH'!K$1,SMALL(Dong,ROWS($1:15)),))=0,"",IF(ROWS($1:15)&gt;COUNT(Dong),"",OFFSET('141-BH'!K$1,SMALL(Dong,ROWS($1:15)),)))</f>
        <v/>
      </c>
    </row>
    <row r="31" spans="1:21" s="52" customFormat="1" ht="19.5" customHeight="1">
      <c r="A31" s="11">
        <v>41654</v>
      </c>
      <c r="B31" s="38" t="s">
        <v>175</v>
      </c>
      <c r="C31" s="14">
        <v>41654</v>
      </c>
      <c r="D31" s="16" t="s">
        <v>44</v>
      </c>
      <c r="E31" s="37" t="s">
        <v>45</v>
      </c>
      <c r="F31" s="19">
        <v>450000000</v>
      </c>
      <c r="G31" s="19"/>
      <c r="H31" s="5">
        <f t="shared" si="3"/>
        <v>0</v>
      </c>
      <c r="I31" s="5">
        <f t="shared" si="4"/>
        <v>1930766000</v>
      </c>
      <c r="J31" s="36">
        <f t="shared" si="0"/>
        <v>1</v>
      </c>
      <c r="K31" s="136"/>
      <c r="O31" s="61" t="str">
        <f ca="1">IF(ROWS($1:16)&gt;COUNT(Dong),"",OFFSET('141-BH'!A$1,SMALL(Dong,ROWS($1:16)),))</f>
        <v/>
      </c>
      <c r="P31" s="61" t="str">
        <f ca="1">IF(ROWS($1:16)&gt;COUNT(Dong),"",OFFSET('141-BH'!B$1,SMALL(Dong,ROWS($1:16)),))</f>
        <v/>
      </c>
      <c r="Q31" s="100" t="str">
        <f ca="1">IF(ROWS($1:16)&gt;COUNT(Dong),"",OFFSET('141-BH'!D$1,SMALL(Dong,ROWS($1:16)),))</f>
        <v/>
      </c>
      <c r="R31" s="61" t="str">
        <f ca="1">IF(ROWS($1:16)&gt;COUNT(Dong),"",OFFSET('141-BH'!E$1,SMALL(Dong,ROWS($1:16)),))</f>
        <v/>
      </c>
      <c r="S31" s="93" t="str">
        <f ca="1">IF(ROWS($1:16)&gt;COUNT(Dong),"",OFFSET('141-BH'!F$1,SMALL(Dong,ROWS($1:16)),))</f>
        <v/>
      </c>
      <c r="T31" s="93" t="str">
        <f ca="1">IF(ROWS($1:16)&gt;COUNT(Dong),"",OFFSET('141-BH'!G$1,SMALL(Dong,ROWS($1:16)),))</f>
        <v/>
      </c>
      <c r="U31" s="142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41655</v>
      </c>
      <c r="B32" s="38" t="s">
        <v>176</v>
      </c>
      <c r="C32" s="14">
        <v>41655</v>
      </c>
      <c r="D32" s="16" t="s">
        <v>44</v>
      </c>
      <c r="E32" s="37" t="s">
        <v>45</v>
      </c>
      <c r="F32" s="19">
        <v>450000000</v>
      </c>
      <c r="G32" s="19"/>
      <c r="H32" s="5">
        <f t="shared" si="3"/>
        <v>0</v>
      </c>
      <c r="I32" s="5">
        <f t="shared" si="4"/>
        <v>1480766000</v>
      </c>
      <c r="J32" s="36">
        <f t="shared" si="0"/>
        <v>1</v>
      </c>
      <c r="O32" s="61" t="str">
        <f ca="1">IF(ROWS($1:17)&gt;COUNT(Dong),"",OFFSET('141-BH'!A$1,SMALL(Dong,ROWS($1:17)),))</f>
        <v/>
      </c>
      <c r="P32" s="61" t="str">
        <f ca="1">IF(ROWS($1:17)&gt;COUNT(Dong),"",OFFSET('141-BH'!B$1,SMALL(Dong,ROWS($1:17)),))</f>
        <v/>
      </c>
      <c r="Q32" s="100" t="str">
        <f ca="1">IF(ROWS($1:17)&gt;COUNT(Dong),"",OFFSET('141-BH'!D$1,SMALL(Dong,ROWS($1:17)),))</f>
        <v/>
      </c>
      <c r="R32" s="61" t="str">
        <f ca="1">IF(ROWS($1:17)&gt;COUNT(Dong),"",OFFSET('141-BH'!E$1,SMALL(Dong,ROWS($1:17)),))</f>
        <v/>
      </c>
      <c r="S32" s="93" t="str">
        <f ca="1">IF(ROWS($1:17)&gt;COUNT(Dong),"",OFFSET('141-BH'!F$1,SMALL(Dong,ROWS($1:17)),))</f>
        <v/>
      </c>
      <c r="T32" s="93" t="str">
        <f ca="1">IF(ROWS($1:17)&gt;COUNT(Dong),"",OFFSET('141-BH'!G$1,SMALL(Dong,ROWS($1:17)),))</f>
        <v/>
      </c>
      <c r="U32" s="142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41656</v>
      </c>
      <c r="B33" s="38" t="s">
        <v>55</v>
      </c>
      <c r="C33" s="14">
        <v>41656</v>
      </c>
      <c r="D33" s="16" t="s">
        <v>44</v>
      </c>
      <c r="E33" s="37" t="s">
        <v>45</v>
      </c>
      <c r="F33" s="19">
        <v>500000000</v>
      </c>
      <c r="G33" s="19"/>
      <c r="H33" s="5">
        <f t="shared" si="3"/>
        <v>0</v>
      </c>
      <c r="I33" s="5">
        <f t="shared" si="4"/>
        <v>980766000</v>
      </c>
      <c r="J33" s="36">
        <f t="shared" si="0"/>
        <v>1</v>
      </c>
      <c r="O33" s="61" t="str">
        <f ca="1">IF(ROWS($1:18)&gt;COUNT(Dong),"",OFFSET('141-BH'!A$1,SMALL(Dong,ROWS($1:18)),))</f>
        <v/>
      </c>
      <c r="P33" s="61" t="str">
        <f ca="1">IF(ROWS($1:18)&gt;COUNT(Dong),"",OFFSET('141-BH'!B$1,SMALL(Dong,ROWS($1:18)),))</f>
        <v/>
      </c>
      <c r="Q33" s="100" t="str">
        <f ca="1">IF(ROWS($1:18)&gt;COUNT(Dong),"",OFFSET('141-BH'!D$1,SMALL(Dong,ROWS($1:18)),))</f>
        <v/>
      </c>
      <c r="R33" s="61" t="str">
        <f ca="1">IF(ROWS($1:18)&gt;COUNT(Dong),"",OFFSET('141-BH'!E$1,SMALL(Dong,ROWS($1:18)),))</f>
        <v/>
      </c>
      <c r="S33" s="93" t="str">
        <f ca="1">IF(ROWS($1:18)&gt;COUNT(Dong),"",OFFSET('141-BH'!F$1,SMALL(Dong,ROWS($1:18)),))</f>
        <v/>
      </c>
      <c r="T33" s="93" t="str">
        <f ca="1">IF(ROWS($1:18)&gt;COUNT(Dong),"",OFFSET('141-BH'!G$1,SMALL(Dong,ROWS($1:18)),))</f>
        <v/>
      </c>
      <c r="U33" s="142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41659</v>
      </c>
      <c r="B34" s="38" t="s">
        <v>177</v>
      </c>
      <c r="C34" s="14">
        <v>41659</v>
      </c>
      <c r="D34" s="16" t="s">
        <v>44</v>
      </c>
      <c r="E34" s="37" t="s">
        <v>45</v>
      </c>
      <c r="F34" s="19">
        <v>500000000</v>
      </c>
      <c r="G34" s="19"/>
      <c r="H34" s="5">
        <f t="shared" si="3"/>
        <v>0</v>
      </c>
      <c r="I34" s="5">
        <f t="shared" si="4"/>
        <v>480766000</v>
      </c>
      <c r="J34" s="36">
        <f t="shared" si="0"/>
        <v>1</v>
      </c>
      <c r="O34" s="61" t="str">
        <f ca="1">IF(ROWS($1:19)&gt;COUNT(Dong),"",OFFSET('141-BH'!A$1,SMALL(Dong,ROWS($1:19)),))</f>
        <v/>
      </c>
      <c r="P34" s="61" t="str">
        <f ca="1">IF(ROWS($1:19)&gt;COUNT(Dong),"",OFFSET('141-BH'!B$1,SMALL(Dong,ROWS($1:19)),))</f>
        <v/>
      </c>
      <c r="Q34" s="100" t="str">
        <f ca="1">IF(ROWS($1:19)&gt;COUNT(Dong),"",OFFSET('141-BH'!D$1,SMALL(Dong,ROWS($1:19)),))</f>
        <v/>
      </c>
      <c r="R34" s="61" t="str">
        <f ca="1">IF(ROWS($1:19)&gt;COUNT(Dong),"",OFFSET('141-BH'!E$1,SMALL(Dong,ROWS($1:19)),))</f>
        <v/>
      </c>
      <c r="S34" s="93" t="str">
        <f ca="1">IF(ROWS($1:19)&gt;COUNT(Dong),"",OFFSET('141-BH'!F$1,SMALL(Dong,ROWS($1:19)),))</f>
        <v/>
      </c>
      <c r="T34" s="93" t="str">
        <f ca="1">IF(ROWS($1:19)&gt;COUNT(Dong),"",OFFSET('141-BH'!G$1,SMALL(Dong,ROWS($1:19)),))</f>
        <v/>
      </c>
      <c r="U34" s="142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41663</v>
      </c>
      <c r="B35" s="23" t="s">
        <v>56</v>
      </c>
      <c r="C35" s="14">
        <v>41663</v>
      </c>
      <c r="D35" s="16" t="s">
        <v>44</v>
      </c>
      <c r="E35" s="37" t="s">
        <v>45</v>
      </c>
      <c r="F35" s="9">
        <v>500000000</v>
      </c>
      <c r="G35" s="19"/>
      <c r="H35" s="5">
        <f t="shared" si="3"/>
        <v>19234000</v>
      </c>
      <c r="I35" s="5">
        <f t="shared" si="4"/>
        <v>0</v>
      </c>
      <c r="J35" s="36">
        <f t="shared" si="0"/>
        <v>1</v>
      </c>
      <c r="O35" s="61" t="str">
        <f ca="1">IF(ROWS($1:20)&gt;COUNT(Dong),"",OFFSET('141-BH'!A$1,SMALL(Dong,ROWS($1:20)),))</f>
        <v/>
      </c>
      <c r="P35" s="61" t="str">
        <f ca="1">IF(ROWS($1:20)&gt;COUNT(Dong),"",OFFSET('141-BH'!B$1,SMALL(Dong,ROWS($1:20)),))</f>
        <v/>
      </c>
      <c r="Q35" s="100" t="str">
        <f ca="1">IF(ROWS($1:20)&gt;COUNT(Dong),"",OFFSET('141-BH'!D$1,SMALL(Dong,ROWS($1:20)),))</f>
        <v/>
      </c>
      <c r="R35" s="61" t="str">
        <f ca="1">IF(ROWS($1:20)&gt;COUNT(Dong),"",OFFSET('141-BH'!E$1,SMALL(Dong,ROWS($1:20)),))</f>
        <v/>
      </c>
      <c r="S35" s="93" t="str">
        <f ca="1">IF(ROWS($1:20)&gt;COUNT(Dong),"",OFFSET('141-BH'!F$1,SMALL(Dong,ROWS($1:20)),))</f>
        <v/>
      </c>
      <c r="T35" s="93" t="str">
        <f ca="1">IF(ROWS($1:20)&gt;COUNT(Dong),"",OFFSET('141-BH'!G$1,SMALL(Dong,ROWS($1:20)),))</f>
        <v/>
      </c>
      <c r="U35" s="142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41698</v>
      </c>
      <c r="B36" s="23" t="s">
        <v>73</v>
      </c>
      <c r="C36" s="14">
        <v>41698</v>
      </c>
      <c r="D36" s="16" t="s">
        <v>164</v>
      </c>
      <c r="E36" s="37" t="s">
        <v>42</v>
      </c>
      <c r="F36" s="9"/>
      <c r="G36" s="19">
        <v>289158000</v>
      </c>
      <c r="H36" s="5">
        <f t="shared" si="3"/>
        <v>0</v>
      </c>
      <c r="I36" s="5">
        <f t="shared" si="4"/>
        <v>269924000</v>
      </c>
      <c r="J36" s="36">
        <f t="shared" si="0"/>
        <v>2</v>
      </c>
      <c r="K36" s="136" t="s">
        <v>213</v>
      </c>
      <c r="O36" s="61" t="str">
        <f ca="1">IF(ROWS($1:21)&gt;COUNT(Dong),"",OFFSET('141-BH'!A$1,SMALL(Dong,ROWS($1:21)),))</f>
        <v/>
      </c>
      <c r="P36" s="61" t="str">
        <f ca="1">IF(ROWS($1:21)&gt;COUNT(Dong),"",OFFSET('141-BH'!B$1,SMALL(Dong,ROWS($1:21)),))</f>
        <v/>
      </c>
      <c r="Q36" s="100" t="str">
        <f ca="1">IF(ROWS($1:21)&gt;COUNT(Dong),"",OFFSET('141-BH'!D$1,SMALL(Dong,ROWS($1:21)),))</f>
        <v/>
      </c>
      <c r="R36" s="61" t="str">
        <f ca="1">IF(ROWS($1:21)&gt;COUNT(Dong),"",OFFSET('141-BH'!E$1,SMALL(Dong,ROWS($1:21)),))</f>
        <v/>
      </c>
      <c r="S36" s="93" t="str">
        <f ca="1">IF(ROWS($1:21)&gt;COUNT(Dong),"",OFFSET('141-BH'!F$1,SMALL(Dong,ROWS($1:21)),))</f>
        <v/>
      </c>
      <c r="T36" s="93" t="str">
        <f ca="1">IF(ROWS($1:21)&gt;COUNT(Dong),"",OFFSET('141-BH'!G$1,SMALL(Dong,ROWS($1:21)),))</f>
        <v/>
      </c>
      <c r="U36" s="142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41698</v>
      </c>
      <c r="B37" s="23" t="s">
        <v>73</v>
      </c>
      <c r="C37" s="14">
        <v>41698</v>
      </c>
      <c r="D37" s="16" t="s">
        <v>165</v>
      </c>
      <c r="E37" s="37" t="s">
        <v>42</v>
      </c>
      <c r="F37" s="9"/>
      <c r="G37" s="19">
        <v>291518000</v>
      </c>
      <c r="H37" s="5">
        <f t="shared" si="3"/>
        <v>0</v>
      </c>
      <c r="I37" s="5">
        <f t="shared" si="4"/>
        <v>561442000</v>
      </c>
      <c r="J37" s="36">
        <f t="shared" si="0"/>
        <v>2</v>
      </c>
      <c r="K37" s="136" t="s">
        <v>214</v>
      </c>
      <c r="O37" s="61" t="str">
        <f ca="1">IF(ROWS($1:22)&gt;COUNT(Dong),"",OFFSET('141-BH'!A$1,SMALL(Dong,ROWS($1:22)),))</f>
        <v/>
      </c>
      <c r="P37" s="61" t="str">
        <f ca="1">IF(ROWS($1:22)&gt;COUNT(Dong),"",OFFSET('141-BH'!B$1,SMALL(Dong,ROWS($1:22)),))</f>
        <v/>
      </c>
      <c r="Q37" s="100" t="str">
        <f ca="1">IF(ROWS($1:22)&gt;COUNT(Dong),"",OFFSET('141-BH'!D$1,SMALL(Dong,ROWS($1:22)),))</f>
        <v/>
      </c>
      <c r="R37" s="61" t="str">
        <f ca="1">IF(ROWS($1:22)&gt;COUNT(Dong),"",OFFSET('141-BH'!E$1,SMALL(Dong,ROWS($1:22)),))</f>
        <v/>
      </c>
      <c r="S37" s="93" t="str">
        <f ca="1">IF(ROWS($1:22)&gt;COUNT(Dong),"",OFFSET('141-BH'!F$1,SMALL(Dong,ROWS($1:22)),))</f>
        <v/>
      </c>
      <c r="T37" s="93" t="str">
        <f ca="1">IF(ROWS($1:22)&gt;COUNT(Dong),"",OFFSET('141-BH'!G$1,SMALL(Dong,ROWS($1:22)),))</f>
        <v/>
      </c>
      <c r="U37" s="142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41698</v>
      </c>
      <c r="B38" s="23" t="s">
        <v>73</v>
      </c>
      <c r="C38" s="14">
        <v>41698</v>
      </c>
      <c r="D38" s="16" t="s">
        <v>167</v>
      </c>
      <c r="E38" s="37" t="s">
        <v>42</v>
      </c>
      <c r="F38" s="9"/>
      <c r="G38" s="19">
        <v>266014000</v>
      </c>
      <c r="H38" s="5">
        <f t="shared" si="3"/>
        <v>0</v>
      </c>
      <c r="I38" s="5">
        <f t="shared" si="4"/>
        <v>827456000</v>
      </c>
      <c r="J38" s="36">
        <f t="shared" si="0"/>
        <v>2</v>
      </c>
      <c r="K38" s="136" t="s">
        <v>215</v>
      </c>
      <c r="O38" s="61" t="str">
        <f ca="1">IF(ROWS($1:23)&gt;COUNT(Dong),"",OFFSET('141-BH'!A$1,SMALL(Dong,ROWS($1:23)),))</f>
        <v/>
      </c>
      <c r="P38" s="61" t="str">
        <f ca="1">IF(ROWS($1:23)&gt;COUNT(Dong),"",OFFSET('141-BH'!B$1,SMALL(Dong,ROWS($1:23)),))</f>
        <v/>
      </c>
      <c r="Q38" s="100" t="str">
        <f ca="1">IF(ROWS($1:23)&gt;COUNT(Dong),"",OFFSET('141-BH'!D$1,SMALL(Dong,ROWS($1:23)),))</f>
        <v/>
      </c>
      <c r="R38" s="61" t="str">
        <f ca="1">IF(ROWS($1:23)&gt;COUNT(Dong),"",OFFSET('141-BH'!E$1,SMALL(Dong,ROWS($1:23)),))</f>
        <v/>
      </c>
      <c r="S38" s="93" t="str">
        <f ca="1">IF(ROWS($1:23)&gt;COUNT(Dong),"",OFFSET('141-BH'!F$1,SMALL(Dong,ROWS($1:23)),))</f>
        <v/>
      </c>
      <c r="T38" s="93" t="str">
        <f ca="1">IF(ROWS($1:23)&gt;COUNT(Dong),"",OFFSET('141-BH'!G$1,SMALL(Dong,ROWS($1:23)),))</f>
        <v/>
      </c>
      <c r="U38" s="142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41684</v>
      </c>
      <c r="B39" s="17" t="s">
        <v>175</v>
      </c>
      <c r="C39" s="14">
        <v>41684</v>
      </c>
      <c r="D39" s="10" t="s">
        <v>44</v>
      </c>
      <c r="E39" s="37" t="s">
        <v>45</v>
      </c>
      <c r="F39" s="9">
        <v>450000000</v>
      </c>
      <c r="G39" s="19"/>
      <c r="H39" s="5">
        <f t="shared" si="3"/>
        <v>0</v>
      </c>
      <c r="I39" s="5">
        <f t="shared" si="4"/>
        <v>377456000</v>
      </c>
      <c r="J39" s="36">
        <f t="shared" si="0"/>
        <v>2</v>
      </c>
      <c r="O39" s="61" t="str">
        <f ca="1">IF(ROWS($1:24)&gt;COUNT(Dong),"",OFFSET('141-BH'!A$1,SMALL(Dong,ROWS($1:24)),))</f>
        <v/>
      </c>
      <c r="P39" s="61" t="str">
        <f ca="1">IF(ROWS($1:24)&gt;COUNT(Dong),"",OFFSET('141-BH'!B$1,SMALL(Dong,ROWS($1:24)),))</f>
        <v/>
      </c>
      <c r="Q39" s="100" t="str">
        <f ca="1">IF(ROWS($1:24)&gt;COUNT(Dong),"",OFFSET('141-BH'!D$1,SMALL(Dong,ROWS($1:24)),))</f>
        <v/>
      </c>
      <c r="R39" s="61" t="str">
        <f ca="1">IF(ROWS($1:24)&gt;COUNT(Dong),"",OFFSET('141-BH'!E$1,SMALL(Dong,ROWS($1:24)),))</f>
        <v/>
      </c>
      <c r="S39" s="93" t="str">
        <f ca="1">IF(ROWS($1:24)&gt;COUNT(Dong),"",OFFSET('141-BH'!F$1,SMALL(Dong,ROWS($1:24)),))</f>
        <v/>
      </c>
      <c r="T39" s="93" t="str">
        <f ca="1">IF(ROWS($1:24)&gt;COUNT(Dong),"",OFFSET('141-BH'!G$1,SMALL(Dong,ROWS($1:24)),))</f>
        <v/>
      </c>
      <c r="U39" s="142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41697</v>
      </c>
      <c r="B40" s="17" t="s">
        <v>178</v>
      </c>
      <c r="C40" s="14">
        <v>41697</v>
      </c>
      <c r="D40" s="16" t="s">
        <v>44</v>
      </c>
      <c r="E40" s="37" t="s">
        <v>45</v>
      </c>
      <c r="F40" s="19">
        <v>400000000</v>
      </c>
      <c r="G40" s="9"/>
      <c r="H40" s="5">
        <f t="shared" si="3"/>
        <v>22544000</v>
      </c>
      <c r="I40" s="5">
        <f t="shared" si="4"/>
        <v>0</v>
      </c>
      <c r="J40" s="36">
        <f t="shared" si="0"/>
        <v>2</v>
      </c>
      <c r="O40" s="61" t="str">
        <f ca="1">IF(ROWS($1:25)&gt;COUNT(Dong),"",OFFSET('141-BH'!A$1,SMALL(Dong,ROWS($1:25)),))</f>
        <v/>
      </c>
      <c r="P40" s="61" t="str">
        <f ca="1">IF(ROWS($1:25)&gt;COUNT(Dong),"",OFFSET('141-BH'!B$1,SMALL(Dong,ROWS($1:25)),))</f>
        <v/>
      </c>
      <c r="Q40" s="100" t="str">
        <f ca="1">IF(ROWS($1:25)&gt;COUNT(Dong),"",OFFSET('141-BH'!D$1,SMALL(Dong,ROWS($1:25)),))</f>
        <v/>
      </c>
      <c r="R40" s="61" t="str">
        <f ca="1">IF(ROWS($1:25)&gt;COUNT(Dong),"",OFFSET('141-BH'!E$1,SMALL(Dong,ROWS($1:25)),))</f>
        <v/>
      </c>
      <c r="S40" s="93" t="str">
        <f ca="1">IF(ROWS($1:25)&gt;COUNT(Dong),"",OFFSET('141-BH'!F$1,SMALL(Dong,ROWS($1:25)),))</f>
        <v/>
      </c>
      <c r="T40" s="93" t="str">
        <f ca="1">IF(ROWS($1:25)&gt;COUNT(Dong),"",OFFSET('141-BH'!G$1,SMALL(Dong,ROWS($1:25)),))</f>
        <v/>
      </c>
      <c r="U40" s="142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41729</v>
      </c>
      <c r="B41" s="17" t="s">
        <v>150</v>
      </c>
      <c r="C41" s="14">
        <v>41729</v>
      </c>
      <c r="D41" s="16" t="s">
        <v>164</v>
      </c>
      <c r="E41" s="37" t="s">
        <v>42</v>
      </c>
      <c r="F41" s="9"/>
      <c r="G41" s="19">
        <v>323352500</v>
      </c>
      <c r="H41" s="5">
        <f t="shared" si="3"/>
        <v>0</v>
      </c>
      <c r="I41" s="5">
        <f t="shared" si="4"/>
        <v>300808500</v>
      </c>
      <c r="J41" s="36">
        <f t="shared" si="0"/>
        <v>3</v>
      </c>
      <c r="K41" s="136" t="s">
        <v>216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42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41729</v>
      </c>
      <c r="B42" s="17" t="s">
        <v>150</v>
      </c>
      <c r="C42" s="14">
        <v>41729</v>
      </c>
      <c r="D42" s="16" t="s">
        <v>165</v>
      </c>
      <c r="E42" s="37" t="s">
        <v>42</v>
      </c>
      <c r="F42" s="9"/>
      <c r="G42" s="19">
        <v>336730500</v>
      </c>
      <c r="H42" s="5">
        <f t="shared" si="3"/>
        <v>0</v>
      </c>
      <c r="I42" s="5">
        <f t="shared" si="4"/>
        <v>637539000</v>
      </c>
      <c r="J42" s="36">
        <f t="shared" si="0"/>
        <v>3</v>
      </c>
      <c r="K42" s="136" t="s">
        <v>217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42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41729</v>
      </c>
      <c r="B43" s="17" t="s">
        <v>150</v>
      </c>
      <c r="C43" s="14">
        <v>41729</v>
      </c>
      <c r="D43" s="16" t="s">
        <v>152</v>
      </c>
      <c r="E43" s="37" t="s">
        <v>42</v>
      </c>
      <c r="F43" s="19"/>
      <c r="G43" s="9">
        <v>230629000</v>
      </c>
      <c r="H43" s="5">
        <f t="shared" si="3"/>
        <v>0</v>
      </c>
      <c r="I43" s="5">
        <f t="shared" si="4"/>
        <v>868168000</v>
      </c>
      <c r="J43" s="36">
        <f t="shared" si="0"/>
        <v>3</v>
      </c>
      <c r="K43" s="136" t="s">
        <v>218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42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41729</v>
      </c>
      <c r="B44" s="17" t="s">
        <v>150</v>
      </c>
      <c r="C44" s="14">
        <v>41729</v>
      </c>
      <c r="D44" s="16" t="s">
        <v>49</v>
      </c>
      <c r="E44" s="37" t="s">
        <v>42</v>
      </c>
      <c r="F44" s="9"/>
      <c r="G44" s="19">
        <v>104667500</v>
      </c>
      <c r="H44" s="5">
        <f t="shared" si="3"/>
        <v>0</v>
      </c>
      <c r="I44" s="5">
        <f t="shared" si="4"/>
        <v>972835500</v>
      </c>
      <c r="J44" s="36">
        <f t="shared" si="0"/>
        <v>3</v>
      </c>
      <c r="K44" s="136" t="s">
        <v>219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42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41729</v>
      </c>
      <c r="B45" s="17" t="s">
        <v>150</v>
      </c>
      <c r="C45" s="14">
        <v>41729</v>
      </c>
      <c r="D45" s="16" t="s">
        <v>153</v>
      </c>
      <c r="E45" s="37" t="s">
        <v>42</v>
      </c>
      <c r="F45" s="9"/>
      <c r="G45" s="19">
        <v>223962500</v>
      </c>
      <c r="H45" s="5">
        <f t="shared" si="3"/>
        <v>0</v>
      </c>
      <c r="I45" s="5">
        <f t="shared" si="4"/>
        <v>1196798000</v>
      </c>
      <c r="J45" s="36">
        <f t="shared" si="0"/>
        <v>3</v>
      </c>
      <c r="K45" s="136" t="s">
        <v>220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42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41729</v>
      </c>
      <c r="B46" s="17" t="s">
        <v>150</v>
      </c>
      <c r="C46" s="14">
        <v>41729</v>
      </c>
      <c r="D46" s="16" t="s">
        <v>46</v>
      </c>
      <c r="E46" s="37" t="s">
        <v>42</v>
      </c>
      <c r="F46" s="9"/>
      <c r="G46" s="19">
        <v>112402500</v>
      </c>
      <c r="H46" s="5">
        <f t="shared" si="3"/>
        <v>0</v>
      </c>
      <c r="I46" s="5">
        <f t="shared" si="4"/>
        <v>1309200500</v>
      </c>
      <c r="J46" s="36">
        <f t="shared" si="0"/>
        <v>3</v>
      </c>
      <c r="K46" s="136" t="s">
        <v>221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42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41729</v>
      </c>
      <c r="B47" s="17" t="s">
        <v>150</v>
      </c>
      <c r="C47" s="14">
        <v>41729</v>
      </c>
      <c r="D47" s="16" t="s">
        <v>52</v>
      </c>
      <c r="E47" s="37" t="s">
        <v>42</v>
      </c>
      <c r="F47" s="9"/>
      <c r="G47" s="19">
        <v>112210000</v>
      </c>
      <c r="H47" s="5">
        <f t="shared" si="3"/>
        <v>0</v>
      </c>
      <c r="I47" s="5">
        <f t="shared" si="4"/>
        <v>1421410500</v>
      </c>
      <c r="J47" s="36">
        <f t="shared" si="0"/>
        <v>3</v>
      </c>
      <c r="K47" s="136" t="s">
        <v>222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42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19.5" customHeight="1">
      <c r="A48" s="11">
        <v>41729</v>
      </c>
      <c r="B48" s="17" t="s">
        <v>150</v>
      </c>
      <c r="C48" s="14">
        <v>41729</v>
      </c>
      <c r="D48" s="16" t="s">
        <v>167</v>
      </c>
      <c r="E48" s="37" t="s">
        <v>42</v>
      </c>
      <c r="F48" s="9"/>
      <c r="G48" s="19">
        <v>433752000</v>
      </c>
      <c r="H48" s="5">
        <f t="shared" si="3"/>
        <v>0</v>
      </c>
      <c r="I48" s="5">
        <f t="shared" si="4"/>
        <v>1855162500</v>
      </c>
      <c r="J48" s="36">
        <f t="shared" si="0"/>
        <v>3</v>
      </c>
      <c r="K48" s="136" t="s">
        <v>223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42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41729</v>
      </c>
      <c r="B49" s="17" t="s">
        <v>150</v>
      </c>
      <c r="C49" s="14">
        <v>41729</v>
      </c>
      <c r="D49" s="16" t="s">
        <v>47</v>
      </c>
      <c r="E49" s="37" t="s">
        <v>42</v>
      </c>
      <c r="F49" s="9"/>
      <c r="G49" s="19">
        <v>101727500</v>
      </c>
      <c r="H49" s="5">
        <f t="shared" si="3"/>
        <v>0</v>
      </c>
      <c r="I49" s="5">
        <f t="shared" si="4"/>
        <v>1956890000</v>
      </c>
      <c r="J49" s="36">
        <f t="shared" si="0"/>
        <v>3</v>
      </c>
      <c r="K49" s="136" t="s">
        <v>224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42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41729</v>
      </c>
      <c r="B50" s="17" t="s">
        <v>150</v>
      </c>
      <c r="C50" s="14">
        <v>41729</v>
      </c>
      <c r="D50" s="16" t="s">
        <v>169</v>
      </c>
      <c r="E50" s="37" t="s">
        <v>42</v>
      </c>
      <c r="F50" s="9"/>
      <c r="G50" s="19">
        <v>125760000</v>
      </c>
      <c r="H50" s="5">
        <f t="shared" si="3"/>
        <v>0</v>
      </c>
      <c r="I50" s="5">
        <f t="shared" si="4"/>
        <v>2082650000</v>
      </c>
      <c r="J50" s="36">
        <f t="shared" si="0"/>
        <v>3</v>
      </c>
      <c r="K50" s="136" t="s">
        <v>225</v>
      </c>
      <c r="O50" s="101" t="str">
        <f ca="1">IF(ROWS($1:35)&gt;COUNT(Dong),"",OFFSET('141-BH'!A$1,SMALL(Dong,ROWS($1:35)),))</f>
        <v/>
      </c>
      <c r="P50" s="101" t="str">
        <f ca="1">IF(ROWS($1:35)&gt;COUNT(Dong),"",OFFSET('141-BH'!B$1,SMALL(Dong,ROWS($1:35)),))</f>
        <v/>
      </c>
      <c r="Q50" s="102" t="str">
        <f ca="1">IF(ROWS($1:35)&gt;COUNT(Dong),"",OFFSET('141-BH'!D$1,SMALL(Dong,ROWS($1:35)),))</f>
        <v/>
      </c>
      <c r="R50" s="101" t="str">
        <f ca="1">IF(ROWS($1:35)&gt;COUNT(Dong),"",OFFSET('141-BH'!E$1,SMALL(Dong,ROWS($1:35)),))</f>
        <v/>
      </c>
      <c r="S50" s="10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42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41729</v>
      </c>
      <c r="B51" s="38" t="s">
        <v>150</v>
      </c>
      <c r="C51" s="14">
        <v>41729</v>
      </c>
      <c r="D51" s="16" t="s">
        <v>33</v>
      </c>
      <c r="E51" s="37" t="s">
        <v>42</v>
      </c>
      <c r="F51" s="4"/>
      <c r="G51" s="5">
        <v>104475000</v>
      </c>
      <c r="H51" s="5">
        <f t="shared" si="3"/>
        <v>0</v>
      </c>
      <c r="I51" s="5">
        <f t="shared" si="4"/>
        <v>2187125000</v>
      </c>
      <c r="J51" s="36">
        <f t="shared" si="0"/>
        <v>3</v>
      </c>
      <c r="K51" s="136" t="s">
        <v>205</v>
      </c>
      <c r="O51" s="50"/>
      <c r="P51" s="104"/>
      <c r="Q51" s="105"/>
      <c r="R51" s="18"/>
      <c r="S51" s="106"/>
      <c r="T51" s="60"/>
    </row>
    <row r="52" spans="1:21" ht="19.5" customHeight="1">
      <c r="A52" s="14">
        <v>41713</v>
      </c>
      <c r="B52" s="23" t="s">
        <v>54</v>
      </c>
      <c r="C52" s="14">
        <v>41713</v>
      </c>
      <c r="D52" s="16" t="s">
        <v>44</v>
      </c>
      <c r="E52" s="37" t="s">
        <v>45</v>
      </c>
      <c r="F52" s="4">
        <v>550000000</v>
      </c>
      <c r="G52" s="19"/>
      <c r="H52" s="5">
        <f t="shared" si="3"/>
        <v>0</v>
      </c>
      <c r="I52" s="5">
        <f t="shared" si="4"/>
        <v>1637125000</v>
      </c>
      <c r="J52" s="36">
        <f t="shared" si="0"/>
        <v>3</v>
      </c>
      <c r="O52" s="107"/>
      <c r="P52" s="91"/>
      <c r="Q52" s="53"/>
      <c r="R52" s="108"/>
      <c r="S52" s="109"/>
      <c r="T52" s="59"/>
    </row>
    <row r="53" spans="1:21" ht="19.5" customHeight="1">
      <c r="A53" s="14">
        <v>41716</v>
      </c>
      <c r="B53" s="23" t="s">
        <v>61</v>
      </c>
      <c r="C53" s="14">
        <v>41716</v>
      </c>
      <c r="D53" s="16" t="s">
        <v>44</v>
      </c>
      <c r="E53" s="37" t="s">
        <v>45</v>
      </c>
      <c r="F53" s="4">
        <v>550000000</v>
      </c>
      <c r="G53" s="19"/>
      <c r="H53" s="5">
        <f t="shared" si="3"/>
        <v>0</v>
      </c>
      <c r="I53" s="5">
        <f t="shared" si="4"/>
        <v>1087125000</v>
      </c>
      <c r="J53" s="36">
        <f t="shared" si="0"/>
        <v>3</v>
      </c>
      <c r="O53" s="107"/>
      <c r="P53" s="91"/>
      <c r="Q53" s="53"/>
      <c r="R53" s="108"/>
      <c r="S53" s="110"/>
      <c r="T53" s="59"/>
    </row>
    <row r="54" spans="1:21" ht="19.5" customHeight="1">
      <c r="A54" s="14">
        <v>41719</v>
      </c>
      <c r="B54" s="17" t="s">
        <v>179</v>
      </c>
      <c r="C54" s="14">
        <v>41719</v>
      </c>
      <c r="D54" s="10" t="s">
        <v>44</v>
      </c>
      <c r="E54" s="37" t="s">
        <v>45</v>
      </c>
      <c r="F54" s="9">
        <v>550000000</v>
      </c>
      <c r="G54" s="19"/>
      <c r="H54" s="5">
        <f t="shared" si="3"/>
        <v>0</v>
      </c>
      <c r="I54" s="5">
        <f t="shared" si="4"/>
        <v>537125000</v>
      </c>
      <c r="J54" s="36">
        <f t="shared" si="0"/>
        <v>3</v>
      </c>
      <c r="O54" s="107"/>
      <c r="P54" s="91"/>
      <c r="Q54" s="53"/>
      <c r="R54" s="108"/>
      <c r="S54" s="109"/>
      <c r="T54" s="59"/>
    </row>
    <row r="55" spans="1:21" ht="19.5" customHeight="1">
      <c r="A55" s="14">
        <v>41724</v>
      </c>
      <c r="B55" s="17" t="s">
        <v>176</v>
      </c>
      <c r="C55" s="14">
        <v>41724</v>
      </c>
      <c r="D55" s="16" t="s">
        <v>44</v>
      </c>
      <c r="E55" s="37" t="s">
        <v>45</v>
      </c>
      <c r="F55" s="9">
        <v>550000000</v>
      </c>
      <c r="G55" s="19"/>
      <c r="H55" s="5">
        <f t="shared" si="3"/>
        <v>12875000</v>
      </c>
      <c r="I55" s="5">
        <f t="shared" si="4"/>
        <v>0</v>
      </c>
      <c r="J55" s="36">
        <f t="shared" si="0"/>
        <v>3</v>
      </c>
      <c r="O55" s="107"/>
      <c r="P55" s="91"/>
      <c r="Q55" s="53"/>
      <c r="R55" s="108"/>
      <c r="S55" s="109"/>
      <c r="T55" s="59"/>
    </row>
    <row r="56" spans="1:21" ht="19.5" customHeight="1">
      <c r="A56" s="14">
        <v>41767</v>
      </c>
      <c r="B56" s="17" t="s">
        <v>156</v>
      </c>
      <c r="C56" s="14">
        <v>41767</v>
      </c>
      <c r="D56" s="16" t="s">
        <v>164</v>
      </c>
      <c r="E56" s="37" t="s">
        <v>42</v>
      </c>
      <c r="F56" s="9"/>
      <c r="G56" s="19">
        <v>315500500</v>
      </c>
      <c r="H56" s="5">
        <f t="shared" si="3"/>
        <v>0</v>
      </c>
      <c r="I56" s="5">
        <f t="shared" si="4"/>
        <v>302625500</v>
      </c>
      <c r="J56" s="36">
        <f t="shared" si="0"/>
        <v>5</v>
      </c>
      <c r="K56" s="136" t="s">
        <v>226</v>
      </c>
      <c r="O56" s="107"/>
      <c r="P56" s="91"/>
      <c r="Q56" s="53"/>
      <c r="R56" s="108"/>
      <c r="S56" s="109"/>
      <c r="T56" s="59"/>
    </row>
    <row r="57" spans="1:21" ht="19.5" customHeight="1">
      <c r="A57" s="14">
        <v>41767</v>
      </c>
      <c r="B57" s="17" t="s">
        <v>156</v>
      </c>
      <c r="C57" s="14">
        <v>41767</v>
      </c>
      <c r="D57" s="16" t="s">
        <v>165</v>
      </c>
      <c r="E57" s="37" t="s">
        <v>42</v>
      </c>
      <c r="F57" s="9"/>
      <c r="G57" s="19">
        <v>180050000</v>
      </c>
      <c r="H57" s="5">
        <f t="shared" si="3"/>
        <v>0</v>
      </c>
      <c r="I57" s="5">
        <f t="shared" si="4"/>
        <v>482675500</v>
      </c>
      <c r="J57" s="36">
        <f t="shared" si="0"/>
        <v>5</v>
      </c>
      <c r="K57" s="136" t="s">
        <v>225</v>
      </c>
      <c r="O57" s="107"/>
      <c r="P57" s="91"/>
      <c r="Q57" s="53"/>
      <c r="R57" s="108"/>
      <c r="S57" s="109"/>
      <c r="T57" s="59"/>
    </row>
    <row r="58" spans="1:21" ht="19.5" customHeight="1">
      <c r="A58" s="14">
        <v>41767</v>
      </c>
      <c r="B58" s="17" t="s">
        <v>156</v>
      </c>
      <c r="C58" s="14">
        <v>41767</v>
      </c>
      <c r="D58" s="16" t="s">
        <v>152</v>
      </c>
      <c r="E58" s="37" t="s">
        <v>42</v>
      </c>
      <c r="F58" s="9"/>
      <c r="G58" s="19">
        <v>379392000</v>
      </c>
      <c r="H58" s="5">
        <f t="shared" si="3"/>
        <v>0</v>
      </c>
      <c r="I58" s="5">
        <f t="shared" si="4"/>
        <v>862067500</v>
      </c>
      <c r="J58" s="36">
        <f t="shared" si="0"/>
        <v>5</v>
      </c>
      <c r="K58" s="136" t="s">
        <v>227</v>
      </c>
      <c r="O58" s="107"/>
      <c r="P58" s="91"/>
      <c r="Q58" s="53"/>
      <c r="R58" s="108"/>
      <c r="S58" s="109"/>
      <c r="T58" s="59"/>
    </row>
    <row r="59" spans="1:21" ht="19.5" customHeight="1">
      <c r="A59" s="14">
        <v>41767</v>
      </c>
      <c r="B59" s="17" t="s">
        <v>156</v>
      </c>
      <c r="C59" s="14">
        <v>41767</v>
      </c>
      <c r="D59" s="16" t="s">
        <v>153</v>
      </c>
      <c r="E59" s="37" t="s">
        <v>42</v>
      </c>
      <c r="F59" s="9"/>
      <c r="G59" s="19">
        <v>277510000</v>
      </c>
      <c r="H59" s="5">
        <f t="shared" si="3"/>
        <v>0</v>
      </c>
      <c r="I59" s="5">
        <f t="shared" si="4"/>
        <v>1139577500</v>
      </c>
      <c r="J59" s="36">
        <f t="shared" si="0"/>
        <v>5</v>
      </c>
      <c r="K59" s="136" t="s">
        <v>228</v>
      </c>
      <c r="O59" s="50"/>
      <c r="P59" s="91"/>
      <c r="Q59" s="53"/>
      <c r="R59" s="108"/>
      <c r="S59" s="109"/>
      <c r="T59" s="59"/>
    </row>
    <row r="60" spans="1:21" ht="19.5" customHeight="1">
      <c r="A60" s="11">
        <v>41767</v>
      </c>
      <c r="B60" s="23" t="s">
        <v>156</v>
      </c>
      <c r="C60" s="14">
        <v>41767</v>
      </c>
      <c r="D60" s="16" t="s">
        <v>52</v>
      </c>
      <c r="E60" s="37" t="s">
        <v>42</v>
      </c>
      <c r="F60" s="9"/>
      <c r="G60" s="24">
        <v>296137000</v>
      </c>
      <c r="H60" s="5">
        <f t="shared" si="3"/>
        <v>0</v>
      </c>
      <c r="I60" s="5">
        <f t="shared" si="4"/>
        <v>1435714500</v>
      </c>
      <c r="J60" s="36">
        <f t="shared" si="0"/>
        <v>5</v>
      </c>
      <c r="K60" s="136" t="s">
        <v>229</v>
      </c>
      <c r="O60" s="50"/>
      <c r="P60" s="91"/>
      <c r="Q60" s="53"/>
      <c r="R60" s="108"/>
      <c r="S60" s="109"/>
      <c r="T60" s="59"/>
    </row>
    <row r="61" spans="1:21" ht="19.5" customHeight="1">
      <c r="A61" s="11">
        <v>41767</v>
      </c>
      <c r="B61" s="23" t="s">
        <v>156</v>
      </c>
      <c r="C61" s="14">
        <v>41767</v>
      </c>
      <c r="D61" s="16" t="s">
        <v>167</v>
      </c>
      <c r="E61" s="37" t="s">
        <v>42</v>
      </c>
      <c r="F61" s="9"/>
      <c r="G61" s="24">
        <v>295784500</v>
      </c>
      <c r="H61" s="5">
        <f t="shared" si="3"/>
        <v>0</v>
      </c>
      <c r="I61" s="5">
        <f t="shared" si="4"/>
        <v>1731499000</v>
      </c>
      <c r="J61" s="36">
        <f t="shared" si="0"/>
        <v>5</v>
      </c>
      <c r="K61" s="136" t="s">
        <v>230</v>
      </c>
      <c r="O61" s="50"/>
      <c r="P61" s="91"/>
      <c r="Q61" s="53"/>
      <c r="R61" s="108"/>
      <c r="S61" s="109"/>
      <c r="T61" s="59"/>
    </row>
    <row r="62" spans="1:21" ht="19.5" customHeight="1">
      <c r="A62" s="11">
        <v>41767</v>
      </c>
      <c r="B62" s="23" t="s">
        <v>156</v>
      </c>
      <c r="C62" s="14">
        <v>41767</v>
      </c>
      <c r="D62" s="16" t="s">
        <v>172</v>
      </c>
      <c r="E62" s="37" t="s">
        <v>42</v>
      </c>
      <c r="F62" s="9"/>
      <c r="G62" s="24">
        <v>132938000</v>
      </c>
      <c r="H62" s="5">
        <f t="shared" si="3"/>
        <v>0</v>
      </c>
      <c r="I62" s="5">
        <f t="shared" si="4"/>
        <v>1864437000</v>
      </c>
      <c r="J62" s="36">
        <f t="shared" si="0"/>
        <v>5</v>
      </c>
      <c r="K62" s="136" t="s">
        <v>205</v>
      </c>
      <c r="O62" s="50"/>
      <c r="P62" s="91"/>
      <c r="Q62" s="53"/>
      <c r="R62" s="108"/>
      <c r="S62" s="109"/>
      <c r="T62" s="59"/>
    </row>
    <row r="63" spans="1:21" ht="19.5" customHeight="1">
      <c r="A63" s="11">
        <v>41737</v>
      </c>
      <c r="B63" s="23" t="s">
        <v>59</v>
      </c>
      <c r="C63" s="14">
        <v>41737</v>
      </c>
      <c r="D63" s="16" t="s">
        <v>44</v>
      </c>
      <c r="E63" s="37" t="s">
        <v>45</v>
      </c>
      <c r="F63" s="9">
        <v>400000000</v>
      </c>
      <c r="G63" s="19"/>
      <c r="H63" s="5">
        <f t="shared" si="3"/>
        <v>0</v>
      </c>
      <c r="I63" s="5">
        <f t="shared" si="4"/>
        <v>1464437000</v>
      </c>
      <c r="J63" s="36">
        <f t="shared" si="0"/>
        <v>4</v>
      </c>
      <c r="O63" s="50"/>
      <c r="P63" s="91"/>
      <c r="Q63" s="53"/>
      <c r="R63" s="108"/>
      <c r="S63" s="109"/>
      <c r="T63" s="59"/>
    </row>
    <row r="64" spans="1:21" ht="19.5" customHeight="1">
      <c r="A64" s="11">
        <v>41747</v>
      </c>
      <c r="B64" s="23" t="s">
        <v>55</v>
      </c>
      <c r="C64" s="14">
        <v>41747</v>
      </c>
      <c r="D64" s="241" t="s">
        <v>44</v>
      </c>
      <c r="E64" s="37" t="s">
        <v>45</v>
      </c>
      <c r="F64" s="9">
        <v>400000000</v>
      </c>
      <c r="G64" s="19"/>
      <c r="H64" s="5">
        <f t="shared" si="3"/>
        <v>0</v>
      </c>
      <c r="I64" s="5">
        <f t="shared" si="4"/>
        <v>1064437000</v>
      </c>
      <c r="J64" s="36">
        <f t="shared" si="0"/>
        <v>4</v>
      </c>
      <c r="O64" s="50"/>
      <c r="P64" s="91"/>
      <c r="Q64" s="53"/>
      <c r="R64" s="108"/>
      <c r="S64" s="109"/>
      <c r="T64" s="59"/>
    </row>
    <row r="65" spans="1:20" ht="19.5" customHeight="1">
      <c r="A65" s="11">
        <v>41750</v>
      </c>
      <c r="B65" s="23" t="s">
        <v>144</v>
      </c>
      <c r="C65" s="14">
        <v>41750</v>
      </c>
      <c r="D65" s="16" t="s">
        <v>44</v>
      </c>
      <c r="E65" s="37" t="s">
        <v>45</v>
      </c>
      <c r="F65" s="9">
        <v>400000000</v>
      </c>
      <c r="G65" s="19"/>
      <c r="H65" s="5">
        <f t="shared" si="3"/>
        <v>0</v>
      </c>
      <c r="I65" s="5">
        <f t="shared" si="4"/>
        <v>664437000</v>
      </c>
      <c r="J65" s="36">
        <f t="shared" si="0"/>
        <v>4</v>
      </c>
      <c r="O65" s="50"/>
      <c r="P65" s="91"/>
      <c r="Q65" s="53"/>
      <c r="R65" s="108"/>
      <c r="S65" s="109"/>
      <c r="T65" s="59"/>
    </row>
    <row r="66" spans="1:20" ht="19.5" customHeight="1">
      <c r="A66" s="11">
        <v>41757</v>
      </c>
      <c r="B66" s="23" t="s">
        <v>180</v>
      </c>
      <c r="C66" s="14">
        <v>41757</v>
      </c>
      <c r="D66" s="16" t="s">
        <v>44</v>
      </c>
      <c r="E66" s="37" t="s">
        <v>45</v>
      </c>
      <c r="F66" s="9">
        <v>400000000</v>
      </c>
      <c r="G66" s="19"/>
      <c r="H66" s="5">
        <f t="shared" si="3"/>
        <v>0</v>
      </c>
      <c r="I66" s="5">
        <f t="shared" si="4"/>
        <v>264437000</v>
      </c>
      <c r="J66" s="36">
        <f t="shared" si="0"/>
        <v>4</v>
      </c>
      <c r="O66" s="112"/>
      <c r="P66" s="91"/>
      <c r="Q66" s="53"/>
      <c r="R66" s="108"/>
      <c r="S66" s="109"/>
      <c r="T66" s="59"/>
    </row>
    <row r="67" spans="1:20" ht="19.5" customHeight="1">
      <c r="A67" s="11">
        <v>41766</v>
      </c>
      <c r="B67" s="23" t="s">
        <v>142</v>
      </c>
      <c r="C67" s="14">
        <v>41766</v>
      </c>
      <c r="D67" s="16" t="s">
        <v>44</v>
      </c>
      <c r="E67" s="37" t="s">
        <v>45</v>
      </c>
      <c r="F67" s="9">
        <v>300000000</v>
      </c>
      <c r="G67" s="19"/>
      <c r="H67" s="5">
        <f t="shared" si="3"/>
        <v>35563000</v>
      </c>
      <c r="I67" s="5">
        <f t="shared" si="4"/>
        <v>0</v>
      </c>
      <c r="J67" s="36">
        <f t="shared" si="0"/>
        <v>5</v>
      </c>
      <c r="K67" s="242"/>
      <c r="O67" s="107"/>
      <c r="P67" s="91"/>
      <c r="Q67" s="53"/>
      <c r="R67" s="108"/>
      <c r="S67" s="109"/>
      <c r="T67" s="59"/>
    </row>
    <row r="68" spans="1:20" ht="19.5" customHeight="1">
      <c r="A68" s="11">
        <v>41790</v>
      </c>
      <c r="B68" s="23" t="s">
        <v>159</v>
      </c>
      <c r="C68" s="14">
        <v>41790</v>
      </c>
      <c r="D68" s="16" t="s">
        <v>152</v>
      </c>
      <c r="E68" s="37" t="s">
        <v>42</v>
      </c>
      <c r="F68" s="9"/>
      <c r="G68" s="19">
        <v>198219500</v>
      </c>
      <c r="H68" s="5">
        <f t="shared" si="3"/>
        <v>0</v>
      </c>
      <c r="I68" s="5">
        <f t="shared" si="4"/>
        <v>162656500</v>
      </c>
      <c r="J68" s="36">
        <f t="shared" si="0"/>
        <v>5</v>
      </c>
      <c r="K68" s="136" t="s">
        <v>231</v>
      </c>
      <c r="O68" s="107"/>
      <c r="P68" s="91"/>
      <c r="Q68" s="53"/>
      <c r="R68" s="108"/>
      <c r="S68" s="109"/>
      <c r="T68" s="59"/>
    </row>
    <row r="69" spans="1:20" ht="19.5" customHeight="1">
      <c r="A69" s="11">
        <v>41790</v>
      </c>
      <c r="B69" s="23" t="s">
        <v>159</v>
      </c>
      <c r="C69" s="14">
        <v>41790</v>
      </c>
      <c r="D69" s="16" t="s">
        <v>49</v>
      </c>
      <c r="E69" s="37" t="s">
        <v>42</v>
      </c>
      <c r="F69" s="9"/>
      <c r="G69" s="19">
        <v>212403000</v>
      </c>
      <c r="H69" s="5">
        <f t="shared" si="3"/>
        <v>0</v>
      </c>
      <c r="I69" s="5">
        <f t="shared" si="4"/>
        <v>375059500</v>
      </c>
      <c r="J69" s="36">
        <f t="shared" si="0"/>
        <v>5</v>
      </c>
      <c r="K69" s="136" t="s">
        <v>232</v>
      </c>
      <c r="O69" s="107"/>
      <c r="P69" s="91"/>
      <c r="Q69" s="53"/>
      <c r="R69" s="108"/>
      <c r="S69" s="109"/>
      <c r="T69" s="59"/>
    </row>
    <row r="70" spans="1:20" ht="19.5" customHeight="1">
      <c r="A70" s="14">
        <v>41790</v>
      </c>
      <c r="B70" s="23" t="s">
        <v>159</v>
      </c>
      <c r="C70" s="14">
        <v>41790</v>
      </c>
      <c r="D70" s="16" t="s">
        <v>153</v>
      </c>
      <c r="E70" s="37" t="s">
        <v>42</v>
      </c>
      <c r="F70" s="9"/>
      <c r="G70" s="9">
        <v>91930500</v>
      </c>
      <c r="H70" s="5">
        <f t="shared" si="3"/>
        <v>0</v>
      </c>
      <c r="I70" s="5">
        <f t="shared" si="4"/>
        <v>466990000</v>
      </c>
      <c r="J70" s="36">
        <f t="shared" si="0"/>
        <v>5</v>
      </c>
      <c r="K70" s="136" t="s">
        <v>222</v>
      </c>
      <c r="O70" s="107"/>
      <c r="P70" s="91"/>
      <c r="Q70" s="111"/>
      <c r="R70" s="108"/>
      <c r="S70" s="109"/>
      <c r="T70" s="109"/>
    </row>
    <row r="71" spans="1:20" ht="19.5" customHeight="1">
      <c r="A71" s="14">
        <v>41790</v>
      </c>
      <c r="B71" s="23" t="s">
        <v>159</v>
      </c>
      <c r="C71" s="14">
        <v>41790</v>
      </c>
      <c r="D71" s="16" t="s">
        <v>46</v>
      </c>
      <c r="E71" s="37" t="s">
        <v>42</v>
      </c>
      <c r="F71" s="9"/>
      <c r="G71" s="19">
        <v>80615500</v>
      </c>
      <c r="H71" s="5">
        <f t="shared" si="3"/>
        <v>0</v>
      </c>
      <c r="I71" s="5">
        <f t="shared" si="4"/>
        <v>547605500</v>
      </c>
      <c r="J71" s="36">
        <f t="shared" si="0"/>
        <v>5</v>
      </c>
      <c r="K71" s="136" t="s">
        <v>233</v>
      </c>
      <c r="O71" s="107"/>
      <c r="P71" s="91"/>
      <c r="Q71" s="53"/>
      <c r="R71" s="108"/>
      <c r="S71" s="109"/>
      <c r="T71" s="59"/>
    </row>
    <row r="72" spans="1:20" ht="19.5" customHeight="1">
      <c r="A72" s="14">
        <v>41790</v>
      </c>
      <c r="B72" s="23" t="s">
        <v>159</v>
      </c>
      <c r="C72" s="14">
        <v>41790</v>
      </c>
      <c r="D72" s="16" t="s">
        <v>52</v>
      </c>
      <c r="E72" s="37" t="s">
        <v>42</v>
      </c>
      <c r="F72" s="9"/>
      <c r="G72" s="19">
        <v>280296500</v>
      </c>
      <c r="H72" s="5">
        <f t="shared" si="3"/>
        <v>0</v>
      </c>
      <c r="I72" s="5">
        <f t="shared" si="4"/>
        <v>827902000</v>
      </c>
      <c r="J72" s="36">
        <f t="shared" si="0"/>
        <v>5</v>
      </c>
      <c r="K72" s="136" t="s">
        <v>234</v>
      </c>
      <c r="O72" s="107"/>
      <c r="P72" s="91"/>
      <c r="Q72" s="53"/>
      <c r="R72" s="108"/>
      <c r="S72" s="109"/>
      <c r="T72" s="59"/>
    </row>
    <row r="73" spans="1:20" ht="19.5" customHeight="1">
      <c r="A73" s="14">
        <v>41790</v>
      </c>
      <c r="B73" s="23" t="s">
        <v>159</v>
      </c>
      <c r="C73" s="14">
        <v>41790</v>
      </c>
      <c r="D73" s="16" t="s">
        <v>167</v>
      </c>
      <c r="E73" s="37" t="s">
        <v>42</v>
      </c>
      <c r="F73" s="9"/>
      <c r="G73" s="19">
        <v>85497500</v>
      </c>
      <c r="H73" s="5">
        <f t="shared" si="3"/>
        <v>0</v>
      </c>
      <c r="I73" s="5">
        <f t="shared" si="4"/>
        <v>913399500</v>
      </c>
      <c r="J73" s="36">
        <f t="shared" si="0"/>
        <v>5</v>
      </c>
      <c r="K73" s="136" t="s">
        <v>235</v>
      </c>
      <c r="O73" s="107"/>
      <c r="P73" s="91"/>
      <c r="Q73" s="53"/>
      <c r="R73" s="108"/>
      <c r="S73" s="109"/>
      <c r="T73" s="59"/>
    </row>
    <row r="74" spans="1:20" ht="19.5" customHeight="1">
      <c r="A74" s="14">
        <v>41790</v>
      </c>
      <c r="B74" s="23" t="s">
        <v>159</v>
      </c>
      <c r="C74" s="14">
        <v>41790</v>
      </c>
      <c r="D74" s="16" t="s">
        <v>50</v>
      </c>
      <c r="E74" s="37" t="s">
        <v>42</v>
      </c>
      <c r="F74" s="9"/>
      <c r="G74" s="19">
        <v>86428000</v>
      </c>
      <c r="H74" s="5">
        <f t="shared" si="3"/>
        <v>0</v>
      </c>
      <c r="I74" s="5">
        <f t="shared" si="4"/>
        <v>999827500</v>
      </c>
      <c r="J74" s="36">
        <f t="shared" si="0"/>
        <v>5</v>
      </c>
      <c r="K74" s="136" t="s">
        <v>236</v>
      </c>
      <c r="O74" s="107"/>
      <c r="P74" s="91"/>
      <c r="Q74" s="53"/>
      <c r="R74" s="108"/>
      <c r="S74" s="109"/>
      <c r="T74" s="59"/>
    </row>
    <row r="75" spans="1:20" ht="19.5" customHeight="1">
      <c r="A75" s="14">
        <v>41790</v>
      </c>
      <c r="B75" s="23" t="s">
        <v>159</v>
      </c>
      <c r="C75" s="14">
        <v>41790</v>
      </c>
      <c r="D75" s="16" t="s">
        <v>47</v>
      </c>
      <c r="E75" s="37" t="s">
        <v>42</v>
      </c>
      <c r="F75" s="9"/>
      <c r="G75" s="19">
        <v>197061500</v>
      </c>
      <c r="H75" s="5">
        <f t="shared" si="3"/>
        <v>0</v>
      </c>
      <c r="I75" s="5">
        <f t="shared" si="4"/>
        <v>1196889000</v>
      </c>
      <c r="J75" s="36">
        <f t="shared" si="0"/>
        <v>5</v>
      </c>
      <c r="K75" s="136" t="s">
        <v>237</v>
      </c>
      <c r="O75" s="107"/>
      <c r="P75" s="91"/>
      <c r="Q75" s="53"/>
      <c r="R75" s="108"/>
      <c r="S75" s="109"/>
      <c r="T75" s="59"/>
    </row>
    <row r="76" spans="1:20" ht="19.5" customHeight="1">
      <c r="A76" s="14">
        <v>41790</v>
      </c>
      <c r="B76" s="23" t="s">
        <v>159</v>
      </c>
      <c r="C76" s="14">
        <v>41790</v>
      </c>
      <c r="D76" s="16" t="s">
        <v>168</v>
      </c>
      <c r="E76" s="37" t="s">
        <v>42</v>
      </c>
      <c r="F76" s="9"/>
      <c r="G76" s="19">
        <v>164736000</v>
      </c>
      <c r="H76" s="5">
        <f t="shared" si="3"/>
        <v>0</v>
      </c>
      <c r="I76" s="5">
        <f t="shared" si="4"/>
        <v>1361625000</v>
      </c>
      <c r="J76" s="36">
        <f t="shared" si="0"/>
        <v>5</v>
      </c>
      <c r="K76" s="136" t="s">
        <v>238</v>
      </c>
      <c r="O76" s="107"/>
      <c r="P76" s="91"/>
      <c r="Q76" s="53"/>
      <c r="R76" s="108"/>
      <c r="S76" s="109"/>
      <c r="T76" s="59"/>
    </row>
    <row r="77" spans="1:20" ht="19.5" customHeight="1">
      <c r="A77" s="14">
        <v>41790</v>
      </c>
      <c r="B77" s="23" t="s">
        <v>159</v>
      </c>
      <c r="C77" s="14">
        <v>41790</v>
      </c>
      <c r="D77" s="16" t="s">
        <v>33</v>
      </c>
      <c r="E77" s="37" t="s">
        <v>42</v>
      </c>
      <c r="F77" s="9"/>
      <c r="G77" s="19">
        <v>200217000</v>
      </c>
      <c r="H77" s="5">
        <f t="shared" si="3"/>
        <v>0</v>
      </c>
      <c r="I77" s="5">
        <f t="shared" si="4"/>
        <v>1561842000</v>
      </c>
      <c r="J77" s="36">
        <f t="shared" si="0"/>
        <v>5</v>
      </c>
      <c r="K77" s="136" t="s">
        <v>239</v>
      </c>
      <c r="O77" s="107"/>
      <c r="P77" s="91"/>
      <c r="Q77" s="53"/>
      <c r="R77" s="108"/>
      <c r="S77" s="109"/>
      <c r="T77" s="59"/>
    </row>
    <row r="78" spans="1:20" ht="19.5" customHeight="1">
      <c r="A78" s="14">
        <v>41790</v>
      </c>
      <c r="B78" s="23" t="s">
        <v>159</v>
      </c>
      <c r="C78" s="14">
        <v>41790</v>
      </c>
      <c r="D78" s="16" t="s">
        <v>181</v>
      </c>
      <c r="E78" s="37" t="s">
        <v>42</v>
      </c>
      <c r="F78" s="9"/>
      <c r="G78" s="19">
        <v>91930500</v>
      </c>
      <c r="H78" s="5">
        <f t="shared" si="3"/>
        <v>0</v>
      </c>
      <c r="I78" s="5">
        <f t="shared" si="4"/>
        <v>1653772500</v>
      </c>
      <c r="J78" s="36">
        <f t="shared" si="0"/>
        <v>5</v>
      </c>
      <c r="K78" s="136" t="s">
        <v>240</v>
      </c>
      <c r="O78" s="107"/>
      <c r="P78" s="91"/>
      <c r="Q78" s="53"/>
      <c r="R78" s="108"/>
      <c r="S78" s="109"/>
      <c r="T78" s="59"/>
    </row>
    <row r="79" spans="1:20" ht="19.5" customHeight="1">
      <c r="A79" s="14">
        <v>41790</v>
      </c>
      <c r="B79" s="23" t="s">
        <v>159</v>
      </c>
      <c r="C79" s="14">
        <v>41790</v>
      </c>
      <c r="D79" s="16" t="s">
        <v>53</v>
      </c>
      <c r="E79" s="37" t="s">
        <v>42</v>
      </c>
      <c r="F79" s="9"/>
      <c r="G79" s="19">
        <v>78600500</v>
      </c>
      <c r="H79" s="5">
        <f t="shared" si="3"/>
        <v>0</v>
      </c>
      <c r="I79" s="5">
        <f t="shared" si="4"/>
        <v>1732373000</v>
      </c>
      <c r="J79" s="36">
        <f t="shared" si="0"/>
        <v>5</v>
      </c>
      <c r="K79" s="136" t="s">
        <v>241</v>
      </c>
      <c r="O79" s="107"/>
      <c r="P79" s="91"/>
      <c r="Q79" s="53"/>
      <c r="R79" s="108"/>
      <c r="S79" s="109"/>
      <c r="T79" s="59"/>
    </row>
    <row r="80" spans="1:20" ht="19.5" customHeight="1">
      <c r="A80" s="14">
        <v>41771</v>
      </c>
      <c r="B80" s="23" t="s">
        <v>144</v>
      </c>
      <c r="C80" s="14">
        <v>41771</v>
      </c>
      <c r="D80" s="16" t="s">
        <v>44</v>
      </c>
      <c r="E80" s="37" t="s">
        <v>45</v>
      </c>
      <c r="F80" s="9">
        <v>450000000</v>
      </c>
      <c r="G80" s="19"/>
      <c r="H80" s="5">
        <f t="shared" si="3"/>
        <v>0</v>
      </c>
      <c r="I80" s="5">
        <f t="shared" si="4"/>
        <v>1282373000</v>
      </c>
      <c r="J80" s="36">
        <f t="shared" ref="J80:J143" si="5">IF(A80&lt;&gt;"",MONTH(A80),"")</f>
        <v>5</v>
      </c>
      <c r="O80" s="107"/>
      <c r="P80" s="91"/>
      <c r="Q80" s="53"/>
      <c r="R80" s="108"/>
      <c r="S80" s="109"/>
      <c r="T80" s="59"/>
    </row>
    <row r="81" spans="1:21" ht="19.5" customHeight="1">
      <c r="A81" s="14">
        <v>41774</v>
      </c>
      <c r="B81" s="23" t="s">
        <v>54</v>
      </c>
      <c r="C81" s="14">
        <v>41774</v>
      </c>
      <c r="D81" s="16" t="s">
        <v>44</v>
      </c>
      <c r="E81" s="37" t="s">
        <v>45</v>
      </c>
      <c r="F81" s="9">
        <v>500000000</v>
      </c>
      <c r="G81" s="19"/>
      <c r="H81" s="5">
        <f t="shared" si="3"/>
        <v>0</v>
      </c>
      <c r="I81" s="5">
        <f t="shared" si="4"/>
        <v>782373000</v>
      </c>
      <c r="J81" s="36">
        <f t="shared" si="5"/>
        <v>5</v>
      </c>
      <c r="O81" s="107"/>
      <c r="P81" s="91"/>
      <c r="Q81" s="53"/>
      <c r="R81" s="108"/>
      <c r="S81" s="109"/>
      <c r="T81" s="59"/>
    </row>
    <row r="82" spans="1:21" ht="19.5" customHeight="1">
      <c r="A82" s="14">
        <v>41776</v>
      </c>
      <c r="B82" s="23" t="s">
        <v>182</v>
      </c>
      <c r="C82" s="14">
        <v>41776</v>
      </c>
      <c r="D82" s="16" t="s">
        <v>44</v>
      </c>
      <c r="E82" s="37" t="s">
        <v>45</v>
      </c>
      <c r="F82" s="9">
        <v>450000000</v>
      </c>
      <c r="G82" s="19"/>
      <c r="H82" s="5">
        <f t="shared" si="3"/>
        <v>0</v>
      </c>
      <c r="I82" s="5">
        <f t="shared" si="4"/>
        <v>332373000</v>
      </c>
      <c r="J82" s="36">
        <f t="shared" si="5"/>
        <v>5</v>
      </c>
      <c r="O82" s="107"/>
      <c r="P82" s="91"/>
      <c r="Q82" s="53"/>
      <c r="R82" s="108"/>
      <c r="S82" s="109"/>
      <c r="T82" s="59"/>
    </row>
    <row r="83" spans="1:21" ht="19.5" customHeight="1">
      <c r="A83" s="14">
        <v>41787</v>
      </c>
      <c r="B83" s="23" t="s">
        <v>60</v>
      </c>
      <c r="C83" s="14">
        <v>41787</v>
      </c>
      <c r="D83" s="16" t="s">
        <v>44</v>
      </c>
      <c r="E83" s="37" t="s">
        <v>45</v>
      </c>
      <c r="F83" s="9">
        <v>350000000</v>
      </c>
      <c r="G83" s="19"/>
      <c r="H83" s="5">
        <f t="shared" si="3"/>
        <v>17627000</v>
      </c>
      <c r="I83" s="5">
        <f t="shared" si="4"/>
        <v>0</v>
      </c>
      <c r="J83" s="36">
        <f t="shared" si="5"/>
        <v>5</v>
      </c>
      <c r="O83" s="107"/>
      <c r="P83" s="91"/>
      <c r="Q83" s="53"/>
      <c r="R83" s="108"/>
      <c r="S83" s="109"/>
      <c r="T83" s="59"/>
    </row>
    <row r="84" spans="1:21" ht="19.5" customHeight="1">
      <c r="A84" s="14">
        <v>41820</v>
      </c>
      <c r="B84" s="23" t="s">
        <v>183</v>
      </c>
      <c r="C84" s="14">
        <v>41820</v>
      </c>
      <c r="D84" s="16" t="s">
        <v>164</v>
      </c>
      <c r="E84" s="37" t="s">
        <v>42</v>
      </c>
      <c r="F84" s="9"/>
      <c r="G84" s="9">
        <v>748410000</v>
      </c>
      <c r="H84" s="5">
        <f t="shared" ref="H84:H93" si="6">MAX(H83+F84-I83-G84,0)</f>
        <v>0</v>
      </c>
      <c r="I84" s="5">
        <f t="shared" ref="I84:I93" si="7">MAX(I83+G84-H83-F84,0)</f>
        <v>730783000</v>
      </c>
      <c r="J84" s="36">
        <f t="shared" si="5"/>
        <v>6</v>
      </c>
      <c r="K84" s="136" t="s">
        <v>242</v>
      </c>
      <c r="O84" s="107"/>
      <c r="P84" s="91"/>
      <c r="Q84" s="111"/>
      <c r="R84" s="108"/>
      <c r="S84" s="109"/>
      <c r="T84" s="109"/>
    </row>
    <row r="85" spans="1:21" ht="19.5" customHeight="1">
      <c r="A85" s="14">
        <v>41820</v>
      </c>
      <c r="B85" s="23" t="s">
        <v>183</v>
      </c>
      <c r="C85" s="14">
        <v>41820</v>
      </c>
      <c r="D85" s="16" t="s">
        <v>165</v>
      </c>
      <c r="E85" s="37" t="s">
        <v>42</v>
      </c>
      <c r="F85" s="9"/>
      <c r="G85" s="19">
        <v>754003000</v>
      </c>
      <c r="H85" s="5">
        <f t="shared" si="6"/>
        <v>0</v>
      </c>
      <c r="I85" s="5">
        <f t="shared" si="7"/>
        <v>1484786000</v>
      </c>
      <c r="J85" s="36">
        <f t="shared" si="5"/>
        <v>6</v>
      </c>
      <c r="K85" s="136" t="s">
        <v>243</v>
      </c>
      <c r="O85" s="107"/>
      <c r="P85" s="91"/>
      <c r="Q85" s="53"/>
      <c r="R85" s="108"/>
      <c r="S85" s="109"/>
      <c r="T85" s="59"/>
    </row>
    <row r="86" spans="1:21" ht="19.5" customHeight="1">
      <c r="A86" s="14">
        <v>41820</v>
      </c>
      <c r="B86" s="23" t="s">
        <v>183</v>
      </c>
      <c r="C86" s="14">
        <v>41820</v>
      </c>
      <c r="D86" s="16" t="s">
        <v>152</v>
      </c>
      <c r="E86" s="37" t="s">
        <v>42</v>
      </c>
      <c r="F86" s="9"/>
      <c r="G86" s="19">
        <v>450644000</v>
      </c>
      <c r="H86" s="5">
        <f t="shared" si="6"/>
        <v>0</v>
      </c>
      <c r="I86" s="5">
        <f t="shared" si="7"/>
        <v>1935430000</v>
      </c>
      <c r="J86" s="36">
        <f t="shared" si="5"/>
        <v>6</v>
      </c>
      <c r="K86" s="136" t="s">
        <v>244</v>
      </c>
      <c r="O86" s="107"/>
      <c r="P86" s="91"/>
      <c r="Q86" s="53"/>
      <c r="R86" s="108"/>
      <c r="S86" s="109"/>
      <c r="T86" s="59"/>
    </row>
    <row r="87" spans="1:21" ht="19.5" customHeight="1">
      <c r="A87" s="14">
        <v>41820</v>
      </c>
      <c r="B87" s="23" t="s">
        <v>183</v>
      </c>
      <c r="C87" s="14">
        <v>41820</v>
      </c>
      <c r="D87" s="16" t="s">
        <v>166</v>
      </c>
      <c r="E87" s="37" t="s">
        <v>42</v>
      </c>
      <c r="F87" s="9"/>
      <c r="G87" s="19">
        <v>309591000</v>
      </c>
      <c r="H87" s="5">
        <f t="shared" si="6"/>
        <v>0</v>
      </c>
      <c r="I87" s="5">
        <f t="shared" si="7"/>
        <v>2245021000</v>
      </c>
      <c r="J87" s="36">
        <f t="shared" si="5"/>
        <v>6</v>
      </c>
      <c r="K87" s="136" t="s">
        <v>245</v>
      </c>
      <c r="O87" s="107"/>
      <c r="P87" s="91"/>
      <c r="Q87" s="53"/>
      <c r="R87" s="108"/>
      <c r="S87" s="109"/>
      <c r="T87" s="59"/>
    </row>
    <row r="88" spans="1:21" ht="19.5" customHeight="1">
      <c r="A88" s="14">
        <v>41820</v>
      </c>
      <c r="B88" s="23" t="s">
        <v>183</v>
      </c>
      <c r="C88" s="14">
        <v>41820</v>
      </c>
      <c r="D88" s="16" t="s">
        <v>153</v>
      </c>
      <c r="E88" s="37" t="s">
        <v>42</v>
      </c>
      <c r="F88" s="9"/>
      <c r="G88" s="19">
        <v>453167000</v>
      </c>
      <c r="H88" s="5">
        <f t="shared" si="6"/>
        <v>0</v>
      </c>
      <c r="I88" s="5">
        <f t="shared" si="7"/>
        <v>2698188000</v>
      </c>
      <c r="J88" s="36">
        <f t="shared" si="5"/>
        <v>6</v>
      </c>
      <c r="K88" s="136" t="s">
        <v>246</v>
      </c>
      <c r="O88" s="107"/>
      <c r="P88" s="91"/>
      <c r="Q88" s="53"/>
      <c r="R88" s="108"/>
      <c r="S88" s="109"/>
      <c r="T88" s="59"/>
    </row>
    <row r="89" spans="1:21" ht="19.5" customHeight="1">
      <c r="A89" s="14">
        <v>41820</v>
      </c>
      <c r="B89" s="23" t="s">
        <v>183</v>
      </c>
      <c r="C89" s="14">
        <v>41820</v>
      </c>
      <c r="D89" s="16" t="s">
        <v>52</v>
      </c>
      <c r="E89" s="37" t="s">
        <v>42</v>
      </c>
      <c r="F89" s="9"/>
      <c r="G89" s="19">
        <v>300962000</v>
      </c>
      <c r="H89" s="5">
        <f t="shared" si="6"/>
        <v>0</v>
      </c>
      <c r="I89" s="5">
        <f t="shared" si="7"/>
        <v>2999150000</v>
      </c>
      <c r="J89" s="36">
        <f t="shared" si="5"/>
        <v>6</v>
      </c>
      <c r="K89" s="136" t="s">
        <v>247</v>
      </c>
      <c r="O89" s="107"/>
      <c r="P89" s="91"/>
      <c r="Q89" s="53"/>
      <c r="R89" s="108"/>
      <c r="S89" s="109"/>
      <c r="T89" s="59"/>
    </row>
    <row r="90" spans="1:21" s="52" customFormat="1" ht="19.5" customHeight="1">
      <c r="A90" s="14">
        <v>41820</v>
      </c>
      <c r="B90" s="23" t="s">
        <v>183</v>
      </c>
      <c r="C90" s="14">
        <v>41820</v>
      </c>
      <c r="D90" s="16" t="s">
        <v>167</v>
      </c>
      <c r="E90" s="37" t="s">
        <v>42</v>
      </c>
      <c r="F90" s="9"/>
      <c r="G90" s="19">
        <v>306798000</v>
      </c>
      <c r="H90" s="5">
        <f t="shared" si="6"/>
        <v>0</v>
      </c>
      <c r="I90" s="5">
        <f t="shared" si="7"/>
        <v>3305948000</v>
      </c>
      <c r="J90" s="36">
        <f t="shared" si="5"/>
        <v>6</v>
      </c>
      <c r="K90" s="136" t="s">
        <v>248</v>
      </c>
      <c r="O90" s="107"/>
      <c r="P90" s="91"/>
      <c r="Q90" s="53"/>
      <c r="R90" s="108"/>
      <c r="S90" s="109"/>
      <c r="T90" s="59"/>
      <c r="U90" s="143"/>
    </row>
    <row r="91" spans="1:21" ht="19.5" customHeight="1">
      <c r="A91" s="14">
        <v>41820</v>
      </c>
      <c r="B91" s="23" t="s">
        <v>183</v>
      </c>
      <c r="C91" s="14">
        <v>41820</v>
      </c>
      <c r="D91" s="16" t="s">
        <v>168</v>
      </c>
      <c r="E91" s="37" t="s">
        <v>42</v>
      </c>
      <c r="F91" s="9"/>
      <c r="G91" s="19">
        <v>298258000</v>
      </c>
      <c r="H91" s="5">
        <f t="shared" si="6"/>
        <v>0</v>
      </c>
      <c r="I91" s="5">
        <f t="shared" si="7"/>
        <v>3604206000</v>
      </c>
      <c r="J91" s="36">
        <f t="shared" si="5"/>
        <v>6</v>
      </c>
      <c r="K91" s="136" t="s">
        <v>249</v>
      </c>
      <c r="O91" s="107"/>
      <c r="P91" s="91"/>
      <c r="Q91" s="53"/>
      <c r="R91" s="108"/>
      <c r="S91" s="109"/>
      <c r="T91" s="59"/>
    </row>
    <row r="92" spans="1:21" ht="19.5" customHeight="1">
      <c r="A92" s="14">
        <v>41820</v>
      </c>
      <c r="B92" s="23" t="s">
        <v>183</v>
      </c>
      <c r="C92" s="14">
        <v>41820</v>
      </c>
      <c r="D92" s="16" t="s">
        <v>169</v>
      </c>
      <c r="E92" s="37" t="s">
        <v>42</v>
      </c>
      <c r="F92" s="9"/>
      <c r="G92" s="19">
        <v>109327000</v>
      </c>
      <c r="H92" s="5">
        <f t="shared" si="6"/>
        <v>0</v>
      </c>
      <c r="I92" s="5">
        <f t="shared" si="7"/>
        <v>3713533000</v>
      </c>
      <c r="J92" s="36">
        <f t="shared" si="5"/>
        <v>6</v>
      </c>
      <c r="K92" s="136" t="s">
        <v>250</v>
      </c>
      <c r="O92" s="107"/>
      <c r="P92" s="91"/>
      <c r="Q92" s="53"/>
      <c r="R92" s="108"/>
      <c r="S92" s="109"/>
      <c r="T92" s="59"/>
    </row>
    <row r="93" spans="1:21" ht="19.5" customHeight="1">
      <c r="A93" s="14">
        <v>41820</v>
      </c>
      <c r="B93" s="23" t="s">
        <v>183</v>
      </c>
      <c r="C93" s="14">
        <v>41820</v>
      </c>
      <c r="D93" s="16" t="s">
        <v>181</v>
      </c>
      <c r="E93" s="37" t="s">
        <v>42</v>
      </c>
      <c r="F93" s="9"/>
      <c r="G93" s="19">
        <v>117997000</v>
      </c>
      <c r="H93" s="5">
        <f t="shared" si="6"/>
        <v>0</v>
      </c>
      <c r="I93" s="5">
        <f t="shared" si="7"/>
        <v>3831530000</v>
      </c>
      <c r="J93" s="36">
        <f t="shared" si="5"/>
        <v>6</v>
      </c>
      <c r="K93" s="136" t="s">
        <v>204</v>
      </c>
      <c r="O93" s="107"/>
      <c r="P93" s="91"/>
      <c r="Q93" s="53"/>
      <c r="R93" s="108"/>
      <c r="S93" s="109"/>
      <c r="T93" s="59"/>
    </row>
    <row r="94" spans="1:21" ht="19.5" customHeight="1">
      <c r="A94" s="14">
        <v>41794</v>
      </c>
      <c r="B94" s="23" t="s">
        <v>158</v>
      </c>
      <c r="C94" s="14">
        <v>41794</v>
      </c>
      <c r="D94" s="16" t="s">
        <v>44</v>
      </c>
      <c r="E94" s="37" t="s">
        <v>45</v>
      </c>
      <c r="F94" s="9">
        <v>800000000</v>
      </c>
      <c r="G94" s="19"/>
      <c r="H94" s="5">
        <f t="shared" ref="H94:H129" si="8">MAX(H93+F94-I93-G94,0)</f>
        <v>0</v>
      </c>
      <c r="I94" s="5">
        <f t="shared" ref="I94:I129" si="9">MAX(I93+G94-H93-F94,0)</f>
        <v>3031530000</v>
      </c>
      <c r="J94" s="36">
        <f t="shared" si="5"/>
        <v>6</v>
      </c>
      <c r="O94" s="107"/>
      <c r="P94" s="91"/>
      <c r="Q94" s="53"/>
      <c r="R94" s="108"/>
      <c r="S94" s="109"/>
      <c r="T94" s="59"/>
    </row>
    <row r="95" spans="1:21" ht="19.5" customHeight="1">
      <c r="A95" s="14">
        <v>41803</v>
      </c>
      <c r="B95" s="23" t="s">
        <v>174</v>
      </c>
      <c r="C95" s="14">
        <v>41803</v>
      </c>
      <c r="D95" s="16" t="s">
        <v>44</v>
      </c>
      <c r="E95" s="37" t="s">
        <v>45</v>
      </c>
      <c r="F95" s="9">
        <v>800000000</v>
      </c>
      <c r="G95" s="19"/>
      <c r="H95" s="5">
        <f t="shared" si="8"/>
        <v>0</v>
      </c>
      <c r="I95" s="5">
        <f t="shared" si="9"/>
        <v>2231530000</v>
      </c>
      <c r="J95" s="36">
        <f t="shared" si="5"/>
        <v>6</v>
      </c>
      <c r="O95" s="107"/>
      <c r="P95" s="91"/>
      <c r="Q95" s="53"/>
      <c r="R95" s="108"/>
      <c r="S95" s="109"/>
      <c r="T95" s="59"/>
    </row>
    <row r="96" spans="1:21" ht="19.5" customHeight="1">
      <c r="A96" s="14">
        <v>41805</v>
      </c>
      <c r="B96" s="23" t="s">
        <v>59</v>
      </c>
      <c r="C96" s="14">
        <v>41805</v>
      </c>
      <c r="D96" s="16" t="s">
        <v>44</v>
      </c>
      <c r="E96" s="37" t="s">
        <v>45</v>
      </c>
      <c r="F96" s="9">
        <v>800000000</v>
      </c>
      <c r="G96" s="19"/>
      <c r="H96" s="5">
        <f t="shared" si="8"/>
        <v>0</v>
      </c>
      <c r="I96" s="5">
        <f t="shared" si="9"/>
        <v>1431530000</v>
      </c>
      <c r="J96" s="36">
        <f t="shared" si="5"/>
        <v>6</v>
      </c>
      <c r="O96" s="107"/>
      <c r="P96" s="91"/>
      <c r="Q96" s="53"/>
      <c r="R96" s="108"/>
      <c r="S96" s="109"/>
      <c r="T96" s="59"/>
    </row>
    <row r="97" spans="1:20" ht="19.5" customHeight="1">
      <c r="A97" s="14">
        <v>41810</v>
      </c>
      <c r="B97" s="23" t="s">
        <v>175</v>
      </c>
      <c r="C97" s="14">
        <v>41810</v>
      </c>
      <c r="D97" s="16" t="s">
        <v>44</v>
      </c>
      <c r="E97" s="37" t="s">
        <v>45</v>
      </c>
      <c r="F97" s="9">
        <v>800000000</v>
      </c>
      <c r="G97" s="19"/>
      <c r="H97" s="5">
        <f t="shared" si="8"/>
        <v>0</v>
      </c>
      <c r="I97" s="5">
        <f t="shared" si="9"/>
        <v>631530000</v>
      </c>
      <c r="J97" s="36">
        <f t="shared" si="5"/>
        <v>6</v>
      </c>
      <c r="O97" s="107"/>
      <c r="P97" s="91"/>
      <c r="Q97" s="53"/>
      <c r="R97" s="108"/>
      <c r="S97" s="109"/>
      <c r="T97" s="59"/>
    </row>
    <row r="98" spans="1:20" ht="19.5" customHeight="1">
      <c r="A98" s="14">
        <v>41816</v>
      </c>
      <c r="B98" s="23" t="s">
        <v>55</v>
      </c>
      <c r="C98" s="14">
        <v>41816</v>
      </c>
      <c r="D98" s="16" t="s">
        <v>44</v>
      </c>
      <c r="E98" s="37" t="s">
        <v>45</v>
      </c>
      <c r="F98" s="9">
        <v>650000000</v>
      </c>
      <c r="G98" s="19"/>
      <c r="H98" s="5">
        <f t="shared" si="8"/>
        <v>18470000</v>
      </c>
      <c r="I98" s="5">
        <f t="shared" si="9"/>
        <v>0</v>
      </c>
      <c r="J98" s="36">
        <f t="shared" si="5"/>
        <v>6</v>
      </c>
      <c r="O98" s="107"/>
      <c r="P98" s="91"/>
      <c r="Q98" s="53"/>
      <c r="R98" s="108"/>
      <c r="S98" s="109"/>
      <c r="T98" s="59"/>
    </row>
    <row r="99" spans="1:20" ht="19.5" customHeight="1">
      <c r="A99" s="14">
        <v>41851</v>
      </c>
      <c r="B99" s="23" t="s">
        <v>184</v>
      </c>
      <c r="C99" s="14">
        <v>41851</v>
      </c>
      <c r="D99" s="16" t="s">
        <v>164</v>
      </c>
      <c r="E99" s="37" t="s">
        <v>42</v>
      </c>
      <c r="F99" s="9"/>
      <c r="G99" s="19">
        <v>543255500</v>
      </c>
      <c r="H99" s="5">
        <f t="shared" si="8"/>
        <v>0</v>
      </c>
      <c r="I99" s="5">
        <f t="shared" si="9"/>
        <v>524785500</v>
      </c>
      <c r="J99" s="36">
        <f t="shared" si="5"/>
        <v>7</v>
      </c>
      <c r="K99" s="136" t="s">
        <v>251</v>
      </c>
      <c r="O99" s="107"/>
      <c r="P99" s="91"/>
      <c r="Q99" s="53"/>
      <c r="R99" s="108"/>
      <c r="S99" s="109"/>
      <c r="T99" s="59"/>
    </row>
    <row r="100" spans="1:20" ht="19.5" customHeight="1">
      <c r="A100" s="14">
        <v>41851</v>
      </c>
      <c r="B100" s="23" t="s">
        <v>184</v>
      </c>
      <c r="C100" s="14">
        <v>41851</v>
      </c>
      <c r="D100" s="16" t="s">
        <v>165</v>
      </c>
      <c r="E100" s="37" t="s">
        <v>42</v>
      </c>
      <c r="F100" s="9"/>
      <c r="G100" s="19">
        <v>477628500</v>
      </c>
      <c r="H100" s="5">
        <f t="shared" si="8"/>
        <v>0</v>
      </c>
      <c r="I100" s="5">
        <f t="shared" si="9"/>
        <v>1002414000</v>
      </c>
      <c r="J100" s="36">
        <f t="shared" si="5"/>
        <v>7</v>
      </c>
      <c r="K100" s="136" t="s">
        <v>252</v>
      </c>
      <c r="O100" s="107"/>
      <c r="P100" s="91"/>
      <c r="Q100" s="53"/>
      <c r="R100" s="108"/>
      <c r="S100" s="109"/>
      <c r="T100" s="59"/>
    </row>
    <row r="101" spans="1:20" ht="19.5" customHeight="1">
      <c r="A101" s="14">
        <v>41851</v>
      </c>
      <c r="B101" s="23" t="s">
        <v>184</v>
      </c>
      <c r="C101" s="14">
        <v>41851</v>
      </c>
      <c r="D101" s="16" t="s">
        <v>152</v>
      </c>
      <c r="E101" s="37" t="s">
        <v>42</v>
      </c>
      <c r="F101" s="9"/>
      <c r="G101" s="19">
        <v>134090000</v>
      </c>
      <c r="H101" s="5">
        <f t="shared" si="8"/>
        <v>0</v>
      </c>
      <c r="I101" s="5">
        <f t="shared" si="9"/>
        <v>1136504000</v>
      </c>
      <c r="J101" s="36">
        <f t="shared" si="5"/>
        <v>7</v>
      </c>
      <c r="K101" s="136" t="s">
        <v>253</v>
      </c>
      <c r="O101" s="107"/>
      <c r="P101" s="91"/>
      <c r="Q101" s="53"/>
      <c r="R101" s="108"/>
      <c r="S101" s="109"/>
      <c r="T101" s="59"/>
    </row>
    <row r="102" spans="1:20" ht="19.5" customHeight="1">
      <c r="A102" s="14">
        <v>41851</v>
      </c>
      <c r="B102" s="23" t="s">
        <v>184</v>
      </c>
      <c r="C102" s="14">
        <v>41851</v>
      </c>
      <c r="D102" s="10" t="s">
        <v>166</v>
      </c>
      <c r="E102" s="37" t="s">
        <v>42</v>
      </c>
      <c r="F102" s="9"/>
      <c r="G102" s="9">
        <v>132028000</v>
      </c>
      <c r="H102" s="5">
        <f t="shared" si="8"/>
        <v>0</v>
      </c>
      <c r="I102" s="5">
        <f t="shared" si="9"/>
        <v>1268532000</v>
      </c>
      <c r="J102" s="36">
        <f t="shared" si="5"/>
        <v>7</v>
      </c>
      <c r="K102" s="136" t="s">
        <v>254</v>
      </c>
      <c r="O102" s="107"/>
      <c r="P102" s="91"/>
      <c r="Q102" s="111"/>
      <c r="R102" s="108"/>
      <c r="S102" s="109"/>
      <c r="T102" s="109"/>
    </row>
    <row r="103" spans="1:20" ht="19.5" customHeight="1">
      <c r="A103" s="14">
        <v>41851</v>
      </c>
      <c r="B103" s="23" t="s">
        <v>184</v>
      </c>
      <c r="C103" s="14">
        <v>41851</v>
      </c>
      <c r="D103" s="16" t="s">
        <v>49</v>
      </c>
      <c r="E103" s="37" t="s">
        <v>42</v>
      </c>
      <c r="F103" s="9"/>
      <c r="G103" s="19">
        <v>76560000</v>
      </c>
      <c r="H103" s="5">
        <f t="shared" si="8"/>
        <v>0</v>
      </c>
      <c r="I103" s="5">
        <f t="shared" si="9"/>
        <v>1345092000</v>
      </c>
      <c r="J103" s="36">
        <f t="shared" si="5"/>
        <v>7</v>
      </c>
      <c r="K103" s="136" t="s">
        <v>255</v>
      </c>
      <c r="O103" s="107"/>
      <c r="P103" s="91"/>
      <c r="Q103" s="53"/>
      <c r="R103" s="108"/>
      <c r="S103" s="109"/>
      <c r="T103" s="59"/>
    </row>
    <row r="104" spans="1:20" ht="19.5" customHeight="1">
      <c r="A104" s="14">
        <v>41851</v>
      </c>
      <c r="B104" s="23" t="s">
        <v>184</v>
      </c>
      <c r="C104" s="14">
        <v>41851</v>
      </c>
      <c r="D104" s="16" t="s">
        <v>153</v>
      </c>
      <c r="E104" s="37" t="s">
        <v>42</v>
      </c>
      <c r="F104" s="9"/>
      <c r="G104" s="19">
        <v>136675000</v>
      </c>
      <c r="H104" s="5">
        <f t="shared" si="8"/>
        <v>0</v>
      </c>
      <c r="I104" s="5">
        <f t="shared" si="9"/>
        <v>1481767000</v>
      </c>
      <c r="J104" s="36">
        <f t="shared" si="5"/>
        <v>7</v>
      </c>
      <c r="K104" s="136" t="s">
        <v>256</v>
      </c>
      <c r="O104" s="107"/>
      <c r="P104" s="91"/>
      <c r="Q104" s="53"/>
      <c r="R104" s="108"/>
      <c r="S104" s="109"/>
      <c r="T104" s="59"/>
    </row>
    <row r="105" spans="1:20" ht="19.5" customHeight="1">
      <c r="A105" s="14">
        <v>41851</v>
      </c>
      <c r="B105" s="23" t="s">
        <v>184</v>
      </c>
      <c r="C105" s="14">
        <v>41851</v>
      </c>
      <c r="D105" s="16" t="s">
        <v>46</v>
      </c>
      <c r="E105" s="37" t="s">
        <v>42</v>
      </c>
      <c r="F105" s="9"/>
      <c r="G105" s="19">
        <v>75195000</v>
      </c>
      <c r="H105" s="5">
        <f t="shared" si="8"/>
        <v>0</v>
      </c>
      <c r="I105" s="5">
        <f t="shared" si="9"/>
        <v>1556962000</v>
      </c>
      <c r="J105" s="36">
        <f t="shared" si="5"/>
        <v>7</v>
      </c>
      <c r="K105" s="136" t="s">
        <v>257</v>
      </c>
      <c r="O105" s="107"/>
      <c r="P105" s="91"/>
      <c r="Q105" s="53"/>
      <c r="R105" s="108"/>
      <c r="S105" s="109"/>
      <c r="T105" s="59"/>
    </row>
    <row r="106" spans="1:20" ht="19.5" customHeight="1">
      <c r="A106" s="14">
        <v>41851</v>
      </c>
      <c r="B106" s="23" t="s">
        <v>184</v>
      </c>
      <c r="C106" s="14">
        <v>41851</v>
      </c>
      <c r="D106" s="16" t="s">
        <v>52</v>
      </c>
      <c r="E106" s="37" t="s">
        <v>42</v>
      </c>
      <c r="F106" s="9"/>
      <c r="G106" s="19">
        <v>271662500</v>
      </c>
      <c r="H106" s="5">
        <f t="shared" si="8"/>
        <v>0</v>
      </c>
      <c r="I106" s="5">
        <f t="shared" si="9"/>
        <v>1828624500</v>
      </c>
      <c r="J106" s="36">
        <f t="shared" si="5"/>
        <v>7</v>
      </c>
      <c r="K106" s="136" t="s">
        <v>258</v>
      </c>
      <c r="O106" s="107"/>
      <c r="P106" s="91"/>
      <c r="Q106" s="53"/>
      <c r="R106" s="108"/>
      <c r="S106" s="109"/>
      <c r="T106" s="59"/>
    </row>
    <row r="107" spans="1:20" ht="19.5" customHeight="1">
      <c r="A107" s="14">
        <v>41851</v>
      </c>
      <c r="B107" s="23" t="s">
        <v>184</v>
      </c>
      <c r="C107" s="14">
        <v>41851</v>
      </c>
      <c r="D107" s="16" t="s">
        <v>167</v>
      </c>
      <c r="E107" s="37" t="s">
        <v>42</v>
      </c>
      <c r="F107" s="9"/>
      <c r="G107" s="19">
        <v>545959000</v>
      </c>
      <c r="H107" s="5">
        <f t="shared" si="8"/>
        <v>0</v>
      </c>
      <c r="I107" s="5">
        <f t="shared" si="9"/>
        <v>2374583500</v>
      </c>
      <c r="J107" s="36">
        <f t="shared" si="5"/>
        <v>7</v>
      </c>
      <c r="K107" s="136" t="s">
        <v>259</v>
      </c>
      <c r="O107" s="107"/>
      <c r="P107" s="91"/>
      <c r="Q107" s="53"/>
      <c r="R107" s="108"/>
      <c r="S107" s="109"/>
      <c r="T107" s="59"/>
    </row>
    <row r="108" spans="1:20" ht="19.5" customHeight="1">
      <c r="A108" s="14">
        <v>41851</v>
      </c>
      <c r="B108" s="23" t="s">
        <v>184</v>
      </c>
      <c r="C108" s="14">
        <v>41851</v>
      </c>
      <c r="D108" s="16" t="s">
        <v>50</v>
      </c>
      <c r="E108" s="37" t="s">
        <v>42</v>
      </c>
      <c r="F108" s="9"/>
      <c r="G108" s="19">
        <v>76335000</v>
      </c>
      <c r="H108" s="5">
        <f t="shared" si="8"/>
        <v>0</v>
      </c>
      <c r="I108" s="5">
        <f t="shared" si="9"/>
        <v>2450918500</v>
      </c>
      <c r="J108" s="36">
        <f t="shared" si="5"/>
        <v>7</v>
      </c>
      <c r="K108" s="136" t="s">
        <v>260</v>
      </c>
      <c r="O108" s="107"/>
      <c r="P108" s="91"/>
      <c r="Q108" s="53"/>
      <c r="R108" s="108"/>
      <c r="S108" s="109"/>
      <c r="T108" s="59"/>
    </row>
    <row r="109" spans="1:20" ht="19.5" customHeight="1">
      <c r="A109" s="14">
        <v>41851</v>
      </c>
      <c r="B109" s="23" t="s">
        <v>184</v>
      </c>
      <c r="C109" s="14">
        <v>41851</v>
      </c>
      <c r="D109" s="16" t="s">
        <v>168</v>
      </c>
      <c r="E109" s="37" t="s">
        <v>42</v>
      </c>
      <c r="F109" s="9"/>
      <c r="G109" s="19">
        <v>452038000</v>
      </c>
      <c r="H109" s="5">
        <f t="shared" si="8"/>
        <v>0</v>
      </c>
      <c r="I109" s="5">
        <f t="shared" si="9"/>
        <v>2902956500</v>
      </c>
      <c r="J109" s="36">
        <f t="shared" si="5"/>
        <v>7</v>
      </c>
      <c r="K109" s="136" t="s">
        <v>261</v>
      </c>
      <c r="O109" s="107"/>
      <c r="P109" s="91"/>
      <c r="Q109" s="53"/>
      <c r="R109" s="108"/>
      <c r="S109" s="109"/>
      <c r="T109" s="59"/>
    </row>
    <row r="110" spans="1:20" ht="19.5" customHeight="1">
      <c r="A110" s="14">
        <v>41851</v>
      </c>
      <c r="B110" s="23" t="s">
        <v>184</v>
      </c>
      <c r="C110" s="14">
        <v>41851</v>
      </c>
      <c r="D110" s="16" t="s">
        <v>169</v>
      </c>
      <c r="E110" s="37" t="s">
        <v>42</v>
      </c>
      <c r="F110" s="9"/>
      <c r="G110" s="19">
        <v>135987500</v>
      </c>
      <c r="H110" s="5">
        <f t="shared" si="8"/>
        <v>0</v>
      </c>
      <c r="I110" s="5">
        <f t="shared" si="9"/>
        <v>3038944000</v>
      </c>
      <c r="J110" s="36">
        <f t="shared" si="5"/>
        <v>7</v>
      </c>
      <c r="K110" s="136" t="s">
        <v>262</v>
      </c>
      <c r="O110" s="107"/>
      <c r="P110" s="91"/>
      <c r="Q110" s="53"/>
      <c r="R110" s="108"/>
      <c r="S110" s="109"/>
      <c r="T110" s="59"/>
    </row>
    <row r="111" spans="1:20" ht="19.5" customHeight="1">
      <c r="A111" s="14">
        <v>41851</v>
      </c>
      <c r="B111" s="23" t="s">
        <v>184</v>
      </c>
      <c r="C111" s="14">
        <v>41851</v>
      </c>
      <c r="D111" s="16" t="s">
        <v>170</v>
      </c>
      <c r="E111" s="37" t="s">
        <v>42</v>
      </c>
      <c r="F111" s="9"/>
      <c r="G111" s="19">
        <v>306520500</v>
      </c>
      <c r="H111" s="5">
        <f t="shared" si="8"/>
        <v>0</v>
      </c>
      <c r="I111" s="5">
        <f t="shared" si="9"/>
        <v>3345464500</v>
      </c>
      <c r="J111" s="36">
        <f t="shared" si="5"/>
        <v>7</v>
      </c>
      <c r="K111" s="136" t="s">
        <v>263</v>
      </c>
      <c r="O111" s="107"/>
      <c r="P111" s="91"/>
      <c r="Q111" s="53"/>
      <c r="R111" s="108"/>
      <c r="S111" s="109"/>
      <c r="T111" s="59"/>
    </row>
    <row r="112" spans="1:20" ht="19.5" customHeight="1">
      <c r="A112" s="14">
        <v>41851</v>
      </c>
      <c r="B112" s="23" t="s">
        <v>184</v>
      </c>
      <c r="C112" s="14">
        <v>41851</v>
      </c>
      <c r="D112" s="16" t="s">
        <v>181</v>
      </c>
      <c r="E112" s="37" t="s">
        <v>42</v>
      </c>
      <c r="F112" s="9"/>
      <c r="G112" s="19">
        <v>98310000</v>
      </c>
      <c r="H112" s="5">
        <f t="shared" si="8"/>
        <v>0</v>
      </c>
      <c r="I112" s="5">
        <f t="shared" si="9"/>
        <v>3443774500</v>
      </c>
      <c r="J112" s="36">
        <f t="shared" si="5"/>
        <v>7</v>
      </c>
      <c r="K112" s="136" t="s">
        <v>241</v>
      </c>
      <c r="O112" s="107"/>
      <c r="P112" s="91"/>
      <c r="Q112" s="53"/>
      <c r="R112" s="108"/>
      <c r="S112" s="109"/>
      <c r="T112" s="59"/>
    </row>
    <row r="113" spans="1:20" ht="19.5" customHeight="1">
      <c r="A113" s="14">
        <v>41822</v>
      </c>
      <c r="B113" s="23" t="s">
        <v>185</v>
      </c>
      <c r="C113" s="14">
        <v>41822</v>
      </c>
      <c r="D113" s="16" t="s">
        <v>44</v>
      </c>
      <c r="E113" s="37" t="s">
        <v>45</v>
      </c>
      <c r="F113" s="9">
        <v>800000000</v>
      </c>
      <c r="G113" s="19"/>
      <c r="H113" s="5">
        <f t="shared" si="8"/>
        <v>0</v>
      </c>
      <c r="I113" s="5">
        <f t="shared" si="9"/>
        <v>2643774500</v>
      </c>
      <c r="J113" s="36">
        <f t="shared" si="5"/>
        <v>7</v>
      </c>
      <c r="O113" s="107"/>
      <c r="P113" s="91"/>
      <c r="Q113" s="53"/>
      <c r="R113" s="108"/>
      <c r="S113" s="109"/>
      <c r="T113" s="59"/>
    </row>
    <row r="114" spans="1:20" ht="19.5" customHeight="1">
      <c r="A114" s="11">
        <v>41825</v>
      </c>
      <c r="B114" s="17" t="s">
        <v>144</v>
      </c>
      <c r="C114" s="14">
        <v>41825</v>
      </c>
      <c r="D114" s="16" t="s">
        <v>44</v>
      </c>
      <c r="E114" s="37" t="s">
        <v>45</v>
      </c>
      <c r="F114" s="9">
        <v>800000000</v>
      </c>
      <c r="G114" s="19"/>
      <c r="H114" s="5">
        <f t="shared" si="8"/>
        <v>0</v>
      </c>
      <c r="I114" s="5">
        <f t="shared" si="9"/>
        <v>1843774500</v>
      </c>
      <c r="J114" s="36">
        <f t="shared" si="5"/>
        <v>7</v>
      </c>
      <c r="O114" s="50"/>
      <c r="P114" s="113"/>
      <c r="Q114" s="53"/>
      <c r="R114" s="108"/>
      <c r="S114" s="109"/>
      <c r="T114" s="59"/>
    </row>
    <row r="115" spans="1:20" ht="19.5" customHeight="1">
      <c r="A115" s="11">
        <v>41829</v>
      </c>
      <c r="B115" s="17" t="s">
        <v>186</v>
      </c>
      <c r="C115" s="14">
        <v>41829</v>
      </c>
      <c r="D115" s="16" t="s">
        <v>44</v>
      </c>
      <c r="E115" s="37" t="s">
        <v>45</v>
      </c>
      <c r="F115" s="9">
        <v>600000000</v>
      </c>
      <c r="G115" s="19"/>
      <c r="H115" s="5">
        <f t="shared" si="8"/>
        <v>0</v>
      </c>
      <c r="I115" s="5">
        <f t="shared" si="9"/>
        <v>1243774500</v>
      </c>
      <c r="J115" s="36">
        <f t="shared" si="5"/>
        <v>7</v>
      </c>
      <c r="O115" s="50"/>
      <c r="P115" s="113"/>
      <c r="Q115" s="53"/>
      <c r="R115" s="108"/>
      <c r="S115" s="109"/>
      <c r="T115" s="59"/>
    </row>
    <row r="116" spans="1:20" ht="19.5" customHeight="1">
      <c r="A116" s="11">
        <v>41836</v>
      </c>
      <c r="B116" s="17" t="s">
        <v>178</v>
      </c>
      <c r="C116" s="14">
        <v>41836</v>
      </c>
      <c r="D116" s="16" t="s">
        <v>44</v>
      </c>
      <c r="E116" s="37" t="s">
        <v>45</v>
      </c>
      <c r="F116" s="9">
        <v>600000000</v>
      </c>
      <c r="G116" s="19"/>
      <c r="H116" s="5">
        <f t="shared" si="8"/>
        <v>0</v>
      </c>
      <c r="I116" s="5">
        <f t="shared" si="9"/>
        <v>643774500</v>
      </c>
      <c r="J116" s="36">
        <f t="shared" si="5"/>
        <v>7</v>
      </c>
      <c r="O116" s="50"/>
      <c r="P116" s="113"/>
      <c r="Q116" s="53"/>
      <c r="R116" s="108"/>
      <c r="S116" s="109"/>
      <c r="T116" s="59"/>
    </row>
    <row r="117" spans="1:20" ht="19.5" customHeight="1">
      <c r="A117" s="14">
        <v>41848</v>
      </c>
      <c r="B117" s="23" t="s">
        <v>69</v>
      </c>
      <c r="C117" s="14">
        <v>41848</v>
      </c>
      <c r="D117" s="10" t="s">
        <v>44</v>
      </c>
      <c r="E117" s="37" t="s">
        <v>45</v>
      </c>
      <c r="F117" s="9">
        <v>700000000</v>
      </c>
      <c r="G117" s="9"/>
      <c r="H117" s="5">
        <f t="shared" si="8"/>
        <v>56225500</v>
      </c>
      <c r="I117" s="5">
        <f t="shared" si="9"/>
        <v>0</v>
      </c>
      <c r="J117" s="36">
        <f t="shared" si="5"/>
        <v>7</v>
      </c>
      <c r="O117" s="107"/>
      <c r="P117" s="91"/>
      <c r="Q117" s="111"/>
      <c r="R117" s="108"/>
      <c r="S117" s="109"/>
      <c r="T117" s="109"/>
    </row>
    <row r="118" spans="1:20" ht="19.5" customHeight="1">
      <c r="A118" s="14">
        <v>41882</v>
      </c>
      <c r="B118" s="23" t="s">
        <v>187</v>
      </c>
      <c r="C118" s="14">
        <v>41882</v>
      </c>
      <c r="D118" s="16" t="s">
        <v>164</v>
      </c>
      <c r="E118" s="37" t="s">
        <v>42</v>
      </c>
      <c r="F118" s="9"/>
      <c r="G118" s="19">
        <v>157382500</v>
      </c>
      <c r="H118" s="5">
        <f t="shared" si="8"/>
        <v>0</v>
      </c>
      <c r="I118" s="5">
        <f t="shared" si="9"/>
        <v>101157000</v>
      </c>
      <c r="J118" s="36">
        <f t="shared" si="5"/>
        <v>8</v>
      </c>
      <c r="K118" s="136" t="s">
        <v>264</v>
      </c>
      <c r="O118" s="107"/>
      <c r="P118" s="91"/>
      <c r="Q118" s="53"/>
      <c r="R118" s="108"/>
      <c r="S118" s="109"/>
      <c r="T118" s="59"/>
    </row>
    <row r="119" spans="1:20" ht="19.5" customHeight="1">
      <c r="A119" s="14">
        <v>41882</v>
      </c>
      <c r="B119" s="23" t="s">
        <v>187</v>
      </c>
      <c r="C119" s="14">
        <v>41882</v>
      </c>
      <c r="D119" s="16" t="s">
        <v>165</v>
      </c>
      <c r="E119" s="37" t="s">
        <v>42</v>
      </c>
      <c r="F119" s="9"/>
      <c r="G119" s="19">
        <v>148197500</v>
      </c>
      <c r="H119" s="5">
        <f t="shared" si="8"/>
        <v>0</v>
      </c>
      <c r="I119" s="5">
        <f t="shared" si="9"/>
        <v>249354500</v>
      </c>
      <c r="J119" s="36">
        <f t="shared" si="5"/>
        <v>8</v>
      </c>
      <c r="K119" s="136" t="s">
        <v>265</v>
      </c>
      <c r="O119" s="107"/>
      <c r="P119" s="91"/>
      <c r="Q119" s="53"/>
      <c r="R119" s="108"/>
      <c r="S119" s="109"/>
      <c r="T119" s="59"/>
    </row>
    <row r="120" spans="1:20" ht="19.5" customHeight="1">
      <c r="A120" s="14">
        <v>41882</v>
      </c>
      <c r="B120" s="23" t="s">
        <v>187</v>
      </c>
      <c r="C120" s="14">
        <v>41882</v>
      </c>
      <c r="D120" s="16" t="s">
        <v>49</v>
      </c>
      <c r="E120" s="37" t="s">
        <v>42</v>
      </c>
      <c r="F120" s="9"/>
      <c r="G120" s="19">
        <v>76095000</v>
      </c>
      <c r="H120" s="5">
        <f t="shared" si="8"/>
        <v>0</v>
      </c>
      <c r="I120" s="5">
        <f t="shared" si="9"/>
        <v>325449500</v>
      </c>
      <c r="J120" s="36">
        <f t="shared" si="5"/>
        <v>8</v>
      </c>
      <c r="K120" s="136" t="s">
        <v>257</v>
      </c>
      <c r="O120" s="107"/>
      <c r="P120" s="91"/>
      <c r="Q120" s="53"/>
      <c r="R120" s="108"/>
      <c r="S120" s="109"/>
      <c r="T120" s="59"/>
    </row>
    <row r="121" spans="1:20" ht="19.5" customHeight="1">
      <c r="A121" s="14">
        <v>41882</v>
      </c>
      <c r="B121" s="23" t="s">
        <v>187</v>
      </c>
      <c r="C121" s="14">
        <v>41882</v>
      </c>
      <c r="D121" s="16" t="s">
        <v>153</v>
      </c>
      <c r="E121" s="37" t="s">
        <v>42</v>
      </c>
      <c r="F121" s="9"/>
      <c r="G121" s="19">
        <v>138655000</v>
      </c>
      <c r="H121" s="5">
        <f t="shared" si="8"/>
        <v>0</v>
      </c>
      <c r="I121" s="5">
        <f t="shared" si="9"/>
        <v>464104500</v>
      </c>
      <c r="J121" s="36">
        <f t="shared" si="5"/>
        <v>8</v>
      </c>
      <c r="K121" s="136" t="s">
        <v>266</v>
      </c>
      <c r="O121" s="107"/>
      <c r="P121" s="91"/>
      <c r="Q121" s="53"/>
      <c r="R121" s="108"/>
      <c r="S121" s="109"/>
      <c r="T121" s="59"/>
    </row>
    <row r="122" spans="1:20" ht="19.5" customHeight="1">
      <c r="A122" s="14">
        <v>41882</v>
      </c>
      <c r="B122" s="23" t="s">
        <v>187</v>
      </c>
      <c r="C122" s="14">
        <v>41882</v>
      </c>
      <c r="D122" s="16" t="s">
        <v>46</v>
      </c>
      <c r="E122" s="37" t="s">
        <v>42</v>
      </c>
      <c r="F122" s="9"/>
      <c r="G122" s="19">
        <v>178200000</v>
      </c>
      <c r="H122" s="5">
        <f t="shared" si="8"/>
        <v>0</v>
      </c>
      <c r="I122" s="5">
        <f t="shared" si="9"/>
        <v>642304500</v>
      </c>
      <c r="J122" s="36">
        <f t="shared" si="5"/>
        <v>8</v>
      </c>
      <c r="K122" s="136" t="s">
        <v>267</v>
      </c>
      <c r="O122" s="107"/>
      <c r="P122" s="91"/>
      <c r="Q122" s="53"/>
      <c r="R122" s="108"/>
      <c r="S122" s="109"/>
      <c r="T122" s="59"/>
    </row>
    <row r="123" spans="1:20" ht="19.5" customHeight="1">
      <c r="A123" s="14">
        <v>41882</v>
      </c>
      <c r="B123" s="23" t="s">
        <v>187</v>
      </c>
      <c r="C123" s="14">
        <v>41882</v>
      </c>
      <c r="D123" s="16" t="s">
        <v>167</v>
      </c>
      <c r="E123" s="37" t="s">
        <v>42</v>
      </c>
      <c r="F123" s="9"/>
      <c r="G123" s="19">
        <v>161370000</v>
      </c>
      <c r="H123" s="5">
        <f t="shared" si="8"/>
        <v>0</v>
      </c>
      <c r="I123" s="5">
        <f t="shared" si="9"/>
        <v>803674500</v>
      </c>
      <c r="J123" s="36">
        <f t="shared" si="5"/>
        <v>8</v>
      </c>
      <c r="K123" s="136" t="s">
        <v>260</v>
      </c>
      <c r="O123" s="107"/>
      <c r="P123" s="91"/>
      <c r="Q123" s="53"/>
      <c r="R123" s="108"/>
      <c r="S123" s="109"/>
      <c r="T123" s="59"/>
    </row>
    <row r="124" spans="1:20" ht="19.5" customHeight="1">
      <c r="A124" s="14">
        <v>41882</v>
      </c>
      <c r="B124" s="23" t="s">
        <v>187</v>
      </c>
      <c r="C124" s="14">
        <v>41882</v>
      </c>
      <c r="D124" s="16" t="s">
        <v>50</v>
      </c>
      <c r="E124" s="37" t="s">
        <v>42</v>
      </c>
      <c r="F124" s="9"/>
      <c r="G124" s="19">
        <v>81300000</v>
      </c>
      <c r="H124" s="5">
        <f t="shared" si="8"/>
        <v>0</v>
      </c>
      <c r="I124" s="5">
        <f t="shared" si="9"/>
        <v>884974500</v>
      </c>
      <c r="J124" s="36">
        <f t="shared" si="5"/>
        <v>8</v>
      </c>
      <c r="K124" s="136" t="s">
        <v>233</v>
      </c>
      <c r="O124" s="107"/>
      <c r="P124" s="91"/>
      <c r="Q124" s="53"/>
      <c r="R124" s="108"/>
      <c r="S124" s="109"/>
      <c r="T124" s="59"/>
    </row>
    <row r="125" spans="1:20" ht="19.5" customHeight="1">
      <c r="A125" s="14">
        <v>41882</v>
      </c>
      <c r="B125" s="23" t="s">
        <v>187</v>
      </c>
      <c r="C125" s="14">
        <v>41882</v>
      </c>
      <c r="D125" s="16" t="s">
        <v>168</v>
      </c>
      <c r="E125" s="37" t="s">
        <v>42</v>
      </c>
      <c r="F125" s="9"/>
      <c r="G125" s="19">
        <v>139672500</v>
      </c>
      <c r="H125" s="5">
        <f t="shared" si="8"/>
        <v>0</v>
      </c>
      <c r="I125" s="5">
        <f t="shared" si="9"/>
        <v>1024647000</v>
      </c>
      <c r="J125" s="36">
        <f t="shared" si="5"/>
        <v>8</v>
      </c>
      <c r="K125" s="136" t="s">
        <v>268</v>
      </c>
      <c r="O125" s="107"/>
      <c r="P125" s="91"/>
      <c r="Q125" s="53"/>
      <c r="R125" s="108"/>
      <c r="S125" s="109"/>
      <c r="T125" s="59"/>
    </row>
    <row r="126" spans="1:20" ht="19.5" customHeight="1">
      <c r="A126" s="14">
        <v>41882</v>
      </c>
      <c r="B126" s="23" t="s">
        <v>187</v>
      </c>
      <c r="C126" s="14">
        <v>41882</v>
      </c>
      <c r="D126" s="16" t="s">
        <v>169</v>
      </c>
      <c r="E126" s="37" t="s">
        <v>42</v>
      </c>
      <c r="F126" s="9"/>
      <c r="G126" s="19">
        <v>144347500</v>
      </c>
      <c r="H126" s="5">
        <f t="shared" si="8"/>
        <v>0</v>
      </c>
      <c r="I126" s="5">
        <f t="shared" si="9"/>
        <v>1168994500</v>
      </c>
      <c r="J126" s="36">
        <f t="shared" si="5"/>
        <v>8</v>
      </c>
      <c r="K126" s="136" t="s">
        <v>255</v>
      </c>
      <c r="O126" s="107"/>
      <c r="P126" s="91"/>
      <c r="Q126" s="53"/>
      <c r="R126" s="108"/>
      <c r="S126" s="109"/>
      <c r="T126" s="59"/>
    </row>
    <row r="127" spans="1:20" ht="19.5" customHeight="1">
      <c r="A127" s="14">
        <v>41882</v>
      </c>
      <c r="B127" s="23" t="s">
        <v>187</v>
      </c>
      <c r="C127" s="14">
        <v>41882</v>
      </c>
      <c r="D127" s="16" t="s">
        <v>171</v>
      </c>
      <c r="E127" s="37" t="s">
        <v>42</v>
      </c>
      <c r="F127" s="9"/>
      <c r="G127" s="19">
        <v>78300000</v>
      </c>
      <c r="H127" s="5">
        <f t="shared" si="8"/>
        <v>0</v>
      </c>
      <c r="I127" s="5">
        <f t="shared" si="9"/>
        <v>1247294500</v>
      </c>
      <c r="J127" s="36">
        <f t="shared" si="5"/>
        <v>8</v>
      </c>
      <c r="K127" s="136" t="s">
        <v>269</v>
      </c>
      <c r="O127" s="107"/>
      <c r="P127" s="91"/>
      <c r="Q127" s="53"/>
      <c r="R127" s="108"/>
      <c r="S127" s="109"/>
      <c r="T127" s="59"/>
    </row>
    <row r="128" spans="1:20" ht="19.5" customHeight="1">
      <c r="A128" s="14">
        <v>41882</v>
      </c>
      <c r="B128" s="23" t="s">
        <v>187</v>
      </c>
      <c r="C128" s="14">
        <v>41882</v>
      </c>
      <c r="D128" s="16" t="s">
        <v>181</v>
      </c>
      <c r="E128" s="37" t="s">
        <v>42</v>
      </c>
      <c r="F128" s="9"/>
      <c r="G128" s="19">
        <v>86805000</v>
      </c>
      <c r="H128" s="5">
        <f t="shared" si="8"/>
        <v>0</v>
      </c>
      <c r="I128" s="5">
        <f t="shared" si="9"/>
        <v>1334099500</v>
      </c>
      <c r="J128" s="36">
        <f t="shared" si="5"/>
        <v>8</v>
      </c>
      <c r="K128" s="136" t="s">
        <v>205</v>
      </c>
      <c r="O128" s="107"/>
      <c r="P128" s="91"/>
      <c r="Q128" s="53"/>
      <c r="R128" s="108"/>
      <c r="S128" s="109"/>
      <c r="T128" s="59"/>
    </row>
    <row r="129" spans="1:20" ht="19.5" customHeight="1">
      <c r="A129" s="14">
        <v>41882</v>
      </c>
      <c r="B129" s="23" t="s">
        <v>187</v>
      </c>
      <c r="C129" s="14">
        <v>41882</v>
      </c>
      <c r="D129" s="16" t="s">
        <v>173</v>
      </c>
      <c r="E129" s="37" t="s">
        <v>42</v>
      </c>
      <c r="F129" s="9"/>
      <c r="G129" s="19">
        <v>89700000</v>
      </c>
      <c r="H129" s="5">
        <f t="shared" si="8"/>
        <v>0</v>
      </c>
      <c r="I129" s="5">
        <f t="shared" si="9"/>
        <v>1423799500</v>
      </c>
      <c r="J129" s="36">
        <f t="shared" si="5"/>
        <v>8</v>
      </c>
      <c r="K129" s="136" t="s">
        <v>250</v>
      </c>
      <c r="O129" s="107"/>
      <c r="P129" s="91"/>
      <c r="Q129" s="53"/>
      <c r="R129" s="108"/>
      <c r="S129" s="109"/>
      <c r="T129" s="59"/>
    </row>
    <row r="130" spans="1:20" ht="19.5" customHeight="1">
      <c r="A130" s="14">
        <v>41856</v>
      </c>
      <c r="B130" s="23" t="s">
        <v>185</v>
      </c>
      <c r="C130" s="14">
        <v>41856</v>
      </c>
      <c r="D130" s="16" t="s">
        <v>44</v>
      </c>
      <c r="E130" s="37" t="s">
        <v>45</v>
      </c>
      <c r="F130" s="9">
        <v>450000000</v>
      </c>
      <c r="G130" s="19"/>
      <c r="H130" s="5">
        <f t="shared" ref="H130:H193" si="10">MAX(H129+F130-I129-G130,0)</f>
        <v>0</v>
      </c>
      <c r="I130" s="5">
        <f t="shared" ref="I130:I193" si="11">MAX(I129+G130-H129-F130,0)</f>
        <v>973799500</v>
      </c>
      <c r="J130" s="36">
        <f t="shared" si="5"/>
        <v>8</v>
      </c>
      <c r="O130" s="107"/>
      <c r="P130" s="91"/>
      <c r="Q130" s="53"/>
      <c r="R130" s="108"/>
      <c r="S130" s="109"/>
      <c r="T130" s="59"/>
    </row>
    <row r="131" spans="1:20" ht="19.5" customHeight="1">
      <c r="A131" s="14">
        <v>41870</v>
      </c>
      <c r="B131" s="23" t="s">
        <v>62</v>
      </c>
      <c r="C131" s="14">
        <v>41870</v>
      </c>
      <c r="D131" s="16" t="s">
        <v>44</v>
      </c>
      <c r="E131" s="37" t="s">
        <v>45</v>
      </c>
      <c r="F131" s="54">
        <v>500000000</v>
      </c>
      <c r="G131" s="19"/>
      <c r="H131" s="5">
        <f t="shared" si="10"/>
        <v>0</v>
      </c>
      <c r="I131" s="5">
        <f t="shared" si="11"/>
        <v>473799500</v>
      </c>
      <c r="J131" s="36">
        <f t="shared" si="5"/>
        <v>8</v>
      </c>
      <c r="O131" s="107"/>
      <c r="P131" s="91"/>
      <c r="Q131" s="53"/>
      <c r="R131" s="108"/>
      <c r="S131" s="114"/>
      <c r="T131" s="59"/>
    </row>
    <row r="132" spans="1:20" ht="19.5" customHeight="1">
      <c r="A132" s="14">
        <v>41879</v>
      </c>
      <c r="B132" s="23" t="s">
        <v>58</v>
      </c>
      <c r="C132" s="14">
        <v>41879</v>
      </c>
      <c r="D132" s="16" t="s">
        <v>44</v>
      </c>
      <c r="E132" s="37" t="s">
        <v>45</v>
      </c>
      <c r="F132" s="54">
        <v>500000000</v>
      </c>
      <c r="G132" s="19"/>
      <c r="H132" s="5">
        <f t="shared" si="10"/>
        <v>26200500</v>
      </c>
      <c r="I132" s="5">
        <f t="shared" si="11"/>
        <v>0</v>
      </c>
      <c r="J132" s="36">
        <f t="shared" si="5"/>
        <v>8</v>
      </c>
      <c r="O132" s="107"/>
      <c r="P132" s="91"/>
      <c r="Q132" s="53"/>
      <c r="R132" s="108"/>
      <c r="S132" s="114"/>
      <c r="T132" s="59"/>
    </row>
    <row r="133" spans="1:20" ht="19.5" customHeight="1">
      <c r="A133" s="14">
        <v>41912</v>
      </c>
      <c r="B133" s="23" t="s">
        <v>188</v>
      </c>
      <c r="C133" s="14">
        <v>41912</v>
      </c>
      <c r="D133" s="16" t="s">
        <v>164</v>
      </c>
      <c r="E133" s="37" t="s">
        <v>42</v>
      </c>
      <c r="F133" s="54"/>
      <c r="G133" s="19">
        <v>171418000</v>
      </c>
      <c r="H133" s="5">
        <f t="shared" si="10"/>
        <v>0</v>
      </c>
      <c r="I133" s="5">
        <f t="shared" si="11"/>
        <v>145217500</v>
      </c>
      <c r="J133" s="36">
        <f t="shared" si="5"/>
        <v>9</v>
      </c>
      <c r="K133" s="136" t="s">
        <v>219</v>
      </c>
      <c r="O133" s="107"/>
      <c r="P133" s="91"/>
      <c r="Q133" s="53"/>
      <c r="R133" s="108"/>
      <c r="S133" s="114"/>
      <c r="T133" s="59"/>
    </row>
    <row r="134" spans="1:20" ht="19.5" customHeight="1">
      <c r="A134" s="14">
        <v>41912</v>
      </c>
      <c r="B134" s="23" t="s">
        <v>188</v>
      </c>
      <c r="C134" s="14">
        <v>41912</v>
      </c>
      <c r="D134" s="16" t="s">
        <v>152</v>
      </c>
      <c r="E134" s="37" t="s">
        <v>42</v>
      </c>
      <c r="F134" s="54"/>
      <c r="G134" s="19">
        <v>352040000</v>
      </c>
      <c r="H134" s="5">
        <f t="shared" si="10"/>
        <v>0</v>
      </c>
      <c r="I134" s="5">
        <f t="shared" si="11"/>
        <v>497257500</v>
      </c>
      <c r="J134" s="36">
        <f t="shared" si="5"/>
        <v>9</v>
      </c>
      <c r="K134" s="136" t="s">
        <v>270</v>
      </c>
      <c r="O134" s="107"/>
      <c r="P134" s="91"/>
      <c r="Q134" s="53"/>
      <c r="R134" s="108"/>
      <c r="S134" s="114"/>
      <c r="T134" s="59"/>
    </row>
    <row r="135" spans="1:20" ht="19.5" customHeight="1">
      <c r="A135" s="14">
        <v>41912</v>
      </c>
      <c r="B135" s="23" t="s">
        <v>188</v>
      </c>
      <c r="C135" s="14">
        <v>41912</v>
      </c>
      <c r="D135" s="16" t="s">
        <v>166</v>
      </c>
      <c r="E135" s="37" t="s">
        <v>42</v>
      </c>
      <c r="F135" s="54"/>
      <c r="G135" s="19">
        <v>166738000</v>
      </c>
      <c r="H135" s="5">
        <f t="shared" si="10"/>
        <v>0</v>
      </c>
      <c r="I135" s="5">
        <f t="shared" si="11"/>
        <v>663995500</v>
      </c>
      <c r="J135" s="36">
        <f t="shared" si="5"/>
        <v>9</v>
      </c>
      <c r="K135" s="136" t="s">
        <v>271</v>
      </c>
      <c r="O135" s="107"/>
      <c r="P135" s="91"/>
      <c r="Q135" s="53"/>
      <c r="R135" s="108"/>
      <c r="S135" s="114"/>
      <c r="T135" s="59"/>
    </row>
    <row r="136" spans="1:20" ht="19.5" customHeight="1">
      <c r="A136" s="14">
        <v>41912</v>
      </c>
      <c r="B136" s="23" t="s">
        <v>188</v>
      </c>
      <c r="C136" s="14">
        <v>41912</v>
      </c>
      <c r="D136" s="10" t="s">
        <v>153</v>
      </c>
      <c r="E136" s="37" t="s">
        <v>42</v>
      </c>
      <c r="F136" s="9"/>
      <c r="G136" s="9">
        <v>812660000</v>
      </c>
      <c r="H136" s="5">
        <f t="shared" si="10"/>
        <v>0</v>
      </c>
      <c r="I136" s="5">
        <f t="shared" si="11"/>
        <v>1476655500</v>
      </c>
      <c r="J136" s="36">
        <f t="shared" si="5"/>
        <v>9</v>
      </c>
      <c r="K136" s="136" t="s">
        <v>272</v>
      </c>
      <c r="O136" s="107"/>
      <c r="P136" s="91"/>
      <c r="Q136" s="111"/>
      <c r="R136" s="108"/>
      <c r="S136" s="109"/>
      <c r="T136" s="109"/>
    </row>
    <row r="137" spans="1:20" ht="19.5" customHeight="1">
      <c r="A137" s="14">
        <v>41912</v>
      </c>
      <c r="B137" s="23" t="s">
        <v>188</v>
      </c>
      <c r="C137" s="14">
        <v>41912</v>
      </c>
      <c r="D137" s="10" t="s">
        <v>46</v>
      </c>
      <c r="E137" s="37" t="s">
        <v>42</v>
      </c>
      <c r="F137" s="9"/>
      <c r="G137" s="9">
        <v>266540000</v>
      </c>
      <c r="H137" s="5">
        <f t="shared" si="10"/>
        <v>0</v>
      </c>
      <c r="I137" s="5">
        <f t="shared" si="11"/>
        <v>1743195500</v>
      </c>
      <c r="J137" s="36">
        <f t="shared" si="5"/>
        <v>9</v>
      </c>
      <c r="K137" s="136" t="s">
        <v>273</v>
      </c>
      <c r="O137" s="107"/>
      <c r="P137" s="91"/>
      <c r="Q137" s="111"/>
      <c r="R137" s="108"/>
      <c r="S137" s="109"/>
      <c r="T137" s="109"/>
    </row>
    <row r="138" spans="1:20" ht="19.5" customHeight="1">
      <c r="A138" s="14">
        <v>41912</v>
      </c>
      <c r="B138" s="23" t="s">
        <v>188</v>
      </c>
      <c r="C138" s="14">
        <v>41912</v>
      </c>
      <c r="D138" s="10" t="s">
        <v>52</v>
      </c>
      <c r="E138" s="37" t="s">
        <v>42</v>
      </c>
      <c r="F138" s="9"/>
      <c r="G138" s="9">
        <v>499983000</v>
      </c>
      <c r="H138" s="5">
        <f t="shared" si="10"/>
        <v>0</v>
      </c>
      <c r="I138" s="5">
        <f t="shared" si="11"/>
        <v>2243178500</v>
      </c>
      <c r="J138" s="36">
        <f t="shared" si="5"/>
        <v>9</v>
      </c>
      <c r="K138" s="136" t="s">
        <v>274</v>
      </c>
      <c r="O138" s="107"/>
      <c r="P138" s="91"/>
      <c r="Q138" s="111"/>
      <c r="R138" s="108"/>
      <c r="S138" s="109"/>
      <c r="T138" s="109"/>
    </row>
    <row r="139" spans="1:20" ht="19.5" customHeight="1">
      <c r="A139" s="14">
        <v>41912</v>
      </c>
      <c r="B139" s="23" t="s">
        <v>188</v>
      </c>
      <c r="C139" s="14">
        <v>41912</v>
      </c>
      <c r="D139" s="10" t="s">
        <v>167</v>
      </c>
      <c r="E139" s="37" t="s">
        <v>42</v>
      </c>
      <c r="F139" s="9"/>
      <c r="G139" s="9">
        <v>174720000</v>
      </c>
      <c r="H139" s="5">
        <f t="shared" si="10"/>
        <v>0</v>
      </c>
      <c r="I139" s="5">
        <f t="shared" si="11"/>
        <v>2417898500</v>
      </c>
      <c r="J139" s="36">
        <f t="shared" si="5"/>
        <v>9</v>
      </c>
      <c r="K139" s="136" t="s">
        <v>221</v>
      </c>
      <c r="O139" s="107"/>
      <c r="P139" s="91"/>
      <c r="Q139" s="111"/>
      <c r="R139" s="108"/>
      <c r="S139" s="109"/>
      <c r="T139" s="109"/>
    </row>
    <row r="140" spans="1:20" ht="19.5" customHeight="1">
      <c r="A140" s="14">
        <v>41912</v>
      </c>
      <c r="B140" s="23" t="s">
        <v>188</v>
      </c>
      <c r="C140" s="14">
        <v>41912</v>
      </c>
      <c r="D140" s="10" t="s">
        <v>50</v>
      </c>
      <c r="E140" s="37" t="s">
        <v>42</v>
      </c>
      <c r="F140" s="9"/>
      <c r="G140" s="9">
        <v>269228000</v>
      </c>
      <c r="H140" s="5">
        <f t="shared" si="10"/>
        <v>0</v>
      </c>
      <c r="I140" s="5">
        <f t="shared" si="11"/>
        <v>2687126500</v>
      </c>
      <c r="J140" s="36">
        <f t="shared" si="5"/>
        <v>9</v>
      </c>
      <c r="K140" s="136" t="s">
        <v>275</v>
      </c>
      <c r="O140" s="107"/>
      <c r="P140" s="91"/>
      <c r="Q140" s="111"/>
      <c r="R140" s="108"/>
      <c r="S140" s="109"/>
      <c r="T140" s="109"/>
    </row>
    <row r="141" spans="1:20" ht="19.5" customHeight="1">
      <c r="A141" s="14">
        <v>41912</v>
      </c>
      <c r="B141" s="23" t="s">
        <v>188</v>
      </c>
      <c r="C141" s="14">
        <v>41912</v>
      </c>
      <c r="D141" s="10" t="s">
        <v>169</v>
      </c>
      <c r="E141" s="37" t="s">
        <v>42</v>
      </c>
      <c r="F141" s="9"/>
      <c r="G141" s="9">
        <v>127645000</v>
      </c>
      <c r="H141" s="5">
        <f t="shared" si="10"/>
        <v>0</v>
      </c>
      <c r="I141" s="5">
        <f t="shared" si="11"/>
        <v>2814771500</v>
      </c>
      <c r="J141" s="36">
        <f t="shared" si="5"/>
        <v>9</v>
      </c>
      <c r="K141" s="136" t="s">
        <v>205</v>
      </c>
      <c r="O141" s="107"/>
      <c r="P141" s="91"/>
      <c r="Q141" s="111"/>
      <c r="R141" s="108"/>
      <c r="S141" s="109"/>
      <c r="T141" s="109"/>
    </row>
    <row r="142" spans="1:20" ht="19.5" customHeight="1">
      <c r="A142" s="14">
        <v>41912</v>
      </c>
      <c r="B142" s="23" t="s">
        <v>188</v>
      </c>
      <c r="C142" s="14">
        <v>41912</v>
      </c>
      <c r="D142" s="10" t="s">
        <v>171</v>
      </c>
      <c r="E142" s="37" t="s">
        <v>42</v>
      </c>
      <c r="F142" s="9"/>
      <c r="G142" s="9">
        <v>197005000</v>
      </c>
      <c r="H142" s="5">
        <f t="shared" si="10"/>
        <v>0</v>
      </c>
      <c r="I142" s="5">
        <f t="shared" si="11"/>
        <v>3011776500</v>
      </c>
      <c r="J142" s="36">
        <f t="shared" si="5"/>
        <v>9</v>
      </c>
      <c r="K142" s="136" t="s">
        <v>276</v>
      </c>
      <c r="O142" s="107"/>
      <c r="P142" s="91"/>
      <c r="Q142" s="111"/>
      <c r="R142" s="108"/>
      <c r="S142" s="109"/>
      <c r="T142" s="109"/>
    </row>
    <row r="143" spans="1:20" ht="19.5" customHeight="1">
      <c r="A143" s="14">
        <v>41912</v>
      </c>
      <c r="B143" s="23" t="s">
        <v>188</v>
      </c>
      <c r="C143" s="14">
        <v>41912</v>
      </c>
      <c r="D143" s="10" t="s">
        <v>172</v>
      </c>
      <c r="E143" s="37" t="s">
        <v>42</v>
      </c>
      <c r="F143" s="9"/>
      <c r="G143" s="9">
        <v>337350000</v>
      </c>
      <c r="H143" s="5">
        <f t="shared" si="10"/>
        <v>0</v>
      </c>
      <c r="I143" s="5">
        <f t="shared" si="11"/>
        <v>3349126500</v>
      </c>
      <c r="J143" s="36">
        <f t="shared" si="5"/>
        <v>9</v>
      </c>
      <c r="K143" s="136" t="s">
        <v>277</v>
      </c>
      <c r="O143" s="107"/>
      <c r="P143" s="91"/>
      <c r="Q143" s="111"/>
      <c r="R143" s="108"/>
      <c r="S143" s="109"/>
      <c r="T143" s="109"/>
    </row>
    <row r="144" spans="1:20" ht="19.5" customHeight="1">
      <c r="A144" s="14">
        <v>41912</v>
      </c>
      <c r="B144" s="23" t="s">
        <v>188</v>
      </c>
      <c r="C144" s="14">
        <v>41912</v>
      </c>
      <c r="D144" s="10" t="s">
        <v>189</v>
      </c>
      <c r="E144" s="37" t="s">
        <v>42</v>
      </c>
      <c r="F144" s="9"/>
      <c r="G144" s="9">
        <v>338338000</v>
      </c>
      <c r="H144" s="5">
        <f t="shared" si="10"/>
        <v>0</v>
      </c>
      <c r="I144" s="5">
        <f t="shared" si="11"/>
        <v>3687464500</v>
      </c>
      <c r="J144" s="36">
        <f t="shared" ref="J144:J207" si="12">IF(A144&lt;&gt;"",MONTH(A144),"")</f>
        <v>9</v>
      </c>
      <c r="K144" s="136" t="s">
        <v>278</v>
      </c>
      <c r="O144" s="107"/>
      <c r="P144" s="91"/>
      <c r="Q144" s="111"/>
      <c r="R144" s="108"/>
      <c r="S144" s="109"/>
      <c r="T144" s="109"/>
    </row>
    <row r="145" spans="1:20" ht="19.5" customHeight="1">
      <c r="A145" s="14">
        <v>41912</v>
      </c>
      <c r="B145" s="23" t="s">
        <v>188</v>
      </c>
      <c r="C145" s="14">
        <v>41912</v>
      </c>
      <c r="D145" s="10" t="s">
        <v>181</v>
      </c>
      <c r="E145" s="37" t="s">
        <v>42</v>
      </c>
      <c r="F145" s="9"/>
      <c r="G145" s="9">
        <v>232482000</v>
      </c>
      <c r="H145" s="5">
        <f t="shared" si="10"/>
        <v>0</v>
      </c>
      <c r="I145" s="5">
        <f t="shared" si="11"/>
        <v>3919946500</v>
      </c>
      <c r="J145" s="36">
        <f t="shared" si="12"/>
        <v>9</v>
      </c>
      <c r="K145" s="136" t="s">
        <v>279</v>
      </c>
      <c r="O145" s="107"/>
      <c r="P145" s="91"/>
      <c r="Q145" s="111"/>
      <c r="R145" s="108"/>
      <c r="S145" s="109"/>
      <c r="T145" s="109"/>
    </row>
    <row r="146" spans="1:20" ht="19.5" customHeight="1">
      <c r="A146" s="14">
        <v>41912</v>
      </c>
      <c r="B146" s="23" t="s">
        <v>188</v>
      </c>
      <c r="C146" s="14">
        <v>41912</v>
      </c>
      <c r="D146" s="10" t="s">
        <v>173</v>
      </c>
      <c r="E146" s="37" t="s">
        <v>42</v>
      </c>
      <c r="F146" s="9"/>
      <c r="G146" s="9">
        <v>132055000</v>
      </c>
      <c r="H146" s="5">
        <f t="shared" si="10"/>
        <v>0</v>
      </c>
      <c r="I146" s="5">
        <f t="shared" si="11"/>
        <v>4052001500</v>
      </c>
      <c r="J146" s="36">
        <f t="shared" si="12"/>
        <v>9</v>
      </c>
      <c r="K146" s="136" t="s">
        <v>255</v>
      </c>
      <c r="O146" s="107"/>
      <c r="P146" s="91"/>
      <c r="Q146" s="111"/>
      <c r="R146" s="108"/>
      <c r="S146" s="109"/>
      <c r="T146" s="109"/>
    </row>
    <row r="147" spans="1:20" ht="19.5" customHeight="1">
      <c r="A147" s="14">
        <v>41890</v>
      </c>
      <c r="B147" s="23" t="s">
        <v>185</v>
      </c>
      <c r="C147" s="14">
        <v>41890</v>
      </c>
      <c r="D147" s="10" t="s">
        <v>44</v>
      </c>
      <c r="E147" s="37" t="s">
        <v>45</v>
      </c>
      <c r="F147" s="9">
        <v>800000000</v>
      </c>
      <c r="G147" s="9"/>
      <c r="H147" s="5">
        <f t="shared" si="10"/>
        <v>0</v>
      </c>
      <c r="I147" s="5">
        <f t="shared" si="11"/>
        <v>3252001500</v>
      </c>
      <c r="J147" s="36">
        <f t="shared" si="12"/>
        <v>9</v>
      </c>
      <c r="O147" s="107"/>
      <c r="P147" s="91"/>
      <c r="Q147" s="111"/>
      <c r="R147" s="108"/>
      <c r="S147" s="109"/>
      <c r="T147" s="109"/>
    </row>
    <row r="148" spans="1:20" ht="19.5" customHeight="1">
      <c r="A148" s="14">
        <v>41897</v>
      </c>
      <c r="B148" s="23" t="s">
        <v>61</v>
      </c>
      <c r="C148" s="14">
        <v>41897</v>
      </c>
      <c r="D148" s="10" t="s">
        <v>44</v>
      </c>
      <c r="E148" s="37" t="s">
        <v>45</v>
      </c>
      <c r="F148" s="9">
        <v>800000000</v>
      </c>
      <c r="G148" s="9"/>
      <c r="H148" s="5">
        <f t="shared" si="10"/>
        <v>0</v>
      </c>
      <c r="I148" s="5">
        <f t="shared" si="11"/>
        <v>2452001500</v>
      </c>
      <c r="J148" s="36">
        <f t="shared" si="12"/>
        <v>9</v>
      </c>
      <c r="O148" s="107"/>
      <c r="P148" s="91"/>
      <c r="Q148" s="111"/>
      <c r="R148" s="108"/>
      <c r="S148" s="109"/>
      <c r="T148" s="109"/>
    </row>
    <row r="149" spans="1:20" ht="19.5" customHeight="1">
      <c r="A149" s="14">
        <v>41899</v>
      </c>
      <c r="B149" s="23" t="s">
        <v>66</v>
      </c>
      <c r="C149" s="14">
        <v>41899</v>
      </c>
      <c r="D149" s="10" t="s">
        <v>44</v>
      </c>
      <c r="E149" s="37" t="s">
        <v>45</v>
      </c>
      <c r="F149" s="9">
        <v>800000000</v>
      </c>
      <c r="G149" s="9"/>
      <c r="H149" s="5">
        <f t="shared" si="10"/>
        <v>0</v>
      </c>
      <c r="I149" s="5">
        <f t="shared" si="11"/>
        <v>1652001500</v>
      </c>
      <c r="J149" s="36">
        <f t="shared" si="12"/>
        <v>9</v>
      </c>
      <c r="O149" s="107"/>
      <c r="P149" s="91"/>
      <c r="Q149" s="111"/>
      <c r="R149" s="108"/>
      <c r="S149" s="109"/>
      <c r="T149" s="109"/>
    </row>
    <row r="150" spans="1:20" ht="19.5" customHeight="1">
      <c r="A150" s="14">
        <v>41905</v>
      </c>
      <c r="B150" s="23" t="s">
        <v>55</v>
      </c>
      <c r="C150" s="14">
        <v>41905</v>
      </c>
      <c r="D150" s="10" t="s">
        <v>44</v>
      </c>
      <c r="E150" s="37" t="s">
        <v>45</v>
      </c>
      <c r="F150" s="9">
        <v>800000000</v>
      </c>
      <c r="G150" s="9"/>
      <c r="H150" s="5">
        <f t="shared" si="10"/>
        <v>0</v>
      </c>
      <c r="I150" s="5">
        <f t="shared" si="11"/>
        <v>852001500</v>
      </c>
      <c r="J150" s="36">
        <f t="shared" si="12"/>
        <v>9</v>
      </c>
      <c r="O150" s="107"/>
      <c r="P150" s="91"/>
      <c r="Q150" s="111"/>
      <c r="R150" s="108"/>
      <c r="S150" s="109"/>
      <c r="T150" s="109"/>
    </row>
    <row r="151" spans="1:20" ht="19.5" customHeight="1">
      <c r="A151" s="14">
        <v>41910</v>
      </c>
      <c r="B151" s="23" t="s">
        <v>177</v>
      </c>
      <c r="C151" s="14">
        <v>41910</v>
      </c>
      <c r="D151" s="10" t="s">
        <v>44</v>
      </c>
      <c r="E151" s="37" t="s">
        <v>45</v>
      </c>
      <c r="F151" s="9">
        <v>900000000</v>
      </c>
      <c r="G151" s="9"/>
      <c r="H151" s="5">
        <f t="shared" si="10"/>
        <v>47998500</v>
      </c>
      <c r="I151" s="5">
        <f t="shared" si="11"/>
        <v>0</v>
      </c>
      <c r="J151" s="36">
        <f t="shared" si="12"/>
        <v>9</v>
      </c>
      <c r="O151" s="107"/>
      <c r="P151" s="91"/>
      <c r="Q151" s="111"/>
      <c r="R151" s="108"/>
      <c r="S151" s="109"/>
      <c r="T151" s="109"/>
    </row>
    <row r="152" spans="1:20" ht="19.5" customHeight="1">
      <c r="A152" s="14">
        <v>41943</v>
      </c>
      <c r="B152" s="23" t="s">
        <v>190</v>
      </c>
      <c r="C152" s="14">
        <v>41943</v>
      </c>
      <c r="D152" s="10" t="s">
        <v>164</v>
      </c>
      <c r="E152" s="37" t="s">
        <v>42</v>
      </c>
      <c r="F152" s="9"/>
      <c r="G152" s="9">
        <v>363067500</v>
      </c>
      <c r="H152" s="5">
        <f t="shared" si="10"/>
        <v>0</v>
      </c>
      <c r="I152" s="5">
        <f t="shared" si="11"/>
        <v>315069000</v>
      </c>
      <c r="J152" s="36">
        <f t="shared" si="12"/>
        <v>10</v>
      </c>
      <c r="K152" s="136" t="s">
        <v>280</v>
      </c>
      <c r="O152" s="107"/>
      <c r="P152" s="91"/>
      <c r="Q152" s="111"/>
      <c r="R152" s="108"/>
      <c r="S152" s="109"/>
      <c r="T152" s="109"/>
    </row>
    <row r="153" spans="1:20" ht="19.5" customHeight="1">
      <c r="A153" s="14">
        <v>41943</v>
      </c>
      <c r="B153" s="23" t="s">
        <v>190</v>
      </c>
      <c r="C153" s="14">
        <v>41943</v>
      </c>
      <c r="D153" s="10" t="s">
        <v>165</v>
      </c>
      <c r="E153" s="37" t="s">
        <v>42</v>
      </c>
      <c r="F153" s="9"/>
      <c r="G153" s="9">
        <v>238575000</v>
      </c>
      <c r="H153" s="5">
        <f t="shared" si="10"/>
        <v>0</v>
      </c>
      <c r="I153" s="5">
        <f t="shared" si="11"/>
        <v>553644000</v>
      </c>
      <c r="J153" s="36">
        <f t="shared" si="12"/>
        <v>10</v>
      </c>
      <c r="K153" s="136" t="s">
        <v>281</v>
      </c>
      <c r="O153" s="107"/>
      <c r="P153" s="91"/>
      <c r="Q153" s="111"/>
      <c r="R153" s="108"/>
      <c r="S153" s="109"/>
      <c r="T153" s="109"/>
    </row>
    <row r="154" spans="1:20" ht="19.5" customHeight="1">
      <c r="A154" s="14">
        <v>41943</v>
      </c>
      <c r="B154" s="23" t="s">
        <v>190</v>
      </c>
      <c r="C154" s="14">
        <v>41943</v>
      </c>
      <c r="D154" s="10" t="s">
        <v>152</v>
      </c>
      <c r="E154" s="37" t="s">
        <v>42</v>
      </c>
      <c r="F154" s="9"/>
      <c r="G154" s="9">
        <v>144820000</v>
      </c>
      <c r="H154" s="5">
        <f t="shared" si="10"/>
        <v>0</v>
      </c>
      <c r="I154" s="5">
        <f t="shared" si="11"/>
        <v>698464000</v>
      </c>
      <c r="J154" s="36">
        <f t="shared" si="12"/>
        <v>10</v>
      </c>
      <c r="K154" s="136" t="s">
        <v>282</v>
      </c>
      <c r="O154" s="107"/>
      <c r="P154" s="91"/>
      <c r="Q154" s="111"/>
      <c r="R154" s="108"/>
      <c r="S154" s="109"/>
      <c r="T154" s="109"/>
    </row>
    <row r="155" spans="1:20" ht="19.5" customHeight="1">
      <c r="A155" s="14">
        <v>41943</v>
      </c>
      <c r="B155" s="23" t="s">
        <v>190</v>
      </c>
      <c r="C155" s="14">
        <v>41943</v>
      </c>
      <c r="D155" s="10" t="s">
        <v>166</v>
      </c>
      <c r="E155" s="37" t="s">
        <v>42</v>
      </c>
      <c r="F155" s="9"/>
      <c r="G155" s="9">
        <v>151320000</v>
      </c>
      <c r="H155" s="5">
        <f t="shared" si="10"/>
        <v>0</v>
      </c>
      <c r="I155" s="5">
        <f t="shared" si="11"/>
        <v>849784000</v>
      </c>
      <c r="J155" s="36">
        <f t="shared" si="12"/>
        <v>10</v>
      </c>
      <c r="K155" s="136" t="s">
        <v>283</v>
      </c>
      <c r="O155" s="107"/>
      <c r="P155" s="91"/>
      <c r="Q155" s="111"/>
      <c r="R155" s="108"/>
      <c r="S155" s="109"/>
      <c r="T155" s="109"/>
    </row>
    <row r="156" spans="1:20" ht="19.5" customHeight="1">
      <c r="A156" s="14">
        <v>41943</v>
      </c>
      <c r="B156" s="23" t="s">
        <v>190</v>
      </c>
      <c r="C156" s="14">
        <v>41943</v>
      </c>
      <c r="D156" s="10" t="s">
        <v>153</v>
      </c>
      <c r="E156" s="37" t="s">
        <v>42</v>
      </c>
      <c r="F156" s="9"/>
      <c r="G156" s="9">
        <v>420188000</v>
      </c>
      <c r="H156" s="5">
        <f t="shared" si="10"/>
        <v>0</v>
      </c>
      <c r="I156" s="5">
        <f t="shared" si="11"/>
        <v>1269972000</v>
      </c>
      <c r="J156" s="36">
        <f t="shared" si="12"/>
        <v>10</v>
      </c>
      <c r="K156" s="136" t="s">
        <v>284</v>
      </c>
      <c r="O156" s="107"/>
      <c r="P156" s="91"/>
      <c r="Q156" s="111"/>
      <c r="R156" s="108"/>
      <c r="S156" s="109"/>
      <c r="T156" s="109"/>
    </row>
    <row r="157" spans="1:20" ht="19.5" customHeight="1">
      <c r="A157" s="14">
        <v>41943</v>
      </c>
      <c r="B157" s="23" t="s">
        <v>190</v>
      </c>
      <c r="C157" s="14">
        <v>41943</v>
      </c>
      <c r="D157" s="10" t="s">
        <v>46</v>
      </c>
      <c r="E157" s="37" t="s">
        <v>42</v>
      </c>
      <c r="F157" s="9"/>
      <c r="G157" s="9">
        <v>231725000</v>
      </c>
      <c r="H157" s="5">
        <f t="shared" si="10"/>
        <v>0</v>
      </c>
      <c r="I157" s="5">
        <f t="shared" si="11"/>
        <v>1501697000</v>
      </c>
      <c r="J157" s="36">
        <f t="shared" si="12"/>
        <v>10</v>
      </c>
      <c r="K157" s="136" t="s">
        <v>285</v>
      </c>
      <c r="O157" s="107"/>
      <c r="P157" s="91"/>
      <c r="Q157" s="111"/>
      <c r="R157" s="108"/>
      <c r="S157" s="109"/>
      <c r="T157" s="109"/>
    </row>
    <row r="158" spans="1:20" ht="19.5" customHeight="1">
      <c r="A158" s="14">
        <v>41943</v>
      </c>
      <c r="B158" s="23" t="s">
        <v>190</v>
      </c>
      <c r="C158" s="14">
        <v>41943</v>
      </c>
      <c r="D158" s="10" t="s">
        <v>52</v>
      </c>
      <c r="E158" s="37" t="s">
        <v>42</v>
      </c>
      <c r="F158" s="9"/>
      <c r="G158" s="9">
        <v>275576000</v>
      </c>
      <c r="H158" s="5">
        <f t="shared" si="10"/>
        <v>0</v>
      </c>
      <c r="I158" s="5">
        <f t="shared" si="11"/>
        <v>1777273000</v>
      </c>
      <c r="J158" s="36">
        <f t="shared" si="12"/>
        <v>10</v>
      </c>
      <c r="K158" s="136" t="s">
        <v>286</v>
      </c>
      <c r="O158" s="107"/>
      <c r="P158" s="91"/>
      <c r="Q158" s="111"/>
      <c r="R158" s="108"/>
      <c r="S158" s="109"/>
      <c r="T158" s="109"/>
    </row>
    <row r="159" spans="1:20" ht="19.5" customHeight="1">
      <c r="A159" s="14">
        <v>41943</v>
      </c>
      <c r="B159" s="23" t="s">
        <v>190</v>
      </c>
      <c r="C159" s="14">
        <v>41943</v>
      </c>
      <c r="D159" s="10" t="s">
        <v>167</v>
      </c>
      <c r="E159" s="37" t="s">
        <v>42</v>
      </c>
      <c r="F159" s="9"/>
      <c r="G159" s="9">
        <v>355691000</v>
      </c>
      <c r="H159" s="5">
        <f t="shared" si="10"/>
        <v>0</v>
      </c>
      <c r="I159" s="5">
        <f t="shared" si="11"/>
        <v>2132964000</v>
      </c>
      <c r="J159" s="36">
        <f t="shared" si="12"/>
        <v>10</v>
      </c>
      <c r="K159" s="136" t="s">
        <v>287</v>
      </c>
      <c r="O159" s="107"/>
      <c r="P159" s="91"/>
      <c r="Q159" s="111"/>
      <c r="R159" s="108"/>
      <c r="S159" s="109"/>
      <c r="T159" s="109"/>
    </row>
    <row r="160" spans="1:20" ht="19.5" customHeight="1">
      <c r="A160" s="14">
        <v>41943</v>
      </c>
      <c r="B160" s="23" t="s">
        <v>190</v>
      </c>
      <c r="C160" s="14">
        <v>41943</v>
      </c>
      <c r="D160" s="10" t="s">
        <v>50</v>
      </c>
      <c r="E160" s="37" t="s">
        <v>42</v>
      </c>
      <c r="F160" s="9"/>
      <c r="G160" s="9">
        <v>85870000</v>
      </c>
      <c r="H160" s="5">
        <f t="shared" si="10"/>
        <v>0</v>
      </c>
      <c r="I160" s="5">
        <f t="shared" si="11"/>
        <v>2218834000</v>
      </c>
      <c r="J160" s="36">
        <f t="shared" si="12"/>
        <v>10</v>
      </c>
      <c r="K160" s="136" t="s">
        <v>224</v>
      </c>
      <c r="O160" s="107"/>
      <c r="P160" s="91"/>
      <c r="Q160" s="111"/>
      <c r="R160" s="108"/>
      <c r="S160" s="109"/>
      <c r="T160" s="109"/>
    </row>
    <row r="161" spans="1:20" ht="19.5" customHeight="1">
      <c r="A161" s="14">
        <v>41943</v>
      </c>
      <c r="B161" s="23" t="s">
        <v>190</v>
      </c>
      <c r="C161" s="14">
        <v>41943</v>
      </c>
      <c r="D161" s="10" t="s">
        <v>168</v>
      </c>
      <c r="E161" s="37" t="s">
        <v>42</v>
      </c>
      <c r="F161" s="9"/>
      <c r="G161" s="9">
        <v>277165000</v>
      </c>
      <c r="H161" s="5">
        <f t="shared" si="10"/>
        <v>0</v>
      </c>
      <c r="I161" s="5">
        <f t="shared" si="11"/>
        <v>2495999000</v>
      </c>
      <c r="J161" s="36">
        <f t="shared" si="12"/>
        <v>10</v>
      </c>
      <c r="K161" s="136" t="s">
        <v>288</v>
      </c>
      <c r="O161" s="107"/>
      <c r="P161" s="91"/>
      <c r="Q161" s="111"/>
      <c r="R161" s="108"/>
      <c r="S161" s="109"/>
      <c r="T161" s="109"/>
    </row>
    <row r="162" spans="1:20" ht="19.5" customHeight="1">
      <c r="A162" s="14">
        <v>41943</v>
      </c>
      <c r="B162" s="23" t="s">
        <v>190</v>
      </c>
      <c r="C162" s="14">
        <v>41943</v>
      </c>
      <c r="D162" s="10" t="s">
        <v>169</v>
      </c>
      <c r="E162" s="37" t="s">
        <v>42</v>
      </c>
      <c r="F162" s="9"/>
      <c r="G162" s="9">
        <v>271420000</v>
      </c>
      <c r="H162" s="5">
        <f t="shared" si="10"/>
        <v>0</v>
      </c>
      <c r="I162" s="5">
        <f t="shared" si="11"/>
        <v>2767419000</v>
      </c>
      <c r="J162" s="36">
        <f t="shared" si="12"/>
        <v>10</v>
      </c>
      <c r="K162" s="136" t="s">
        <v>289</v>
      </c>
      <c r="O162" s="107"/>
      <c r="P162" s="91"/>
      <c r="Q162" s="111"/>
      <c r="R162" s="108"/>
      <c r="S162" s="109"/>
      <c r="T162" s="109"/>
    </row>
    <row r="163" spans="1:20" ht="19.5" customHeight="1">
      <c r="A163" s="14">
        <v>41943</v>
      </c>
      <c r="B163" s="23" t="s">
        <v>190</v>
      </c>
      <c r="C163" s="14">
        <v>41943</v>
      </c>
      <c r="D163" s="10" t="s">
        <v>170</v>
      </c>
      <c r="E163" s="37" t="s">
        <v>42</v>
      </c>
      <c r="F163" s="9"/>
      <c r="G163" s="9">
        <v>116375000</v>
      </c>
      <c r="H163" s="5">
        <f t="shared" si="10"/>
        <v>0</v>
      </c>
      <c r="I163" s="5">
        <f t="shared" si="11"/>
        <v>2883794000</v>
      </c>
      <c r="J163" s="36">
        <f t="shared" si="12"/>
        <v>10</v>
      </c>
      <c r="K163" s="136" t="s">
        <v>240</v>
      </c>
      <c r="O163" s="107"/>
      <c r="P163" s="91"/>
      <c r="Q163" s="111"/>
      <c r="R163" s="108"/>
      <c r="S163" s="109"/>
      <c r="T163" s="109"/>
    </row>
    <row r="164" spans="1:20" ht="19.5" customHeight="1">
      <c r="A164" s="14">
        <v>41943</v>
      </c>
      <c r="B164" s="23" t="s">
        <v>190</v>
      </c>
      <c r="C164" s="14">
        <v>41943</v>
      </c>
      <c r="D164" s="10" t="s">
        <v>171</v>
      </c>
      <c r="E164" s="37" t="s">
        <v>42</v>
      </c>
      <c r="F164" s="9"/>
      <c r="G164" s="9">
        <v>80755000</v>
      </c>
      <c r="H164" s="5">
        <f t="shared" si="10"/>
        <v>0</v>
      </c>
      <c r="I164" s="5">
        <f t="shared" si="11"/>
        <v>2964549000</v>
      </c>
      <c r="J164" s="36">
        <f t="shared" si="12"/>
        <v>10</v>
      </c>
      <c r="K164" s="136" t="s">
        <v>290</v>
      </c>
      <c r="O164" s="107"/>
      <c r="P164" s="91"/>
      <c r="Q164" s="111"/>
      <c r="R164" s="108"/>
      <c r="S164" s="109"/>
      <c r="T164" s="109"/>
    </row>
    <row r="165" spans="1:20" ht="19.5" customHeight="1">
      <c r="A165" s="14">
        <v>41943</v>
      </c>
      <c r="B165" s="23" t="s">
        <v>190</v>
      </c>
      <c r="C165" s="14">
        <v>41943</v>
      </c>
      <c r="D165" s="10" t="s">
        <v>33</v>
      </c>
      <c r="E165" s="37" t="s">
        <v>42</v>
      </c>
      <c r="F165" s="9"/>
      <c r="G165" s="9">
        <v>121765000</v>
      </c>
      <c r="H165" s="5">
        <f t="shared" si="10"/>
        <v>0</v>
      </c>
      <c r="I165" s="5">
        <f t="shared" si="11"/>
        <v>3086314000</v>
      </c>
      <c r="J165" s="36">
        <f t="shared" si="12"/>
        <v>10</v>
      </c>
      <c r="K165" s="136" t="s">
        <v>204</v>
      </c>
      <c r="O165" s="107"/>
      <c r="P165" s="91"/>
      <c r="Q165" s="111"/>
      <c r="R165" s="108"/>
      <c r="S165" s="109"/>
      <c r="T165" s="109"/>
    </row>
    <row r="166" spans="1:20" ht="19.5" customHeight="1">
      <c r="A166" s="14">
        <v>41943</v>
      </c>
      <c r="B166" s="23" t="s">
        <v>190</v>
      </c>
      <c r="C166" s="14">
        <v>41943</v>
      </c>
      <c r="D166" s="10" t="s">
        <v>181</v>
      </c>
      <c r="E166" s="37" t="s">
        <v>42</v>
      </c>
      <c r="F166" s="9"/>
      <c r="G166" s="9">
        <v>234515000</v>
      </c>
      <c r="H166" s="5">
        <f t="shared" si="10"/>
        <v>0</v>
      </c>
      <c r="I166" s="5">
        <f t="shared" si="11"/>
        <v>3320829000</v>
      </c>
      <c r="J166" s="36">
        <f t="shared" si="12"/>
        <v>10</v>
      </c>
      <c r="K166" s="136" t="s">
        <v>291</v>
      </c>
      <c r="O166" s="107"/>
      <c r="P166" s="91"/>
      <c r="Q166" s="111"/>
      <c r="R166" s="108"/>
      <c r="S166" s="109"/>
      <c r="T166" s="109"/>
    </row>
    <row r="167" spans="1:20" ht="19.5" customHeight="1">
      <c r="A167" s="14">
        <v>41943</v>
      </c>
      <c r="B167" s="23" t="s">
        <v>190</v>
      </c>
      <c r="C167" s="14">
        <v>41943</v>
      </c>
      <c r="D167" s="10" t="s">
        <v>53</v>
      </c>
      <c r="E167" s="37" t="s">
        <v>42</v>
      </c>
      <c r="F167" s="9"/>
      <c r="G167" s="9">
        <v>122010000</v>
      </c>
      <c r="H167" s="5">
        <f t="shared" si="10"/>
        <v>0</v>
      </c>
      <c r="I167" s="5">
        <f t="shared" si="11"/>
        <v>3442839000</v>
      </c>
      <c r="J167" s="36">
        <f t="shared" si="12"/>
        <v>10</v>
      </c>
      <c r="K167" s="136" t="s">
        <v>265</v>
      </c>
      <c r="O167" s="107"/>
      <c r="P167" s="91"/>
      <c r="Q167" s="111"/>
      <c r="R167" s="108"/>
      <c r="S167" s="109"/>
      <c r="T167" s="109"/>
    </row>
    <row r="168" spans="1:20" ht="19.5" customHeight="1">
      <c r="A168" s="14">
        <v>41943</v>
      </c>
      <c r="B168" s="23" t="s">
        <v>190</v>
      </c>
      <c r="C168" s="14">
        <v>41943</v>
      </c>
      <c r="D168" s="10" t="s">
        <v>173</v>
      </c>
      <c r="E168" s="37" t="s">
        <v>42</v>
      </c>
      <c r="F168" s="9"/>
      <c r="G168" s="9">
        <v>209350000</v>
      </c>
      <c r="H168" s="5">
        <f t="shared" si="10"/>
        <v>0</v>
      </c>
      <c r="I168" s="5">
        <f t="shared" si="11"/>
        <v>3652189000</v>
      </c>
      <c r="J168" s="36">
        <f t="shared" si="12"/>
        <v>10</v>
      </c>
      <c r="K168" s="136" t="s">
        <v>292</v>
      </c>
      <c r="O168" s="107"/>
      <c r="P168" s="91"/>
      <c r="Q168" s="111"/>
      <c r="R168" s="108"/>
      <c r="S168" s="109"/>
      <c r="T168" s="109"/>
    </row>
    <row r="169" spans="1:20" ht="19.5" customHeight="1">
      <c r="A169" s="14">
        <v>41918</v>
      </c>
      <c r="B169" s="23" t="s">
        <v>157</v>
      </c>
      <c r="C169" s="14">
        <v>41918</v>
      </c>
      <c r="D169" s="10" t="s">
        <v>44</v>
      </c>
      <c r="E169" s="37" t="s">
        <v>45</v>
      </c>
      <c r="F169" s="9">
        <v>650000000</v>
      </c>
      <c r="G169" s="9"/>
      <c r="H169" s="5">
        <f t="shared" si="10"/>
        <v>0</v>
      </c>
      <c r="I169" s="5">
        <f t="shared" si="11"/>
        <v>3002189000</v>
      </c>
      <c r="J169" s="36">
        <f t="shared" si="12"/>
        <v>10</v>
      </c>
      <c r="O169" s="107"/>
      <c r="P169" s="91"/>
      <c r="Q169" s="111"/>
      <c r="R169" s="108"/>
      <c r="S169" s="109"/>
      <c r="T169" s="109"/>
    </row>
    <row r="170" spans="1:20" ht="19.5" customHeight="1">
      <c r="A170" s="14">
        <v>41921</v>
      </c>
      <c r="B170" s="23" t="s">
        <v>185</v>
      </c>
      <c r="C170" s="14">
        <v>41921</v>
      </c>
      <c r="D170" s="10" t="s">
        <v>44</v>
      </c>
      <c r="E170" s="37" t="s">
        <v>45</v>
      </c>
      <c r="F170" s="9">
        <v>650000000</v>
      </c>
      <c r="G170" s="9"/>
      <c r="H170" s="5">
        <f t="shared" si="10"/>
        <v>0</v>
      </c>
      <c r="I170" s="5">
        <f t="shared" si="11"/>
        <v>2352189000</v>
      </c>
      <c r="J170" s="36">
        <f t="shared" si="12"/>
        <v>10</v>
      </c>
      <c r="O170" s="107"/>
      <c r="P170" s="91"/>
      <c r="Q170" s="111"/>
      <c r="R170" s="108"/>
      <c r="S170" s="109"/>
      <c r="T170" s="109"/>
    </row>
    <row r="171" spans="1:20" ht="19.5" customHeight="1">
      <c r="A171" s="14">
        <v>41922</v>
      </c>
      <c r="B171" s="23" t="s">
        <v>174</v>
      </c>
      <c r="C171" s="14">
        <v>41922</v>
      </c>
      <c r="D171" s="10" t="s">
        <v>44</v>
      </c>
      <c r="E171" s="37" t="s">
        <v>45</v>
      </c>
      <c r="F171" s="9">
        <v>800000000</v>
      </c>
      <c r="G171" s="9"/>
      <c r="H171" s="5">
        <f t="shared" si="10"/>
        <v>0</v>
      </c>
      <c r="I171" s="5">
        <f t="shared" si="11"/>
        <v>1552189000</v>
      </c>
      <c r="J171" s="36">
        <f t="shared" si="12"/>
        <v>10</v>
      </c>
      <c r="O171" s="107"/>
      <c r="P171" s="91"/>
      <c r="Q171" s="111"/>
      <c r="R171" s="108"/>
      <c r="S171" s="109"/>
      <c r="T171" s="109"/>
    </row>
    <row r="172" spans="1:20" ht="19.5" customHeight="1">
      <c r="A172" s="14">
        <v>41928</v>
      </c>
      <c r="B172" s="23" t="s">
        <v>62</v>
      </c>
      <c r="C172" s="14">
        <v>41928</v>
      </c>
      <c r="D172" s="10" t="s">
        <v>44</v>
      </c>
      <c r="E172" s="37" t="s">
        <v>45</v>
      </c>
      <c r="F172" s="9">
        <v>800000000</v>
      </c>
      <c r="G172" s="9"/>
      <c r="H172" s="5">
        <f t="shared" si="10"/>
        <v>0</v>
      </c>
      <c r="I172" s="5">
        <f t="shared" si="11"/>
        <v>752189000</v>
      </c>
      <c r="J172" s="36">
        <f t="shared" si="12"/>
        <v>10</v>
      </c>
      <c r="O172" s="107"/>
      <c r="P172" s="91"/>
      <c r="Q172" s="111"/>
      <c r="R172" s="108"/>
      <c r="S172" s="109"/>
      <c r="T172" s="109"/>
    </row>
    <row r="173" spans="1:20" ht="19.5" customHeight="1">
      <c r="A173" s="14">
        <v>41939</v>
      </c>
      <c r="B173" s="23" t="s">
        <v>177</v>
      </c>
      <c r="C173" s="14">
        <v>41939</v>
      </c>
      <c r="D173" s="10" t="s">
        <v>44</v>
      </c>
      <c r="E173" s="37" t="s">
        <v>45</v>
      </c>
      <c r="F173" s="9">
        <v>800000000</v>
      </c>
      <c r="G173" s="9"/>
      <c r="H173" s="5">
        <f t="shared" si="10"/>
        <v>47811000</v>
      </c>
      <c r="I173" s="5">
        <f t="shared" si="11"/>
        <v>0</v>
      </c>
      <c r="J173" s="36">
        <f t="shared" si="12"/>
        <v>10</v>
      </c>
      <c r="O173" s="107"/>
      <c r="P173" s="91"/>
      <c r="Q173" s="111"/>
      <c r="R173" s="108"/>
      <c r="S173" s="109"/>
      <c r="T173" s="109"/>
    </row>
    <row r="174" spans="1:20" ht="19.5" customHeight="1">
      <c r="A174" s="14">
        <v>41973</v>
      </c>
      <c r="B174" s="23" t="s">
        <v>191</v>
      </c>
      <c r="C174" s="14">
        <v>41973</v>
      </c>
      <c r="D174" s="10" t="s">
        <v>164</v>
      </c>
      <c r="E174" s="37" t="s">
        <v>42</v>
      </c>
      <c r="F174" s="9"/>
      <c r="G174" s="9">
        <v>234355500</v>
      </c>
      <c r="H174" s="5">
        <f t="shared" si="10"/>
        <v>0</v>
      </c>
      <c r="I174" s="5">
        <f t="shared" si="11"/>
        <v>186544500</v>
      </c>
      <c r="J174" s="36">
        <f t="shared" si="12"/>
        <v>11</v>
      </c>
      <c r="K174" s="136" t="s">
        <v>293</v>
      </c>
      <c r="O174" s="107"/>
      <c r="P174" s="91"/>
      <c r="Q174" s="111"/>
      <c r="R174" s="108"/>
      <c r="S174" s="109"/>
      <c r="T174" s="109"/>
    </row>
    <row r="175" spans="1:20" ht="19.5" customHeight="1">
      <c r="A175" s="14">
        <v>41973</v>
      </c>
      <c r="B175" s="23" t="s">
        <v>191</v>
      </c>
      <c r="C175" s="14">
        <v>41973</v>
      </c>
      <c r="D175" s="10" t="s">
        <v>165</v>
      </c>
      <c r="E175" s="37" t="s">
        <v>42</v>
      </c>
      <c r="F175" s="9"/>
      <c r="G175" s="9">
        <v>229740500</v>
      </c>
      <c r="H175" s="5">
        <f t="shared" si="10"/>
        <v>0</v>
      </c>
      <c r="I175" s="5">
        <f t="shared" si="11"/>
        <v>416285000</v>
      </c>
      <c r="J175" s="36">
        <f t="shared" si="12"/>
        <v>11</v>
      </c>
      <c r="K175" s="136" t="s">
        <v>294</v>
      </c>
      <c r="O175" s="107"/>
      <c r="P175" s="91"/>
      <c r="Q175" s="111"/>
      <c r="R175" s="108"/>
      <c r="S175" s="109"/>
      <c r="T175" s="109"/>
    </row>
    <row r="176" spans="1:20" ht="19.5" customHeight="1">
      <c r="A176" s="14">
        <v>41973</v>
      </c>
      <c r="B176" s="23" t="s">
        <v>191</v>
      </c>
      <c r="C176" s="14">
        <v>41973</v>
      </c>
      <c r="D176" s="10" t="s">
        <v>49</v>
      </c>
      <c r="E176" s="37" t="s">
        <v>42</v>
      </c>
      <c r="F176" s="9"/>
      <c r="G176" s="9">
        <v>83305500</v>
      </c>
      <c r="H176" s="5">
        <f t="shared" si="10"/>
        <v>0</v>
      </c>
      <c r="I176" s="5">
        <f t="shared" si="11"/>
        <v>499590500</v>
      </c>
      <c r="J176" s="36">
        <f t="shared" si="12"/>
        <v>11</v>
      </c>
      <c r="K176" s="136" t="s">
        <v>295</v>
      </c>
      <c r="O176" s="107"/>
      <c r="P176" s="91"/>
      <c r="Q176" s="111"/>
      <c r="R176" s="108"/>
      <c r="S176" s="109"/>
      <c r="T176" s="109"/>
    </row>
    <row r="177" spans="1:20" ht="19.5" customHeight="1">
      <c r="A177" s="14">
        <v>41973</v>
      </c>
      <c r="B177" s="23" t="s">
        <v>191</v>
      </c>
      <c r="C177" s="14">
        <v>41973</v>
      </c>
      <c r="D177" s="10" t="s">
        <v>153</v>
      </c>
      <c r="E177" s="37" t="s">
        <v>42</v>
      </c>
      <c r="F177" s="9"/>
      <c r="G177" s="9">
        <v>206972500</v>
      </c>
      <c r="H177" s="5">
        <f t="shared" si="10"/>
        <v>0</v>
      </c>
      <c r="I177" s="5">
        <f t="shared" si="11"/>
        <v>706563000</v>
      </c>
      <c r="J177" s="36">
        <f t="shared" si="12"/>
        <v>11</v>
      </c>
      <c r="K177" s="136" t="s">
        <v>296</v>
      </c>
      <c r="O177" s="107"/>
      <c r="P177" s="91"/>
      <c r="Q177" s="111"/>
      <c r="R177" s="108"/>
      <c r="S177" s="109"/>
      <c r="T177" s="109"/>
    </row>
    <row r="178" spans="1:20" ht="19.5" customHeight="1">
      <c r="A178" s="14">
        <v>41973</v>
      </c>
      <c r="B178" s="23" t="s">
        <v>191</v>
      </c>
      <c r="C178" s="14">
        <v>41973</v>
      </c>
      <c r="D178" s="10" t="s">
        <v>46</v>
      </c>
      <c r="E178" s="37" t="s">
        <v>42</v>
      </c>
      <c r="F178" s="9"/>
      <c r="G178" s="9">
        <v>263033500</v>
      </c>
      <c r="H178" s="5">
        <f t="shared" si="10"/>
        <v>0</v>
      </c>
      <c r="I178" s="5">
        <f t="shared" si="11"/>
        <v>969596500</v>
      </c>
      <c r="J178" s="36">
        <f t="shared" si="12"/>
        <v>11</v>
      </c>
      <c r="K178" s="136" t="s">
        <v>297</v>
      </c>
      <c r="O178" s="107"/>
      <c r="P178" s="91"/>
      <c r="Q178" s="111"/>
      <c r="R178" s="108"/>
      <c r="S178" s="109"/>
      <c r="T178" s="109"/>
    </row>
    <row r="179" spans="1:20" ht="19.5" customHeight="1">
      <c r="A179" s="14">
        <v>41973</v>
      </c>
      <c r="B179" s="23" t="s">
        <v>191</v>
      </c>
      <c r="C179" s="14">
        <v>41973</v>
      </c>
      <c r="D179" s="10" t="s">
        <v>52</v>
      </c>
      <c r="E179" s="37" t="s">
        <v>42</v>
      </c>
      <c r="F179" s="9"/>
      <c r="G179" s="9">
        <v>56023000</v>
      </c>
      <c r="H179" s="5">
        <f t="shared" si="10"/>
        <v>0</v>
      </c>
      <c r="I179" s="5">
        <f t="shared" si="11"/>
        <v>1025619500</v>
      </c>
      <c r="J179" s="36">
        <f t="shared" si="12"/>
        <v>11</v>
      </c>
      <c r="K179" s="136" t="s">
        <v>225</v>
      </c>
      <c r="O179" s="107"/>
      <c r="P179" s="91"/>
      <c r="Q179" s="111"/>
      <c r="R179" s="108"/>
      <c r="S179" s="109"/>
      <c r="T179" s="109"/>
    </row>
    <row r="180" spans="1:20" ht="19.5" customHeight="1">
      <c r="A180" s="14">
        <v>41973</v>
      </c>
      <c r="B180" s="23" t="s">
        <v>191</v>
      </c>
      <c r="C180" s="14">
        <v>41973</v>
      </c>
      <c r="D180" s="10" t="s">
        <v>167</v>
      </c>
      <c r="E180" s="37" t="s">
        <v>42</v>
      </c>
      <c r="F180" s="9"/>
      <c r="G180" s="9">
        <v>241443000</v>
      </c>
      <c r="H180" s="5">
        <f t="shared" si="10"/>
        <v>0</v>
      </c>
      <c r="I180" s="5">
        <f t="shared" si="11"/>
        <v>1267062500</v>
      </c>
      <c r="J180" s="36">
        <f t="shared" si="12"/>
        <v>11</v>
      </c>
      <c r="K180" s="136" t="s">
        <v>298</v>
      </c>
      <c r="O180" s="107"/>
      <c r="P180" s="91"/>
      <c r="Q180" s="111"/>
      <c r="R180" s="108"/>
      <c r="S180" s="109"/>
      <c r="T180" s="109"/>
    </row>
    <row r="181" spans="1:20" ht="19.5" customHeight="1">
      <c r="A181" s="14">
        <v>41973</v>
      </c>
      <c r="B181" s="23" t="s">
        <v>191</v>
      </c>
      <c r="C181" s="14">
        <v>41973</v>
      </c>
      <c r="D181" s="10" t="s">
        <v>50</v>
      </c>
      <c r="E181" s="37" t="s">
        <v>42</v>
      </c>
      <c r="F181" s="9"/>
      <c r="G181" s="9">
        <v>268498000</v>
      </c>
      <c r="H181" s="5">
        <f t="shared" si="10"/>
        <v>0</v>
      </c>
      <c r="I181" s="5">
        <f t="shared" si="11"/>
        <v>1535560500</v>
      </c>
      <c r="J181" s="36">
        <f t="shared" si="12"/>
        <v>11</v>
      </c>
      <c r="K181" s="136" t="s">
        <v>299</v>
      </c>
      <c r="O181" s="107"/>
      <c r="P181" s="91"/>
      <c r="Q181" s="111"/>
      <c r="R181" s="108"/>
      <c r="S181" s="109"/>
      <c r="T181" s="109"/>
    </row>
    <row r="182" spans="1:20" ht="19.5" customHeight="1">
      <c r="A182" s="14">
        <v>41973</v>
      </c>
      <c r="B182" s="23" t="s">
        <v>191</v>
      </c>
      <c r="C182" s="14">
        <v>41973</v>
      </c>
      <c r="D182" s="10" t="s">
        <v>168</v>
      </c>
      <c r="E182" s="37" t="s">
        <v>42</v>
      </c>
      <c r="F182" s="9"/>
      <c r="G182" s="9">
        <v>202500000</v>
      </c>
      <c r="H182" s="5">
        <f t="shared" si="10"/>
        <v>0</v>
      </c>
      <c r="I182" s="5">
        <f t="shared" si="11"/>
        <v>1738060500</v>
      </c>
      <c r="J182" s="36">
        <f t="shared" si="12"/>
        <v>11</v>
      </c>
      <c r="K182" s="136" t="s">
        <v>300</v>
      </c>
      <c r="O182" s="107"/>
      <c r="P182" s="91"/>
      <c r="Q182" s="111"/>
      <c r="R182" s="108"/>
      <c r="S182" s="109"/>
      <c r="T182" s="109"/>
    </row>
    <row r="183" spans="1:20" ht="19.5" customHeight="1">
      <c r="A183" s="14">
        <v>41973</v>
      </c>
      <c r="B183" s="23" t="s">
        <v>191</v>
      </c>
      <c r="C183" s="14">
        <v>41973</v>
      </c>
      <c r="D183" s="10" t="s">
        <v>169</v>
      </c>
      <c r="E183" s="37" t="s">
        <v>42</v>
      </c>
      <c r="F183" s="9"/>
      <c r="G183" s="9">
        <v>203200000</v>
      </c>
      <c r="H183" s="5">
        <f t="shared" si="10"/>
        <v>0</v>
      </c>
      <c r="I183" s="5">
        <f t="shared" si="11"/>
        <v>1941260500</v>
      </c>
      <c r="J183" s="36">
        <f t="shared" si="12"/>
        <v>11</v>
      </c>
      <c r="K183" s="136" t="s">
        <v>301</v>
      </c>
      <c r="O183" s="107"/>
      <c r="P183" s="91"/>
      <c r="Q183" s="111"/>
      <c r="R183" s="108"/>
      <c r="S183" s="109"/>
      <c r="T183" s="109"/>
    </row>
    <row r="184" spans="1:20" ht="19.5" customHeight="1">
      <c r="A184" s="14">
        <v>41973</v>
      </c>
      <c r="B184" s="23" t="s">
        <v>191</v>
      </c>
      <c r="C184" s="14">
        <v>41973</v>
      </c>
      <c r="D184" s="10" t="s">
        <v>170</v>
      </c>
      <c r="E184" s="37" t="s">
        <v>42</v>
      </c>
      <c r="F184" s="9"/>
      <c r="G184" s="9">
        <v>61644000</v>
      </c>
      <c r="H184" s="5">
        <f t="shared" si="10"/>
        <v>0</v>
      </c>
      <c r="I184" s="5">
        <f t="shared" si="11"/>
        <v>2002904500</v>
      </c>
      <c r="J184" s="36">
        <f t="shared" si="12"/>
        <v>11</v>
      </c>
      <c r="K184" s="136" t="s">
        <v>257</v>
      </c>
      <c r="O184" s="107"/>
      <c r="P184" s="91"/>
      <c r="Q184" s="111"/>
      <c r="R184" s="108"/>
      <c r="S184" s="109"/>
      <c r="T184" s="109"/>
    </row>
    <row r="185" spans="1:20" ht="19.5" customHeight="1">
      <c r="A185" s="14">
        <v>41973</v>
      </c>
      <c r="B185" s="23" t="s">
        <v>191</v>
      </c>
      <c r="C185" s="14">
        <v>41973</v>
      </c>
      <c r="D185" s="10" t="s">
        <v>171</v>
      </c>
      <c r="E185" s="37" t="s">
        <v>42</v>
      </c>
      <c r="F185" s="9"/>
      <c r="G185" s="9">
        <v>179913000</v>
      </c>
      <c r="H185" s="5">
        <f t="shared" si="10"/>
        <v>0</v>
      </c>
      <c r="I185" s="5">
        <f t="shared" si="11"/>
        <v>2182817500</v>
      </c>
      <c r="J185" s="36">
        <f t="shared" si="12"/>
        <v>11</v>
      </c>
      <c r="K185" s="136" t="s">
        <v>302</v>
      </c>
      <c r="O185" s="107"/>
      <c r="P185" s="91"/>
      <c r="Q185" s="111"/>
      <c r="R185" s="108"/>
      <c r="S185" s="109"/>
      <c r="T185" s="109"/>
    </row>
    <row r="186" spans="1:20" ht="19.5" customHeight="1">
      <c r="A186" s="14">
        <v>41973</v>
      </c>
      <c r="B186" s="23" t="s">
        <v>191</v>
      </c>
      <c r="C186" s="14">
        <v>41973</v>
      </c>
      <c r="D186" s="10" t="s">
        <v>33</v>
      </c>
      <c r="E186" s="37" t="s">
        <v>42</v>
      </c>
      <c r="F186" s="9"/>
      <c r="G186" s="9">
        <v>63173000</v>
      </c>
      <c r="H186" s="5">
        <f t="shared" si="10"/>
        <v>0</v>
      </c>
      <c r="I186" s="5">
        <f t="shared" si="11"/>
        <v>2245990500</v>
      </c>
      <c r="J186" s="36">
        <f t="shared" si="12"/>
        <v>11</v>
      </c>
      <c r="K186" s="136" t="s">
        <v>233</v>
      </c>
      <c r="O186" s="107"/>
      <c r="P186" s="91"/>
      <c r="Q186" s="111"/>
      <c r="R186" s="108"/>
      <c r="S186" s="109"/>
      <c r="T186" s="109"/>
    </row>
    <row r="187" spans="1:20" ht="19.5" customHeight="1">
      <c r="A187" s="14">
        <v>41973</v>
      </c>
      <c r="B187" s="23" t="s">
        <v>191</v>
      </c>
      <c r="C187" s="14">
        <v>41973</v>
      </c>
      <c r="D187" s="10" t="s">
        <v>181</v>
      </c>
      <c r="E187" s="37" t="s">
        <v>42</v>
      </c>
      <c r="F187" s="9"/>
      <c r="G187" s="9">
        <v>355337500</v>
      </c>
      <c r="H187" s="5">
        <f t="shared" si="10"/>
        <v>0</v>
      </c>
      <c r="I187" s="5">
        <f t="shared" si="11"/>
        <v>2601328000</v>
      </c>
      <c r="J187" s="36">
        <f t="shared" si="12"/>
        <v>11</v>
      </c>
      <c r="K187" s="136" t="s">
        <v>303</v>
      </c>
      <c r="O187" s="107"/>
      <c r="P187" s="91"/>
      <c r="Q187" s="111"/>
      <c r="R187" s="108"/>
      <c r="S187" s="109"/>
      <c r="T187" s="109"/>
    </row>
    <row r="188" spans="1:20" ht="19.5" customHeight="1">
      <c r="A188" s="14">
        <v>41973</v>
      </c>
      <c r="B188" s="23" t="s">
        <v>191</v>
      </c>
      <c r="C188" s="14">
        <v>41973</v>
      </c>
      <c r="D188" s="10" t="s">
        <v>53</v>
      </c>
      <c r="E188" s="37" t="s">
        <v>42</v>
      </c>
      <c r="F188" s="9"/>
      <c r="G188" s="9">
        <v>55803000</v>
      </c>
      <c r="H188" s="5">
        <f t="shared" si="10"/>
        <v>0</v>
      </c>
      <c r="I188" s="5">
        <f t="shared" si="11"/>
        <v>2657131000</v>
      </c>
      <c r="J188" s="36">
        <f t="shared" si="12"/>
        <v>11</v>
      </c>
      <c r="K188" s="136" t="s">
        <v>236</v>
      </c>
      <c r="O188" s="107"/>
      <c r="P188" s="91"/>
      <c r="Q188" s="111"/>
      <c r="R188" s="108"/>
      <c r="S188" s="109"/>
      <c r="T188" s="109"/>
    </row>
    <row r="189" spans="1:20" ht="19.5" customHeight="1">
      <c r="A189" s="14">
        <v>41973</v>
      </c>
      <c r="B189" s="23" t="s">
        <v>191</v>
      </c>
      <c r="C189" s="14">
        <v>41973</v>
      </c>
      <c r="D189" s="10" t="s">
        <v>173</v>
      </c>
      <c r="E189" s="37" t="s">
        <v>42</v>
      </c>
      <c r="F189" s="9"/>
      <c r="G189" s="9">
        <v>147797500</v>
      </c>
      <c r="H189" s="5">
        <f t="shared" si="10"/>
        <v>0</v>
      </c>
      <c r="I189" s="5">
        <f t="shared" si="11"/>
        <v>2804928500</v>
      </c>
      <c r="J189" s="36">
        <f t="shared" si="12"/>
        <v>11</v>
      </c>
      <c r="K189" s="136" t="s">
        <v>304</v>
      </c>
      <c r="O189" s="107"/>
      <c r="P189" s="91"/>
      <c r="Q189" s="111"/>
      <c r="R189" s="108"/>
      <c r="S189" s="109"/>
      <c r="T189" s="109"/>
    </row>
    <row r="190" spans="1:20" ht="19.5" customHeight="1">
      <c r="A190" s="14">
        <v>41946</v>
      </c>
      <c r="B190" s="23" t="s">
        <v>157</v>
      </c>
      <c r="C190" s="14">
        <v>41946</v>
      </c>
      <c r="D190" s="10" t="s">
        <v>44</v>
      </c>
      <c r="E190" s="37" t="s">
        <v>45</v>
      </c>
      <c r="F190" s="9">
        <v>600000000</v>
      </c>
      <c r="G190" s="9"/>
      <c r="H190" s="5">
        <f t="shared" si="10"/>
        <v>0</v>
      </c>
      <c r="I190" s="5">
        <f t="shared" si="11"/>
        <v>2204928500</v>
      </c>
      <c r="J190" s="36">
        <f t="shared" si="12"/>
        <v>11</v>
      </c>
      <c r="O190" s="107"/>
      <c r="P190" s="91"/>
      <c r="Q190" s="111"/>
      <c r="R190" s="108"/>
      <c r="S190" s="109"/>
      <c r="T190" s="109"/>
    </row>
    <row r="191" spans="1:20" ht="19.5" customHeight="1">
      <c r="A191" s="14">
        <v>41953</v>
      </c>
      <c r="B191" s="23" t="s">
        <v>54</v>
      </c>
      <c r="C191" s="14">
        <v>41953</v>
      </c>
      <c r="D191" s="10" t="s">
        <v>44</v>
      </c>
      <c r="E191" s="37" t="s">
        <v>45</v>
      </c>
      <c r="F191" s="9">
        <v>600000000</v>
      </c>
      <c r="G191" s="9"/>
      <c r="H191" s="5">
        <f t="shared" si="10"/>
        <v>0</v>
      </c>
      <c r="I191" s="5">
        <f t="shared" si="11"/>
        <v>1604928500</v>
      </c>
      <c r="J191" s="36">
        <f t="shared" si="12"/>
        <v>11</v>
      </c>
      <c r="O191" s="107"/>
      <c r="P191" s="91"/>
      <c r="Q191" s="111"/>
      <c r="R191" s="108"/>
      <c r="S191" s="109"/>
      <c r="T191" s="109"/>
    </row>
    <row r="192" spans="1:20" ht="19.5" customHeight="1">
      <c r="A192" s="14">
        <v>41956</v>
      </c>
      <c r="B192" s="23" t="s">
        <v>186</v>
      </c>
      <c r="C192" s="14">
        <v>41956</v>
      </c>
      <c r="D192" s="10" t="s">
        <v>44</v>
      </c>
      <c r="E192" s="37" t="s">
        <v>45</v>
      </c>
      <c r="F192" s="9">
        <v>600000000</v>
      </c>
      <c r="G192" s="9"/>
      <c r="H192" s="5">
        <f t="shared" si="10"/>
        <v>0</v>
      </c>
      <c r="I192" s="5">
        <f t="shared" si="11"/>
        <v>1004928500</v>
      </c>
      <c r="J192" s="36">
        <f t="shared" si="12"/>
        <v>11</v>
      </c>
      <c r="O192" s="107"/>
      <c r="P192" s="91"/>
      <c r="Q192" s="111"/>
      <c r="R192" s="108"/>
      <c r="S192" s="109"/>
      <c r="T192" s="109"/>
    </row>
    <row r="193" spans="1:20" ht="19.5" customHeight="1">
      <c r="A193" s="14">
        <v>41962</v>
      </c>
      <c r="B193" s="23" t="s">
        <v>64</v>
      </c>
      <c r="C193" s="14">
        <v>41962</v>
      </c>
      <c r="D193" s="10" t="s">
        <v>44</v>
      </c>
      <c r="E193" s="37" t="s">
        <v>45</v>
      </c>
      <c r="F193" s="9">
        <v>600000000</v>
      </c>
      <c r="G193" s="9"/>
      <c r="H193" s="5">
        <f t="shared" si="10"/>
        <v>0</v>
      </c>
      <c r="I193" s="5">
        <f t="shared" si="11"/>
        <v>404928500</v>
      </c>
      <c r="J193" s="36">
        <f t="shared" si="12"/>
        <v>11</v>
      </c>
      <c r="O193" s="107"/>
      <c r="P193" s="91"/>
      <c r="Q193" s="111"/>
      <c r="R193" s="108"/>
      <c r="S193" s="109"/>
      <c r="T193" s="109"/>
    </row>
    <row r="194" spans="1:20" ht="19.5" customHeight="1">
      <c r="A194" s="14">
        <v>41970</v>
      </c>
      <c r="B194" s="23" t="s">
        <v>192</v>
      </c>
      <c r="C194" s="14">
        <v>41970</v>
      </c>
      <c r="D194" s="10" t="s">
        <v>44</v>
      </c>
      <c r="E194" s="37" t="s">
        <v>45</v>
      </c>
      <c r="F194" s="9">
        <v>450000000</v>
      </c>
      <c r="G194" s="9"/>
      <c r="H194" s="5">
        <f t="shared" ref="H194:H219" si="13">MAX(H193+F194-I193-G194,0)</f>
        <v>45071500</v>
      </c>
      <c r="I194" s="5">
        <f t="shared" ref="I194:I219" si="14">MAX(I193+G194-H193-F194,0)</f>
        <v>0</v>
      </c>
      <c r="J194" s="36">
        <f t="shared" si="12"/>
        <v>11</v>
      </c>
      <c r="O194" s="107"/>
      <c r="P194" s="91"/>
      <c r="Q194" s="111"/>
      <c r="R194" s="108"/>
      <c r="S194" s="109"/>
      <c r="T194" s="109"/>
    </row>
    <row r="195" spans="1:20" ht="19.5" customHeight="1">
      <c r="A195" s="14">
        <v>42004</v>
      </c>
      <c r="B195" s="23" t="s">
        <v>193</v>
      </c>
      <c r="C195" s="14">
        <v>42004</v>
      </c>
      <c r="D195" s="10" t="s">
        <v>164</v>
      </c>
      <c r="E195" s="37" t="s">
        <v>42</v>
      </c>
      <c r="F195" s="9"/>
      <c r="G195" s="9">
        <v>290700500</v>
      </c>
      <c r="H195" s="5">
        <f t="shared" si="13"/>
        <v>0</v>
      </c>
      <c r="I195" s="5">
        <f t="shared" si="14"/>
        <v>245629000</v>
      </c>
      <c r="J195" s="36">
        <f t="shared" si="12"/>
        <v>12</v>
      </c>
      <c r="K195" s="136" t="s">
        <v>305</v>
      </c>
      <c r="O195" s="107"/>
      <c r="P195" s="91"/>
      <c r="Q195" s="111"/>
      <c r="R195" s="108"/>
      <c r="S195" s="109"/>
      <c r="T195" s="109"/>
    </row>
    <row r="196" spans="1:20" ht="19.5" customHeight="1">
      <c r="A196" s="14">
        <v>42004</v>
      </c>
      <c r="B196" s="23" t="s">
        <v>193</v>
      </c>
      <c r="C196" s="14">
        <v>42004</v>
      </c>
      <c r="D196" s="10" t="s">
        <v>152</v>
      </c>
      <c r="E196" s="37" t="s">
        <v>42</v>
      </c>
      <c r="F196" s="9"/>
      <c r="G196" s="9">
        <v>471299000</v>
      </c>
      <c r="H196" s="5">
        <f t="shared" si="13"/>
        <v>0</v>
      </c>
      <c r="I196" s="5">
        <f t="shared" si="14"/>
        <v>716928000</v>
      </c>
      <c r="J196" s="36">
        <f t="shared" si="12"/>
        <v>12</v>
      </c>
      <c r="K196" s="136" t="s">
        <v>306</v>
      </c>
      <c r="O196" s="107"/>
      <c r="P196" s="91"/>
      <c r="Q196" s="111"/>
      <c r="R196" s="108"/>
      <c r="S196" s="109"/>
      <c r="T196" s="109"/>
    </row>
    <row r="197" spans="1:20" ht="19.5" customHeight="1">
      <c r="A197" s="14">
        <v>42004</v>
      </c>
      <c r="B197" s="23" t="s">
        <v>193</v>
      </c>
      <c r="C197" s="14">
        <v>42004</v>
      </c>
      <c r="D197" s="10" t="s">
        <v>166</v>
      </c>
      <c r="E197" s="37" t="s">
        <v>42</v>
      </c>
      <c r="F197" s="9"/>
      <c r="G197" s="9">
        <v>177060000</v>
      </c>
      <c r="H197" s="5">
        <f t="shared" si="13"/>
        <v>0</v>
      </c>
      <c r="I197" s="5">
        <f t="shared" si="14"/>
        <v>893988000</v>
      </c>
      <c r="J197" s="36">
        <f t="shared" si="12"/>
        <v>12</v>
      </c>
      <c r="K197" s="136" t="s">
        <v>269</v>
      </c>
      <c r="O197" s="107"/>
      <c r="P197" s="91"/>
      <c r="Q197" s="111"/>
      <c r="R197" s="108"/>
      <c r="S197" s="109"/>
      <c r="T197" s="109"/>
    </row>
    <row r="198" spans="1:20" ht="19.5" customHeight="1">
      <c r="A198" s="14">
        <v>42004</v>
      </c>
      <c r="B198" s="23" t="s">
        <v>193</v>
      </c>
      <c r="C198" s="14">
        <v>42004</v>
      </c>
      <c r="D198" s="10" t="s">
        <v>153</v>
      </c>
      <c r="E198" s="37" t="s">
        <v>42</v>
      </c>
      <c r="F198" s="9"/>
      <c r="G198" s="9">
        <v>912768000</v>
      </c>
      <c r="H198" s="5">
        <f t="shared" si="13"/>
        <v>0</v>
      </c>
      <c r="I198" s="5">
        <f t="shared" si="14"/>
        <v>1806756000</v>
      </c>
      <c r="J198" s="36">
        <f t="shared" si="12"/>
        <v>12</v>
      </c>
      <c r="K198" s="136" t="s">
        <v>307</v>
      </c>
      <c r="O198" s="107"/>
      <c r="P198" s="91"/>
      <c r="Q198" s="111"/>
      <c r="R198" s="108"/>
      <c r="S198" s="109"/>
      <c r="T198" s="109"/>
    </row>
    <row r="199" spans="1:20" ht="19.5" customHeight="1">
      <c r="A199" s="14">
        <v>42004</v>
      </c>
      <c r="B199" s="23" t="s">
        <v>193</v>
      </c>
      <c r="C199" s="14">
        <v>42004</v>
      </c>
      <c r="D199" s="10" t="s">
        <v>46</v>
      </c>
      <c r="E199" s="37" t="s">
        <v>42</v>
      </c>
      <c r="F199" s="9"/>
      <c r="G199" s="9">
        <v>155480000</v>
      </c>
      <c r="H199" s="5">
        <f t="shared" si="13"/>
        <v>0</v>
      </c>
      <c r="I199" s="5">
        <f t="shared" si="14"/>
        <v>1962236000</v>
      </c>
      <c r="J199" s="36">
        <f t="shared" si="12"/>
        <v>12</v>
      </c>
      <c r="K199" s="136" t="s">
        <v>266</v>
      </c>
      <c r="O199" s="107"/>
      <c r="P199" s="91"/>
      <c r="Q199" s="111"/>
      <c r="R199" s="108"/>
      <c r="S199" s="109"/>
      <c r="T199" s="109"/>
    </row>
    <row r="200" spans="1:20" ht="19.5" customHeight="1">
      <c r="A200" s="14">
        <v>42004</v>
      </c>
      <c r="B200" s="23" t="s">
        <v>193</v>
      </c>
      <c r="C200" s="14">
        <v>42004</v>
      </c>
      <c r="D200" s="10" t="s">
        <v>52</v>
      </c>
      <c r="E200" s="37" t="s">
        <v>42</v>
      </c>
      <c r="F200" s="9"/>
      <c r="G200" s="9">
        <v>587791000</v>
      </c>
      <c r="H200" s="5">
        <f t="shared" si="13"/>
        <v>0</v>
      </c>
      <c r="I200" s="5">
        <f t="shared" si="14"/>
        <v>2550027000</v>
      </c>
      <c r="J200" s="36">
        <f t="shared" si="12"/>
        <v>12</v>
      </c>
      <c r="K200" s="136" t="s">
        <v>308</v>
      </c>
      <c r="O200" s="107"/>
      <c r="P200" s="91"/>
      <c r="Q200" s="111"/>
      <c r="R200" s="108"/>
      <c r="S200" s="109"/>
      <c r="T200" s="109"/>
    </row>
    <row r="201" spans="1:20" ht="19.5" customHeight="1">
      <c r="A201" s="14">
        <v>42004</v>
      </c>
      <c r="B201" s="23" t="s">
        <v>193</v>
      </c>
      <c r="C201" s="14">
        <v>42004</v>
      </c>
      <c r="D201" s="10" t="s">
        <v>167</v>
      </c>
      <c r="E201" s="37" t="s">
        <v>42</v>
      </c>
      <c r="F201" s="9"/>
      <c r="G201" s="9">
        <v>299875000</v>
      </c>
      <c r="H201" s="5">
        <f t="shared" si="13"/>
        <v>0</v>
      </c>
      <c r="I201" s="5">
        <f t="shared" si="14"/>
        <v>2849902000</v>
      </c>
      <c r="J201" s="36">
        <f t="shared" si="12"/>
        <v>12</v>
      </c>
      <c r="K201" s="136" t="s">
        <v>309</v>
      </c>
      <c r="O201" s="107"/>
      <c r="P201" s="91"/>
      <c r="Q201" s="111"/>
      <c r="R201" s="108"/>
      <c r="S201" s="109"/>
      <c r="T201" s="109"/>
    </row>
    <row r="202" spans="1:20" ht="19.5" customHeight="1">
      <c r="A202" s="14">
        <v>42004</v>
      </c>
      <c r="B202" s="23" t="s">
        <v>193</v>
      </c>
      <c r="C202" s="14">
        <v>42004</v>
      </c>
      <c r="D202" s="10" t="s">
        <v>50</v>
      </c>
      <c r="E202" s="37" t="s">
        <v>42</v>
      </c>
      <c r="F202" s="9"/>
      <c r="G202" s="9">
        <v>149760000</v>
      </c>
      <c r="H202" s="5">
        <f t="shared" si="13"/>
        <v>0</v>
      </c>
      <c r="I202" s="5">
        <f t="shared" si="14"/>
        <v>2999662000</v>
      </c>
      <c r="J202" s="36">
        <f t="shared" si="12"/>
        <v>12</v>
      </c>
      <c r="K202" s="136" t="s">
        <v>268</v>
      </c>
      <c r="O202" s="107"/>
      <c r="P202" s="91"/>
      <c r="Q202" s="111"/>
      <c r="R202" s="108"/>
      <c r="S202" s="109"/>
      <c r="T202" s="109"/>
    </row>
    <row r="203" spans="1:20" ht="19.5" customHeight="1">
      <c r="A203" s="14">
        <v>42004</v>
      </c>
      <c r="B203" s="23" t="s">
        <v>193</v>
      </c>
      <c r="C203" s="14">
        <v>42004</v>
      </c>
      <c r="D203" s="10" t="s">
        <v>168</v>
      </c>
      <c r="E203" s="37" t="s">
        <v>42</v>
      </c>
      <c r="F203" s="9"/>
      <c r="G203" s="9">
        <v>280939500</v>
      </c>
      <c r="H203" s="5">
        <f t="shared" si="13"/>
        <v>0</v>
      </c>
      <c r="I203" s="5">
        <f t="shared" si="14"/>
        <v>3280601500</v>
      </c>
      <c r="J203" s="36">
        <f t="shared" si="12"/>
        <v>12</v>
      </c>
      <c r="K203" s="136" t="s">
        <v>310</v>
      </c>
      <c r="O203" s="107"/>
      <c r="P203" s="91"/>
      <c r="Q203" s="111"/>
      <c r="R203" s="108"/>
      <c r="S203" s="109"/>
      <c r="T203" s="109"/>
    </row>
    <row r="204" spans="1:20" ht="19.5" customHeight="1">
      <c r="A204" s="14">
        <v>42004</v>
      </c>
      <c r="B204" s="23" t="s">
        <v>193</v>
      </c>
      <c r="C204" s="14">
        <v>42004</v>
      </c>
      <c r="D204" s="10" t="s">
        <v>169</v>
      </c>
      <c r="E204" s="37" t="s">
        <v>42</v>
      </c>
      <c r="F204" s="9"/>
      <c r="G204" s="9">
        <v>298395000</v>
      </c>
      <c r="H204" s="5">
        <f t="shared" si="13"/>
        <v>0</v>
      </c>
      <c r="I204" s="5">
        <f t="shared" si="14"/>
        <v>3578996500</v>
      </c>
      <c r="J204" s="36">
        <f t="shared" si="12"/>
        <v>12</v>
      </c>
      <c r="K204" s="136" t="s">
        <v>311</v>
      </c>
      <c r="O204" s="107"/>
      <c r="P204" s="91"/>
      <c r="Q204" s="111"/>
      <c r="R204" s="108"/>
      <c r="S204" s="109"/>
      <c r="T204" s="109"/>
    </row>
    <row r="205" spans="1:20" ht="19.5" customHeight="1">
      <c r="A205" s="14">
        <v>42004</v>
      </c>
      <c r="B205" s="23" t="s">
        <v>193</v>
      </c>
      <c r="C205" s="14">
        <v>42004</v>
      </c>
      <c r="D205" s="10" t="s">
        <v>170</v>
      </c>
      <c r="E205" s="37" t="s">
        <v>42</v>
      </c>
      <c r="F205" s="9"/>
      <c r="G205" s="9">
        <v>279735000</v>
      </c>
      <c r="H205" s="5">
        <f t="shared" si="13"/>
        <v>0</v>
      </c>
      <c r="I205" s="5">
        <f t="shared" si="14"/>
        <v>3858731500</v>
      </c>
      <c r="J205" s="36">
        <f t="shared" si="12"/>
        <v>12</v>
      </c>
      <c r="K205" s="136" t="s">
        <v>312</v>
      </c>
      <c r="O205" s="107"/>
      <c r="P205" s="91"/>
      <c r="Q205" s="111"/>
      <c r="R205" s="108"/>
      <c r="S205" s="109"/>
      <c r="T205" s="109"/>
    </row>
    <row r="206" spans="1:20" ht="19.5" customHeight="1">
      <c r="A206" s="14">
        <v>42004</v>
      </c>
      <c r="B206" s="23" t="s">
        <v>193</v>
      </c>
      <c r="C206" s="14">
        <v>42004</v>
      </c>
      <c r="D206" s="10" t="s">
        <v>172</v>
      </c>
      <c r="E206" s="37" t="s">
        <v>42</v>
      </c>
      <c r="F206" s="9"/>
      <c r="G206" s="9">
        <v>302198000</v>
      </c>
      <c r="H206" s="5">
        <f t="shared" si="13"/>
        <v>0</v>
      </c>
      <c r="I206" s="5">
        <f t="shared" si="14"/>
        <v>4160929500</v>
      </c>
      <c r="J206" s="36">
        <f t="shared" si="12"/>
        <v>12</v>
      </c>
      <c r="K206" s="136" t="s">
        <v>313</v>
      </c>
      <c r="O206" s="107"/>
      <c r="P206" s="91"/>
      <c r="Q206" s="111"/>
      <c r="R206" s="108"/>
      <c r="S206" s="109"/>
      <c r="T206" s="109"/>
    </row>
    <row r="207" spans="1:20" ht="19.5" customHeight="1">
      <c r="A207" s="14">
        <v>42004</v>
      </c>
      <c r="B207" s="23" t="s">
        <v>193</v>
      </c>
      <c r="C207" s="14">
        <v>42004</v>
      </c>
      <c r="D207" s="10" t="s">
        <v>189</v>
      </c>
      <c r="E207" s="37" t="s">
        <v>42</v>
      </c>
      <c r="F207" s="9"/>
      <c r="G207" s="9">
        <v>300300000</v>
      </c>
      <c r="H207" s="5">
        <f t="shared" si="13"/>
        <v>0</v>
      </c>
      <c r="I207" s="5">
        <f t="shared" si="14"/>
        <v>4461229500</v>
      </c>
      <c r="J207" s="36">
        <f t="shared" si="12"/>
        <v>12</v>
      </c>
      <c r="K207" s="136" t="s">
        <v>314</v>
      </c>
      <c r="O207" s="107"/>
      <c r="P207" s="91"/>
      <c r="Q207" s="111"/>
      <c r="R207" s="108"/>
      <c r="S207" s="109"/>
      <c r="T207" s="109"/>
    </row>
    <row r="208" spans="1:20" ht="19.5" customHeight="1">
      <c r="A208" s="14">
        <v>42004</v>
      </c>
      <c r="B208" s="23" t="s">
        <v>193</v>
      </c>
      <c r="C208" s="14">
        <v>42004</v>
      </c>
      <c r="D208" s="10" t="s">
        <v>33</v>
      </c>
      <c r="E208" s="37" t="s">
        <v>42</v>
      </c>
      <c r="F208" s="9"/>
      <c r="G208" s="9">
        <v>125715000</v>
      </c>
      <c r="H208" s="5">
        <f t="shared" si="13"/>
        <v>0</v>
      </c>
      <c r="I208" s="5">
        <f t="shared" si="14"/>
        <v>4586944500</v>
      </c>
      <c r="J208" s="36">
        <f t="shared" ref="J208:J219" si="15">IF(A208&lt;&gt;"",MONTH(A208),"")</f>
        <v>12</v>
      </c>
      <c r="K208" s="136" t="s">
        <v>315</v>
      </c>
      <c r="O208" s="107"/>
      <c r="P208" s="91"/>
      <c r="Q208" s="111"/>
      <c r="R208" s="108"/>
      <c r="S208" s="109"/>
      <c r="T208" s="109"/>
    </row>
    <row r="209" spans="1:21" ht="19.5" customHeight="1">
      <c r="A209" s="14">
        <v>42004</v>
      </c>
      <c r="B209" s="23" t="s">
        <v>193</v>
      </c>
      <c r="C209" s="14">
        <v>42004</v>
      </c>
      <c r="D209" s="10" t="s">
        <v>181</v>
      </c>
      <c r="E209" s="37" t="s">
        <v>42</v>
      </c>
      <c r="F209" s="9"/>
      <c r="G209" s="9">
        <v>151320000</v>
      </c>
      <c r="H209" s="5">
        <f t="shared" si="13"/>
        <v>0</v>
      </c>
      <c r="I209" s="5">
        <f t="shared" si="14"/>
        <v>4738264500</v>
      </c>
      <c r="J209" s="36">
        <f t="shared" si="15"/>
        <v>12</v>
      </c>
      <c r="K209" s="136" t="s">
        <v>255</v>
      </c>
      <c r="O209" s="107"/>
      <c r="P209" s="91"/>
      <c r="Q209" s="111"/>
      <c r="R209" s="108"/>
      <c r="S209" s="109"/>
      <c r="T209" s="109"/>
    </row>
    <row r="210" spans="1:21" ht="19.5" customHeight="1">
      <c r="A210" s="14">
        <v>42004</v>
      </c>
      <c r="B210" s="23" t="s">
        <v>193</v>
      </c>
      <c r="C210" s="14">
        <v>42004</v>
      </c>
      <c r="D210" s="10" t="s">
        <v>53</v>
      </c>
      <c r="E210" s="37" t="s">
        <v>42</v>
      </c>
      <c r="F210" s="9"/>
      <c r="G210" s="9">
        <v>127959000</v>
      </c>
      <c r="H210" s="5">
        <f t="shared" si="13"/>
        <v>0</v>
      </c>
      <c r="I210" s="5">
        <f t="shared" si="14"/>
        <v>4866223500</v>
      </c>
      <c r="J210" s="36">
        <f t="shared" si="15"/>
        <v>12</v>
      </c>
      <c r="K210" s="136" t="s">
        <v>316</v>
      </c>
      <c r="O210" s="107"/>
      <c r="P210" s="91"/>
      <c r="Q210" s="111"/>
      <c r="R210" s="108"/>
      <c r="S210" s="109"/>
      <c r="T210" s="109"/>
    </row>
    <row r="211" spans="1:21" ht="19.5" customHeight="1">
      <c r="A211" s="14">
        <v>41977</v>
      </c>
      <c r="B211" s="23" t="s">
        <v>59</v>
      </c>
      <c r="C211" s="14">
        <v>41977</v>
      </c>
      <c r="D211" s="10" t="s">
        <v>44</v>
      </c>
      <c r="E211" s="37" t="s">
        <v>45</v>
      </c>
      <c r="F211" s="9">
        <v>600000000</v>
      </c>
      <c r="G211" s="9"/>
      <c r="H211" s="5">
        <f t="shared" si="13"/>
        <v>0</v>
      </c>
      <c r="I211" s="5">
        <f t="shared" si="14"/>
        <v>4266223500</v>
      </c>
      <c r="J211" s="36">
        <f t="shared" si="15"/>
        <v>12</v>
      </c>
      <c r="O211" s="107"/>
      <c r="P211" s="91"/>
      <c r="Q211" s="111"/>
      <c r="R211" s="108"/>
      <c r="S211" s="109"/>
      <c r="T211" s="109"/>
    </row>
    <row r="212" spans="1:21" ht="19.5" customHeight="1">
      <c r="A212" s="14">
        <v>41979</v>
      </c>
      <c r="B212" s="23" t="s">
        <v>66</v>
      </c>
      <c r="C212" s="14">
        <v>41979</v>
      </c>
      <c r="D212" s="10" t="s">
        <v>44</v>
      </c>
      <c r="E212" s="37" t="s">
        <v>45</v>
      </c>
      <c r="F212" s="9">
        <v>600000000</v>
      </c>
      <c r="G212" s="9"/>
      <c r="H212" s="5">
        <f t="shared" si="13"/>
        <v>0</v>
      </c>
      <c r="I212" s="5">
        <f t="shared" si="14"/>
        <v>3666223500</v>
      </c>
      <c r="J212" s="36">
        <f t="shared" si="15"/>
        <v>12</v>
      </c>
      <c r="O212" s="107"/>
      <c r="P212" s="91"/>
      <c r="Q212" s="111"/>
      <c r="R212" s="108"/>
      <c r="S212" s="109"/>
      <c r="T212" s="109"/>
    </row>
    <row r="213" spans="1:21" ht="19.5" customHeight="1">
      <c r="A213" s="14">
        <v>41981</v>
      </c>
      <c r="B213" s="23" t="s">
        <v>176</v>
      </c>
      <c r="C213" s="14">
        <v>41981</v>
      </c>
      <c r="D213" s="10" t="s">
        <v>44</v>
      </c>
      <c r="E213" s="37" t="s">
        <v>45</v>
      </c>
      <c r="F213" s="9">
        <v>600000000</v>
      </c>
      <c r="G213" s="9"/>
      <c r="H213" s="5">
        <f t="shared" si="13"/>
        <v>0</v>
      </c>
      <c r="I213" s="5">
        <f t="shared" si="14"/>
        <v>3066223500</v>
      </c>
      <c r="J213" s="36">
        <f t="shared" si="15"/>
        <v>12</v>
      </c>
      <c r="O213" s="107"/>
      <c r="P213" s="91"/>
      <c r="Q213" s="111"/>
      <c r="R213" s="108"/>
      <c r="S213" s="109"/>
      <c r="T213" s="109"/>
    </row>
    <row r="214" spans="1:21" ht="19.5" customHeight="1">
      <c r="A214" s="14">
        <v>41984</v>
      </c>
      <c r="B214" s="23" t="s">
        <v>177</v>
      </c>
      <c r="C214" s="14">
        <v>41984</v>
      </c>
      <c r="D214" s="10" t="s">
        <v>44</v>
      </c>
      <c r="E214" s="37" t="s">
        <v>45</v>
      </c>
      <c r="F214" s="9">
        <v>600000000</v>
      </c>
      <c r="G214" s="9"/>
      <c r="H214" s="5">
        <f t="shared" si="13"/>
        <v>0</v>
      </c>
      <c r="I214" s="5">
        <f t="shared" si="14"/>
        <v>2466223500</v>
      </c>
      <c r="J214" s="36">
        <f t="shared" si="15"/>
        <v>12</v>
      </c>
      <c r="O214" s="107"/>
      <c r="P214" s="91"/>
      <c r="Q214" s="111"/>
      <c r="R214" s="108"/>
      <c r="S214" s="109"/>
      <c r="T214" s="109"/>
    </row>
    <row r="215" spans="1:21" ht="19.5" customHeight="1">
      <c r="A215" s="14">
        <v>41988</v>
      </c>
      <c r="B215" s="23" t="s">
        <v>68</v>
      </c>
      <c r="C215" s="14">
        <v>41988</v>
      </c>
      <c r="D215" s="10" t="s">
        <v>44</v>
      </c>
      <c r="E215" s="37" t="s">
        <v>45</v>
      </c>
      <c r="F215" s="9">
        <v>600000000</v>
      </c>
      <c r="G215" s="9"/>
      <c r="H215" s="5">
        <f t="shared" si="13"/>
        <v>0</v>
      </c>
      <c r="I215" s="5">
        <f t="shared" si="14"/>
        <v>1866223500</v>
      </c>
      <c r="J215" s="36">
        <f t="shared" si="15"/>
        <v>12</v>
      </c>
      <c r="O215" s="107"/>
      <c r="P215" s="91"/>
      <c r="Q215" s="111"/>
      <c r="R215" s="108"/>
      <c r="S215" s="109"/>
      <c r="T215" s="109"/>
    </row>
    <row r="216" spans="1:21" ht="19.5" customHeight="1">
      <c r="A216" s="14">
        <v>41991</v>
      </c>
      <c r="B216" s="23" t="s">
        <v>70</v>
      </c>
      <c r="C216" s="14">
        <v>41991</v>
      </c>
      <c r="D216" s="10" t="s">
        <v>44</v>
      </c>
      <c r="E216" s="37" t="s">
        <v>45</v>
      </c>
      <c r="F216" s="9">
        <v>600000000</v>
      </c>
      <c r="G216" s="9"/>
      <c r="H216" s="5">
        <f t="shared" si="13"/>
        <v>0</v>
      </c>
      <c r="I216" s="5">
        <f t="shared" si="14"/>
        <v>1266223500</v>
      </c>
      <c r="J216" s="36">
        <f t="shared" si="15"/>
        <v>12</v>
      </c>
      <c r="O216" s="107"/>
      <c r="P216" s="91"/>
      <c r="Q216" s="111"/>
      <c r="R216" s="108"/>
      <c r="S216" s="109"/>
      <c r="T216" s="109"/>
    </row>
    <row r="217" spans="1:21" ht="19.5" customHeight="1">
      <c r="A217" s="14">
        <v>41997</v>
      </c>
      <c r="B217" s="23" t="s">
        <v>194</v>
      </c>
      <c r="C217" s="14">
        <v>41997</v>
      </c>
      <c r="D217" s="10" t="s">
        <v>44</v>
      </c>
      <c r="E217" s="37" t="s">
        <v>45</v>
      </c>
      <c r="F217" s="9">
        <v>650000000</v>
      </c>
      <c r="G217" s="9"/>
      <c r="H217" s="5">
        <f t="shared" si="13"/>
        <v>0</v>
      </c>
      <c r="I217" s="5">
        <f t="shared" si="14"/>
        <v>616223500</v>
      </c>
      <c r="J217" s="36">
        <f t="shared" si="15"/>
        <v>12</v>
      </c>
      <c r="O217" s="107"/>
      <c r="P217" s="91"/>
      <c r="Q217" s="111"/>
      <c r="R217" s="108"/>
      <c r="S217" s="109"/>
      <c r="T217" s="109"/>
    </row>
    <row r="218" spans="1:21" ht="19.5" customHeight="1">
      <c r="A218" s="14">
        <v>42002</v>
      </c>
      <c r="B218" s="23" t="s">
        <v>195</v>
      </c>
      <c r="C218" s="14">
        <v>42002</v>
      </c>
      <c r="D218" s="10" t="s">
        <v>44</v>
      </c>
      <c r="E218" s="37" t="s">
        <v>45</v>
      </c>
      <c r="F218" s="9">
        <v>650000000</v>
      </c>
      <c r="G218" s="9"/>
      <c r="H218" s="5">
        <f t="shared" si="13"/>
        <v>33776500</v>
      </c>
      <c r="I218" s="5">
        <f t="shared" si="14"/>
        <v>0</v>
      </c>
      <c r="J218" s="36">
        <f t="shared" si="15"/>
        <v>12</v>
      </c>
      <c r="O218" s="107"/>
      <c r="P218" s="91"/>
      <c r="Q218" s="111"/>
      <c r="R218" s="108"/>
      <c r="S218" s="109"/>
      <c r="T218" s="109"/>
    </row>
    <row r="219" spans="1:21" ht="19.5" customHeight="1">
      <c r="A219" s="14">
        <v>42004</v>
      </c>
      <c r="B219" s="23" t="s">
        <v>196</v>
      </c>
      <c r="C219" s="14">
        <v>42004</v>
      </c>
      <c r="D219" s="10" t="s">
        <v>197</v>
      </c>
      <c r="E219" s="37" t="s">
        <v>45</v>
      </c>
      <c r="F219" s="9"/>
      <c r="G219" s="9">
        <v>33776500</v>
      </c>
      <c r="H219" s="5">
        <f t="shared" si="13"/>
        <v>0</v>
      </c>
      <c r="I219" s="5">
        <f t="shared" si="14"/>
        <v>0</v>
      </c>
      <c r="J219" s="36">
        <f t="shared" si="15"/>
        <v>12</v>
      </c>
      <c r="O219" s="107"/>
      <c r="P219" s="91"/>
      <c r="Q219" s="111"/>
      <c r="R219" s="108"/>
      <c r="S219" s="109"/>
      <c r="T219" s="109"/>
    </row>
    <row r="220" spans="1:21" ht="19.5" customHeight="1">
      <c r="A220" s="11"/>
      <c r="B220" s="38"/>
      <c r="C220" s="11"/>
      <c r="D220" s="16"/>
      <c r="E220" s="25"/>
      <c r="F220" s="4"/>
      <c r="G220" s="5"/>
      <c r="H220" s="5"/>
      <c r="I220" s="5"/>
      <c r="J220" s="36" t="str">
        <f t="shared" ref="J220" si="16">IF(A220&lt;&gt;"",MONTH(A220),"")</f>
        <v/>
      </c>
      <c r="O220" s="50"/>
      <c r="P220" s="104"/>
      <c r="Q220" s="53"/>
      <c r="R220" s="18"/>
      <c r="S220" s="106"/>
      <c r="T220" s="60"/>
    </row>
    <row r="221" spans="1:21" ht="19.5" customHeight="1">
      <c r="A221" s="11"/>
      <c r="B221" s="38"/>
      <c r="C221" s="11"/>
      <c r="D221" s="39" t="s">
        <v>22</v>
      </c>
      <c r="E221" s="25" t="s">
        <v>23</v>
      </c>
      <c r="F221" s="4">
        <f>SUM(F16:F220)</f>
        <v>34350000000</v>
      </c>
      <c r="G221" s="4">
        <f>SUM(G16:G220)</f>
        <v>34350000000</v>
      </c>
      <c r="H221" s="4" t="s">
        <v>23</v>
      </c>
      <c r="I221" s="4" t="s">
        <v>23</v>
      </c>
      <c r="O221" s="50"/>
      <c r="P221" s="104"/>
      <c r="Q221" s="105" t="s">
        <v>22</v>
      </c>
      <c r="R221" s="18" t="s">
        <v>23</v>
      </c>
      <c r="S221" s="106">
        <f ca="1">SUM(S17:S220)</f>
        <v>3850000000</v>
      </c>
      <c r="T221" s="106">
        <f ca="1">SUM(T17:T220)</f>
        <v>3100747000</v>
      </c>
    </row>
    <row r="222" spans="1:21" ht="19.5" customHeight="1">
      <c r="A222" s="40"/>
      <c r="B222" s="41"/>
      <c r="C222" s="40"/>
      <c r="D222" s="42" t="s">
        <v>24</v>
      </c>
      <c r="E222" s="43" t="s">
        <v>23</v>
      </c>
      <c r="F222" s="6" t="s">
        <v>23</v>
      </c>
      <c r="G222" s="8" t="s">
        <v>23</v>
      </c>
      <c r="H222" s="8">
        <f>IF(H15-I15+F221-G221&gt;0,H15-I15+F221-G221,0)</f>
        <v>0</v>
      </c>
      <c r="I222" s="8">
        <f>IF(I15-H15+G221-F221&gt;0,I15-H15+G221-F221,0)</f>
        <v>0</v>
      </c>
      <c r="O222" s="50"/>
      <c r="P222" s="104"/>
      <c r="Q222" s="105" t="s">
        <v>24</v>
      </c>
      <c r="R222" s="18" t="s">
        <v>23</v>
      </c>
      <c r="S222" s="106" t="s">
        <v>23</v>
      </c>
      <c r="T222" s="60" t="s">
        <v>23</v>
      </c>
    </row>
    <row r="223" spans="1:21">
      <c r="F223" s="45">
        <f>F221+'141-TT'!F153</f>
        <v>57550000000</v>
      </c>
      <c r="G223" s="44">
        <f>G221+'141-TT'!G153</f>
        <v>57550000000</v>
      </c>
      <c r="I223" s="45"/>
      <c r="K223" s="212"/>
      <c r="O223" s="18"/>
      <c r="P223" s="104"/>
      <c r="Q223" s="53"/>
      <c r="R223" s="18"/>
      <c r="S223" s="18"/>
      <c r="T223" s="60"/>
    </row>
    <row r="224" spans="1:21" s="1" customFormat="1">
      <c r="A224" s="27"/>
      <c r="B224" s="27"/>
      <c r="C224" s="46" t="s">
        <v>48</v>
      </c>
      <c r="D224" s="28"/>
      <c r="E224" s="27"/>
      <c r="F224" s="27"/>
      <c r="G224" s="44"/>
      <c r="H224" s="44"/>
      <c r="I224" s="44"/>
      <c r="J224" s="58"/>
      <c r="K224" s="56">
        <f>H222+'141-TT'!H154</f>
        <v>0</v>
      </c>
      <c r="L224" s="58"/>
      <c r="M224" s="58"/>
      <c r="N224" s="58"/>
      <c r="O224" s="18"/>
      <c r="P224" s="18"/>
      <c r="Q224" s="53"/>
      <c r="R224" s="18"/>
      <c r="S224" s="18"/>
      <c r="T224" s="60"/>
      <c r="U224" s="144"/>
    </row>
    <row r="225" spans="1:21" s="1" customFormat="1">
      <c r="A225" s="27"/>
      <c r="B225" s="27"/>
      <c r="C225" s="46" t="s">
        <v>198</v>
      </c>
      <c r="D225" s="28"/>
      <c r="E225" s="27"/>
      <c r="F225" s="27"/>
      <c r="G225" s="44"/>
      <c r="H225" s="45"/>
      <c r="I225" s="45"/>
      <c r="J225" s="59"/>
      <c r="K225" s="56"/>
      <c r="L225" s="59"/>
      <c r="M225" s="58"/>
      <c r="N225" s="58"/>
      <c r="O225" s="18"/>
      <c r="P225" s="18"/>
      <c r="Q225" s="53"/>
      <c r="R225" s="18"/>
      <c r="S225" s="18"/>
      <c r="T225" s="60"/>
      <c r="U225" s="144"/>
    </row>
    <row r="226" spans="1:21" s="1" customFormat="1">
      <c r="A226" s="27"/>
      <c r="B226" s="27"/>
      <c r="C226" s="27"/>
      <c r="D226" s="28"/>
      <c r="E226" s="291" t="s">
        <v>199</v>
      </c>
      <c r="F226" s="291"/>
      <c r="G226" s="291"/>
      <c r="H226" s="291"/>
      <c r="I226" s="291"/>
      <c r="J226" s="59"/>
      <c r="K226" s="115"/>
      <c r="L226" s="59"/>
      <c r="M226" s="58"/>
      <c r="N226" s="58"/>
      <c r="O226" s="18"/>
      <c r="P226" s="18"/>
      <c r="Q226" s="53"/>
      <c r="R226" s="58"/>
      <c r="S226" s="58"/>
      <c r="T226" s="58"/>
      <c r="U226" s="144"/>
    </row>
    <row r="227" spans="1:21" s="1" customFormat="1">
      <c r="A227" s="291" t="s">
        <v>25</v>
      </c>
      <c r="B227" s="291"/>
      <c r="C227" s="291"/>
      <c r="D227" s="291"/>
      <c r="E227" s="291" t="s">
        <v>26</v>
      </c>
      <c r="F227" s="291"/>
      <c r="G227" s="291"/>
      <c r="H227" s="291"/>
      <c r="I227" s="291"/>
      <c r="J227" s="59"/>
      <c r="K227" s="138"/>
      <c r="L227" s="60"/>
      <c r="M227" s="58"/>
      <c r="N227" s="58"/>
      <c r="O227" s="279" t="s">
        <v>25</v>
      </c>
      <c r="P227" s="279"/>
      <c r="Q227" s="279"/>
      <c r="R227" s="58"/>
      <c r="S227" s="58"/>
      <c r="T227" s="58"/>
      <c r="U227" s="144"/>
    </row>
    <row r="228" spans="1:21" s="1" customFormat="1">
      <c r="A228" s="291" t="s">
        <v>27</v>
      </c>
      <c r="B228" s="291"/>
      <c r="C228" s="291"/>
      <c r="D228" s="291"/>
      <c r="E228" s="291" t="s">
        <v>27</v>
      </c>
      <c r="F228" s="291"/>
      <c r="G228" s="291"/>
      <c r="H228" s="291"/>
      <c r="I228" s="291"/>
      <c r="J228" s="59"/>
      <c r="K228" s="137"/>
      <c r="L228" s="59"/>
      <c r="M228" s="58"/>
      <c r="N228" s="58"/>
      <c r="O228" s="279" t="s">
        <v>27</v>
      </c>
      <c r="P228" s="279"/>
      <c r="Q228" s="279"/>
      <c r="R228" s="58"/>
      <c r="S228" s="58"/>
      <c r="T228" s="58"/>
      <c r="U228" s="144"/>
    </row>
    <row r="229" spans="1:21" s="1" customFormat="1">
      <c r="A229" s="27"/>
      <c r="B229" s="27"/>
      <c r="C229" s="27"/>
      <c r="D229" s="28"/>
      <c r="E229" s="27"/>
      <c r="F229" s="27"/>
      <c r="G229" s="44"/>
      <c r="H229" s="27"/>
      <c r="I229" s="27"/>
      <c r="J229" s="59"/>
      <c r="K229" s="115"/>
      <c r="L229" s="59"/>
      <c r="M229" s="58"/>
      <c r="N229" s="58"/>
      <c r="O229" s="18"/>
      <c r="P229" s="18"/>
      <c r="Q229" s="53"/>
      <c r="R229" s="18"/>
      <c r="S229" s="18"/>
      <c r="T229" s="60"/>
      <c r="U229" s="144"/>
    </row>
    <row r="230" spans="1:21">
      <c r="F230" s="45"/>
      <c r="G230" s="45"/>
      <c r="H230" s="44"/>
      <c r="J230" s="59"/>
      <c r="K230" s="139"/>
      <c r="L230" s="59"/>
      <c r="M230" s="53"/>
      <c r="N230" s="53"/>
      <c r="O230" s="18"/>
      <c r="P230" s="104"/>
      <c r="Q230" s="53"/>
      <c r="R230" s="18"/>
      <c r="S230" s="117"/>
      <c r="T230" s="117"/>
    </row>
    <row r="231" spans="1:21">
      <c r="F231" s="45"/>
      <c r="H231" s="44"/>
      <c r="J231" s="59"/>
      <c r="K231" s="138"/>
      <c r="L231" s="59"/>
      <c r="M231" s="53"/>
      <c r="N231" s="53"/>
      <c r="O231" s="18"/>
      <c r="P231" s="104"/>
      <c r="Q231" s="53"/>
      <c r="R231" s="18"/>
      <c r="S231" s="117"/>
      <c r="T231" s="60"/>
    </row>
    <row r="232" spans="1:21">
      <c r="F232" s="45"/>
      <c r="H232" s="44"/>
      <c r="J232" s="59"/>
      <c r="K232" s="139"/>
      <c r="L232" s="59"/>
      <c r="M232" s="53"/>
      <c r="N232" s="53"/>
      <c r="O232" s="18"/>
      <c r="P232" s="104"/>
      <c r="Q232" s="53"/>
      <c r="R232" s="18"/>
      <c r="S232" s="117"/>
      <c r="T232" s="60"/>
    </row>
    <row r="233" spans="1:21">
      <c r="F233" s="45"/>
      <c r="H233" s="44"/>
      <c r="J233" s="59"/>
      <c r="K233" s="138"/>
      <c r="L233" s="59"/>
      <c r="M233" s="53"/>
      <c r="N233" s="53"/>
      <c r="O233" s="18"/>
      <c r="P233" s="104"/>
      <c r="Q233" s="53"/>
      <c r="R233" s="18"/>
      <c r="S233" s="117"/>
      <c r="T233" s="60"/>
    </row>
    <row r="234" spans="1:21">
      <c r="H234" s="45"/>
      <c r="J234" s="59"/>
      <c r="K234" s="139"/>
      <c r="L234" s="59"/>
      <c r="M234" s="53"/>
      <c r="N234" s="53"/>
      <c r="O234" s="18"/>
      <c r="P234" s="104"/>
      <c r="Q234" s="53"/>
      <c r="R234" s="18"/>
      <c r="S234" s="18"/>
      <c r="T234" s="60"/>
    </row>
    <row r="235" spans="1:21">
      <c r="F235" s="45"/>
      <c r="G235" s="45"/>
      <c r="J235" s="53"/>
      <c r="K235" s="139"/>
      <c r="L235" s="53"/>
      <c r="M235" s="53"/>
      <c r="N235" s="53"/>
      <c r="O235" s="18"/>
      <c r="P235" s="104"/>
      <c r="Q235" s="53"/>
      <c r="R235" s="18"/>
      <c r="S235" s="117"/>
      <c r="T235" s="117"/>
    </row>
    <row r="236" spans="1:21">
      <c r="J236" s="53"/>
      <c r="K236" s="139"/>
      <c r="L236" s="53"/>
      <c r="M236" s="53"/>
      <c r="N236" s="53"/>
      <c r="O236" s="18"/>
      <c r="P236" s="104"/>
      <c r="Q236" s="53"/>
      <c r="R236" s="18"/>
      <c r="S236" s="18"/>
      <c r="T236" s="60"/>
    </row>
    <row r="237" spans="1:21">
      <c r="J237" s="53"/>
      <c r="K237" s="139"/>
      <c r="L237" s="53"/>
      <c r="M237" s="53"/>
      <c r="N237" s="53"/>
      <c r="O237" s="18"/>
      <c r="P237" s="104"/>
      <c r="Q237" s="53"/>
      <c r="R237" s="18"/>
      <c r="S237" s="18"/>
      <c r="T237" s="60"/>
    </row>
    <row r="238" spans="1:21">
      <c r="J238" s="53"/>
      <c r="K238" s="139"/>
      <c r="L238" s="53"/>
      <c r="M238" s="53"/>
      <c r="N238" s="53"/>
      <c r="O238" s="18"/>
      <c r="P238" s="104"/>
      <c r="Q238" s="53"/>
      <c r="R238" s="18"/>
      <c r="S238" s="18"/>
      <c r="T238" s="60"/>
    </row>
    <row r="239" spans="1:21">
      <c r="O239" s="18"/>
      <c r="P239" s="104"/>
      <c r="Q239" s="53"/>
      <c r="R239" s="18"/>
      <c r="S239" s="18"/>
      <c r="T239" s="60"/>
    </row>
    <row r="240" spans="1:21">
      <c r="O240" s="18"/>
      <c r="P240" s="104"/>
      <c r="Q240" s="53"/>
      <c r="R240" s="18"/>
      <c r="S240" s="18"/>
      <c r="T240" s="60"/>
    </row>
    <row r="241" spans="15:20">
      <c r="O241" s="18"/>
      <c r="P241" s="104"/>
      <c r="Q241" s="53"/>
      <c r="R241" s="18"/>
      <c r="S241" s="18"/>
      <c r="T241" s="60"/>
    </row>
    <row r="242" spans="15:20">
      <c r="O242" s="18"/>
      <c r="P242" s="104"/>
      <c r="Q242" s="53"/>
      <c r="R242" s="18"/>
      <c r="S242" s="18"/>
      <c r="T242" s="60"/>
    </row>
    <row r="243" spans="15:20">
      <c r="O243" s="18"/>
      <c r="P243" s="104"/>
      <c r="Q243" s="53"/>
      <c r="R243" s="18"/>
      <c r="S243" s="18"/>
      <c r="T243" s="60"/>
    </row>
    <row r="244" spans="15:20">
      <c r="O244" s="18"/>
      <c r="P244" s="104"/>
      <c r="Q244" s="53"/>
      <c r="R244" s="18"/>
      <c r="S244" s="18"/>
      <c r="T244" s="60"/>
    </row>
    <row r="245" spans="15:20">
      <c r="O245" s="18"/>
      <c r="P245" s="104"/>
      <c r="Q245" s="53"/>
      <c r="R245" s="18"/>
      <c r="S245" s="18"/>
      <c r="T245" s="60"/>
    </row>
    <row r="246" spans="15:20">
      <c r="O246" s="18"/>
      <c r="P246" s="104"/>
      <c r="Q246" s="53"/>
      <c r="R246" s="18"/>
      <c r="S246" s="18"/>
      <c r="T246" s="60"/>
    </row>
    <row r="247" spans="15:20">
      <c r="O247" s="18"/>
      <c r="P247" s="104"/>
      <c r="Q247" s="53"/>
      <c r="R247" s="18"/>
      <c r="S247" s="18"/>
      <c r="T247" s="60"/>
    </row>
    <row r="248" spans="15:20">
      <c r="O248" s="18"/>
      <c r="P248" s="104"/>
      <c r="Q248" s="53"/>
      <c r="R248" s="18"/>
      <c r="S248" s="18"/>
      <c r="T248" s="60"/>
    </row>
    <row r="249" spans="15:20">
      <c r="O249" s="18"/>
      <c r="P249" s="104"/>
      <c r="Q249" s="53"/>
      <c r="R249" s="18"/>
      <c r="S249" s="18"/>
      <c r="T249" s="60"/>
    </row>
    <row r="250" spans="15:20">
      <c r="O250" s="18"/>
      <c r="P250" s="104"/>
      <c r="Q250" s="53"/>
      <c r="R250" s="18"/>
      <c r="S250" s="18"/>
      <c r="T250" s="60"/>
    </row>
    <row r="251" spans="15:20">
      <c r="O251" s="18"/>
      <c r="P251" s="104"/>
      <c r="Q251" s="53"/>
      <c r="R251" s="18"/>
      <c r="S251" s="18"/>
      <c r="T251" s="60"/>
    </row>
    <row r="252" spans="15:20">
      <c r="O252" s="18"/>
      <c r="P252" s="104"/>
      <c r="Q252" s="53"/>
      <c r="R252" s="18"/>
      <c r="S252" s="18"/>
      <c r="T252" s="60"/>
    </row>
    <row r="253" spans="15:20">
      <c r="O253" s="18"/>
      <c r="P253" s="104"/>
      <c r="Q253" s="53"/>
      <c r="R253" s="18"/>
      <c r="S253" s="18"/>
      <c r="T253" s="60"/>
    </row>
    <row r="254" spans="15:20">
      <c r="O254" s="18"/>
      <c r="P254" s="104"/>
      <c r="Q254" s="53"/>
      <c r="R254" s="18"/>
      <c r="S254" s="18"/>
      <c r="T254" s="60"/>
    </row>
    <row r="255" spans="15:20">
      <c r="O255" s="18"/>
      <c r="P255" s="104"/>
      <c r="Q255" s="53"/>
      <c r="R255" s="18"/>
      <c r="S255" s="18"/>
      <c r="T255" s="60"/>
    </row>
    <row r="256" spans="15:20">
      <c r="O256" s="18"/>
      <c r="P256" s="104"/>
      <c r="Q256" s="53"/>
      <c r="R256" s="18"/>
      <c r="S256" s="18"/>
      <c r="T256" s="60"/>
    </row>
    <row r="257" spans="15:20">
      <c r="O257" s="18"/>
      <c r="P257" s="104"/>
      <c r="Q257" s="53"/>
      <c r="R257" s="18"/>
      <c r="S257" s="18"/>
      <c r="T257" s="60"/>
    </row>
    <row r="258" spans="15:20">
      <c r="O258" s="18"/>
      <c r="P258" s="104"/>
      <c r="Q258" s="53"/>
      <c r="R258" s="18"/>
      <c r="S258" s="18"/>
      <c r="T258" s="60"/>
    </row>
    <row r="259" spans="15:20">
      <c r="O259" s="18"/>
      <c r="P259" s="104"/>
      <c r="Q259" s="53"/>
      <c r="R259" s="18"/>
      <c r="S259" s="18"/>
      <c r="T259" s="60"/>
    </row>
    <row r="260" spans="15:20">
      <c r="O260" s="18"/>
      <c r="P260" s="104"/>
      <c r="Q260" s="53"/>
      <c r="R260" s="18"/>
      <c r="S260" s="18"/>
      <c r="T260" s="60"/>
    </row>
    <row r="261" spans="15:20">
      <c r="O261" s="18"/>
      <c r="P261" s="104"/>
      <c r="Q261" s="53"/>
      <c r="R261" s="18"/>
      <c r="S261" s="18"/>
      <c r="T261" s="60"/>
    </row>
    <row r="262" spans="15:20">
      <c r="O262" s="18"/>
      <c r="P262" s="104"/>
      <c r="Q262" s="53"/>
      <c r="R262" s="18"/>
      <c r="S262" s="18"/>
      <c r="T262" s="60"/>
    </row>
    <row r="263" spans="15:20">
      <c r="O263" s="18"/>
      <c r="P263" s="104"/>
      <c r="Q263" s="53"/>
      <c r="R263" s="18"/>
      <c r="S263" s="18"/>
      <c r="T263" s="60"/>
    </row>
    <row r="264" spans="15:20">
      <c r="O264" s="18"/>
      <c r="P264" s="104"/>
      <c r="Q264" s="53"/>
      <c r="R264" s="18"/>
      <c r="S264" s="18"/>
      <c r="T264" s="60"/>
    </row>
    <row r="265" spans="15:20">
      <c r="O265" s="18"/>
      <c r="P265" s="104"/>
      <c r="Q265" s="53"/>
      <c r="R265" s="18"/>
      <c r="S265" s="18"/>
      <c r="T265" s="60"/>
    </row>
    <row r="266" spans="15:20">
      <c r="O266" s="18"/>
      <c r="P266" s="104"/>
      <c r="Q266" s="53"/>
      <c r="R266" s="18"/>
      <c r="S266" s="18"/>
      <c r="T266" s="60"/>
    </row>
    <row r="267" spans="15:20">
      <c r="O267" s="18"/>
      <c r="P267" s="104"/>
      <c r="Q267" s="53"/>
      <c r="R267" s="18"/>
      <c r="S267" s="18"/>
      <c r="T267" s="60"/>
    </row>
    <row r="268" spans="15:20">
      <c r="O268" s="18"/>
      <c r="P268" s="104"/>
      <c r="Q268" s="53"/>
      <c r="R268" s="18"/>
      <c r="S268" s="18"/>
      <c r="T268" s="60"/>
    </row>
    <row r="269" spans="15:20">
      <c r="O269" s="18"/>
      <c r="P269" s="104"/>
      <c r="Q269" s="53"/>
      <c r="R269" s="18"/>
      <c r="S269" s="18"/>
      <c r="T269" s="60"/>
    </row>
    <row r="270" spans="15:20">
      <c r="O270" s="18"/>
      <c r="P270" s="104"/>
      <c r="Q270" s="53"/>
      <c r="R270" s="18"/>
      <c r="S270" s="18"/>
      <c r="T270" s="60"/>
    </row>
    <row r="271" spans="15:20">
      <c r="O271" s="18"/>
      <c r="P271" s="104"/>
      <c r="Q271" s="53"/>
      <c r="R271" s="18"/>
      <c r="S271" s="18"/>
      <c r="T271" s="60"/>
    </row>
    <row r="272" spans="15:20">
      <c r="O272" s="18"/>
      <c r="P272" s="104"/>
      <c r="Q272" s="53"/>
      <c r="R272" s="18"/>
      <c r="S272" s="18"/>
      <c r="T272" s="60"/>
    </row>
    <row r="273" spans="15:20">
      <c r="O273" s="18"/>
      <c r="P273" s="104"/>
      <c r="Q273" s="53"/>
      <c r="R273" s="18"/>
      <c r="S273" s="18"/>
      <c r="T273" s="60"/>
    </row>
    <row r="274" spans="15:20">
      <c r="O274" s="18"/>
      <c r="P274" s="104"/>
      <c r="Q274" s="53"/>
      <c r="R274" s="18"/>
      <c r="S274" s="18"/>
      <c r="T274" s="60"/>
    </row>
    <row r="275" spans="15:20">
      <c r="O275" s="18"/>
      <c r="P275" s="104"/>
      <c r="Q275" s="53"/>
      <c r="R275" s="18"/>
      <c r="S275" s="18"/>
      <c r="T275" s="60"/>
    </row>
    <row r="276" spans="15:20">
      <c r="O276" s="18"/>
      <c r="P276" s="104"/>
      <c r="Q276" s="53"/>
      <c r="R276" s="18"/>
      <c r="S276" s="18"/>
      <c r="T276" s="60"/>
    </row>
    <row r="277" spans="15:20">
      <c r="O277" s="18"/>
      <c r="P277" s="104"/>
      <c r="Q277" s="53"/>
      <c r="R277" s="18"/>
      <c r="S277" s="18"/>
      <c r="T277" s="60"/>
    </row>
    <row r="278" spans="15:20">
      <c r="O278" s="18"/>
      <c r="P278" s="104"/>
      <c r="Q278" s="53"/>
      <c r="R278" s="18"/>
      <c r="S278" s="18"/>
      <c r="T278" s="60"/>
    </row>
    <row r="279" spans="15:20">
      <c r="O279" s="18"/>
      <c r="P279" s="104"/>
      <c r="Q279" s="53"/>
      <c r="R279" s="18"/>
      <c r="S279" s="18"/>
      <c r="T279" s="60"/>
    </row>
    <row r="280" spans="15:20">
      <c r="O280" s="18"/>
      <c r="P280" s="104"/>
      <c r="Q280" s="53"/>
      <c r="R280" s="18"/>
      <c r="S280" s="18"/>
      <c r="T280" s="60"/>
    </row>
    <row r="281" spans="15:20">
      <c r="O281" s="18"/>
      <c r="P281" s="104"/>
      <c r="Q281" s="53"/>
      <c r="R281" s="18"/>
      <c r="S281" s="18"/>
      <c r="T281" s="60"/>
    </row>
    <row r="282" spans="15:20">
      <c r="O282" s="18"/>
      <c r="P282" s="104"/>
      <c r="Q282" s="53"/>
      <c r="R282" s="18"/>
      <c r="S282" s="18"/>
      <c r="T282" s="60"/>
    </row>
    <row r="283" spans="15:20">
      <c r="O283" s="18"/>
      <c r="P283" s="104"/>
      <c r="Q283" s="53"/>
      <c r="R283" s="18"/>
      <c r="S283" s="18"/>
      <c r="T283" s="60"/>
    </row>
    <row r="284" spans="15:20">
      <c r="O284" s="18"/>
      <c r="P284" s="104"/>
      <c r="Q284" s="53"/>
      <c r="R284" s="18"/>
      <c r="S284" s="18"/>
      <c r="T284" s="60"/>
    </row>
    <row r="285" spans="15:20">
      <c r="O285" s="18"/>
      <c r="P285" s="104"/>
      <c r="Q285" s="53"/>
      <c r="R285" s="18"/>
      <c r="S285" s="18"/>
      <c r="T285" s="60"/>
    </row>
    <row r="286" spans="15:20">
      <c r="O286" s="18"/>
      <c r="P286" s="104"/>
      <c r="Q286" s="53"/>
      <c r="R286" s="18"/>
      <c r="S286" s="18"/>
      <c r="T286" s="60"/>
    </row>
    <row r="287" spans="15:20">
      <c r="O287" s="18"/>
      <c r="P287" s="104"/>
      <c r="Q287" s="53"/>
      <c r="R287" s="18"/>
      <c r="S287" s="18"/>
      <c r="T287" s="60"/>
    </row>
    <row r="288" spans="15:20">
      <c r="O288" s="18"/>
      <c r="P288" s="104"/>
      <c r="Q288" s="53"/>
      <c r="R288" s="18"/>
      <c r="S288" s="18"/>
      <c r="T288" s="60"/>
    </row>
    <row r="289" spans="15:20">
      <c r="O289" s="18"/>
      <c r="P289" s="104"/>
      <c r="Q289" s="53"/>
      <c r="R289" s="18"/>
      <c r="S289" s="18"/>
      <c r="T289" s="60"/>
    </row>
    <row r="290" spans="15:20">
      <c r="O290" s="18"/>
      <c r="P290" s="104"/>
      <c r="Q290" s="53"/>
      <c r="R290" s="18"/>
      <c r="S290" s="18"/>
      <c r="T290" s="60"/>
    </row>
    <row r="291" spans="15:20">
      <c r="O291" s="18"/>
      <c r="P291" s="104"/>
      <c r="Q291" s="53"/>
      <c r="R291" s="18"/>
      <c r="S291" s="18"/>
      <c r="T291" s="60"/>
    </row>
    <row r="292" spans="15:20">
      <c r="O292" s="18"/>
      <c r="P292" s="104"/>
      <c r="Q292" s="53"/>
      <c r="R292" s="18"/>
      <c r="S292" s="18"/>
      <c r="T292" s="60"/>
    </row>
    <row r="293" spans="15:20">
      <c r="O293" s="18"/>
      <c r="P293" s="104"/>
      <c r="Q293" s="53"/>
      <c r="R293" s="18"/>
      <c r="S293" s="18"/>
      <c r="T293" s="60"/>
    </row>
    <row r="294" spans="15:20">
      <c r="O294" s="18"/>
      <c r="P294" s="104"/>
      <c r="Q294" s="53"/>
      <c r="R294" s="18"/>
      <c r="S294" s="18"/>
      <c r="T294" s="60"/>
    </row>
    <row r="295" spans="15:20">
      <c r="O295" s="18"/>
      <c r="P295" s="104"/>
      <c r="Q295" s="53"/>
      <c r="R295" s="18"/>
      <c r="S295" s="18"/>
      <c r="T295" s="60"/>
    </row>
    <row r="296" spans="15:20">
      <c r="O296" s="18"/>
      <c r="P296" s="104"/>
      <c r="Q296" s="53"/>
      <c r="R296" s="18"/>
      <c r="S296" s="18"/>
      <c r="T296" s="60"/>
    </row>
    <row r="297" spans="15:20">
      <c r="O297" s="18"/>
      <c r="P297" s="104"/>
      <c r="Q297" s="53"/>
      <c r="R297" s="18"/>
      <c r="S297" s="18"/>
      <c r="T297" s="60"/>
    </row>
    <row r="298" spans="15:20">
      <c r="O298" s="18"/>
      <c r="P298" s="104"/>
      <c r="Q298" s="53"/>
      <c r="R298" s="18"/>
      <c r="S298" s="18"/>
      <c r="T298" s="60"/>
    </row>
    <row r="299" spans="15:20">
      <c r="O299" s="18"/>
      <c r="P299" s="104"/>
      <c r="Q299" s="53"/>
      <c r="R299" s="18"/>
      <c r="S299" s="18"/>
      <c r="T299" s="60"/>
    </row>
    <row r="300" spans="15:20">
      <c r="O300" s="18"/>
      <c r="P300" s="104"/>
      <c r="Q300" s="53"/>
      <c r="R300" s="18"/>
      <c r="S300" s="18"/>
      <c r="T300" s="60"/>
    </row>
    <row r="301" spans="15:20">
      <c r="O301" s="18"/>
      <c r="P301" s="104"/>
      <c r="Q301" s="53"/>
      <c r="R301" s="18"/>
      <c r="S301" s="18"/>
      <c r="T301" s="60"/>
    </row>
    <row r="302" spans="15:20">
      <c r="O302" s="18"/>
      <c r="P302" s="104"/>
      <c r="Q302" s="53"/>
      <c r="R302" s="18"/>
      <c r="S302" s="18"/>
      <c r="T302" s="60"/>
    </row>
    <row r="303" spans="15:20">
      <c r="O303" s="18"/>
      <c r="P303" s="104"/>
      <c r="Q303" s="53"/>
      <c r="R303" s="18"/>
      <c r="S303" s="18"/>
      <c r="T303" s="60"/>
    </row>
    <row r="304" spans="15:20">
      <c r="O304" s="18"/>
      <c r="P304" s="104"/>
      <c r="Q304" s="53"/>
      <c r="R304" s="18"/>
      <c r="S304" s="18"/>
      <c r="T304" s="60"/>
    </row>
    <row r="305" spans="15:20">
      <c r="O305" s="18"/>
      <c r="P305" s="104"/>
      <c r="Q305" s="53"/>
      <c r="R305" s="18"/>
      <c r="S305" s="18"/>
      <c r="T305" s="60"/>
    </row>
    <row r="306" spans="15:20">
      <c r="O306" s="18"/>
      <c r="P306" s="104"/>
      <c r="Q306" s="53"/>
      <c r="R306" s="18"/>
      <c r="S306" s="18"/>
      <c r="T306" s="60"/>
    </row>
    <row r="307" spans="15:20">
      <c r="O307" s="18"/>
      <c r="P307" s="104"/>
      <c r="Q307" s="53"/>
      <c r="R307" s="18"/>
      <c r="S307" s="18"/>
      <c r="T307" s="60"/>
    </row>
    <row r="308" spans="15:20">
      <c r="O308" s="18"/>
      <c r="P308" s="104"/>
      <c r="Q308" s="53"/>
      <c r="R308" s="18"/>
      <c r="S308" s="18"/>
      <c r="T308" s="60"/>
    </row>
    <row r="309" spans="15:20">
      <c r="O309" s="18"/>
      <c r="P309" s="104"/>
      <c r="Q309" s="53"/>
      <c r="R309" s="18"/>
      <c r="S309" s="18"/>
      <c r="T309" s="60"/>
    </row>
    <row r="310" spans="15:20">
      <c r="O310" s="18"/>
      <c r="P310" s="104"/>
      <c r="Q310" s="53"/>
      <c r="R310" s="18"/>
      <c r="S310" s="18"/>
      <c r="T310" s="60"/>
    </row>
  </sheetData>
  <autoFilter ref="A14:N222"/>
  <mergeCells count="34">
    <mergeCell ref="A228:D228"/>
    <mergeCell ref="A11:A13"/>
    <mergeCell ref="B11:C11"/>
    <mergeCell ref="B12:B13"/>
    <mergeCell ref="E228:I228"/>
    <mergeCell ref="F12:F13"/>
    <mergeCell ref="G12:G13"/>
    <mergeCell ref="H12:H13"/>
    <mergeCell ref="I12:I13"/>
    <mergeCell ref="G2:I2"/>
    <mergeCell ref="G3:I4"/>
    <mergeCell ref="A227:D227"/>
    <mergeCell ref="C12:C13"/>
    <mergeCell ref="D11:D13"/>
    <mergeCell ref="E11:E13"/>
    <mergeCell ref="F11:G11"/>
    <mergeCell ref="H11:I11"/>
    <mergeCell ref="E226:I226"/>
    <mergeCell ref="E227:I227"/>
    <mergeCell ref="A5:I5"/>
    <mergeCell ref="A7:I7"/>
    <mergeCell ref="A8:I8"/>
    <mergeCell ref="A9:I9"/>
    <mergeCell ref="A10:I10"/>
    <mergeCell ref="A6:I6"/>
    <mergeCell ref="O227:Q227"/>
    <mergeCell ref="O228:Q228"/>
    <mergeCell ref="S11:T11"/>
    <mergeCell ref="P12:P13"/>
    <mergeCell ref="S12:S13"/>
    <mergeCell ref="T12:T13"/>
    <mergeCell ref="O11:O13"/>
    <mergeCell ref="Q11:Q13"/>
    <mergeCell ref="R11:R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178"/>
  <sheetViews>
    <sheetView topLeftCell="A11" zoomScale="90" workbookViewId="0">
      <pane ySplit="5" topLeftCell="A139" activePane="bottomLeft" state="frozen"/>
      <selection activeCell="K212" sqref="K212"/>
      <selection pane="bottomLeft" activeCell="D165" sqref="D16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3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289" t="s">
        <v>137</v>
      </c>
      <c r="H2" s="289"/>
      <c r="I2" s="289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290" t="s">
        <v>138</v>
      </c>
      <c r="H3" s="290"/>
      <c r="I3" s="290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290"/>
      <c r="H4" s="290"/>
      <c r="I4" s="290"/>
      <c r="N4" s="27"/>
      <c r="O4" s="27"/>
      <c r="P4" s="28"/>
      <c r="Q4" s="27"/>
      <c r="R4" s="3"/>
      <c r="S4" s="1"/>
    </row>
    <row r="5" spans="1:20" ht="23.25" customHeight="1">
      <c r="A5" s="293" t="s">
        <v>2</v>
      </c>
      <c r="B5" s="293"/>
      <c r="C5" s="293"/>
      <c r="D5" s="293"/>
      <c r="E5" s="293"/>
      <c r="F5" s="293"/>
      <c r="G5" s="293"/>
      <c r="H5" s="293"/>
      <c r="I5" s="293"/>
      <c r="N5" s="1"/>
      <c r="O5" s="1"/>
      <c r="Q5" s="1"/>
      <c r="R5" s="1"/>
      <c r="S5" s="1"/>
    </row>
    <row r="6" spans="1:20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N6" s="1"/>
      <c r="O6" s="1"/>
      <c r="Q6" s="1"/>
      <c r="R6" s="1"/>
      <c r="S6" s="1"/>
    </row>
    <row r="7" spans="1:20">
      <c r="A7" s="294" t="s">
        <v>28</v>
      </c>
      <c r="B7" s="291"/>
      <c r="C7" s="291"/>
      <c r="D7" s="291"/>
      <c r="E7" s="291"/>
      <c r="F7" s="291"/>
      <c r="G7" s="291"/>
      <c r="H7" s="291"/>
      <c r="I7" s="291"/>
      <c r="N7" s="1"/>
      <c r="O7" s="1"/>
      <c r="Q7" s="1"/>
      <c r="R7" s="1"/>
      <c r="S7" s="1"/>
    </row>
    <row r="8" spans="1:20">
      <c r="A8" s="291" t="s">
        <v>75</v>
      </c>
      <c r="B8" s="291" t="s">
        <v>4</v>
      </c>
      <c r="C8" s="291"/>
      <c r="D8" s="291"/>
      <c r="E8" s="291"/>
      <c r="F8" s="291"/>
      <c r="G8" s="291"/>
      <c r="H8" s="291"/>
      <c r="I8" s="291"/>
      <c r="N8" s="1"/>
      <c r="O8" s="1"/>
      <c r="Q8" s="1"/>
      <c r="R8" s="1"/>
      <c r="S8" s="1"/>
    </row>
    <row r="9" spans="1:20">
      <c r="A9" s="291" t="s">
        <v>5</v>
      </c>
      <c r="B9" s="294"/>
      <c r="C9" s="294"/>
      <c r="D9" s="294"/>
      <c r="E9" s="294"/>
      <c r="F9" s="294"/>
      <c r="G9" s="294"/>
      <c r="H9" s="294"/>
      <c r="I9" s="294"/>
      <c r="N9" s="1"/>
      <c r="O9" s="1"/>
      <c r="Q9" s="1"/>
      <c r="R9" s="1"/>
      <c r="S9" s="1"/>
    </row>
    <row r="10" spans="1:20" hidden="1">
      <c r="A10" s="27"/>
      <c r="B10" s="27"/>
      <c r="C10" s="296"/>
      <c r="D10" s="296"/>
      <c r="E10" s="296"/>
      <c r="F10" s="296"/>
      <c r="G10" s="296"/>
      <c r="H10" s="296"/>
      <c r="I10" s="296"/>
      <c r="N10" s="27"/>
      <c r="O10" s="1"/>
      <c r="Q10" s="1"/>
      <c r="R10" s="1"/>
      <c r="S10" s="1"/>
    </row>
    <row r="11" spans="1:20" ht="15.75" customHeight="1">
      <c r="A11" s="288" t="s">
        <v>6</v>
      </c>
      <c r="B11" s="280" t="s">
        <v>7</v>
      </c>
      <c r="C11" s="281"/>
      <c r="D11" s="288" t="s">
        <v>8</v>
      </c>
      <c r="E11" s="288" t="s">
        <v>9</v>
      </c>
      <c r="F11" s="280" t="s">
        <v>10</v>
      </c>
      <c r="G11" s="281"/>
      <c r="H11" s="280" t="s">
        <v>11</v>
      </c>
      <c r="I11" s="292"/>
      <c r="N11" s="280" t="s">
        <v>7</v>
      </c>
      <c r="O11" s="281"/>
      <c r="P11" s="288" t="s">
        <v>8</v>
      </c>
      <c r="Q11" s="288" t="s">
        <v>9</v>
      </c>
      <c r="R11" s="280" t="s">
        <v>10</v>
      </c>
      <c r="S11" s="281"/>
    </row>
    <row r="12" spans="1:20" ht="15.75" customHeight="1">
      <c r="A12" s="288"/>
      <c r="B12" s="284" t="s">
        <v>12</v>
      </c>
      <c r="C12" s="284" t="s">
        <v>13</v>
      </c>
      <c r="D12" s="288"/>
      <c r="E12" s="288"/>
      <c r="F12" s="284" t="s">
        <v>14</v>
      </c>
      <c r="G12" s="286" t="s">
        <v>15</v>
      </c>
      <c r="H12" s="284" t="s">
        <v>14</v>
      </c>
      <c r="I12" s="284" t="s">
        <v>15</v>
      </c>
      <c r="N12" s="284" t="s">
        <v>12</v>
      </c>
      <c r="O12" s="284" t="s">
        <v>13</v>
      </c>
      <c r="P12" s="288"/>
      <c r="Q12" s="288"/>
      <c r="R12" s="284" t="s">
        <v>14</v>
      </c>
      <c r="S12" s="286" t="s">
        <v>15</v>
      </c>
    </row>
    <row r="13" spans="1:20" ht="17.25" customHeight="1">
      <c r="A13" s="288"/>
      <c r="B13" s="285"/>
      <c r="C13" s="285"/>
      <c r="D13" s="288"/>
      <c r="E13" s="288"/>
      <c r="F13" s="285"/>
      <c r="G13" s="287"/>
      <c r="H13" s="285"/>
      <c r="I13" s="285"/>
      <c r="N13" s="285"/>
      <c r="O13" s="285"/>
      <c r="P13" s="288"/>
      <c r="Q13" s="288"/>
      <c r="R13" s="285"/>
      <c r="S13" s="287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3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17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17.25" customHeight="1">
      <c r="A16" s="14">
        <v>41670</v>
      </c>
      <c r="B16" s="23" t="s">
        <v>72</v>
      </c>
      <c r="C16" s="11">
        <v>41670</v>
      </c>
      <c r="D16" s="16" t="s">
        <v>41</v>
      </c>
      <c r="E16" s="37" t="s">
        <v>42</v>
      </c>
      <c r="F16" s="9"/>
      <c r="G16" s="19">
        <v>295571000</v>
      </c>
      <c r="H16" s="5">
        <f t="shared" ref="H16:H17" si="0">MAX(H15+F16-G16-I15,0)</f>
        <v>0</v>
      </c>
      <c r="I16" s="5">
        <f t="shared" ref="I16:I17" si="1">MAX(I15+G16-F16-H15,0)</f>
        <v>295571000</v>
      </c>
      <c r="J16" s="36">
        <f t="shared" ref="J16:J47" si="2">IF(A16&lt;&gt;"",MONTH(A16),"")</f>
        <v>1</v>
      </c>
      <c r="K16" s="204" t="s">
        <v>328</v>
      </c>
      <c r="N16" s="23" t="str">
        <f ca="1">IF(ROWS($1:1)&gt;COUNT(Dong1),"",OFFSET('141-TT'!B$1,SMALL(Dong1,ROWS($1:1)),))</f>
        <v>TU12</v>
      </c>
      <c r="O16" s="146">
        <f ca="1">IF(ROWS($1:1)&gt;COUNT(Dong1),"",OFFSET('141-TT'!C$1,SMALL(Dong1,ROWS($1:1)),))</f>
        <v>41820</v>
      </c>
      <c r="P16" s="23" t="str">
        <f ca="1">IF(ROWS($1:1)&gt;COUNT(Dong1),"",OFFSET('141-TT'!D$1,SMALL(Dong1,ROWS($1:1)),))</f>
        <v>Đỗ Thị Hoàng Mai</v>
      </c>
      <c r="Q16" s="23" t="str">
        <f ca="1">IF(ROWS($1:1)&gt;COUNT(Dong1),"",OFFSET('141-TT'!E$1,SMALL(Dong1,ROWS($1:1)),))</f>
        <v>331</v>
      </c>
      <c r="R16" s="23">
        <f ca="1">IF(ROWS($1:1)&gt;COUNT(Dong1),"",OFFSET('141-TT'!F$1,SMALL(Dong1,ROWS($1:1)),))</f>
        <v>0</v>
      </c>
      <c r="S16" s="23">
        <f ca="1">IF(ROWS($1:1)&gt;COUNT(Dong1),"",OFFSET('141-TT'!G$1,SMALL(Dong1,ROWS($1:1)),))</f>
        <v>283955000</v>
      </c>
      <c r="T16" s="1" t="str">
        <f ca="1">IF(IF(ROWS($1:1)&gt;COUNT(Dong1),"",OFFSET('141-TT'!K$1,SMALL(Dong1,ROWS($1:1)),))=0,"",IF(ROWS($1:1)&gt;COUNT(Dong1),"",OFFSET('141-TT'!K$1,SMALL(Dong1,ROWS($1:1)),)))</f>
        <v>N09/NL &amp; N37/NL</v>
      </c>
    </row>
    <row r="17" spans="1:20" ht="17.25" customHeight="1">
      <c r="A17" s="14">
        <v>41670</v>
      </c>
      <c r="B17" s="23" t="s">
        <v>72</v>
      </c>
      <c r="C17" s="11">
        <v>41670</v>
      </c>
      <c r="D17" s="16" t="s">
        <v>35</v>
      </c>
      <c r="E17" s="37" t="s">
        <v>42</v>
      </c>
      <c r="F17" s="9"/>
      <c r="G17" s="19">
        <v>390672000</v>
      </c>
      <c r="H17" s="5">
        <f t="shared" si="0"/>
        <v>0</v>
      </c>
      <c r="I17" s="5">
        <f t="shared" si="1"/>
        <v>686243000</v>
      </c>
      <c r="J17" s="36">
        <f t="shared" si="2"/>
        <v>1</v>
      </c>
      <c r="K17" s="204" t="s">
        <v>329</v>
      </c>
      <c r="N17" s="23" t="str">
        <f ca="1">IF(ROWS($1:2)&gt;COUNT(Dong1),"",OFFSET('141-TT'!B$1,SMALL(Dong1,ROWS($1:2)),))</f>
        <v>TU12</v>
      </c>
      <c r="O17" s="146">
        <f ca="1">IF(ROWS($1:2)&gt;COUNT(Dong1),"",OFFSET('141-TT'!C$1,SMALL(Dong1,ROWS($1:2)),))</f>
        <v>41820</v>
      </c>
      <c r="P17" s="23" t="str">
        <f ca="1">IF(ROWS($1:2)&gt;COUNT(Dong1),"",OFFSET('141-TT'!D$1,SMALL(Dong1,ROWS($1:2)),))</f>
        <v>Đỗ Văn Tâm</v>
      </c>
      <c r="Q17" s="23" t="str">
        <f ca="1">IF(ROWS($1:2)&gt;COUNT(Dong1),"",OFFSET('141-TT'!E$1,SMALL(Dong1,ROWS($1:2)),))</f>
        <v>331</v>
      </c>
      <c r="R17" s="23">
        <f ca="1">IF(ROWS($1:2)&gt;COUNT(Dong1),"",OFFSET('141-TT'!F$1,SMALL(Dong1,ROWS($1:2)),))</f>
        <v>0</v>
      </c>
      <c r="S17" s="23">
        <f ca="1">IF(ROWS($1:2)&gt;COUNT(Dong1),"",OFFSET('141-TT'!G$1,SMALL(Dong1,ROWS($1:2)),))</f>
        <v>177378000</v>
      </c>
      <c r="T17" s="1" t="str">
        <f ca="1">IF(IF(ROWS($1:2)&gt;COUNT(Dong1),"",OFFSET('141-TT'!K$1,SMALL(Dong1,ROWS($1:2)),))=0,"",IF(ROWS($1:2)&gt;COUNT(Dong1),"",OFFSET('141-TT'!K$1,SMALL(Dong1,ROWS($1:2)),)))</f>
        <v>N01/NL &amp; N07/NL</v>
      </c>
    </row>
    <row r="18" spans="1:20" ht="17.25" customHeight="1">
      <c r="A18" s="14">
        <v>41670</v>
      </c>
      <c r="B18" s="23" t="s">
        <v>72</v>
      </c>
      <c r="C18" s="11">
        <v>41670</v>
      </c>
      <c r="D18" s="16" t="s">
        <v>31</v>
      </c>
      <c r="E18" s="37" t="s">
        <v>42</v>
      </c>
      <c r="F18" s="9"/>
      <c r="G18" s="19">
        <v>316675000</v>
      </c>
      <c r="H18" s="5">
        <f t="shared" ref="H18:H80" si="3">MAX(H17+F18-G18-I17,0)</f>
        <v>0</v>
      </c>
      <c r="I18" s="5">
        <f t="shared" ref="I18:I80" si="4">MAX(I17+G18-F18-H17,0)</f>
        <v>1002918000</v>
      </c>
      <c r="J18" s="36">
        <f t="shared" si="2"/>
        <v>1</v>
      </c>
      <c r="K18" s="204" t="s">
        <v>330</v>
      </c>
      <c r="N18" s="23" t="str">
        <f ca="1">IF(ROWS($1:3)&gt;COUNT(Dong1),"",OFFSET('141-TT'!B$1,SMALL(Dong1,ROWS($1:3)),))</f>
        <v>TU12</v>
      </c>
      <c r="O18" s="146">
        <f ca="1">IF(ROWS($1:3)&gt;COUNT(Dong1),"",OFFSET('141-TT'!C$1,SMALL(Dong1,ROWS($1:3)),))</f>
        <v>41820</v>
      </c>
      <c r="P18" s="23" t="str">
        <f ca="1">IF(ROWS($1:3)&gt;COUNT(Dong1),"",OFFSET('141-TT'!D$1,SMALL(Dong1,ROWS($1:3)),))</f>
        <v>Hồ Thị Mỹ</v>
      </c>
      <c r="Q18" s="23" t="str">
        <f ca="1">IF(ROWS($1:3)&gt;COUNT(Dong1),"",OFFSET('141-TT'!E$1,SMALL(Dong1,ROWS($1:3)),))</f>
        <v>331</v>
      </c>
      <c r="R18" s="23">
        <f ca="1">IF(ROWS($1:3)&gt;COUNT(Dong1),"",OFFSET('141-TT'!F$1,SMALL(Dong1,ROWS($1:3)),))</f>
        <v>0</v>
      </c>
      <c r="S18" s="23">
        <f ca="1">IF(ROWS($1:3)&gt;COUNT(Dong1),"",OFFSET('141-TT'!G$1,SMALL(Dong1,ROWS($1:3)),))</f>
        <v>101439000</v>
      </c>
      <c r="T18" s="1" t="str">
        <f ca="1">IF(IF(ROWS($1:3)&gt;COUNT(Dong1),"",OFFSET('141-TT'!K$1,SMALL(Dong1,ROWS($1:3)),))=0,"",IF(ROWS($1:3)&gt;COUNT(Dong1),"",OFFSET('141-TT'!K$1,SMALL(Dong1,ROWS($1:3)),)))</f>
        <v>N08/NL</v>
      </c>
    </row>
    <row r="19" spans="1:20" ht="17.25" customHeight="1">
      <c r="A19" s="14">
        <v>41670</v>
      </c>
      <c r="B19" s="23" t="s">
        <v>72</v>
      </c>
      <c r="C19" s="11">
        <v>41670</v>
      </c>
      <c r="D19" s="16" t="s">
        <v>40</v>
      </c>
      <c r="E19" s="37" t="s">
        <v>42</v>
      </c>
      <c r="F19" s="9"/>
      <c r="G19" s="19">
        <v>289526000</v>
      </c>
      <c r="H19" s="5">
        <f t="shared" si="3"/>
        <v>0</v>
      </c>
      <c r="I19" s="5">
        <f t="shared" si="4"/>
        <v>1292444000</v>
      </c>
      <c r="J19" s="36">
        <f t="shared" si="2"/>
        <v>1</v>
      </c>
      <c r="K19" s="204" t="s">
        <v>331</v>
      </c>
      <c r="N19" s="23" t="str">
        <f ca="1">IF(ROWS($1:4)&gt;COUNT(Dong1),"",OFFSET('141-TT'!B$1,SMALL(Dong1,ROWS($1:4)),))</f>
        <v>TU12</v>
      </c>
      <c r="O19" s="146">
        <f ca="1">IF(ROWS($1:4)&gt;COUNT(Dong1),"",OFFSET('141-TT'!C$1,SMALL(Dong1,ROWS($1:4)),))</f>
        <v>41820</v>
      </c>
      <c r="P19" s="23" t="str">
        <f ca="1">IF(ROWS($1:4)&gt;COUNT(Dong1),"",OFFSET('141-TT'!D$1,SMALL(Dong1,ROWS($1:4)),))</f>
        <v>Lê Văn Thành</v>
      </c>
      <c r="Q19" s="23" t="str">
        <f ca="1">IF(ROWS($1:4)&gt;COUNT(Dong1),"",OFFSET('141-TT'!E$1,SMALL(Dong1,ROWS($1:4)),))</f>
        <v>331</v>
      </c>
      <c r="R19" s="23">
        <f ca="1">IF(ROWS($1:4)&gt;COUNT(Dong1),"",OFFSET('141-TT'!F$1,SMALL(Dong1,ROWS($1:4)),))</f>
        <v>0</v>
      </c>
      <c r="S19" s="23">
        <f ca="1">IF(ROWS($1:4)&gt;COUNT(Dong1),"",OFFSET('141-TT'!G$1,SMALL(Dong1,ROWS($1:4)),))</f>
        <v>296661000</v>
      </c>
      <c r="T19" s="1" t="str">
        <f ca="1">IF(IF(ROWS($1:4)&gt;COUNT(Dong1),"",OFFSET('141-TT'!K$1,SMALL(Dong1,ROWS($1:4)),))=0,"",IF(ROWS($1:4)&gt;COUNT(Dong1),"",OFFSET('141-TT'!K$1,SMALL(Dong1,ROWS($1:4)),)))</f>
        <v>N10/NL &amp; N38/NL</v>
      </c>
    </row>
    <row r="20" spans="1:20" ht="17.25" customHeight="1">
      <c r="A20" s="14">
        <v>41670</v>
      </c>
      <c r="B20" s="23" t="s">
        <v>72</v>
      </c>
      <c r="C20" s="11">
        <v>41670</v>
      </c>
      <c r="D20" s="16" t="s">
        <v>32</v>
      </c>
      <c r="E20" s="37" t="s">
        <v>42</v>
      </c>
      <c r="F20" s="9"/>
      <c r="G20" s="19">
        <v>339862500</v>
      </c>
      <c r="H20" s="5">
        <f t="shared" si="3"/>
        <v>0</v>
      </c>
      <c r="I20" s="5">
        <f t="shared" si="4"/>
        <v>1632306500</v>
      </c>
      <c r="J20" s="36">
        <f t="shared" si="2"/>
        <v>1</v>
      </c>
      <c r="K20" s="204" t="s">
        <v>332</v>
      </c>
      <c r="N20" s="23" t="str">
        <f ca="1">IF(ROWS($1:5)&gt;COUNT(Dong1),"",OFFSET('141-TT'!B$1,SMALL(Dong1,ROWS($1:5)),))</f>
        <v>TU12</v>
      </c>
      <c r="O20" s="146">
        <f ca="1">IF(ROWS($1:5)&gt;COUNT(Dong1),"",OFFSET('141-TT'!C$1,SMALL(Dong1,ROWS($1:5)),))</f>
        <v>41820</v>
      </c>
      <c r="P20" s="23" t="str">
        <f ca="1">IF(ROWS($1:5)&gt;COUNT(Dong1),"",OFFSET('141-TT'!D$1,SMALL(Dong1,ROWS($1:5)),))</f>
        <v>Nguyễn Thanh Vân</v>
      </c>
      <c r="Q20" s="23" t="str">
        <f ca="1">IF(ROWS($1:5)&gt;COUNT(Dong1),"",OFFSET('141-TT'!E$1,SMALL(Dong1,ROWS($1:5)),))</f>
        <v>331</v>
      </c>
      <c r="R20" s="23">
        <f ca="1">IF(ROWS($1:5)&gt;COUNT(Dong1),"",OFFSET('141-TT'!F$1,SMALL(Dong1,ROWS($1:5)),))</f>
        <v>0</v>
      </c>
      <c r="S20" s="23">
        <f ca="1">IF(ROWS($1:5)&gt;COUNT(Dong1),"",OFFSET('141-TT'!G$1,SMALL(Dong1,ROWS($1:5)),))</f>
        <v>189754000</v>
      </c>
      <c r="T20" s="1" t="str">
        <f ca="1">IF(IF(ROWS($1:5)&gt;COUNT(Dong1),"",OFFSET('141-TT'!K$1,SMALL(Dong1,ROWS($1:5)),))=0,"",IF(ROWS($1:5)&gt;COUNT(Dong1),"",OFFSET('141-TT'!K$1,SMALL(Dong1,ROWS($1:5)),)))</f>
        <v>N02/NL &amp; N09/NL</v>
      </c>
    </row>
    <row r="21" spans="1:20" ht="17.25" customHeight="1">
      <c r="A21" s="14">
        <v>41670</v>
      </c>
      <c r="B21" s="23" t="s">
        <v>72</v>
      </c>
      <c r="C21" s="11">
        <v>41670</v>
      </c>
      <c r="D21" s="16" t="s">
        <v>36</v>
      </c>
      <c r="E21" s="12" t="s">
        <v>42</v>
      </c>
      <c r="F21" s="9"/>
      <c r="G21" s="9">
        <v>394872000</v>
      </c>
      <c r="H21" s="5">
        <f t="shared" si="3"/>
        <v>0</v>
      </c>
      <c r="I21" s="5">
        <f t="shared" si="4"/>
        <v>2027178500</v>
      </c>
      <c r="J21" s="36">
        <f t="shared" si="2"/>
        <v>1</v>
      </c>
      <c r="K21" s="205" t="s">
        <v>333</v>
      </c>
      <c r="N21" s="23" t="str">
        <f ca="1">IF(ROWS($1:6)&gt;COUNT(Dong1),"",OFFSET('141-TT'!B$1,SMALL(Dong1,ROWS($1:6)),))</f>
        <v>TU12</v>
      </c>
      <c r="O21" s="146">
        <f ca="1">IF(ROWS($1:6)&gt;COUNT(Dong1),"",OFFSET('141-TT'!C$1,SMALL(Dong1,ROWS($1:6)),))</f>
        <v>41820</v>
      </c>
      <c r="P21" s="23" t="str">
        <f ca="1">IF(ROWS($1:6)&gt;COUNT(Dong1),"",OFFSET('141-TT'!D$1,SMALL(Dong1,ROWS($1:6)),))</f>
        <v>Nguyễn Thị Mộng Tuyền</v>
      </c>
      <c r="Q21" s="23" t="str">
        <f ca="1">IF(ROWS($1:6)&gt;COUNT(Dong1),"",OFFSET('141-TT'!E$1,SMALL(Dong1,ROWS($1:6)),))</f>
        <v>331</v>
      </c>
      <c r="R21" s="23">
        <f ca="1">IF(ROWS($1:6)&gt;COUNT(Dong1),"",OFFSET('141-TT'!F$1,SMALL(Dong1,ROWS($1:6)),))</f>
        <v>0</v>
      </c>
      <c r="S21" s="23">
        <f ca="1">IF(ROWS($1:6)&gt;COUNT(Dong1),"",OFFSET('141-TT'!G$1,SMALL(Dong1,ROWS($1:6)),))</f>
        <v>310562000</v>
      </c>
      <c r="T21" s="1" t="str">
        <f ca="1">IF(IF(ROWS($1:6)&gt;COUNT(Dong1),"",OFFSET('141-TT'!K$1,SMALL(Dong1,ROWS($1:6)),))=0,"",IF(ROWS($1:6)&gt;COUNT(Dong1),"",OFFSET('141-TT'!K$1,SMALL(Dong1,ROWS($1:6)),)))</f>
        <v>N11/NL &amp; N39/NL</v>
      </c>
    </row>
    <row r="22" spans="1:20" ht="17.25" customHeight="1">
      <c r="A22" s="14">
        <v>41670</v>
      </c>
      <c r="B22" s="23" t="s">
        <v>72</v>
      </c>
      <c r="C22" s="11">
        <v>41670</v>
      </c>
      <c r="D22" s="16" t="s">
        <v>37</v>
      </c>
      <c r="E22" s="12" t="s">
        <v>42</v>
      </c>
      <c r="F22" s="9"/>
      <c r="G22" s="19">
        <v>293644000</v>
      </c>
      <c r="H22" s="5">
        <f t="shared" si="3"/>
        <v>0</v>
      </c>
      <c r="I22" s="5">
        <f t="shared" si="4"/>
        <v>2320822500</v>
      </c>
      <c r="J22" s="36">
        <f t="shared" si="2"/>
        <v>1</v>
      </c>
      <c r="K22" s="204" t="s">
        <v>334</v>
      </c>
      <c r="N22" s="23" t="str">
        <f ca="1">IF(ROWS($1:7)&gt;COUNT(Dong1),"",OFFSET('141-TT'!B$1,SMALL(Dong1,ROWS($1:7)),))</f>
        <v>TU12</v>
      </c>
      <c r="O22" s="146">
        <f ca="1">IF(ROWS($1:7)&gt;COUNT(Dong1),"",OFFSET('141-TT'!C$1,SMALL(Dong1,ROWS($1:7)),))</f>
        <v>41820</v>
      </c>
      <c r="P22" s="23" t="str">
        <f ca="1">IF(ROWS($1:7)&gt;COUNT(Dong1),"",OFFSET('141-TT'!D$1,SMALL(Dong1,ROWS($1:7)),))</f>
        <v>Nguyễn Văn Đức</v>
      </c>
      <c r="Q22" s="23" t="str">
        <f ca="1">IF(ROWS($1:7)&gt;COUNT(Dong1),"",OFFSET('141-TT'!E$1,SMALL(Dong1,ROWS($1:7)),))</f>
        <v>331</v>
      </c>
      <c r="R22" s="23">
        <f ca="1">IF(ROWS($1:7)&gt;COUNT(Dong1),"",OFFSET('141-TT'!F$1,SMALL(Dong1,ROWS($1:7)),))</f>
        <v>0</v>
      </c>
      <c r="S22" s="23">
        <f ca="1">IF(ROWS($1:7)&gt;COUNT(Dong1),"",OFFSET('141-TT'!G$1,SMALL(Dong1,ROWS($1:7)),))</f>
        <v>99127000</v>
      </c>
      <c r="T22" s="1" t="str">
        <f ca="1">IF(IF(ROWS($1:7)&gt;COUNT(Dong1),"",OFFSET('141-TT'!K$1,SMALL(Dong1,ROWS($1:7)),))=0,"",IF(ROWS($1:7)&gt;COUNT(Dong1),"",OFFSET('141-TT'!K$1,SMALL(Dong1,ROWS($1:7)),)))</f>
        <v>N03/NL</v>
      </c>
    </row>
    <row r="23" spans="1:20" ht="17.25" customHeight="1">
      <c r="A23" s="14">
        <v>41670</v>
      </c>
      <c r="B23" s="23" t="s">
        <v>72</v>
      </c>
      <c r="C23" s="11">
        <v>41670</v>
      </c>
      <c r="D23" s="16" t="s">
        <v>38</v>
      </c>
      <c r="E23" s="12" t="s">
        <v>42</v>
      </c>
      <c r="F23" s="9"/>
      <c r="G23" s="19">
        <v>273073000</v>
      </c>
      <c r="H23" s="5">
        <f t="shared" si="3"/>
        <v>0</v>
      </c>
      <c r="I23" s="5">
        <f t="shared" si="4"/>
        <v>2593895500</v>
      </c>
      <c r="J23" s="36">
        <f t="shared" si="2"/>
        <v>1</v>
      </c>
      <c r="K23" s="204" t="s">
        <v>335</v>
      </c>
      <c r="N23" s="23" t="str">
        <f ca="1">IF(ROWS($1:8)&gt;COUNT(Dong1),"",OFFSET('141-TT'!B$1,SMALL(Dong1,ROWS($1:8)),))</f>
        <v>TU12</v>
      </c>
      <c r="O23" s="146">
        <f ca="1">IF(ROWS($1:8)&gt;COUNT(Dong1),"",OFFSET('141-TT'!C$1,SMALL(Dong1,ROWS($1:8)),))</f>
        <v>41820</v>
      </c>
      <c r="P23" s="23" t="str">
        <f ca="1">IF(ROWS($1:8)&gt;COUNT(Dong1),"",OFFSET('141-TT'!D$1,SMALL(Dong1,ROWS($1:8)),))</f>
        <v>Nguyễn Văn Tư</v>
      </c>
      <c r="Q23" s="23" t="str">
        <f ca="1">IF(ROWS($1:8)&gt;COUNT(Dong1),"",OFFSET('141-TT'!E$1,SMALL(Dong1,ROWS($1:8)),))</f>
        <v>331</v>
      </c>
      <c r="R23" s="23">
        <f ca="1">IF(ROWS($1:8)&gt;COUNT(Dong1),"",OFFSET('141-TT'!F$1,SMALL(Dong1,ROWS($1:8)),))</f>
        <v>0</v>
      </c>
      <c r="S23" s="23">
        <f ca="1">IF(ROWS($1:8)&gt;COUNT(Dong1),"",OFFSET('141-TT'!G$1,SMALL(Dong1,ROWS($1:8)),))</f>
        <v>180302000</v>
      </c>
      <c r="T23" s="1" t="str">
        <f ca="1">IF(IF(ROWS($1:8)&gt;COUNT(Dong1),"",OFFSET('141-TT'!K$1,SMALL(Dong1,ROWS($1:8)),))=0,"",IF(ROWS($1:8)&gt;COUNT(Dong1),"",OFFSET('141-TT'!K$1,SMALL(Dong1,ROWS($1:8)),)))</f>
        <v>N04/NL &amp; N10/NL</v>
      </c>
    </row>
    <row r="24" spans="1:20" ht="17.25" customHeight="1">
      <c r="A24" s="14">
        <v>41670</v>
      </c>
      <c r="B24" s="23" t="s">
        <v>72</v>
      </c>
      <c r="C24" s="11">
        <v>41670</v>
      </c>
      <c r="D24" s="16" t="s">
        <v>51</v>
      </c>
      <c r="E24" s="12" t="s">
        <v>42</v>
      </c>
      <c r="F24" s="9"/>
      <c r="G24" s="19">
        <v>327275000</v>
      </c>
      <c r="H24" s="5">
        <f t="shared" si="3"/>
        <v>0</v>
      </c>
      <c r="I24" s="5">
        <f t="shared" si="4"/>
        <v>2921170500</v>
      </c>
      <c r="J24" s="36">
        <f t="shared" si="2"/>
        <v>1</v>
      </c>
      <c r="K24" s="204" t="s">
        <v>336</v>
      </c>
      <c r="N24" s="23" t="str">
        <f ca="1">IF(ROWS($1:9)&gt;COUNT(Dong1),"",OFFSET('141-TT'!B$1,SMALL(Dong1,ROWS($1:9)),))</f>
        <v>TU12</v>
      </c>
      <c r="O24" s="146">
        <f ca="1">IF(ROWS($1:9)&gt;COUNT(Dong1),"",OFFSET('141-TT'!C$1,SMALL(Dong1,ROWS($1:9)),))</f>
        <v>41820</v>
      </c>
      <c r="P24" s="23" t="str">
        <f ca="1">IF(ROWS($1:9)&gt;COUNT(Dong1),"",OFFSET('141-TT'!D$1,SMALL(Dong1,ROWS($1:9)),))</f>
        <v>Phạm Thị Chính</v>
      </c>
      <c r="Q24" s="23" t="str">
        <f ca="1">IF(ROWS($1:9)&gt;COUNT(Dong1),"",OFFSET('141-TT'!E$1,SMALL(Dong1,ROWS($1:9)),))</f>
        <v>331</v>
      </c>
      <c r="R24" s="23">
        <f ca="1">IF(ROWS($1:9)&gt;COUNT(Dong1),"",OFFSET('141-TT'!F$1,SMALL(Dong1,ROWS($1:9)),))</f>
        <v>0</v>
      </c>
      <c r="S24" s="23">
        <f ca="1">IF(ROWS($1:9)&gt;COUNT(Dong1),"",OFFSET('141-TT'!G$1,SMALL(Dong1,ROWS($1:9)),))</f>
        <v>299352000</v>
      </c>
      <c r="T24" s="1" t="str">
        <f ca="1">IF(IF(ROWS($1:9)&gt;COUNT(Dong1),"",OFFSET('141-TT'!K$1,SMALL(Dong1,ROWS($1:9)),))=0,"",IF(ROWS($1:9)&gt;COUNT(Dong1),"",OFFSET('141-TT'!K$1,SMALL(Dong1,ROWS($1:9)),)))</f>
        <v>N12/NL &amp; N40/NL</v>
      </c>
    </row>
    <row r="25" spans="1:20" ht="17.25" customHeight="1">
      <c r="A25" s="14">
        <v>41648</v>
      </c>
      <c r="B25" s="23" t="s">
        <v>57</v>
      </c>
      <c r="C25" s="11">
        <v>41648</v>
      </c>
      <c r="D25" s="16" t="s">
        <v>44</v>
      </c>
      <c r="E25" s="12" t="s">
        <v>45</v>
      </c>
      <c r="F25" s="9">
        <v>450000000</v>
      </c>
      <c r="G25" s="19"/>
      <c r="H25" s="5">
        <f t="shared" si="3"/>
        <v>0</v>
      </c>
      <c r="I25" s="5">
        <f t="shared" si="4"/>
        <v>2471170500</v>
      </c>
      <c r="J25" s="36">
        <f t="shared" si="2"/>
        <v>1</v>
      </c>
      <c r="K25" s="204"/>
      <c r="N25" s="23" t="str">
        <f ca="1">IF(ROWS($1:10)&gt;COUNT(Dong1),"",OFFSET('141-TT'!B$1,SMALL(Dong1,ROWS($1:10)),))</f>
        <v>TU12</v>
      </c>
      <c r="O25" s="146">
        <f ca="1">IF(ROWS($1:10)&gt;COUNT(Dong1),"",OFFSET('141-TT'!C$1,SMALL(Dong1,ROWS($1:10)),))</f>
        <v>41820</v>
      </c>
      <c r="P25" s="23" t="str">
        <f ca="1">IF(ROWS($1:10)&gt;COUNT(Dong1),"",OFFSET('141-TT'!D$1,SMALL(Dong1,ROWS($1:10)),))</f>
        <v>Trần Thị Lang</v>
      </c>
      <c r="Q25" s="23" t="str">
        <f ca="1">IF(ROWS($1:10)&gt;COUNT(Dong1),"",OFFSET('141-TT'!E$1,SMALL(Dong1,ROWS($1:10)),))</f>
        <v>331</v>
      </c>
      <c r="R25" s="23">
        <f ca="1">IF(ROWS($1:10)&gt;COUNT(Dong1),"",OFFSET('141-TT'!F$1,SMALL(Dong1,ROWS($1:10)),))</f>
        <v>0</v>
      </c>
      <c r="S25" s="23">
        <f ca="1">IF(ROWS($1:10)&gt;COUNT(Dong1),"",OFFSET('141-TT'!G$1,SMALL(Dong1,ROWS($1:10)),))</f>
        <v>118643000</v>
      </c>
      <c r="T25" s="1" t="str">
        <f ca="1">IF(IF(ROWS($1:10)&gt;COUNT(Dong1),"",OFFSET('141-TT'!K$1,SMALL(Dong1,ROWS($1:10)),))=0,"",IF(ROWS($1:10)&gt;COUNT(Dong1),"",OFFSET('141-TT'!K$1,SMALL(Dong1,ROWS($1:10)),)))</f>
        <v>N27/NL</v>
      </c>
    </row>
    <row r="26" spans="1:20" ht="17.25" customHeight="1">
      <c r="A26" s="14">
        <v>41653</v>
      </c>
      <c r="B26" s="23" t="s">
        <v>143</v>
      </c>
      <c r="C26" s="11">
        <v>41653</v>
      </c>
      <c r="D26" s="16" t="s">
        <v>44</v>
      </c>
      <c r="E26" s="12" t="s">
        <v>45</v>
      </c>
      <c r="F26" s="9">
        <v>800000000</v>
      </c>
      <c r="G26" s="19"/>
      <c r="H26" s="5">
        <f t="shared" si="3"/>
        <v>0</v>
      </c>
      <c r="I26" s="5">
        <f t="shared" si="4"/>
        <v>1671170500</v>
      </c>
      <c r="J26" s="36">
        <f t="shared" si="2"/>
        <v>1</v>
      </c>
      <c r="K26" s="204"/>
      <c r="N26" s="23" t="str">
        <f ca="1">IF(ROWS($1:11)&gt;COUNT(Dong1),"",OFFSET('141-TT'!B$1,SMALL(Dong1,ROWS($1:11)),))</f>
        <v>C10</v>
      </c>
      <c r="O26" s="146">
        <f ca="1">IF(ROWS($1:11)&gt;COUNT(Dong1),"",OFFSET('141-TT'!C$1,SMALL(Dong1,ROWS($1:11)),))</f>
        <v>41803</v>
      </c>
      <c r="P26" s="23" t="str">
        <f ca="1">IF(ROWS($1:11)&gt;COUNT(Dong1),"",OFFSET('141-TT'!D$1,SMALL(Dong1,ROWS($1:11)),))</f>
        <v>Tạm ứng mua NL</v>
      </c>
      <c r="Q26" s="23" t="str">
        <f ca="1">IF(ROWS($1:11)&gt;COUNT(Dong1),"",OFFSET('141-TT'!E$1,SMALL(Dong1,ROWS($1:11)),))</f>
        <v>111</v>
      </c>
      <c r="R26" s="23">
        <f ca="1">IF(ROWS($1:11)&gt;COUNT(Dong1),"",OFFSET('141-TT'!F$1,SMALL(Dong1,ROWS($1:11)),))</f>
        <v>800000000</v>
      </c>
      <c r="S26" s="23">
        <f ca="1">IF(ROWS($1:11)&gt;COUNT(Dong1),"",OFFSET('141-TT'!G$1,SMALL(Dong1,ROWS($1:11)),))</f>
        <v>0</v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41655</v>
      </c>
      <c r="B27" s="23" t="s">
        <v>154</v>
      </c>
      <c r="C27" s="11">
        <v>41655</v>
      </c>
      <c r="D27" s="16" t="s">
        <v>44</v>
      </c>
      <c r="E27" s="12" t="s">
        <v>45</v>
      </c>
      <c r="F27" s="9">
        <v>900000000</v>
      </c>
      <c r="G27" s="19"/>
      <c r="H27" s="5">
        <f t="shared" si="3"/>
        <v>0</v>
      </c>
      <c r="I27" s="5">
        <f t="shared" si="4"/>
        <v>771170500</v>
      </c>
      <c r="J27" s="36">
        <f t="shared" si="2"/>
        <v>1</v>
      </c>
      <c r="K27" s="204"/>
      <c r="N27" s="23" t="str">
        <f ca="1">IF(ROWS($1:12)&gt;COUNT(Dong1),"",OFFSET('141-TT'!B$1,SMALL(Dong1,ROWS($1:12)),))</f>
        <v>C13</v>
      </c>
      <c r="O27" s="146">
        <f ca="1">IF(ROWS($1:12)&gt;COUNT(Dong1),"",OFFSET('141-TT'!C$1,SMALL(Dong1,ROWS($1:12)),))</f>
        <v>41805</v>
      </c>
      <c r="P27" s="23" t="str">
        <f ca="1">IF(ROWS($1:12)&gt;COUNT(Dong1),"",OFFSET('141-TT'!D$1,SMALL(Dong1,ROWS($1:12)),))</f>
        <v>Tạm ứng mua NL</v>
      </c>
      <c r="Q27" s="23" t="str">
        <f ca="1">IF(ROWS($1:12)&gt;COUNT(Dong1),"",OFFSET('141-TT'!E$1,SMALL(Dong1,ROWS($1:12)),))</f>
        <v>111</v>
      </c>
      <c r="R27" s="23">
        <f ca="1">IF(ROWS($1:12)&gt;COUNT(Dong1),"",OFFSET('141-TT'!F$1,SMALL(Dong1,ROWS($1:12)),))</f>
        <v>650000000</v>
      </c>
      <c r="S27" s="23">
        <f ca="1">IF(ROWS($1:12)&gt;COUNT(Dong1),"",OFFSET('141-TT'!G$1,SMALL(Dong1,ROWS($1:12)),))</f>
        <v>0</v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41659</v>
      </c>
      <c r="B28" s="23" t="s">
        <v>58</v>
      </c>
      <c r="C28" s="11">
        <v>41659</v>
      </c>
      <c r="D28" s="16" t="s">
        <v>44</v>
      </c>
      <c r="E28" s="12" t="s">
        <v>45</v>
      </c>
      <c r="F28" s="9">
        <v>800000000</v>
      </c>
      <c r="G28" s="19"/>
      <c r="H28" s="5">
        <f t="shared" si="3"/>
        <v>28829500</v>
      </c>
      <c r="I28" s="5">
        <f t="shared" si="4"/>
        <v>0</v>
      </c>
      <c r="J28" s="36">
        <f t="shared" si="2"/>
        <v>1</v>
      </c>
      <c r="K28" s="204"/>
      <c r="N28" s="23" t="str">
        <f ca="1">IF(ROWS($1:13)&gt;COUNT(Dong1),"",OFFSET('141-TT'!B$1,SMALL(Dong1,ROWS($1:13)),))</f>
        <v>C24</v>
      </c>
      <c r="O28" s="146">
        <f ca="1">IF(ROWS($1:13)&gt;COUNT(Dong1),"",OFFSET('141-TT'!C$1,SMALL(Dong1,ROWS($1:13)),))</f>
        <v>41816</v>
      </c>
      <c r="P28" s="23" t="str">
        <f ca="1">IF(ROWS($1:13)&gt;COUNT(Dong1),"",OFFSET('141-TT'!D$1,SMALL(Dong1,ROWS($1:13)),))</f>
        <v>Tạm ứng mua NL</v>
      </c>
      <c r="Q28" s="23" t="str">
        <f ca="1">IF(ROWS($1:13)&gt;COUNT(Dong1),"",OFFSET('141-TT'!E$1,SMALL(Dong1,ROWS($1:13)),))</f>
        <v>111</v>
      </c>
      <c r="R28" s="23">
        <f ca="1">IF(ROWS($1:13)&gt;COUNT(Dong1),"",OFFSET('141-TT'!F$1,SMALL(Dong1,ROWS($1:13)),))</f>
        <v>600000000</v>
      </c>
      <c r="S28" s="23">
        <f ca="1">IF(ROWS($1:13)&gt;COUNT(Dong1),"",OFFSET('141-TT'!G$1,SMALL(Dong1,ROWS($1:13)),))</f>
        <v>0</v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41698</v>
      </c>
      <c r="B29" s="23" t="s">
        <v>74</v>
      </c>
      <c r="C29" s="11">
        <v>41698</v>
      </c>
      <c r="D29" s="16" t="s">
        <v>41</v>
      </c>
      <c r="E29" s="12" t="s">
        <v>42</v>
      </c>
      <c r="F29" s="9"/>
      <c r="G29" s="19">
        <v>285480000</v>
      </c>
      <c r="H29" s="5">
        <f t="shared" si="3"/>
        <v>0</v>
      </c>
      <c r="I29" s="5">
        <f t="shared" si="4"/>
        <v>256650500</v>
      </c>
      <c r="J29" s="36">
        <f t="shared" si="2"/>
        <v>2</v>
      </c>
      <c r="K29" s="204" t="s">
        <v>337</v>
      </c>
      <c r="N29" s="23" t="str">
        <f ca="1">IF(ROWS($1:14)&gt;COUNT(Dong1),"",OFFSET('141-TT'!B$1,SMALL(Dong1,ROWS($1:14)),))</f>
        <v/>
      </c>
      <c r="O29" s="146" t="str">
        <f ca="1">IF(ROWS($1:14)&gt;COUNT(Dong1),"",OFFSET('141-TT'!C$1,SMALL(Dong1,ROWS($1:14)),))</f>
        <v/>
      </c>
      <c r="P29" s="23" t="str">
        <f ca="1">IF(ROWS($1:14)&gt;COUNT(Dong1),"",OFFSET('141-TT'!D$1,SMALL(Dong1,ROWS($1:14)),))</f>
        <v/>
      </c>
      <c r="Q29" s="23" t="str">
        <f ca="1">IF(ROWS($1:14)&gt;COUNT(Dong1),"",OFFSET('141-TT'!E$1,SMALL(Dong1,ROWS($1:14)),))</f>
        <v/>
      </c>
      <c r="R29" s="23" t="str">
        <f ca="1">IF(ROWS($1:14)&gt;COUNT(Dong1),"",OFFSET('141-TT'!F$1,SMALL(Dong1,ROWS($1:14)),))</f>
        <v/>
      </c>
      <c r="S29" s="23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41698</v>
      </c>
      <c r="B30" s="23" t="s">
        <v>74</v>
      </c>
      <c r="C30" s="11">
        <v>41698</v>
      </c>
      <c r="D30" s="16" t="s">
        <v>29</v>
      </c>
      <c r="E30" s="12" t="s">
        <v>42</v>
      </c>
      <c r="F30" s="9"/>
      <c r="G30" s="19">
        <v>158629000</v>
      </c>
      <c r="H30" s="5">
        <f t="shared" si="3"/>
        <v>0</v>
      </c>
      <c r="I30" s="5">
        <f t="shared" si="4"/>
        <v>415279500</v>
      </c>
      <c r="J30" s="36">
        <f t="shared" si="2"/>
        <v>2</v>
      </c>
      <c r="K30" s="204" t="s">
        <v>265</v>
      </c>
      <c r="N30" s="23" t="str">
        <f ca="1">IF(ROWS($1:15)&gt;COUNT(Dong1),"",OFFSET('141-TT'!B$1,SMALL(Dong1,ROWS($1:15)),))</f>
        <v/>
      </c>
      <c r="O30" s="146" t="str">
        <f ca="1">IF(ROWS($1:15)&gt;COUNT(Dong1),"",OFFSET('141-TT'!C$1,SMALL(Dong1,ROWS($1:15)),))</f>
        <v/>
      </c>
      <c r="P30" s="23" t="str">
        <f ca="1">IF(ROWS($1:15)&gt;COUNT(Dong1),"",OFFSET('141-TT'!D$1,SMALL(Dong1,ROWS($1:15)),))</f>
        <v/>
      </c>
      <c r="Q30" s="23" t="str">
        <f ca="1">IF(ROWS($1:15)&gt;COUNT(Dong1),"",OFFSET('141-TT'!E$1,SMALL(Dong1,ROWS($1:15)),))</f>
        <v/>
      </c>
      <c r="R30" s="23" t="str">
        <f ca="1">IF(ROWS($1:15)&gt;COUNT(Dong1),"",OFFSET('141-TT'!F$1,SMALL(Dong1,ROWS($1:15)),))</f>
        <v/>
      </c>
      <c r="S30" s="23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41698</v>
      </c>
      <c r="B31" s="23" t="s">
        <v>74</v>
      </c>
      <c r="C31" s="11">
        <v>41698</v>
      </c>
      <c r="D31" s="16" t="s">
        <v>31</v>
      </c>
      <c r="E31" s="12" t="s">
        <v>42</v>
      </c>
      <c r="F31" s="9"/>
      <c r="G31" s="19">
        <v>173310000</v>
      </c>
      <c r="H31" s="5">
        <f t="shared" si="3"/>
        <v>0</v>
      </c>
      <c r="I31" s="5">
        <f t="shared" si="4"/>
        <v>588589500</v>
      </c>
      <c r="J31" s="36">
        <f t="shared" si="2"/>
        <v>2</v>
      </c>
      <c r="K31" s="203" t="s">
        <v>266</v>
      </c>
      <c r="N31" s="23" t="str">
        <f ca="1">IF(ROWS($1:16)&gt;COUNT(Dong1),"",OFFSET('141-TT'!B$1,SMALL(Dong1,ROWS($1:16)),))</f>
        <v/>
      </c>
      <c r="O31" s="146" t="str">
        <f ca="1">IF(ROWS($1:16)&gt;COUNT(Dong1),"",OFFSET('141-TT'!C$1,SMALL(Dong1,ROWS($1:16)),))</f>
        <v/>
      </c>
      <c r="P31" s="23" t="str">
        <f ca="1">IF(ROWS($1:16)&gt;COUNT(Dong1),"",OFFSET('141-TT'!D$1,SMALL(Dong1,ROWS($1:16)),))</f>
        <v/>
      </c>
      <c r="Q31" s="23" t="str">
        <f ca="1">IF(ROWS($1:16)&gt;COUNT(Dong1),"",OFFSET('141-TT'!E$1,SMALL(Dong1,ROWS($1:16)),))</f>
        <v/>
      </c>
      <c r="R31" s="23" t="str">
        <f ca="1">IF(ROWS($1:16)&gt;COUNT(Dong1),"",OFFSET('141-TT'!F$1,SMALL(Dong1,ROWS($1:16)),))</f>
        <v/>
      </c>
      <c r="S31" s="23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41698</v>
      </c>
      <c r="B32" s="23" t="s">
        <v>74</v>
      </c>
      <c r="C32" s="11">
        <v>41698</v>
      </c>
      <c r="D32" s="16" t="s">
        <v>40</v>
      </c>
      <c r="E32" s="12" t="s">
        <v>42</v>
      </c>
      <c r="F32" s="9"/>
      <c r="G32" s="19">
        <v>297400000</v>
      </c>
      <c r="H32" s="5">
        <f t="shared" si="3"/>
        <v>0</v>
      </c>
      <c r="I32" s="5">
        <f t="shared" si="4"/>
        <v>885989500</v>
      </c>
      <c r="J32" s="36">
        <f t="shared" si="2"/>
        <v>2</v>
      </c>
      <c r="K32" s="203" t="s">
        <v>338</v>
      </c>
      <c r="N32" s="23" t="str">
        <f ca="1">IF(ROWS($1:17)&gt;COUNT(Dong1),"",OFFSET('141-TT'!B$1,SMALL(Dong1,ROWS($1:17)),))</f>
        <v/>
      </c>
      <c r="O32" s="146" t="str">
        <f ca="1">IF(ROWS($1:17)&gt;COUNT(Dong1),"",OFFSET('141-TT'!C$1,SMALL(Dong1,ROWS($1:17)),))</f>
        <v/>
      </c>
      <c r="P32" s="23" t="str">
        <f ca="1">IF(ROWS($1:17)&gt;COUNT(Dong1),"",OFFSET('141-TT'!D$1,SMALL(Dong1,ROWS($1:17)),))</f>
        <v/>
      </c>
      <c r="Q32" s="23" t="str">
        <f ca="1">IF(ROWS($1:17)&gt;COUNT(Dong1),"",OFFSET('141-TT'!E$1,SMALL(Dong1,ROWS($1:17)),))</f>
        <v/>
      </c>
      <c r="R32" s="23" t="str">
        <f ca="1">IF(ROWS($1:17)&gt;COUNT(Dong1),"",OFFSET('141-TT'!F$1,SMALL(Dong1,ROWS($1:17)),))</f>
        <v/>
      </c>
      <c r="S32" s="23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41698</v>
      </c>
      <c r="B33" s="23" t="s">
        <v>74</v>
      </c>
      <c r="C33" s="11">
        <v>41698</v>
      </c>
      <c r="D33" s="16" t="s">
        <v>32</v>
      </c>
      <c r="E33" s="12" t="s">
        <v>42</v>
      </c>
      <c r="F33" s="9"/>
      <c r="G33" s="19">
        <v>156668000</v>
      </c>
      <c r="H33" s="5">
        <f t="shared" si="3"/>
        <v>0</v>
      </c>
      <c r="I33" s="5">
        <f t="shared" si="4"/>
        <v>1042657500</v>
      </c>
      <c r="J33" s="36">
        <f t="shared" si="2"/>
        <v>2</v>
      </c>
      <c r="K33" s="203" t="s">
        <v>268</v>
      </c>
      <c r="N33" s="23" t="str">
        <f ca="1">IF(ROWS($1:18)&gt;COUNT(Dong1),"",OFFSET('141-TT'!B$1,SMALL(Dong1,ROWS($1:18)),))</f>
        <v/>
      </c>
      <c r="O33" s="146" t="str">
        <f ca="1">IF(ROWS($1:18)&gt;COUNT(Dong1),"",OFFSET('141-TT'!C$1,SMALL(Dong1,ROWS($1:18)),))</f>
        <v/>
      </c>
      <c r="P33" s="23" t="str">
        <f ca="1">IF(ROWS($1:18)&gt;COUNT(Dong1),"",OFFSET('141-TT'!D$1,SMALL(Dong1,ROWS($1:18)),))</f>
        <v/>
      </c>
      <c r="Q33" s="23" t="str">
        <f ca="1">IF(ROWS($1:18)&gt;COUNT(Dong1),"",OFFSET('141-TT'!E$1,SMALL(Dong1,ROWS($1:18)),))</f>
        <v/>
      </c>
      <c r="R33" s="23" t="str">
        <f ca="1">IF(ROWS($1:18)&gt;COUNT(Dong1),"",OFFSET('141-TT'!F$1,SMALL(Dong1,ROWS($1:18)),))</f>
        <v/>
      </c>
      <c r="S33" s="23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41698</v>
      </c>
      <c r="B34" s="23" t="s">
        <v>74</v>
      </c>
      <c r="C34" s="11">
        <v>41698</v>
      </c>
      <c r="D34" s="16" t="s">
        <v>37</v>
      </c>
      <c r="E34" s="12" t="s">
        <v>42</v>
      </c>
      <c r="F34" s="9"/>
      <c r="G34" s="9">
        <v>293930000</v>
      </c>
      <c r="H34" s="5">
        <f t="shared" si="3"/>
        <v>0</v>
      </c>
      <c r="I34" s="5">
        <f t="shared" si="4"/>
        <v>1336587500</v>
      </c>
      <c r="J34" s="36">
        <f t="shared" si="2"/>
        <v>2</v>
      </c>
      <c r="K34" s="203" t="s">
        <v>339</v>
      </c>
      <c r="N34" s="23" t="str">
        <f ca="1">IF(ROWS($1:19)&gt;COUNT(Dong1),"",OFFSET('141-TT'!B$1,SMALL(Dong1,ROWS($1:19)),))</f>
        <v/>
      </c>
      <c r="O34" s="146" t="str">
        <f ca="1">IF(ROWS($1:19)&gt;COUNT(Dong1),"",OFFSET('141-TT'!C$1,SMALL(Dong1,ROWS($1:19)),))</f>
        <v/>
      </c>
      <c r="P34" s="23" t="str">
        <f ca="1">IF(ROWS($1:19)&gt;COUNT(Dong1),"",OFFSET('141-TT'!D$1,SMALL(Dong1,ROWS($1:19)),))</f>
        <v/>
      </c>
      <c r="Q34" s="23" t="str">
        <f ca="1">IF(ROWS($1:19)&gt;COUNT(Dong1),"",OFFSET('141-TT'!E$1,SMALL(Dong1,ROWS($1:19)),))</f>
        <v/>
      </c>
      <c r="R34" s="23" t="str">
        <f ca="1">IF(ROWS($1:19)&gt;COUNT(Dong1),"",OFFSET('141-TT'!F$1,SMALL(Dong1,ROWS($1:19)),))</f>
        <v/>
      </c>
      <c r="S34" s="23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41698</v>
      </c>
      <c r="B35" s="23" t="s">
        <v>74</v>
      </c>
      <c r="C35" s="11">
        <v>41698</v>
      </c>
      <c r="D35" s="16" t="s">
        <v>51</v>
      </c>
      <c r="E35" s="37" t="s">
        <v>42</v>
      </c>
      <c r="F35" s="9"/>
      <c r="G35" s="19">
        <v>170342000</v>
      </c>
      <c r="H35" s="5">
        <f t="shared" si="3"/>
        <v>0</v>
      </c>
      <c r="I35" s="5">
        <f t="shared" si="4"/>
        <v>1506929500</v>
      </c>
      <c r="J35" s="36">
        <f t="shared" si="2"/>
        <v>2</v>
      </c>
      <c r="K35" s="204" t="s">
        <v>255</v>
      </c>
      <c r="N35" s="23" t="str">
        <f ca="1">IF(ROWS($1:20)&gt;COUNT(Dong1),"",OFFSET('141-TT'!B$1,SMALL(Dong1,ROWS($1:20)),))</f>
        <v/>
      </c>
      <c r="O35" s="146" t="str">
        <f ca="1">IF(ROWS($1:20)&gt;COUNT(Dong1),"",OFFSET('141-TT'!C$1,SMALL(Dong1,ROWS($1:20)),))</f>
        <v/>
      </c>
      <c r="P35" s="23" t="str">
        <f ca="1">IF(ROWS($1:20)&gt;COUNT(Dong1),"",OFFSET('141-TT'!D$1,SMALL(Dong1,ROWS($1:20)),))</f>
        <v/>
      </c>
      <c r="Q35" s="23" t="str">
        <f ca="1">IF(ROWS($1:20)&gt;COUNT(Dong1),"",OFFSET('141-TT'!E$1,SMALL(Dong1,ROWS($1:20)),))</f>
        <v/>
      </c>
      <c r="R35" s="23" t="str">
        <f ca="1">IF(ROWS($1:20)&gt;COUNT(Dong1),"",OFFSET('141-TT'!F$1,SMALL(Dong1,ROWS($1:20)),))</f>
        <v/>
      </c>
      <c r="S35" s="23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41698</v>
      </c>
      <c r="B36" s="23" t="s">
        <v>74</v>
      </c>
      <c r="C36" s="11">
        <v>41698</v>
      </c>
      <c r="D36" s="16" t="s">
        <v>30</v>
      </c>
      <c r="E36" s="37" t="s">
        <v>42</v>
      </c>
      <c r="F36" s="9"/>
      <c r="G36" s="19">
        <v>199651000</v>
      </c>
      <c r="H36" s="5">
        <f t="shared" si="3"/>
        <v>0</v>
      </c>
      <c r="I36" s="5">
        <f t="shared" si="4"/>
        <v>1706580500</v>
      </c>
      <c r="J36" s="36">
        <f t="shared" si="2"/>
        <v>2</v>
      </c>
      <c r="K36" s="204" t="s">
        <v>260</v>
      </c>
      <c r="N36" s="23" t="str">
        <f ca="1">IF(ROWS($1:21)&gt;COUNT(Dong1),"",OFFSET('141-TT'!B$1,SMALL(Dong1,ROWS($1:21)),))</f>
        <v/>
      </c>
      <c r="O36" s="146" t="str">
        <f ca="1">IF(ROWS($1:21)&gt;COUNT(Dong1),"",OFFSET('141-TT'!C$1,SMALL(Dong1,ROWS($1:21)),))</f>
        <v/>
      </c>
      <c r="P36" s="23" t="str">
        <f ca="1">IF(ROWS($1:21)&gt;COUNT(Dong1),"",OFFSET('141-TT'!D$1,SMALL(Dong1,ROWS($1:21)),))</f>
        <v/>
      </c>
      <c r="Q36" s="23" t="str">
        <f ca="1">IF(ROWS($1:21)&gt;COUNT(Dong1),"",OFFSET('141-TT'!E$1,SMALL(Dong1,ROWS($1:21)),))</f>
        <v/>
      </c>
      <c r="R36" s="23" t="str">
        <f ca="1">IF(ROWS($1:21)&gt;COUNT(Dong1),"",OFFSET('141-TT'!F$1,SMALL(Dong1,ROWS($1:21)),))</f>
        <v/>
      </c>
      <c r="S36" s="23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41681</v>
      </c>
      <c r="B37" s="23" t="s">
        <v>59</v>
      </c>
      <c r="C37" s="11">
        <v>41681</v>
      </c>
      <c r="D37" s="16" t="s">
        <v>44</v>
      </c>
      <c r="E37" s="37" t="s">
        <v>45</v>
      </c>
      <c r="F37" s="9">
        <v>550000000</v>
      </c>
      <c r="G37" s="19"/>
      <c r="H37" s="5">
        <f t="shared" si="3"/>
        <v>0</v>
      </c>
      <c r="I37" s="5">
        <f t="shared" si="4"/>
        <v>1156580500</v>
      </c>
      <c r="J37" s="36">
        <f t="shared" si="2"/>
        <v>2</v>
      </c>
      <c r="K37" s="204"/>
      <c r="N37" s="23" t="str">
        <f ca="1">IF(ROWS($1:22)&gt;COUNT(Dong1),"",OFFSET('141-TT'!B$1,SMALL(Dong1,ROWS($1:22)),))</f>
        <v/>
      </c>
      <c r="O37" s="146" t="str">
        <f ca="1">IF(ROWS($1:22)&gt;COUNT(Dong1),"",OFFSET('141-TT'!C$1,SMALL(Dong1,ROWS($1:22)),))</f>
        <v/>
      </c>
      <c r="P37" s="23" t="str">
        <f ca="1">IF(ROWS($1:22)&gt;COUNT(Dong1),"",OFFSET('141-TT'!D$1,SMALL(Dong1,ROWS($1:22)),))</f>
        <v/>
      </c>
      <c r="Q37" s="23" t="str">
        <f ca="1">IF(ROWS($1:22)&gt;COUNT(Dong1),"",OFFSET('141-TT'!E$1,SMALL(Dong1,ROWS($1:22)),))</f>
        <v/>
      </c>
      <c r="R37" s="23" t="str">
        <f ca="1">IF(ROWS($1:22)&gt;COUNT(Dong1),"",OFFSET('141-TT'!F$1,SMALL(Dong1,ROWS($1:22)),))</f>
        <v/>
      </c>
      <c r="S37" s="23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41684</v>
      </c>
      <c r="B38" s="23" t="s">
        <v>186</v>
      </c>
      <c r="C38" s="11">
        <v>41684</v>
      </c>
      <c r="D38" s="16" t="s">
        <v>44</v>
      </c>
      <c r="E38" s="37" t="s">
        <v>45</v>
      </c>
      <c r="F38" s="9">
        <v>600000000</v>
      </c>
      <c r="G38" s="19"/>
      <c r="H38" s="5">
        <f t="shared" si="3"/>
        <v>0</v>
      </c>
      <c r="I38" s="5">
        <f t="shared" si="4"/>
        <v>556580500</v>
      </c>
      <c r="J38" s="36">
        <f t="shared" si="2"/>
        <v>2</v>
      </c>
      <c r="K38" s="204"/>
      <c r="N38" s="23" t="str">
        <f ca="1">IF(ROWS($1:23)&gt;COUNT(Dong1),"",OFFSET('141-TT'!B$1,SMALL(Dong1,ROWS($1:23)),))</f>
        <v/>
      </c>
      <c r="O38" s="146" t="str">
        <f ca="1">IF(ROWS($1:23)&gt;COUNT(Dong1),"",OFFSET('141-TT'!C$1,SMALL(Dong1,ROWS($1:23)),))</f>
        <v/>
      </c>
      <c r="P38" s="23" t="str">
        <f ca="1">IF(ROWS($1:23)&gt;COUNT(Dong1),"",OFFSET('141-TT'!D$1,SMALL(Dong1,ROWS($1:23)),))</f>
        <v/>
      </c>
      <c r="Q38" s="23" t="str">
        <f ca="1">IF(ROWS($1:23)&gt;COUNT(Dong1),"",OFFSET('141-TT'!E$1,SMALL(Dong1,ROWS($1:23)),))</f>
        <v/>
      </c>
      <c r="R38" s="23" t="str">
        <f ca="1">IF(ROWS($1:23)&gt;COUNT(Dong1),"",OFFSET('141-TT'!F$1,SMALL(Dong1,ROWS($1:23)),))</f>
        <v/>
      </c>
      <c r="S38" s="23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41698</v>
      </c>
      <c r="B39" s="23" t="s">
        <v>60</v>
      </c>
      <c r="C39" s="11">
        <v>41698</v>
      </c>
      <c r="D39" s="16" t="s">
        <v>44</v>
      </c>
      <c r="E39" s="12" t="s">
        <v>45</v>
      </c>
      <c r="F39" s="9">
        <v>600000000</v>
      </c>
      <c r="G39" s="19"/>
      <c r="H39" s="5">
        <f t="shared" si="3"/>
        <v>43419500</v>
      </c>
      <c r="I39" s="5">
        <f t="shared" si="4"/>
        <v>0</v>
      </c>
      <c r="J39" s="36">
        <f t="shared" si="2"/>
        <v>2</v>
      </c>
      <c r="K39" s="204"/>
      <c r="N39" s="23" t="str">
        <f ca="1">IF(ROWS($1:24)&gt;COUNT(Dong1),"",OFFSET('141-TT'!B$1,SMALL(Dong1,ROWS($1:24)),))</f>
        <v/>
      </c>
      <c r="O39" s="146" t="str">
        <f ca="1">IF(ROWS($1:24)&gt;COUNT(Dong1),"",OFFSET('141-TT'!C$1,SMALL(Dong1,ROWS($1:24)),))</f>
        <v/>
      </c>
      <c r="P39" s="23" t="str">
        <f ca="1">IF(ROWS($1:24)&gt;COUNT(Dong1),"",OFFSET('141-TT'!D$1,SMALL(Dong1,ROWS($1:24)),))</f>
        <v/>
      </c>
      <c r="Q39" s="23" t="str">
        <f ca="1">IF(ROWS($1:24)&gt;COUNT(Dong1),"",OFFSET('141-TT'!E$1,SMALL(Dong1,ROWS($1:24)),))</f>
        <v/>
      </c>
      <c r="R39" s="23" t="str">
        <f ca="1">IF(ROWS($1:24)&gt;COUNT(Dong1),"",OFFSET('141-TT'!F$1,SMALL(Dong1,ROWS($1:24)),))</f>
        <v/>
      </c>
      <c r="S39" s="23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41735</v>
      </c>
      <c r="B40" s="23" t="s">
        <v>151</v>
      </c>
      <c r="C40" s="11">
        <v>41735</v>
      </c>
      <c r="D40" s="16" t="s">
        <v>41</v>
      </c>
      <c r="E40" s="12" t="s">
        <v>42</v>
      </c>
      <c r="F40" s="9"/>
      <c r="G40" s="19">
        <v>298765000</v>
      </c>
      <c r="H40" s="5">
        <f t="shared" si="3"/>
        <v>0</v>
      </c>
      <c r="I40" s="5">
        <f t="shared" si="4"/>
        <v>255345500</v>
      </c>
      <c r="J40" s="36">
        <f t="shared" si="2"/>
        <v>4</v>
      </c>
      <c r="K40" s="204" t="s">
        <v>340</v>
      </c>
      <c r="N40" s="23" t="str">
        <f ca="1">IF(ROWS($1:25)&gt;COUNT(Dong1),"",OFFSET('141-TT'!B$1,SMALL(Dong1,ROWS($1:25)),))</f>
        <v/>
      </c>
      <c r="O40" s="146" t="str">
        <f ca="1">IF(ROWS($1:25)&gt;COUNT(Dong1),"",OFFSET('141-TT'!C$1,SMALL(Dong1,ROWS($1:25)),))</f>
        <v/>
      </c>
      <c r="P40" s="23" t="str">
        <f ca="1">IF(ROWS($1:25)&gt;COUNT(Dong1),"",OFFSET('141-TT'!D$1,SMALL(Dong1,ROWS($1:25)),))</f>
        <v/>
      </c>
      <c r="Q40" s="23" t="str">
        <f ca="1">IF(ROWS($1:25)&gt;COUNT(Dong1),"",OFFSET('141-TT'!E$1,SMALL(Dong1,ROWS($1:25)),))</f>
        <v/>
      </c>
      <c r="R40" s="23" t="str">
        <f ca="1">IF(ROWS($1:25)&gt;COUNT(Dong1),"",OFFSET('141-TT'!F$1,SMALL(Dong1,ROWS($1:25)),))</f>
        <v/>
      </c>
      <c r="S40" s="23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41735</v>
      </c>
      <c r="B41" s="23" t="s">
        <v>151</v>
      </c>
      <c r="C41" s="11">
        <v>41735</v>
      </c>
      <c r="D41" s="16" t="s">
        <v>162</v>
      </c>
      <c r="E41" s="12" t="s">
        <v>42</v>
      </c>
      <c r="F41" s="9"/>
      <c r="G41" s="19">
        <v>95776000</v>
      </c>
      <c r="H41" s="5">
        <f t="shared" si="3"/>
        <v>0</v>
      </c>
      <c r="I41" s="5">
        <f t="shared" si="4"/>
        <v>351121500</v>
      </c>
      <c r="J41" s="36">
        <f t="shared" si="2"/>
        <v>4</v>
      </c>
      <c r="K41" s="204" t="s">
        <v>264</v>
      </c>
      <c r="N41" s="23" t="str">
        <f ca="1">IF(ROWS($1:26)&gt;COUNT(Dong1),"",OFFSET('141-TT'!B$1,SMALL(Dong1,ROWS($1:26)),))</f>
        <v/>
      </c>
      <c r="O41" s="146" t="str">
        <f ca="1">IF(ROWS($1:26)&gt;COUNT(Dong1),"",OFFSET('141-TT'!C$1,SMALL(Dong1,ROWS($1:26)),))</f>
        <v/>
      </c>
      <c r="P41" s="23" t="str">
        <f ca="1">IF(ROWS($1:26)&gt;COUNT(Dong1),"",OFFSET('141-TT'!D$1,SMALL(Dong1,ROWS($1:26)),))</f>
        <v/>
      </c>
      <c r="Q41" s="23" t="str">
        <f ca="1">IF(ROWS($1:26)&gt;COUNT(Dong1),"",OFFSET('141-TT'!E$1,SMALL(Dong1,ROWS($1:26)),))</f>
        <v/>
      </c>
      <c r="R41" s="23" t="str">
        <f ca="1">IF(ROWS($1:26)&gt;COUNT(Dong1),"",OFFSET('141-TT'!F$1,SMALL(Dong1,ROWS($1:26)),))</f>
        <v/>
      </c>
      <c r="S41" s="23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41735</v>
      </c>
      <c r="B42" s="23" t="s">
        <v>151</v>
      </c>
      <c r="C42" s="11">
        <v>41735</v>
      </c>
      <c r="D42" s="16" t="s">
        <v>161</v>
      </c>
      <c r="E42" s="12" t="s">
        <v>42</v>
      </c>
      <c r="F42" s="9"/>
      <c r="G42" s="19">
        <v>109920000</v>
      </c>
      <c r="H42" s="5">
        <f t="shared" si="3"/>
        <v>0</v>
      </c>
      <c r="I42" s="5">
        <f t="shared" si="4"/>
        <v>461041500</v>
      </c>
      <c r="J42" s="36">
        <f t="shared" si="2"/>
        <v>4</v>
      </c>
      <c r="K42" s="204" t="s">
        <v>265</v>
      </c>
      <c r="N42" s="23" t="str">
        <f ca="1">IF(ROWS($1:27)&gt;COUNT(Dong1),"",OFFSET('141-TT'!B$1,SMALL(Dong1,ROWS($1:27)),))</f>
        <v/>
      </c>
      <c r="O42" s="146" t="str">
        <f ca="1">IF(ROWS($1:27)&gt;COUNT(Dong1),"",OFFSET('141-TT'!C$1,SMALL(Dong1,ROWS($1:27)),))</f>
        <v/>
      </c>
      <c r="P42" s="23" t="str">
        <f ca="1">IF(ROWS($1:27)&gt;COUNT(Dong1),"",OFFSET('141-TT'!D$1,SMALL(Dong1,ROWS($1:27)),))</f>
        <v/>
      </c>
      <c r="Q42" s="23" t="str">
        <f ca="1">IF(ROWS($1:27)&gt;COUNT(Dong1),"",OFFSET('141-TT'!E$1,SMALL(Dong1,ROWS($1:27)),))</f>
        <v/>
      </c>
      <c r="R42" s="23" t="str">
        <f ca="1">IF(ROWS($1:27)&gt;COUNT(Dong1),"",OFFSET('141-TT'!F$1,SMALL(Dong1,ROWS($1:27)),))</f>
        <v/>
      </c>
      <c r="S42" s="23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41735</v>
      </c>
      <c r="B43" s="23" t="s">
        <v>151</v>
      </c>
      <c r="C43" s="11">
        <v>41735</v>
      </c>
      <c r="D43" s="16" t="s">
        <v>34</v>
      </c>
      <c r="E43" s="12" t="s">
        <v>42</v>
      </c>
      <c r="F43" s="9"/>
      <c r="G43" s="9">
        <v>100450000</v>
      </c>
      <c r="H43" s="5">
        <f t="shared" si="3"/>
        <v>0</v>
      </c>
      <c r="I43" s="5">
        <f t="shared" si="4"/>
        <v>561491500</v>
      </c>
      <c r="J43" s="36">
        <f t="shared" si="2"/>
        <v>4</v>
      </c>
      <c r="K43" s="204" t="s">
        <v>341</v>
      </c>
      <c r="N43" s="23" t="str">
        <f ca="1">IF(ROWS($1:28)&gt;COUNT(Dong1),"",OFFSET('141-TT'!B$1,SMALL(Dong1,ROWS($1:28)),))</f>
        <v/>
      </c>
      <c r="O43" s="146" t="str">
        <f ca="1">IF(ROWS($1:28)&gt;COUNT(Dong1),"",OFFSET('141-TT'!C$1,SMALL(Dong1,ROWS($1:28)),))</f>
        <v/>
      </c>
      <c r="P43" s="23" t="str">
        <f ca="1">IF(ROWS($1:28)&gt;COUNT(Dong1),"",OFFSET('141-TT'!D$1,SMALL(Dong1,ROWS($1:28)),))</f>
        <v/>
      </c>
      <c r="Q43" s="23" t="str">
        <f ca="1">IF(ROWS($1:28)&gt;COUNT(Dong1),"",OFFSET('141-TT'!E$1,SMALL(Dong1,ROWS($1:28)),))</f>
        <v/>
      </c>
      <c r="R43" s="23" t="str">
        <f ca="1">IF(ROWS($1:28)&gt;COUNT(Dong1),"",OFFSET('141-TT'!F$1,SMALL(Dong1,ROWS($1:28)),))</f>
        <v/>
      </c>
      <c r="S43" s="23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41735</v>
      </c>
      <c r="B44" s="23" t="s">
        <v>151</v>
      </c>
      <c r="C44" s="11">
        <v>41735</v>
      </c>
      <c r="D44" s="16" t="s">
        <v>39</v>
      </c>
      <c r="E44" s="12" t="s">
        <v>42</v>
      </c>
      <c r="F44" s="9"/>
      <c r="G44" s="19">
        <v>96582500</v>
      </c>
      <c r="H44" s="5">
        <f t="shared" si="3"/>
        <v>0</v>
      </c>
      <c r="I44" s="5">
        <f t="shared" si="4"/>
        <v>658074000</v>
      </c>
      <c r="J44" s="36">
        <f t="shared" si="2"/>
        <v>4</v>
      </c>
      <c r="K44" s="204" t="s">
        <v>282</v>
      </c>
      <c r="N44" s="23" t="str">
        <f ca="1">IF(ROWS($1:29)&gt;COUNT(Dong1),"",OFFSET('141-TT'!B$1,SMALL(Dong1,ROWS($1:29)),))</f>
        <v/>
      </c>
      <c r="O44" s="146" t="str">
        <f ca="1">IF(ROWS($1:29)&gt;COUNT(Dong1),"",OFFSET('141-TT'!C$1,SMALL(Dong1,ROWS($1:29)),))</f>
        <v/>
      </c>
      <c r="P44" s="23" t="str">
        <f ca="1">IF(ROWS($1:29)&gt;COUNT(Dong1),"",OFFSET('141-TT'!D$1,SMALL(Dong1,ROWS($1:29)),))</f>
        <v/>
      </c>
      <c r="Q44" s="23" t="str">
        <f ca="1">IF(ROWS($1:29)&gt;COUNT(Dong1),"",OFFSET('141-TT'!E$1,SMALL(Dong1,ROWS($1:29)),))</f>
        <v/>
      </c>
      <c r="R44" s="23" t="str">
        <f ca="1">IF(ROWS($1:29)&gt;COUNT(Dong1),"",OFFSET('141-TT'!F$1,SMALL(Dong1,ROWS($1:29)),))</f>
        <v/>
      </c>
      <c r="S44" s="23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41735</v>
      </c>
      <c r="B45" s="23" t="s">
        <v>151</v>
      </c>
      <c r="C45" s="11">
        <v>41735</v>
      </c>
      <c r="D45" s="16" t="s">
        <v>29</v>
      </c>
      <c r="E45" s="12" t="s">
        <v>42</v>
      </c>
      <c r="F45" s="9"/>
      <c r="G45" s="19">
        <v>571802000</v>
      </c>
      <c r="H45" s="5">
        <f t="shared" si="3"/>
        <v>0</v>
      </c>
      <c r="I45" s="5">
        <f t="shared" si="4"/>
        <v>1229876000</v>
      </c>
      <c r="J45" s="36">
        <f t="shared" si="2"/>
        <v>4</v>
      </c>
      <c r="K45" s="132" t="s">
        <v>342</v>
      </c>
      <c r="N45" s="23" t="str">
        <f ca="1">IF(ROWS($1:30)&gt;COUNT(Dong1),"",OFFSET('141-TT'!B$1,SMALL(Dong1,ROWS($1:30)),))</f>
        <v/>
      </c>
      <c r="O45" s="146" t="str">
        <f ca="1">IF(ROWS($1:30)&gt;COUNT(Dong1),"",OFFSET('141-TT'!C$1,SMALL(Dong1,ROWS($1:30)),))</f>
        <v/>
      </c>
      <c r="P45" s="23" t="str">
        <f ca="1">IF(ROWS($1:30)&gt;COUNT(Dong1),"",OFFSET('141-TT'!D$1,SMALL(Dong1,ROWS($1:30)),))</f>
        <v/>
      </c>
      <c r="Q45" s="23" t="str">
        <f ca="1">IF(ROWS($1:30)&gt;COUNT(Dong1),"",OFFSET('141-TT'!E$1,SMALL(Dong1,ROWS($1:30)),))</f>
        <v/>
      </c>
      <c r="R45" s="23" t="str">
        <f ca="1">IF(ROWS($1:30)&gt;COUNT(Dong1),"",OFFSET('141-TT'!F$1,SMALL(Dong1,ROWS($1:30)),))</f>
        <v/>
      </c>
      <c r="S45" s="23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41735</v>
      </c>
      <c r="B46" s="23" t="s">
        <v>151</v>
      </c>
      <c r="C46" s="11">
        <v>41735</v>
      </c>
      <c r="D46" s="16" t="s">
        <v>31</v>
      </c>
      <c r="E46" s="12" t="s">
        <v>42</v>
      </c>
      <c r="F46" s="9"/>
      <c r="G46" s="19">
        <v>379351000</v>
      </c>
      <c r="H46" s="5">
        <f t="shared" si="3"/>
        <v>0</v>
      </c>
      <c r="I46" s="5">
        <f t="shared" si="4"/>
        <v>1609227000</v>
      </c>
      <c r="J46" s="36">
        <f t="shared" si="2"/>
        <v>4</v>
      </c>
      <c r="K46" s="132" t="s">
        <v>343</v>
      </c>
      <c r="N46" s="23" t="str">
        <f ca="1">IF(ROWS($1:31)&gt;COUNT(Dong1),"",OFFSET('141-TT'!B$1,SMALL(Dong1,ROWS($1:31)),))</f>
        <v/>
      </c>
      <c r="O46" s="146" t="str">
        <f ca="1">IF(ROWS($1:31)&gt;COUNT(Dong1),"",OFFSET('141-TT'!C$1,SMALL(Dong1,ROWS($1:31)),))</f>
        <v/>
      </c>
      <c r="P46" s="23" t="str">
        <f ca="1">IF(ROWS($1:31)&gt;COUNT(Dong1),"",OFFSET('141-TT'!D$1,SMALL(Dong1,ROWS($1:31)),))</f>
        <v/>
      </c>
      <c r="Q46" s="23" t="str">
        <f ca="1">IF(ROWS($1:31)&gt;COUNT(Dong1),"",OFFSET('141-TT'!E$1,SMALL(Dong1,ROWS($1:31)),))</f>
        <v/>
      </c>
      <c r="R46" s="23" t="str">
        <f ca="1">IF(ROWS($1:31)&gt;COUNT(Dong1),"",OFFSET('141-TT'!F$1,SMALL(Dong1,ROWS($1:31)),))</f>
        <v/>
      </c>
      <c r="S46" s="23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41735</v>
      </c>
      <c r="B47" s="23" t="s">
        <v>151</v>
      </c>
      <c r="C47" s="11">
        <v>41735</v>
      </c>
      <c r="D47" s="16" t="s">
        <v>140</v>
      </c>
      <c r="E47" s="12" t="s">
        <v>42</v>
      </c>
      <c r="F47" s="9"/>
      <c r="G47" s="19">
        <v>202592000</v>
      </c>
      <c r="H47" s="5">
        <f t="shared" si="3"/>
        <v>0</v>
      </c>
      <c r="I47" s="5">
        <f t="shared" si="4"/>
        <v>1811819000</v>
      </c>
      <c r="J47" s="36">
        <f t="shared" si="2"/>
        <v>4</v>
      </c>
      <c r="K47" s="132" t="s">
        <v>344</v>
      </c>
      <c r="N47" s="23" t="str">
        <f ca="1">IF(ROWS($1:32)&gt;COUNT(Dong1),"",OFFSET('141-TT'!B$1,SMALL(Dong1,ROWS($1:32)),))</f>
        <v/>
      </c>
      <c r="O47" s="146" t="str">
        <f ca="1">IF(ROWS($1:32)&gt;COUNT(Dong1),"",OFFSET('141-TT'!C$1,SMALL(Dong1,ROWS($1:32)),))</f>
        <v/>
      </c>
      <c r="P47" s="23" t="str">
        <f ca="1">IF(ROWS($1:32)&gt;COUNT(Dong1),"",OFFSET('141-TT'!D$1,SMALL(Dong1,ROWS($1:32)),))</f>
        <v/>
      </c>
      <c r="Q47" s="23" t="str">
        <f ca="1">IF(ROWS($1:32)&gt;COUNT(Dong1),"",OFFSET('141-TT'!E$1,SMALL(Dong1,ROWS($1:32)),))</f>
        <v/>
      </c>
      <c r="R47" s="23" t="str">
        <f ca="1">IF(ROWS($1:32)&gt;COUNT(Dong1),"",OFFSET('141-TT'!F$1,SMALL(Dong1,ROWS($1:32)),))</f>
        <v/>
      </c>
      <c r="S47" s="23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41735</v>
      </c>
      <c r="B48" s="23" t="s">
        <v>151</v>
      </c>
      <c r="C48" s="11">
        <v>41735</v>
      </c>
      <c r="D48" s="16" t="s">
        <v>40</v>
      </c>
      <c r="E48" s="12" t="s">
        <v>42</v>
      </c>
      <c r="F48" s="9"/>
      <c r="G48" s="19">
        <v>560465000</v>
      </c>
      <c r="H48" s="5">
        <f t="shared" si="3"/>
        <v>0</v>
      </c>
      <c r="I48" s="5">
        <f t="shared" si="4"/>
        <v>2372284000</v>
      </c>
      <c r="J48" s="36">
        <f t="shared" ref="J48:J67" si="5">IF(A48&lt;&gt;"",MONTH(A48),"")</f>
        <v>4</v>
      </c>
      <c r="K48" s="132" t="s">
        <v>345</v>
      </c>
      <c r="N48" s="23" t="str">
        <f ca="1">IF(ROWS($1:33)&gt;COUNT(Dong1),"",OFFSET('141-TT'!B$1,SMALL(Dong1,ROWS($1:33)),))</f>
        <v/>
      </c>
      <c r="O48" s="146" t="str">
        <f ca="1">IF(ROWS($1:33)&gt;COUNT(Dong1),"",OFFSET('141-TT'!C$1,SMALL(Dong1,ROWS($1:33)),))</f>
        <v/>
      </c>
      <c r="P48" s="23" t="str">
        <f ca="1">IF(ROWS($1:33)&gt;COUNT(Dong1),"",OFFSET('141-TT'!D$1,SMALL(Dong1,ROWS($1:33)),))</f>
        <v/>
      </c>
      <c r="Q48" s="23" t="str">
        <f ca="1">IF(ROWS($1:33)&gt;COUNT(Dong1),"",OFFSET('141-TT'!E$1,SMALL(Dong1,ROWS($1:33)),))</f>
        <v/>
      </c>
      <c r="R48" s="23" t="str">
        <f ca="1">IF(ROWS($1:33)&gt;COUNT(Dong1),"",OFFSET('141-TT'!F$1,SMALL(Dong1,ROWS($1:33)),))</f>
        <v/>
      </c>
      <c r="S48" s="23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19" ht="17.25" customHeight="1">
      <c r="A49" s="14">
        <v>41735</v>
      </c>
      <c r="B49" s="23" t="s">
        <v>151</v>
      </c>
      <c r="C49" s="11">
        <v>41735</v>
      </c>
      <c r="D49" s="16" t="s">
        <v>317</v>
      </c>
      <c r="E49" s="37" t="s">
        <v>42</v>
      </c>
      <c r="F49" s="9"/>
      <c r="G49" s="19">
        <v>308304000</v>
      </c>
      <c r="H49" s="5">
        <f t="shared" si="3"/>
        <v>0</v>
      </c>
      <c r="I49" s="5">
        <f t="shared" si="4"/>
        <v>2680588000</v>
      </c>
      <c r="J49" s="36">
        <f t="shared" si="5"/>
        <v>4</v>
      </c>
      <c r="K49" s="204" t="s">
        <v>346</v>
      </c>
      <c r="N49" s="91"/>
      <c r="O49" s="147"/>
      <c r="P49" s="91"/>
      <c r="Q49" s="91"/>
      <c r="R49" s="91"/>
      <c r="S49" s="91"/>
    </row>
    <row r="50" spans="1:19" ht="17.25" customHeight="1">
      <c r="A50" s="14">
        <v>41735</v>
      </c>
      <c r="B50" s="23" t="s">
        <v>151</v>
      </c>
      <c r="C50" s="11">
        <v>41735</v>
      </c>
      <c r="D50" s="16" t="s">
        <v>32</v>
      </c>
      <c r="E50" s="37" t="s">
        <v>42</v>
      </c>
      <c r="F50" s="9"/>
      <c r="G50" s="19">
        <v>307882500</v>
      </c>
      <c r="H50" s="5">
        <f t="shared" si="3"/>
        <v>0</v>
      </c>
      <c r="I50" s="5">
        <f t="shared" si="4"/>
        <v>2988470500</v>
      </c>
      <c r="J50" s="36">
        <f t="shared" si="5"/>
        <v>4</v>
      </c>
      <c r="K50" s="204" t="s">
        <v>347</v>
      </c>
      <c r="N50" s="91"/>
      <c r="O50" s="147"/>
      <c r="P50" s="91"/>
      <c r="Q50" s="91"/>
      <c r="R50" s="91"/>
      <c r="S50" s="91"/>
    </row>
    <row r="51" spans="1:19" ht="17.25" customHeight="1">
      <c r="A51" s="14">
        <v>41735</v>
      </c>
      <c r="B51" s="23" t="s">
        <v>151</v>
      </c>
      <c r="C51" s="11">
        <v>41735</v>
      </c>
      <c r="D51" s="16" t="s">
        <v>318</v>
      </c>
      <c r="E51" s="37" t="s">
        <v>42</v>
      </c>
      <c r="F51" s="9"/>
      <c r="G51" s="19">
        <v>295408000</v>
      </c>
      <c r="H51" s="5">
        <f t="shared" si="3"/>
        <v>0</v>
      </c>
      <c r="I51" s="5">
        <f t="shared" si="4"/>
        <v>3283878500</v>
      </c>
      <c r="J51" s="36">
        <f t="shared" si="5"/>
        <v>4</v>
      </c>
      <c r="K51" s="204" t="s">
        <v>348</v>
      </c>
      <c r="N51" s="91"/>
      <c r="O51" s="147"/>
      <c r="P51" s="91"/>
      <c r="Q51" s="91"/>
      <c r="R51" s="91"/>
      <c r="S51" s="91"/>
    </row>
    <row r="52" spans="1:19" ht="17.25" customHeight="1">
      <c r="A52" s="14">
        <v>41735</v>
      </c>
      <c r="B52" s="23" t="s">
        <v>151</v>
      </c>
      <c r="C52" s="11">
        <v>41735</v>
      </c>
      <c r="D52" s="16" t="s">
        <v>37</v>
      </c>
      <c r="E52" s="37" t="s">
        <v>42</v>
      </c>
      <c r="F52" s="9"/>
      <c r="G52" s="19">
        <v>161232500</v>
      </c>
      <c r="H52" s="5">
        <f t="shared" si="3"/>
        <v>0</v>
      </c>
      <c r="I52" s="5">
        <f t="shared" si="4"/>
        <v>3445111000</v>
      </c>
      <c r="J52" s="36">
        <f t="shared" si="5"/>
        <v>4</v>
      </c>
      <c r="K52" s="204" t="s">
        <v>210</v>
      </c>
      <c r="N52" s="91"/>
      <c r="O52" s="147"/>
      <c r="P52" s="91"/>
      <c r="Q52" s="91"/>
      <c r="R52" s="91"/>
      <c r="S52" s="91"/>
    </row>
    <row r="53" spans="1:19" ht="17.25" customHeight="1">
      <c r="A53" s="14">
        <v>41735</v>
      </c>
      <c r="B53" s="23" t="s">
        <v>151</v>
      </c>
      <c r="C53" s="14">
        <v>41735</v>
      </c>
      <c r="D53" s="16" t="s">
        <v>51</v>
      </c>
      <c r="E53" s="12" t="s">
        <v>42</v>
      </c>
      <c r="F53" s="9"/>
      <c r="G53" s="19">
        <v>322799500</v>
      </c>
      <c r="H53" s="5">
        <f t="shared" si="3"/>
        <v>0</v>
      </c>
      <c r="I53" s="5">
        <f t="shared" si="4"/>
        <v>3767910500</v>
      </c>
      <c r="J53" s="36">
        <f t="shared" si="5"/>
        <v>4</v>
      </c>
      <c r="K53" s="208" t="s">
        <v>349</v>
      </c>
      <c r="N53" s="91"/>
      <c r="O53" s="147"/>
      <c r="P53" s="91"/>
      <c r="Q53" s="91"/>
      <c r="R53" s="91"/>
      <c r="S53" s="91"/>
    </row>
    <row r="54" spans="1:19" ht="17.25" customHeight="1">
      <c r="A54" s="14">
        <v>41735</v>
      </c>
      <c r="B54" s="23" t="s">
        <v>151</v>
      </c>
      <c r="C54" s="14">
        <v>41735</v>
      </c>
      <c r="D54" s="16" t="s">
        <v>30</v>
      </c>
      <c r="E54" s="12" t="s">
        <v>42</v>
      </c>
      <c r="F54" s="9"/>
      <c r="G54" s="19">
        <v>153120000</v>
      </c>
      <c r="H54" s="5">
        <f t="shared" si="3"/>
        <v>0</v>
      </c>
      <c r="I54" s="5">
        <f t="shared" si="4"/>
        <v>3921030500</v>
      </c>
      <c r="J54" s="36">
        <f t="shared" si="5"/>
        <v>4</v>
      </c>
      <c r="K54" s="208" t="s">
        <v>350</v>
      </c>
      <c r="N54" s="91"/>
      <c r="O54" s="147"/>
      <c r="P54" s="91"/>
      <c r="Q54" s="91"/>
      <c r="R54" s="91"/>
      <c r="S54" s="91"/>
    </row>
    <row r="55" spans="1:19" ht="17.25" customHeight="1">
      <c r="A55" s="14">
        <v>41702</v>
      </c>
      <c r="B55" s="23" t="s">
        <v>163</v>
      </c>
      <c r="C55" s="14">
        <v>41702</v>
      </c>
      <c r="D55" s="16" t="s">
        <v>44</v>
      </c>
      <c r="E55" s="12" t="s">
        <v>45</v>
      </c>
      <c r="F55" s="9">
        <v>600000000</v>
      </c>
      <c r="G55" s="19"/>
      <c r="H55" s="5">
        <f t="shared" si="3"/>
        <v>0</v>
      </c>
      <c r="I55" s="5">
        <f t="shared" si="4"/>
        <v>3321030500</v>
      </c>
      <c r="J55" s="36">
        <f t="shared" si="5"/>
        <v>3</v>
      </c>
      <c r="K55" s="208"/>
      <c r="N55" s="91"/>
      <c r="O55" s="147"/>
      <c r="P55" s="91"/>
      <c r="Q55" s="91"/>
      <c r="R55" s="91"/>
      <c r="S55" s="91"/>
    </row>
    <row r="56" spans="1:19" ht="17.25" customHeight="1">
      <c r="A56" s="14">
        <v>41711</v>
      </c>
      <c r="B56" s="23" t="s">
        <v>57</v>
      </c>
      <c r="C56" s="14">
        <v>41711</v>
      </c>
      <c r="D56" s="16" t="s">
        <v>44</v>
      </c>
      <c r="E56" s="12" t="s">
        <v>45</v>
      </c>
      <c r="F56" s="9">
        <v>550000000</v>
      </c>
      <c r="G56" s="19"/>
      <c r="H56" s="5">
        <f t="shared" si="3"/>
        <v>0</v>
      </c>
      <c r="I56" s="5">
        <f t="shared" si="4"/>
        <v>2771030500</v>
      </c>
      <c r="J56" s="36">
        <f t="shared" si="5"/>
        <v>3</v>
      </c>
      <c r="K56" s="208"/>
      <c r="N56" s="91"/>
      <c r="O56" s="147"/>
      <c r="P56" s="91"/>
      <c r="Q56" s="91"/>
      <c r="R56" s="91"/>
      <c r="S56" s="91"/>
    </row>
    <row r="57" spans="1:19" ht="17.25" customHeight="1">
      <c r="A57" s="14">
        <v>41713</v>
      </c>
      <c r="B57" s="23" t="s">
        <v>143</v>
      </c>
      <c r="C57" s="14">
        <v>41713</v>
      </c>
      <c r="D57" s="16" t="s">
        <v>44</v>
      </c>
      <c r="E57" s="12" t="s">
        <v>45</v>
      </c>
      <c r="F57" s="9">
        <v>600000000</v>
      </c>
      <c r="G57" s="9"/>
      <c r="H57" s="5">
        <f t="shared" si="3"/>
        <v>0</v>
      </c>
      <c r="I57" s="5">
        <f t="shared" si="4"/>
        <v>2171030500</v>
      </c>
      <c r="J57" s="36">
        <f t="shared" si="5"/>
        <v>3</v>
      </c>
      <c r="K57" s="208"/>
      <c r="N57" s="91"/>
      <c r="O57" s="147"/>
      <c r="P57" s="91"/>
      <c r="Q57" s="91"/>
      <c r="R57" s="91"/>
      <c r="S57" s="91"/>
    </row>
    <row r="58" spans="1:19" ht="17.25" customHeight="1">
      <c r="A58" s="14">
        <v>41716</v>
      </c>
      <c r="B58" s="23" t="s">
        <v>182</v>
      </c>
      <c r="C58" s="14">
        <v>41716</v>
      </c>
      <c r="D58" s="16" t="s">
        <v>44</v>
      </c>
      <c r="E58" s="12" t="s">
        <v>45</v>
      </c>
      <c r="F58" s="9">
        <v>550000000</v>
      </c>
      <c r="G58" s="24"/>
      <c r="H58" s="5">
        <f t="shared" si="3"/>
        <v>0</v>
      </c>
      <c r="I58" s="5">
        <f t="shared" si="4"/>
        <v>1621030500</v>
      </c>
      <c r="J58" s="36">
        <f t="shared" si="5"/>
        <v>3</v>
      </c>
      <c r="K58" s="208"/>
      <c r="N58" s="91"/>
      <c r="O58" s="147"/>
      <c r="P58" s="91"/>
      <c r="Q58" s="91"/>
      <c r="R58" s="91"/>
      <c r="S58" s="91"/>
    </row>
    <row r="59" spans="1:19" ht="17.25" customHeight="1">
      <c r="A59" s="14">
        <v>41719</v>
      </c>
      <c r="B59" s="23" t="s">
        <v>62</v>
      </c>
      <c r="C59" s="14">
        <v>41719</v>
      </c>
      <c r="D59" s="16" t="s">
        <v>44</v>
      </c>
      <c r="E59" s="12" t="s">
        <v>45</v>
      </c>
      <c r="F59" s="9">
        <v>550000000</v>
      </c>
      <c r="G59" s="19"/>
      <c r="H59" s="5">
        <f t="shared" si="3"/>
        <v>0</v>
      </c>
      <c r="I59" s="5">
        <f t="shared" si="4"/>
        <v>1071030500</v>
      </c>
      <c r="J59" s="36">
        <f t="shared" si="5"/>
        <v>3</v>
      </c>
      <c r="K59" s="204"/>
      <c r="N59" s="91"/>
      <c r="O59" s="147"/>
      <c r="P59" s="91"/>
      <c r="Q59" s="91"/>
      <c r="R59" s="91"/>
      <c r="S59" s="91"/>
    </row>
    <row r="60" spans="1:19" ht="17.25" customHeight="1">
      <c r="A60" s="14">
        <v>41724</v>
      </c>
      <c r="B60" s="23" t="s">
        <v>154</v>
      </c>
      <c r="C60" s="14">
        <v>41724</v>
      </c>
      <c r="D60" s="16" t="s">
        <v>44</v>
      </c>
      <c r="E60" s="12" t="s">
        <v>45</v>
      </c>
      <c r="F60" s="9">
        <v>450000000</v>
      </c>
      <c r="G60" s="19"/>
      <c r="H60" s="5">
        <f t="shared" si="3"/>
        <v>0</v>
      </c>
      <c r="I60" s="5">
        <f t="shared" si="4"/>
        <v>621030500</v>
      </c>
      <c r="J60" s="36">
        <f t="shared" si="5"/>
        <v>3</v>
      </c>
      <c r="K60" s="208"/>
      <c r="N60" s="91"/>
      <c r="O60" s="147"/>
      <c r="P60" s="91"/>
      <c r="Q60" s="91"/>
      <c r="R60" s="91"/>
      <c r="S60" s="91"/>
    </row>
    <row r="61" spans="1:19" ht="17.25" customHeight="1">
      <c r="A61" s="14">
        <v>41734</v>
      </c>
      <c r="B61" s="23" t="s">
        <v>57</v>
      </c>
      <c r="C61" s="14">
        <v>41734</v>
      </c>
      <c r="D61" s="16" t="s">
        <v>44</v>
      </c>
      <c r="E61" s="12" t="s">
        <v>45</v>
      </c>
      <c r="F61" s="9">
        <v>650000000</v>
      </c>
      <c r="G61" s="19"/>
      <c r="H61" s="5">
        <f t="shared" si="3"/>
        <v>28969500</v>
      </c>
      <c r="I61" s="5">
        <f t="shared" si="4"/>
        <v>0</v>
      </c>
      <c r="J61" s="36">
        <f t="shared" si="5"/>
        <v>4</v>
      </c>
      <c r="K61" s="208"/>
      <c r="N61" s="91"/>
      <c r="O61" s="147"/>
      <c r="P61" s="91"/>
      <c r="Q61" s="91"/>
      <c r="R61" s="91"/>
      <c r="S61" s="91"/>
    </row>
    <row r="62" spans="1:19" ht="17.25" customHeight="1">
      <c r="A62" s="14">
        <v>41775</v>
      </c>
      <c r="B62" s="23" t="s">
        <v>155</v>
      </c>
      <c r="C62" s="14">
        <v>41775</v>
      </c>
      <c r="D62" s="16" t="s">
        <v>41</v>
      </c>
      <c r="E62" s="12" t="s">
        <v>42</v>
      </c>
      <c r="F62" s="9"/>
      <c r="G62" s="19">
        <v>400310500</v>
      </c>
      <c r="H62" s="5">
        <f t="shared" si="3"/>
        <v>0</v>
      </c>
      <c r="I62" s="5">
        <f t="shared" si="4"/>
        <v>371341000</v>
      </c>
      <c r="J62" s="36">
        <f t="shared" si="5"/>
        <v>5</v>
      </c>
      <c r="K62" s="208" t="s">
        <v>351</v>
      </c>
      <c r="N62" s="91"/>
      <c r="O62" s="147"/>
      <c r="P62" s="91"/>
      <c r="Q62" s="91"/>
      <c r="R62" s="91"/>
      <c r="S62" s="91"/>
    </row>
    <row r="63" spans="1:19" ht="17.25" customHeight="1">
      <c r="A63" s="14">
        <v>41775</v>
      </c>
      <c r="B63" s="23" t="s">
        <v>155</v>
      </c>
      <c r="C63" s="14">
        <v>41775</v>
      </c>
      <c r="D63" s="16" t="s">
        <v>29</v>
      </c>
      <c r="E63" s="12" t="s">
        <v>42</v>
      </c>
      <c r="F63" s="9"/>
      <c r="G63" s="19">
        <v>133639500</v>
      </c>
      <c r="H63" s="5">
        <f t="shared" si="3"/>
        <v>0</v>
      </c>
      <c r="I63" s="5">
        <f t="shared" si="4"/>
        <v>504980500</v>
      </c>
      <c r="J63" s="36">
        <f t="shared" si="5"/>
        <v>5</v>
      </c>
      <c r="K63" s="208" t="s">
        <v>241</v>
      </c>
      <c r="N63" s="91"/>
      <c r="O63" s="147"/>
      <c r="P63" s="91"/>
      <c r="Q63" s="91"/>
      <c r="R63" s="91"/>
      <c r="S63" s="91"/>
    </row>
    <row r="64" spans="1:19" ht="17.25" customHeight="1">
      <c r="A64" s="14">
        <v>41775</v>
      </c>
      <c r="B64" s="23" t="s">
        <v>155</v>
      </c>
      <c r="C64" s="11">
        <v>41775</v>
      </c>
      <c r="D64" s="16" t="s">
        <v>31</v>
      </c>
      <c r="E64" s="37" t="s">
        <v>42</v>
      </c>
      <c r="F64" s="9"/>
      <c r="G64" s="9">
        <v>296720500</v>
      </c>
      <c r="H64" s="5">
        <f t="shared" si="3"/>
        <v>0</v>
      </c>
      <c r="I64" s="5">
        <f t="shared" si="4"/>
        <v>801701000</v>
      </c>
      <c r="J64" s="36">
        <f t="shared" si="5"/>
        <v>5</v>
      </c>
      <c r="K64" s="132" t="s">
        <v>352</v>
      </c>
      <c r="N64" s="91"/>
      <c r="O64" s="147"/>
      <c r="P64" s="91"/>
      <c r="Q64" s="91"/>
      <c r="R64" s="91"/>
      <c r="S64" s="91"/>
    </row>
    <row r="65" spans="1:19" ht="17.25" customHeight="1">
      <c r="A65" s="14">
        <v>41775</v>
      </c>
      <c r="B65" s="23" t="s">
        <v>155</v>
      </c>
      <c r="C65" s="11">
        <v>41775</v>
      </c>
      <c r="D65" s="16" t="s">
        <v>40</v>
      </c>
      <c r="E65" s="37" t="s">
        <v>42</v>
      </c>
      <c r="F65" s="9"/>
      <c r="G65" s="19">
        <v>393759500</v>
      </c>
      <c r="H65" s="5">
        <f t="shared" si="3"/>
        <v>0</v>
      </c>
      <c r="I65" s="5">
        <f t="shared" si="4"/>
        <v>1195460500</v>
      </c>
      <c r="J65" s="36">
        <f t="shared" si="5"/>
        <v>5</v>
      </c>
      <c r="K65" s="210" t="s">
        <v>353</v>
      </c>
      <c r="N65" s="91"/>
      <c r="O65" s="147"/>
      <c r="P65" s="91"/>
      <c r="Q65" s="91"/>
      <c r="R65" s="91"/>
      <c r="S65" s="91"/>
    </row>
    <row r="66" spans="1:19" ht="17.25" customHeight="1">
      <c r="A66" s="14">
        <v>41775</v>
      </c>
      <c r="B66" s="23" t="s">
        <v>155</v>
      </c>
      <c r="C66" s="11">
        <v>41775</v>
      </c>
      <c r="D66" s="16" t="s">
        <v>32</v>
      </c>
      <c r="E66" s="12" t="s">
        <v>42</v>
      </c>
      <c r="F66" s="9"/>
      <c r="G66" s="19">
        <v>285829000</v>
      </c>
      <c r="H66" s="5">
        <f t="shared" si="3"/>
        <v>0</v>
      </c>
      <c r="I66" s="5">
        <f t="shared" si="4"/>
        <v>1481289500</v>
      </c>
      <c r="J66" s="36">
        <f t="shared" si="5"/>
        <v>5</v>
      </c>
      <c r="K66" s="211" t="s">
        <v>354</v>
      </c>
      <c r="N66" s="91"/>
      <c r="O66" s="147"/>
      <c r="P66" s="91"/>
      <c r="Q66" s="91"/>
      <c r="R66" s="91"/>
      <c r="S66" s="91"/>
    </row>
    <row r="67" spans="1:19" ht="17.25" customHeight="1">
      <c r="A67" s="14">
        <v>41775</v>
      </c>
      <c r="B67" s="23" t="s">
        <v>155</v>
      </c>
      <c r="C67" s="11">
        <v>41775</v>
      </c>
      <c r="D67" s="16" t="s">
        <v>37</v>
      </c>
      <c r="E67" s="12" t="s">
        <v>42</v>
      </c>
      <c r="F67" s="9"/>
      <c r="G67" s="19">
        <v>229238000</v>
      </c>
      <c r="H67" s="5">
        <f t="shared" si="3"/>
        <v>0</v>
      </c>
      <c r="I67" s="5">
        <f t="shared" si="4"/>
        <v>1710527500</v>
      </c>
      <c r="J67" s="36">
        <f t="shared" si="5"/>
        <v>5</v>
      </c>
      <c r="K67" s="204" t="s">
        <v>355</v>
      </c>
      <c r="N67" s="91"/>
      <c r="O67" s="147"/>
      <c r="P67" s="91"/>
      <c r="Q67" s="91"/>
      <c r="R67" s="91"/>
      <c r="S67" s="91"/>
    </row>
    <row r="68" spans="1:19" ht="17.25" customHeight="1">
      <c r="A68" s="14">
        <v>41775</v>
      </c>
      <c r="B68" s="23" t="s">
        <v>155</v>
      </c>
      <c r="C68" s="11">
        <v>41775</v>
      </c>
      <c r="D68" s="16" t="s">
        <v>38</v>
      </c>
      <c r="E68" s="12" t="s">
        <v>42</v>
      </c>
      <c r="F68" s="9"/>
      <c r="G68" s="19">
        <v>76905000</v>
      </c>
      <c r="H68" s="5">
        <f t="shared" si="3"/>
        <v>0</v>
      </c>
      <c r="I68" s="5">
        <f t="shared" si="4"/>
        <v>1787432500</v>
      </c>
      <c r="J68" s="36">
        <f t="shared" ref="J68:J98" si="6">IF(A68&lt;&gt;"",MONTH(A68),"")</f>
        <v>5</v>
      </c>
      <c r="K68" s="204" t="s">
        <v>341</v>
      </c>
      <c r="N68" s="91"/>
      <c r="O68" s="147"/>
      <c r="P68" s="91"/>
      <c r="Q68" s="91"/>
      <c r="R68" s="91"/>
      <c r="S68" s="91"/>
    </row>
    <row r="69" spans="1:19" ht="17.25" customHeight="1">
      <c r="A69" s="14">
        <v>41775</v>
      </c>
      <c r="B69" s="23" t="s">
        <v>155</v>
      </c>
      <c r="C69" s="11">
        <v>41775</v>
      </c>
      <c r="D69" s="16" t="s">
        <v>51</v>
      </c>
      <c r="E69" s="12" t="s">
        <v>42</v>
      </c>
      <c r="F69" s="9"/>
      <c r="G69" s="24">
        <v>310553500</v>
      </c>
      <c r="H69" s="5">
        <f t="shared" si="3"/>
        <v>0</v>
      </c>
      <c r="I69" s="5">
        <f t="shared" si="4"/>
        <v>2097986000</v>
      </c>
      <c r="J69" s="36">
        <f t="shared" si="6"/>
        <v>5</v>
      </c>
      <c r="K69" s="204" t="s">
        <v>356</v>
      </c>
      <c r="N69" s="91"/>
      <c r="O69" s="147"/>
      <c r="P69" s="91"/>
      <c r="Q69" s="91"/>
      <c r="R69" s="91"/>
      <c r="S69" s="91"/>
    </row>
    <row r="70" spans="1:19" ht="17.25" customHeight="1">
      <c r="A70" s="14">
        <v>41737</v>
      </c>
      <c r="B70" s="23" t="s">
        <v>54</v>
      </c>
      <c r="C70" s="11">
        <v>41737</v>
      </c>
      <c r="D70" s="16" t="s">
        <v>44</v>
      </c>
      <c r="E70" s="12" t="s">
        <v>45</v>
      </c>
      <c r="F70" s="9">
        <v>400000000</v>
      </c>
      <c r="G70" s="24"/>
      <c r="H70" s="5">
        <f t="shared" si="3"/>
        <v>0</v>
      </c>
      <c r="I70" s="5">
        <f t="shared" si="4"/>
        <v>1697986000</v>
      </c>
      <c r="J70" s="36">
        <f t="shared" si="6"/>
        <v>4</v>
      </c>
      <c r="N70" s="91"/>
      <c r="O70" s="147"/>
      <c r="P70" s="91"/>
      <c r="Q70" s="91"/>
      <c r="R70" s="91"/>
      <c r="S70" s="91"/>
    </row>
    <row r="71" spans="1:19" ht="17.25" customHeight="1">
      <c r="A71" s="14">
        <v>41747</v>
      </c>
      <c r="B71" s="23" t="s">
        <v>63</v>
      </c>
      <c r="C71" s="11">
        <v>41747</v>
      </c>
      <c r="D71" s="16" t="s">
        <v>44</v>
      </c>
      <c r="E71" s="12" t="s">
        <v>45</v>
      </c>
      <c r="F71" s="9">
        <v>400000000</v>
      </c>
      <c r="G71" s="24"/>
      <c r="H71" s="5">
        <f t="shared" si="3"/>
        <v>0</v>
      </c>
      <c r="I71" s="5">
        <f t="shared" si="4"/>
        <v>1297986000</v>
      </c>
      <c r="J71" s="36">
        <f t="shared" si="6"/>
        <v>4</v>
      </c>
      <c r="N71" s="91"/>
      <c r="O71" s="147"/>
      <c r="P71" s="91"/>
      <c r="Q71" s="91"/>
      <c r="R71" s="91"/>
      <c r="S71" s="91"/>
    </row>
    <row r="72" spans="1:19" ht="17.25" customHeight="1">
      <c r="A72" s="14">
        <v>41757</v>
      </c>
      <c r="B72" s="23" t="s">
        <v>192</v>
      </c>
      <c r="C72" s="11">
        <v>41757</v>
      </c>
      <c r="D72" s="16" t="s">
        <v>44</v>
      </c>
      <c r="E72" s="37" t="s">
        <v>45</v>
      </c>
      <c r="F72" s="9">
        <v>400000000</v>
      </c>
      <c r="G72" s="57"/>
      <c r="H72" s="5">
        <f t="shared" si="3"/>
        <v>0</v>
      </c>
      <c r="I72" s="5">
        <f t="shared" si="4"/>
        <v>897986000</v>
      </c>
      <c r="J72" s="36">
        <f t="shared" si="6"/>
        <v>4</v>
      </c>
      <c r="K72" s="205"/>
      <c r="N72" s="91"/>
      <c r="O72" s="147"/>
      <c r="P72" s="91"/>
      <c r="Q72" s="91"/>
      <c r="R72" s="91"/>
      <c r="S72" s="91"/>
    </row>
    <row r="73" spans="1:19" ht="17.25" customHeight="1">
      <c r="A73" s="14">
        <v>41774</v>
      </c>
      <c r="B73" s="23" t="s">
        <v>143</v>
      </c>
      <c r="C73" s="11">
        <v>41774</v>
      </c>
      <c r="D73" s="16" t="s">
        <v>44</v>
      </c>
      <c r="E73" s="37" t="s">
        <v>45</v>
      </c>
      <c r="F73" s="9">
        <v>900000000</v>
      </c>
      <c r="G73" s="57"/>
      <c r="H73" s="5">
        <f t="shared" si="3"/>
        <v>2014000</v>
      </c>
      <c r="I73" s="5">
        <f t="shared" si="4"/>
        <v>0</v>
      </c>
      <c r="J73" s="36">
        <f t="shared" si="6"/>
        <v>5</v>
      </c>
      <c r="K73" s="206"/>
      <c r="N73" s="91"/>
      <c r="O73" s="147"/>
      <c r="P73" s="91"/>
      <c r="Q73" s="91"/>
      <c r="R73" s="91"/>
      <c r="S73" s="91"/>
    </row>
    <row r="74" spans="1:19" ht="17.25" customHeight="1">
      <c r="A74" s="14">
        <v>41790</v>
      </c>
      <c r="B74" s="23" t="s">
        <v>160</v>
      </c>
      <c r="C74" s="11">
        <v>41790</v>
      </c>
      <c r="D74" s="16" t="s">
        <v>41</v>
      </c>
      <c r="E74" s="12" t="s">
        <v>42</v>
      </c>
      <c r="F74" s="9"/>
      <c r="G74" s="24">
        <v>89791500</v>
      </c>
      <c r="H74" s="5">
        <f t="shared" si="3"/>
        <v>0</v>
      </c>
      <c r="I74" s="5">
        <f t="shared" si="4"/>
        <v>87777500</v>
      </c>
      <c r="J74" s="36">
        <f t="shared" si="6"/>
        <v>5</v>
      </c>
      <c r="K74" s="204" t="s">
        <v>204</v>
      </c>
      <c r="N74" s="91"/>
      <c r="O74" s="50"/>
      <c r="P74" s="53"/>
      <c r="Q74" s="145"/>
      <c r="R74" s="109"/>
      <c r="S74" s="59"/>
    </row>
    <row r="75" spans="1:19" ht="17.25" customHeight="1">
      <c r="A75" s="14">
        <v>41790</v>
      </c>
      <c r="B75" s="23" t="s">
        <v>160</v>
      </c>
      <c r="C75" s="11">
        <v>41790</v>
      </c>
      <c r="D75" s="16" t="s">
        <v>34</v>
      </c>
      <c r="E75" s="12" t="s">
        <v>42</v>
      </c>
      <c r="F75" s="9"/>
      <c r="G75" s="24">
        <v>111520000</v>
      </c>
      <c r="H75" s="5">
        <f t="shared" si="3"/>
        <v>0</v>
      </c>
      <c r="I75" s="5">
        <f t="shared" si="4"/>
        <v>199297500</v>
      </c>
      <c r="J75" s="36">
        <f t="shared" si="6"/>
        <v>5</v>
      </c>
      <c r="K75" s="204" t="s">
        <v>205</v>
      </c>
      <c r="N75" s="91"/>
      <c r="O75" s="50"/>
      <c r="P75" s="53"/>
      <c r="Q75" s="145"/>
      <c r="R75" s="109"/>
      <c r="S75" s="59"/>
    </row>
    <row r="76" spans="1:19" ht="17.25" customHeight="1">
      <c r="A76" s="14">
        <v>41790</v>
      </c>
      <c r="B76" s="23" t="s">
        <v>160</v>
      </c>
      <c r="C76" s="11">
        <v>41790</v>
      </c>
      <c r="D76" s="16" t="s">
        <v>39</v>
      </c>
      <c r="E76" s="12" t="s">
        <v>42</v>
      </c>
      <c r="F76" s="9"/>
      <c r="G76" s="19">
        <v>110380000</v>
      </c>
      <c r="H76" s="5">
        <f t="shared" si="3"/>
        <v>0</v>
      </c>
      <c r="I76" s="5">
        <f t="shared" si="4"/>
        <v>309677500</v>
      </c>
      <c r="J76" s="36">
        <f t="shared" si="6"/>
        <v>5</v>
      </c>
      <c r="K76" s="204" t="s">
        <v>202</v>
      </c>
      <c r="N76" s="91"/>
      <c r="O76" s="50"/>
      <c r="P76" s="53"/>
      <c r="Q76" s="145"/>
      <c r="R76" s="109"/>
      <c r="S76" s="59"/>
    </row>
    <row r="77" spans="1:19" ht="17.25" customHeight="1">
      <c r="A77" s="14">
        <v>41790</v>
      </c>
      <c r="B77" s="23" t="s">
        <v>160</v>
      </c>
      <c r="C77" s="11">
        <v>41790</v>
      </c>
      <c r="D77" s="16" t="s">
        <v>35</v>
      </c>
      <c r="E77" s="12" t="s">
        <v>42</v>
      </c>
      <c r="F77" s="9"/>
      <c r="G77" s="19">
        <v>86583000</v>
      </c>
      <c r="H77" s="5">
        <f t="shared" si="3"/>
        <v>0</v>
      </c>
      <c r="I77" s="5">
        <f t="shared" si="4"/>
        <v>396260500</v>
      </c>
      <c r="J77" s="36">
        <f t="shared" si="6"/>
        <v>5</v>
      </c>
      <c r="K77" s="204" t="s">
        <v>271</v>
      </c>
      <c r="N77" s="91"/>
      <c r="O77" s="50"/>
      <c r="P77" s="53"/>
      <c r="Q77" s="145"/>
      <c r="R77" s="109"/>
      <c r="S77" s="59"/>
    </row>
    <row r="78" spans="1:19" ht="17.25" customHeight="1">
      <c r="A78" s="14">
        <v>41790</v>
      </c>
      <c r="B78" s="23" t="s">
        <v>160</v>
      </c>
      <c r="C78" s="11">
        <v>41790</v>
      </c>
      <c r="D78" s="16" t="s">
        <v>40</v>
      </c>
      <c r="E78" s="12" t="s">
        <v>42</v>
      </c>
      <c r="F78" s="9"/>
      <c r="G78" s="19">
        <v>101400000</v>
      </c>
      <c r="H78" s="5">
        <f t="shared" si="3"/>
        <v>0</v>
      </c>
      <c r="I78" s="5">
        <f t="shared" si="4"/>
        <v>497660500</v>
      </c>
      <c r="J78" s="36">
        <f t="shared" si="6"/>
        <v>5</v>
      </c>
      <c r="K78" s="204" t="s">
        <v>265</v>
      </c>
      <c r="N78" s="91"/>
      <c r="O78" s="50"/>
      <c r="P78" s="53"/>
      <c r="Q78" s="145"/>
      <c r="R78" s="109"/>
      <c r="S78" s="59"/>
    </row>
    <row r="79" spans="1:19" ht="17.25" customHeight="1">
      <c r="A79" s="14">
        <v>41790</v>
      </c>
      <c r="B79" s="23" t="s">
        <v>160</v>
      </c>
      <c r="C79" s="11">
        <v>41790</v>
      </c>
      <c r="D79" s="16" t="s">
        <v>36</v>
      </c>
      <c r="E79" s="12" t="s">
        <v>42</v>
      </c>
      <c r="F79" s="9"/>
      <c r="G79" s="19">
        <v>91496500</v>
      </c>
      <c r="H79" s="5">
        <f t="shared" si="3"/>
        <v>0</v>
      </c>
      <c r="I79" s="5">
        <f t="shared" si="4"/>
        <v>589157000</v>
      </c>
      <c r="J79" s="36">
        <f t="shared" si="6"/>
        <v>5</v>
      </c>
      <c r="K79" s="204" t="s">
        <v>221</v>
      </c>
      <c r="N79" s="91"/>
      <c r="O79" s="50"/>
      <c r="P79" s="53"/>
      <c r="Q79" s="145"/>
      <c r="R79" s="109"/>
      <c r="S79" s="59"/>
    </row>
    <row r="80" spans="1:19" ht="17.25" customHeight="1">
      <c r="A80" s="14">
        <v>41790</v>
      </c>
      <c r="B80" s="23" t="s">
        <v>160</v>
      </c>
      <c r="C80" s="11">
        <v>41790</v>
      </c>
      <c r="D80" s="16" t="s">
        <v>37</v>
      </c>
      <c r="E80" s="12" t="s">
        <v>42</v>
      </c>
      <c r="F80" s="9"/>
      <c r="G80" s="19">
        <v>88970000</v>
      </c>
      <c r="H80" s="5">
        <f t="shared" si="3"/>
        <v>0</v>
      </c>
      <c r="I80" s="5">
        <f t="shared" si="4"/>
        <v>678127000</v>
      </c>
      <c r="J80" s="36">
        <f t="shared" si="6"/>
        <v>5</v>
      </c>
      <c r="K80" s="208" t="s">
        <v>208</v>
      </c>
      <c r="N80" s="91"/>
      <c r="O80" s="50"/>
      <c r="P80" s="53"/>
      <c r="Q80" s="108"/>
      <c r="R80" s="109"/>
      <c r="S80" s="59"/>
    </row>
    <row r="81" spans="1:19" ht="17.25" customHeight="1">
      <c r="A81" s="14">
        <v>41790</v>
      </c>
      <c r="B81" s="23" t="s">
        <v>160</v>
      </c>
      <c r="C81" s="11">
        <v>41790</v>
      </c>
      <c r="D81" s="16" t="s">
        <v>38</v>
      </c>
      <c r="E81" s="12" t="s">
        <v>42</v>
      </c>
      <c r="F81" s="9"/>
      <c r="G81" s="19">
        <v>93356500</v>
      </c>
      <c r="H81" s="5">
        <f t="shared" ref="H81:H85" si="7">MAX(H80+F81-G81-I80,0)</f>
        <v>0</v>
      </c>
      <c r="I81" s="5">
        <f t="shared" ref="I81:I85" si="8">MAX(I80+G81-F81-H80,0)</f>
        <v>771483500</v>
      </c>
      <c r="J81" s="36">
        <f t="shared" si="6"/>
        <v>5</v>
      </c>
      <c r="K81" s="208" t="s">
        <v>219</v>
      </c>
      <c r="N81" s="91"/>
      <c r="O81" s="50"/>
      <c r="P81" s="53"/>
      <c r="Q81" s="108"/>
      <c r="R81" s="109"/>
      <c r="S81" s="59"/>
    </row>
    <row r="82" spans="1:19" ht="17.25" customHeight="1">
      <c r="A82" s="14">
        <v>41779</v>
      </c>
      <c r="B82" s="23" t="s">
        <v>66</v>
      </c>
      <c r="C82" s="11">
        <v>41779</v>
      </c>
      <c r="D82" s="16" t="s">
        <v>44</v>
      </c>
      <c r="E82" s="12" t="s">
        <v>45</v>
      </c>
      <c r="F82" s="9">
        <v>400000000</v>
      </c>
      <c r="G82" s="19"/>
      <c r="H82" s="5">
        <f t="shared" si="7"/>
        <v>0</v>
      </c>
      <c r="I82" s="5">
        <f t="shared" si="8"/>
        <v>371483500</v>
      </c>
      <c r="J82" s="36">
        <f t="shared" si="6"/>
        <v>5</v>
      </c>
      <c r="K82" s="208"/>
      <c r="N82" s="91"/>
      <c r="O82" s="50"/>
      <c r="P82" s="53"/>
      <c r="Q82" s="108"/>
      <c r="R82" s="109"/>
      <c r="S82" s="59"/>
    </row>
    <row r="83" spans="1:19" ht="17.25" customHeight="1">
      <c r="A83" s="14">
        <v>41787</v>
      </c>
      <c r="B83" s="23" t="s">
        <v>178</v>
      </c>
      <c r="C83" s="11">
        <v>41787</v>
      </c>
      <c r="D83" s="16" t="s">
        <v>44</v>
      </c>
      <c r="E83" s="37" t="s">
        <v>45</v>
      </c>
      <c r="F83" s="9">
        <v>400000000</v>
      </c>
      <c r="G83" s="9"/>
      <c r="H83" s="5">
        <f t="shared" si="7"/>
        <v>28516500</v>
      </c>
      <c r="I83" s="5">
        <f t="shared" si="8"/>
        <v>0</v>
      </c>
      <c r="J83" s="36">
        <f t="shared" si="6"/>
        <v>5</v>
      </c>
      <c r="K83" s="205"/>
      <c r="N83" s="91"/>
      <c r="O83" s="50"/>
      <c r="P83" s="53"/>
      <c r="Q83" s="145"/>
      <c r="R83" s="109"/>
      <c r="S83" s="109"/>
    </row>
    <row r="84" spans="1:19" ht="17.25" customHeight="1">
      <c r="A84" s="14">
        <v>41820</v>
      </c>
      <c r="B84" s="23" t="s">
        <v>319</v>
      </c>
      <c r="C84" s="11">
        <v>41820</v>
      </c>
      <c r="D84" s="16" t="s">
        <v>41</v>
      </c>
      <c r="E84" s="37" t="s">
        <v>42</v>
      </c>
      <c r="F84" s="9"/>
      <c r="G84" s="19">
        <v>283955000</v>
      </c>
      <c r="H84" s="5">
        <f t="shared" si="7"/>
        <v>0</v>
      </c>
      <c r="I84" s="5">
        <f t="shared" si="8"/>
        <v>255438500</v>
      </c>
      <c r="J84" s="36">
        <f t="shared" si="6"/>
        <v>6</v>
      </c>
      <c r="K84" s="204" t="s">
        <v>357</v>
      </c>
      <c r="N84" s="91"/>
      <c r="O84" s="50"/>
      <c r="P84" s="53"/>
      <c r="Q84" s="145"/>
      <c r="R84" s="109"/>
      <c r="S84" s="59"/>
    </row>
    <row r="85" spans="1:19" ht="17.25" customHeight="1">
      <c r="A85" s="14">
        <v>41820</v>
      </c>
      <c r="B85" s="23" t="s">
        <v>319</v>
      </c>
      <c r="C85" s="11">
        <v>41820</v>
      </c>
      <c r="D85" s="16" t="s">
        <v>162</v>
      </c>
      <c r="E85" s="37" t="s">
        <v>42</v>
      </c>
      <c r="F85" s="9"/>
      <c r="G85" s="9">
        <v>177378000</v>
      </c>
      <c r="H85" s="5">
        <f t="shared" si="7"/>
        <v>0</v>
      </c>
      <c r="I85" s="5">
        <f t="shared" si="8"/>
        <v>432816500</v>
      </c>
      <c r="J85" s="36">
        <f t="shared" ref="J85" si="9">IF(A85&lt;&gt;"",MONTH(A85),"")</f>
        <v>6</v>
      </c>
      <c r="K85" s="205" t="s">
        <v>358</v>
      </c>
      <c r="N85" s="91"/>
      <c r="O85" s="50"/>
      <c r="P85" s="53"/>
      <c r="Q85" s="145"/>
      <c r="R85" s="109"/>
      <c r="S85" s="109"/>
    </row>
    <row r="86" spans="1:19" ht="17.25" customHeight="1">
      <c r="A86" s="14">
        <v>41820</v>
      </c>
      <c r="B86" s="23" t="s">
        <v>319</v>
      </c>
      <c r="C86" s="11">
        <v>41820</v>
      </c>
      <c r="D86" s="16" t="s">
        <v>161</v>
      </c>
      <c r="E86" s="12" t="s">
        <v>42</v>
      </c>
      <c r="F86" s="9"/>
      <c r="G86" s="19">
        <v>101439000</v>
      </c>
      <c r="H86" s="5">
        <f t="shared" ref="H86:H100" si="10">MAX(H85+F86-G86-I85,0)</f>
        <v>0</v>
      </c>
      <c r="I86" s="5">
        <f t="shared" ref="I86:I100" si="11">MAX(I85+G86-F86-H85,0)</f>
        <v>534255500</v>
      </c>
      <c r="J86" s="36">
        <f t="shared" si="6"/>
        <v>6</v>
      </c>
      <c r="K86" s="204" t="s">
        <v>240</v>
      </c>
      <c r="N86" s="91"/>
      <c r="O86" s="50"/>
      <c r="P86" s="53"/>
      <c r="Q86" s="145"/>
      <c r="R86" s="109"/>
      <c r="S86" s="59"/>
    </row>
    <row r="87" spans="1:19" ht="17.25" customHeight="1">
      <c r="A87" s="14">
        <v>41820</v>
      </c>
      <c r="B87" s="23" t="s">
        <v>319</v>
      </c>
      <c r="C87" s="11">
        <v>41820</v>
      </c>
      <c r="D87" s="16" t="s">
        <v>35</v>
      </c>
      <c r="E87" s="12" t="s">
        <v>42</v>
      </c>
      <c r="F87" s="9"/>
      <c r="G87" s="19">
        <v>296661000</v>
      </c>
      <c r="H87" s="5">
        <f t="shared" si="10"/>
        <v>0</v>
      </c>
      <c r="I87" s="5">
        <f t="shared" si="11"/>
        <v>830916500</v>
      </c>
      <c r="J87" s="36">
        <f t="shared" si="6"/>
        <v>6</v>
      </c>
      <c r="K87" s="204" t="s">
        <v>359</v>
      </c>
      <c r="N87" s="91"/>
      <c r="O87" s="50"/>
      <c r="P87" s="53"/>
      <c r="Q87" s="145"/>
      <c r="R87" s="109"/>
      <c r="S87" s="59"/>
    </row>
    <row r="88" spans="1:19" ht="17.25" customHeight="1">
      <c r="A88" s="14">
        <v>41820</v>
      </c>
      <c r="B88" s="23" t="s">
        <v>319</v>
      </c>
      <c r="C88" s="11">
        <v>41820</v>
      </c>
      <c r="D88" s="16" t="s">
        <v>140</v>
      </c>
      <c r="E88" s="12" t="s">
        <v>42</v>
      </c>
      <c r="F88" s="9"/>
      <c r="G88" s="19">
        <v>189754000</v>
      </c>
      <c r="H88" s="5">
        <f t="shared" si="10"/>
        <v>0</v>
      </c>
      <c r="I88" s="5">
        <f t="shared" si="11"/>
        <v>1020670500</v>
      </c>
      <c r="J88" s="36">
        <f t="shared" si="6"/>
        <v>6</v>
      </c>
      <c r="K88" s="204" t="s">
        <v>360</v>
      </c>
      <c r="N88" s="91"/>
      <c r="O88" s="50"/>
      <c r="P88" s="53"/>
      <c r="Q88" s="145"/>
      <c r="R88" s="109"/>
      <c r="S88" s="59"/>
    </row>
    <row r="89" spans="1:19" ht="17.25" customHeight="1">
      <c r="A89" s="14">
        <v>41820</v>
      </c>
      <c r="B89" s="23" t="s">
        <v>319</v>
      </c>
      <c r="C89" s="11">
        <v>41820</v>
      </c>
      <c r="D89" s="16" t="s">
        <v>40</v>
      </c>
      <c r="E89" s="12" t="s">
        <v>42</v>
      </c>
      <c r="F89" s="9"/>
      <c r="G89" s="19">
        <v>310562000</v>
      </c>
      <c r="H89" s="5">
        <f t="shared" si="10"/>
        <v>0</v>
      </c>
      <c r="I89" s="5">
        <f t="shared" si="11"/>
        <v>1331232500</v>
      </c>
      <c r="J89" s="36">
        <f t="shared" si="6"/>
        <v>6</v>
      </c>
      <c r="K89" s="204" t="s">
        <v>361</v>
      </c>
      <c r="N89" s="91"/>
      <c r="O89" s="50"/>
      <c r="P89" s="53"/>
      <c r="Q89" s="145"/>
      <c r="R89" s="109"/>
      <c r="S89" s="59"/>
    </row>
    <row r="90" spans="1:19" ht="17.25" customHeight="1">
      <c r="A90" s="14">
        <v>41820</v>
      </c>
      <c r="B90" s="23" t="s">
        <v>319</v>
      </c>
      <c r="C90" s="11">
        <v>41820</v>
      </c>
      <c r="D90" s="16" t="s">
        <v>317</v>
      </c>
      <c r="E90" s="12" t="s">
        <v>42</v>
      </c>
      <c r="F90" s="9"/>
      <c r="G90" s="19">
        <v>99127000</v>
      </c>
      <c r="H90" s="5">
        <f t="shared" si="10"/>
        <v>0</v>
      </c>
      <c r="I90" s="5">
        <f t="shared" si="11"/>
        <v>1430359500</v>
      </c>
      <c r="J90" s="36">
        <f t="shared" si="6"/>
        <v>6</v>
      </c>
      <c r="K90" s="209" t="s">
        <v>255</v>
      </c>
      <c r="N90" s="91"/>
      <c r="O90" s="50"/>
      <c r="P90" s="53"/>
      <c r="Q90" s="108"/>
      <c r="R90" s="109"/>
      <c r="S90" s="59"/>
    </row>
    <row r="91" spans="1:19" ht="17.25" customHeight="1">
      <c r="A91" s="14">
        <v>41820</v>
      </c>
      <c r="B91" s="23" t="s">
        <v>319</v>
      </c>
      <c r="C91" s="11">
        <v>41820</v>
      </c>
      <c r="D91" s="16" t="s">
        <v>318</v>
      </c>
      <c r="E91" s="12" t="s">
        <v>42</v>
      </c>
      <c r="F91" s="9"/>
      <c r="G91" s="19">
        <v>180302000</v>
      </c>
      <c r="H91" s="5">
        <f t="shared" si="10"/>
        <v>0</v>
      </c>
      <c r="I91" s="5">
        <f t="shared" si="11"/>
        <v>1610661500</v>
      </c>
      <c r="J91" s="36">
        <f t="shared" si="6"/>
        <v>6</v>
      </c>
      <c r="K91" s="209" t="s">
        <v>362</v>
      </c>
      <c r="N91" s="91"/>
      <c r="O91" s="50"/>
      <c r="P91" s="53"/>
      <c r="Q91" s="108"/>
      <c r="R91" s="109"/>
      <c r="S91" s="59"/>
    </row>
    <row r="92" spans="1:19" ht="17.25" customHeight="1">
      <c r="A92" s="14">
        <v>41820</v>
      </c>
      <c r="B92" s="23" t="s">
        <v>319</v>
      </c>
      <c r="C92" s="11">
        <v>41820</v>
      </c>
      <c r="D92" s="16" t="s">
        <v>37</v>
      </c>
      <c r="E92" s="12" t="s">
        <v>42</v>
      </c>
      <c r="F92" s="9"/>
      <c r="G92" s="19">
        <v>299352000</v>
      </c>
      <c r="H92" s="5">
        <f t="shared" si="10"/>
        <v>0</v>
      </c>
      <c r="I92" s="5">
        <f t="shared" si="11"/>
        <v>1910013500</v>
      </c>
      <c r="J92" s="36">
        <f t="shared" si="6"/>
        <v>6</v>
      </c>
      <c r="K92" s="209" t="s">
        <v>363</v>
      </c>
      <c r="N92" s="91"/>
      <c r="O92" s="50"/>
      <c r="P92" s="53"/>
      <c r="Q92" s="108"/>
      <c r="R92" s="109"/>
      <c r="S92" s="59"/>
    </row>
    <row r="93" spans="1:19" ht="17.25" customHeight="1">
      <c r="A93" s="14">
        <v>41820</v>
      </c>
      <c r="B93" s="23" t="s">
        <v>319</v>
      </c>
      <c r="C93" s="11">
        <v>41820</v>
      </c>
      <c r="D93" s="16" t="s">
        <v>38</v>
      </c>
      <c r="E93" s="12" t="s">
        <v>42</v>
      </c>
      <c r="F93" s="9"/>
      <c r="G93" s="19">
        <v>118643000</v>
      </c>
      <c r="H93" s="5">
        <f t="shared" si="10"/>
        <v>0</v>
      </c>
      <c r="I93" s="5">
        <f t="shared" si="11"/>
        <v>2028656500</v>
      </c>
      <c r="J93" s="36">
        <f t="shared" si="6"/>
        <v>6</v>
      </c>
      <c r="K93" s="209" t="s">
        <v>364</v>
      </c>
      <c r="N93" s="91"/>
      <c r="O93" s="50"/>
      <c r="P93" s="53"/>
      <c r="Q93" s="108"/>
      <c r="R93" s="109"/>
      <c r="S93" s="59"/>
    </row>
    <row r="94" spans="1:19" ht="17.25" customHeight="1">
      <c r="A94" s="14">
        <v>41803</v>
      </c>
      <c r="B94" s="23" t="s">
        <v>144</v>
      </c>
      <c r="C94" s="11">
        <v>41803</v>
      </c>
      <c r="D94" s="16" t="s">
        <v>44</v>
      </c>
      <c r="E94" s="12" t="s">
        <v>45</v>
      </c>
      <c r="F94" s="9">
        <v>800000000</v>
      </c>
      <c r="G94" s="19"/>
      <c r="H94" s="5">
        <f t="shared" si="10"/>
        <v>0</v>
      </c>
      <c r="I94" s="5">
        <f t="shared" si="11"/>
        <v>1228656500</v>
      </c>
      <c r="J94" s="36">
        <f t="shared" si="6"/>
        <v>6</v>
      </c>
      <c r="K94" s="204"/>
      <c r="N94" s="91"/>
      <c r="O94" s="50"/>
      <c r="P94" s="53"/>
      <c r="Q94" s="145"/>
      <c r="R94" s="109"/>
      <c r="S94" s="59"/>
    </row>
    <row r="95" spans="1:19" ht="17.25" customHeight="1">
      <c r="A95" s="14">
        <v>41805</v>
      </c>
      <c r="B95" s="23" t="s">
        <v>54</v>
      </c>
      <c r="C95" s="11">
        <v>41805</v>
      </c>
      <c r="D95" s="16" t="s">
        <v>44</v>
      </c>
      <c r="E95" s="12" t="s">
        <v>45</v>
      </c>
      <c r="F95" s="9">
        <v>650000000</v>
      </c>
      <c r="G95" s="19"/>
      <c r="H95" s="5">
        <f t="shared" si="10"/>
        <v>0</v>
      </c>
      <c r="I95" s="5">
        <f t="shared" si="11"/>
        <v>578656500</v>
      </c>
      <c r="J95" s="36">
        <f t="shared" si="6"/>
        <v>6</v>
      </c>
      <c r="K95" s="204"/>
      <c r="N95" s="91"/>
      <c r="O95" s="50"/>
      <c r="P95" s="53"/>
      <c r="Q95" s="145"/>
      <c r="R95" s="109"/>
      <c r="S95" s="59"/>
    </row>
    <row r="96" spans="1:19" ht="17.25" customHeight="1">
      <c r="A96" s="14">
        <v>41816</v>
      </c>
      <c r="B96" s="23" t="s">
        <v>63</v>
      </c>
      <c r="C96" s="11">
        <v>41816</v>
      </c>
      <c r="D96" s="16" t="s">
        <v>44</v>
      </c>
      <c r="E96" s="12" t="s">
        <v>45</v>
      </c>
      <c r="F96" s="9">
        <v>600000000</v>
      </c>
      <c r="G96" s="19"/>
      <c r="H96" s="5">
        <f t="shared" si="10"/>
        <v>21343500</v>
      </c>
      <c r="I96" s="5">
        <f t="shared" si="11"/>
        <v>0</v>
      </c>
      <c r="J96" s="36">
        <f t="shared" si="6"/>
        <v>6</v>
      </c>
      <c r="K96" s="204"/>
      <c r="N96" s="91"/>
      <c r="O96" s="50"/>
      <c r="P96" s="53"/>
      <c r="Q96" s="145"/>
      <c r="R96" s="109"/>
      <c r="S96" s="59"/>
    </row>
    <row r="97" spans="1:19" ht="17.25" customHeight="1">
      <c r="A97" s="11">
        <v>41851</v>
      </c>
      <c r="B97" s="17" t="s">
        <v>320</v>
      </c>
      <c r="C97" s="11">
        <v>41851</v>
      </c>
      <c r="D97" s="16" t="s">
        <v>41</v>
      </c>
      <c r="E97" s="37" t="s">
        <v>42</v>
      </c>
      <c r="F97" s="9"/>
      <c r="G97" s="19">
        <v>321026500</v>
      </c>
      <c r="H97" s="5">
        <f t="shared" si="10"/>
        <v>0</v>
      </c>
      <c r="I97" s="5">
        <f t="shared" si="11"/>
        <v>299683000</v>
      </c>
      <c r="J97" s="36">
        <f t="shared" si="6"/>
        <v>7</v>
      </c>
      <c r="K97" s="208" t="s">
        <v>365</v>
      </c>
      <c r="N97" s="113"/>
      <c r="O97" s="50"/>
      <c r="P97" s="53"/>
      <c r="Q97" s="108"/>
      <c r="R97" s="109"/>
      <c r="S97" s="59"/>
    </row>
    <row r="98" spans="1:19" ht="17.25" customHeight="1">
      <c r="A98" s="14">
        <v>41851</v>
      </c>
      <c r="B98" s="23" t="s">
        <v>320</v>
      </c>
      <c r="C98" s="11">
        <v>41851</v>
      </c>
      <c r="D98" s="16" t="s">
        <v>29</v>
      </c>
      <c r="E98" s="12" t="s">
        <v>42</v>
      </c>
      <c r="F98" s="9"/>
      <c r="G98" s="9">
        <v>337610000</v>
      </c>
      <c r="H98" s="5">
        <f t="shared" si="10"/>
        <v>0</v>
      </c>
      <c r="I98" s="5">
        <f t="shared" si="11"/>
        <v>637293000</v>
      </c>
      <c r="J98" s="36">
        <f t="shared" si="6"/>
        <v>7</v>
      </c>
      <c r="K98" s="206" t="s">
        <v>366</v>
      </c>
      <c r="N98" s="91"/>
      <c r="O98" s="50"/>
      <c r="P98" s="53"/>
      <c r="Q98" s="145"/>
      <c r="R98" s="109"/>
      <c r="S98" s="109"/>
    </row>
    <row r="99" spans="1:19" ht="17.25" customHeight="1">
      <c r="A99" s="14">
        <v>41851</v>
      </c>
      <c r="B99" s="23" t="s">
        <v>320</v>
      </c>
      <c r="C99" s="11">
        <v>41851</v>
      </c>
      <c r="D99" s="16" t="s">
        <v>31</v>
      </c>
      <c r="E99" s="12" t="s">
        <v>42</v>
      </c>
      <c r="F99" s="9"/>
      <c r="G99" s="19">
        <v>476629000</v>
      </c>
      <c r="H99" s="5">
        <f t="shared" si="10"/>
        <v>0</v>
      </c>
      <c r="I99" s="5">
        <f t="shared" si="11"/>
        <v>1113922000</v>
      </c>
      <c r="J99" s="36">
        <f t="shared" ref="J99:J151" si="12">IF(A99&lt;&gt;"",MONTH(A99),"")</f>
        <v>7</v>
      </c>
      <c r="K99" s="204" t="s">
        <v>367</v>
      </c>
      <c r="N99" s="91"/>
      <c r="O99" s="50"/>
      <c r="P99" s="53"/>
      <c r="Q99" s="145"/>
      <c r="R99" s="109"/>
      <c r="S99" s="59"/>
    </row>
    <row r="100" spans="1:19" ht="17.25" customHeight="1">
      <c r="A100" s="14">
        <v>41851</v>
      </c>
      <c r="B100" s="23" t="s">
        <v>320</v>
      </c>
      <c r="C100" s="11">
        <v>41851</v>
      </c>
      <c r="D100" s="16" t="s">
        <v>40</v>
      </c>
      <c r="E100" s="12" t="s">
        <v>42</v>
      </c>
      <c r="F100" s="9"/>
      <c r="G100" s="19">
        <v>316662500</v>
      </c>
      <c r="H100" s="5">
        <f t="shared" si="10"/>
        <v>0</v>
      </c>
      <c r="I100" s="5">
        <f t="shared" si="11"/>
        <v>1430584500</v>
      </c>
      <c r="J100" s="36">
        <f t="shared" si="12"/>
        <v>7</v>
      </c>
      <c r="K100" s="204" t="s">
        <v>368</v>
      </c>
      <c r="N100" s="91"/>
      <c r="O100" s="50"/>
      <c r="P100" s="53"/>
      <c r="Q100" s="145"/>
      <c r="R100" s="109"/>
      <c r="S100" s="59"/>
    </row>
    <row r="101" spans="1:19" ht="17.25" customHeight="1">
      <c r="A101" s="14">
        <v>41851</v>
      </c>
      <c r="B101" s="23" t="s">
        <v>320</v>
      </c>
      <c r="C101" s="11">
        <v>41851</v>
      </c>
      <c r="D101" s="16" t="s">
        <v>32</v>
      </c>
      <c r="E101" s="12" t="s">
        <v>42</v>
      </c>
      <c r="F101" s="9"/>
      <c r="G101" s="19">
        <v>545211000</v>
      </c>
      <c r="H101" s="5">
        <f t="shared" ref="H101:H151" si="13">MAX(H100+F101-G101-I100,0)</f>
        <v>0</v>
      </c>
      <c r="I101" s="5">
        <f t="shared" ref="I101:I151" si="14">MAX(I100+G101-F101-H100,0)</f>
        <v>1975795500</v>
      </c>
      <c r="J101" s="36">
        <f t="shared" si="12"/>
        <v>7</v>
      </c>
      <c r="K101" s="204" t="s">
        <v>369</v>
      </c>
      <c r="N101" s="91"/>
      <c r="O101" s="50"/>
      <c r="P101" s="53"/>
      <c r="Q101" s="145"/>
      <c r="R101" s="109"/>
      <c r="S101" s="59"/>
    </row>
    <row r="102" spans="1:19" ht="17.25" customHeight="1">
      <c r="A102" s="14">
        <v>41851</v>
      </c>
      <c r="B102" s="23" t="s">
        <v>320</v>
      </c>
      <c r="C102" s="11">
        <v>41851</v>
      </c>
      <c r="D102" s="16" t="s">
        <v>37</v>
      </c>
      <c r="E102" s="12" t="s">
        <v>42</v>
      </c>
      <c r="F102" s="9"/>
      <c r="G102" s="19">
        <v>312216500</v>
      </c>
      <c r="H102" s="5">
        <f t="shared" si="13"/>
        <v>0</v>
      </c>
      <c r="I102" s="5">
        <f t="shared" si="14"/>
        <v>2288012000</v>
      </c>
      <c r="J102" s="36">
        <f t="shared" si="12"/>
        <v>7</v>
      </c>
      <c r="K102" s="204" t="s">
        <v>354</v>
      </c>
      <c r="N102" s="91"/>
      <c r="O102" s="50"/>
      <c r="P102" s="53"/>
      <c r="Q102" s="145"/>
      <c r="R102" s="109"/>
      <c r="S102" s="59"/>
    </row>
    <row r="103" spans="1:19" ht="17.25" customHeight="1">
      <c r="A103" s="14">
        <v>41822</v>
      </c>
      <c r="B103" s="23" t="s">
        <v>65</v>
      </c>
      <c r="C103" s="11">
        <v>41822</v>
      </c>
      <c r="D103" s="16" t="s">
        <v>44</v>
      </c>
      <c r="E103" s="12" t="s">
        <v>45</v>
      </c>
      <c r="F103" s="9">
        <v>550000000</v>
      </c>
      <c r="G103" s="19"/>
      <c r="H103" s="5">
        <f t="shared" si="13"/>
        <v>0</v>
      </c>
      <c r="I103" s="5">
        <f t="shared" si="14"/>
        <v>1738012000</v>
      </c>
      <c r="J103" s="36">
        <f t="shared" si="12"/>
        <v>7</v>
      </c>
      <c r="K103" s="204"/>
      <c r="N103" s="91"/>
      <c r="O103" s="50"/>
      <c r="P103" s="53"/>
      <c r="Q103" s="145"/>
      <c r="R103" s="109"/>
      <c r="S103" s="59"/>
    </row>
    <row r="104" spans="1:19" ht="17.25" customHeight="1">
      <c r="A104" s="14">
        <v>41829</v>
      </c>
      <c r="B104" s="23" t="s">
        <v>61</v>
      </c>
      <c r="C104" s="11">
        <v>41829</v>
      </c>
      <c r="D104" s="16" t="s">
        <v>44</v>
      </c>
      <c r="E104" s="12" t="s">
        <v>45</v>
      </c>
      <c r="F104" s="9">
        <v>550000000</v>
      </c>
      <c r="G104" s="19"/>
      <c r="H104" s="5">
        <f t="shared" si="13"/>
        <v>0</v>
      </c>
      <c r="I104" s="5">
        <f t="shared" si="14"/>
        <v>1188012000</v>
      </c>
      <c r="J104" s="36">
        <f t="shared" si="12"/>
        <v>7</v>
      </c>
      <c r="K104" s="204"/>
      <c r="N104" s="91"/>
      <c r="O104" s="50"/>
      <c r="P104" s="53"/>
      <c r="Q104" s="145"/>
      <c r="R104" s="109"/>
      <c r="S104" s="59"/>
    </row>
    <row r="105" spans="1:19" ht="17.25" customHeight="1">
      <c r="A105" s="14">
        <v>41836</v>
      </c>
      <c r="B105" s="23" t="s">
        <v>64</v>
      </c>
      <c r="C105" s="11">
        <v>41836</v>
      </c>
      <c r="D105" s="16" t="s">
        <v>44</v>
      </c>
      <c r="E105" s="12" t="s">
        <v>45</v>
      </c>
      <c r="F105" s="9">
        <v>550000000</v>
      </c>
      <c r="G105" s="19"/>
      <c r="H105" s="5">
        <f t="shared" si="13"/>
        <v>0</v>
      </c>
      <c r="I105" s="5">
        <f t="shared" si="14"/>
        <v>638012000</v>
      </c>
      <c r="J105" s="36">
        <f t="shared" si="12"/>
        <v>7</v>
      </c>
      <c r="K105" s="204"/>
      <c r="N105" s="91"/>
      <c r="O105" s="50"/>
      <c r="P105" s="53"/>
      <c r="Q105" s="145"/>
      <c r="R105" s="109"/>
      <c r="S105" s="59"/>
    </row>
    <row r="106" spans="1:19" ht="17.25" customHeight="1">
      <c r="A106" s="14">
        <v>41848</v>
      </c>
      <c r="B106" s="23" t="s">
        <v>70</v>
      </c>
      <c r="C106" s="11">
        <v>41848</v>
      </c>
      <c r="D106" s="16" t="s">
        <v>44</v>
      </c>
      <c r="E106" s="12" t="s">
        <v>45</v>
      </c>
      <c r="F106" s="9">
        <v>650000000</v>
      </c>
      <c r="G106" s="19"/>
      <c r="H106" s="5">
        <f t="shared" si="13"/>
        <v>11988000</v>
      </c>
      <c r="I106" s="5">
        <f t="shared" si="14"/>
        <v>0</v>
      </c>
      <c r="J106" s="36">
        <f t="shared" si="12"/>
        <v>7</v>
      </c>
      <c r="K106" s="204"/>
      <c r="N106" s="91"/>
      <c r="O106" s="50"/>
      <c r="P106" s="53"/>
      <c r="Q106" s="145"/>
      <c r="R106" s="109"/>
      <c r="S106" s="59"/>
    </row>
    <row r="107" spans="1:19" ht="17.25" customHeight="1">
      <c r="A107" s="14">
        <v>41882</v>
      </c>
      <c r="B107" s="23" t="s">
        <v>321</v>
      </c>
      <c r="C107" s="11">
        <v>41882</v>
      </c>
      <c r="D107" s="16" t="s">
        <v>29</v>
      </c>
      <c r="E107" s="12" t="s">
        <v>42</v>
      </c>
      <c r="F107" s="9"/>
      <c r="G107" s="19">
        <v>150652500</v>
      </c>
      <c r="H107" s="5">
        <f t="shared" si="13"/>
        <v>0</v>
      </c>
      <c r="I107" s="5">
        <f t="shared" si="14"/>
        <v>138664500</v>
      </c>
      <c r="J107" s="36">
        <f t="shared" si="12"/>
        <v>8</v>
      </c>
      <c r="K107" s="204" t="s">
        <v>370</v>
      </c>
      <c r="N107" s="91"/>
      <c r="O107" s="50"/>
      <c r="P107" s="53"/>
      <c r="Q107" s="145"/>
      <c r="R107" s="109"/>
      <c r="S107" s="59"/>
    </row>
    <row r="108" spans="1:19" ht="17.25" customHeight="1">
      <c r="A108" s="14">
        <v>41882</v>
      </c>
      <c r="B108" s="23" t="s">
        <v>321</v>
      </c>
      <c r="C108" s="11">
        <v>41882</v>
      </c>
      <c r="D108" s="16" t="s">
        <v>32</v>
      </c>
      <c r="E108" s="12" t="s">
        <v>42</v>
      </c>
      <c r="F108" s="9"/>
      <c r="G108" s="19">
        <v>158470000</v>
      </c>
      <c r="H108" s="5">
        <f t="shared" si="13"/>
        <v>0</v>
      </c>
      <c r="I108" s="5">
        <f t="shared" si="14"/>
        <v>297134500</v>
      </c>
      <c r="J108" s="36">
        <f t="shared" si="12"/>
        <v>8</v>
      </c>
      <c r="K108" s="204" t="s">
        <v>236</v>
      </c>
      <c r="N108" s="91"/>
      <c r="O108" s="50"/>
      <c r="P108" s="53"/>
      <c r="Q108" s="145"/>
      <c r="R108" s="109"/>
      <c r="S108" s="59"/>
    </row>
    <row r="109" spans="1:19" ht="17.25" customHeight="1">
      <c r="A109" s="14">
        <v>41882</v>
      </c>
      <c r="B109" s="23" t="s">
        <v>321</v>
      </c>
      <c r="C109" s="11">
        <v>41882</v>
      </c>
      <c r="D109" s="16" t="s">
        <v>51</v>
      </c>
      <c r="E109" s="12" t="s">
        <v>42</v>
      </c>
      <c r="F109" s="9"/>
      <c r="G109" s="19">
        <v>293090000</v>
      </c>
      <c r="H109" s="5">
        <f t="shared" si="13"/>
        <v>0</v>
      </c>
      <c r="I109" s="5">
        <f t="shared" si="14"/>
        <v>590224500</v>
      </c>
      <c r="J109" s="36">
        <f t="shared" si="12"/>
        <v>8</v>
      </c>
      <c r="K109" s="204" t="s">
        <v>371</v>
      </c>
      <c r="N109" s="91"/>
      <c r="O109" s="50"/>
      <c r="P109" s="53"/>
      <c r="Q109" s="145"/>
      <c r="R109" s="109"/>
      <c r="S109" s="59"/>
    </row>
    <row r="110" spans="1:19" ht="17.25" customHeight="1">
      <c r="A110" s="14">
        <v>41879</v>
      </c>
      <c r="B110" s="23" t="s">
        <v>60</v>
      </c>
      <c r="C110" s="11">
        <v>41879</v>
      </c>
      <c r="D110" s="16" t="s">
        <v>44</v>
      </c>
      <c r="E110" s="12" t="s">
        <v>45</v>
      </c>
      <c r="F110" s="9">
        <v>600000000</v>
      </c>
      <c r="G110" s="19"/>
      <c r="H110" s="5">
        <f t="shared" si="13"/>
        <v>9775500</v>
      </c>
      <c r="I110" s="5">
        <f t="shared" si="14"/>
        <v>0</v>
      </c>
      <c r="J110" s="36">
        <f t="shared" si="12"/>
        <v>8</v>
      </c>
      <c r="K110" s="204"/>
      <c r="N110" s="91"/>
      <c r="O110" s="50"/>
      <c r="P110" s="53"/>
      <c r="Q110" s="145"/>
      <c r="R110" s="109"/>
      <c r="S110" s="59"/>
    </row>
    <row r="111" spans="1:19" ht="17.25" customHeight="1">
      <c r="A111" s="14">
        <v>41912</v>
      </c>
      <c r="B111" s="23" t="s">
        <v>322</v>
      </c>
      <c r="C111" s="11">
        <v>41912</v>
      </c>
      <c r="D111" s="16" t="s">
        <v>41</v>
      </c>
      <c r="E111" s="12" t="s">
        <v>42</v>
      </c>
      <c r="F111" s="9"/>
      <c r="G111" s="19">
        <v>278092500</v>
      </c>
      <c r="H111" s="5">
        <f t="shared" si="13"/>
        <v>0</v>
      </c>
      <c r="I111" s="5">
        <f t="shared" si="14"/>
        <v>268317000</v>
      </c>
      <c r="J111" s="36">
        <f t="shared" si="12"/>
        <v>9</v>
      </c>
      <c r="K111" s="204" t="s">
        <v>372</v>
      </c>
      <c r="N111" s="91"/>
      <c r="O111" s="50"/>
      <c r="P111" s="53"/>
      <c r="Q111" s="145"/>
      <c r="R111" s="109"/>
      <c r="S111" s="59"/>
    </row>
    <row r="112" spans="1:19" ht="17.25" customHeight="1">
      <c r="A112" s="14">
        <v>41912</v>
      </c>
      <c r="B112" s="23" t="s">
        <v>322</v>
      </c>
      <c r="C112" s="11">
        <v>41912</v>
      </c>
      <c r="D112" s="16" t="s">
        <v>31</v>
      </c>
      <c r="E112" s="12" t="s">
        <v>42</v>
      </c>
      <c r="F112" s="9"/>
      <c r="G112" s="19">
        <v>130380000</v>
      </c>
      <c r="H112" s="5">
        <f t="shared" si="13"/>
        <v>0</v>
      </c>
      <c r="I112" s="5">
        <f t="shared" si="14"/>
        <v>398697000</v>
      </c>
      <c r="J112" s="36">
        <f t="shared" si="12"/>
        <v>9</v>
      </c>
      <c r="K112" s="204" t="s">
        <v>240</v>
      </c>
      <c r="N112" s="91"/>
      <c r="O112" s="50"/>
      <c r="P112" s="53"/>
      <c r="Q112" s="145"/>
      <c r="R112" s="109"/>
      <c r="S112" s="59"/>
    </row>
    <row r="113" spans="1:19" ht="17.25" customHeight="1">
      <c r="A113" s="14">
        <v>41912</v>
      </c>
      <c r="B113" s="23" t="s">
        <v>322</v>
      </c>
      <c r="C113" s="11">
        <v>41912</v>
      </c>
      <c r="D113" s="16" t="s">
        <v>40</v>
      </c>
      <c r="E113" s="12" t="s">
        <v>42</v>
      </c>
      <c r="F113" s="9"/>
      <c r="G113" s="19">
        <v>288460000</v>
      </c>
      <c r="H113" s="5">
        <f t="shared" si="13"/>
        <v>0</v>
      </c>
      <c r="I113" s="5">
        <f t="shared" si="14"/>
        <v>687157000</v>
      </c>
      <c r="J113" s="36">
        <f t="shared" si="12"/>
        <v>9</v>
      </c>
      <c r="K113" s="204" t="s">
        <v>373</v>
      </c>
      <c r="N113" s="91"/>
      <c r="O113" s="50"/>
      <c r="P113" s="53"/>
      <c r="Q113" s="145"/>
      <c r="R113" s="109"/>
      <c r="S113" s="59"/>
    </row>
    <row r="114" spans="1:19" ht="17.25" customHeight="1">
      <c r="A114" s="14">
        <v>41912</v>
      </c>
      <c r="B114" s="23" t="s">
        <v>322</v>
      </c>
      <c r="C114" s="11">
        <v>41912</v>
      </c>
      <c r="D114" s="16" t="s">
        <v>32</v>
      </c>
      <c r="E114" s="12" t="s">
        <v>42</v>
      </c>
      <c r="F114" s="9"/>
      <c r="G114" s="19">
        <v>119780000</v>
      </c>
      <c r="H114" s="5">
        <f t="shared" si="13"/>
        <v>0</v>
      </c>
      <c r="I114" s="5">
        <f t="shared" si="14"/>
        <v>806937000</v>
      </c>
      <c r="J114" s="36">
        <f t="shared" si="12"/>
        <v>9</v>
      </c>
      <c r="K114" s="204" t="s">
        <v>264</v>
      </c>
      <c r="N114" s="91"/>
      <c r="O114" s="50"/>
      <c r="P114" s="53"/>
      <c r="Q114" s="145"/>
      <c r="R114" s="109"/>
      <c r="S114" s="59"/>
    </row>
    <row r="115" spans="1:19" ht="17.25" customHeight="1">
      <c r="A115" s="14">
        <v>41912</v>
      </c>
      <c r="B115" s="23" t="s">
        <v>322</v>
      </c>
      <c r="C115" s="11">
        <v>41912</v>
      </c>
      <c r="D115" s="16" t="s">
        <v>37</v>
      </c>
      <c r="E115" s="12" t="s">
        <v>42</v>
      </c>
      <c r="F115" s="9"/>
      <c r="G115" s="19">
        <v>136757500</v>
      </c>
      <c r="H115" s="5">
        <f t="shared" si="13"/>
        <v>0</v>
      </c>
      <c r="I115" s="5">
        <f t="shared" si="14"/>
        <v>943694500</v>
      </c>
      <c r="J115" s="36">
        <f t="shared" si="12"/>
        <v>9</v>
      </c>
      <c r="K115" s="204" t="s">
        <v>374</v>
      </c>
      <c r="N115" s="91"/>
      <c r="O115" s="50"/>
      <c r="P115" s="53"/>
      <c r="Q115" s="145"/>
      <c r="R115" s="109"/>
      <c r="S115" s="59"/>
    </row>
    <row r="116" spans="1:19" ht="17.25" customHeight="1">
      <c r="A116" s="14">
        <v>41912</v>
      </c>
      <c r="B116" s="23" t="s">
        <v>322</v>
      </c>
      <c r="C116" s="11">
        <v>41912</v>
      </c>
      <c r="D116" s="16" t="s">
        <v>38</v>
      </c>
      <c r="E116" s="12" t="s">
        <v>42</v>
      </c>
      <c r="F116" s="9"/>
      <c r="G116" s="19">
        <v>138792500</v>
      </c>
      <c r="H116" s="5">
        <f t="shared" si="13"/>
        <v>0</v>
      </c>
      <c r="I116" s="5">
        <f t="shared" si="14"/>
        <v>1082487000</v>
      </c>
      <c r="J116" s="36">
        <f t="shared" si="12"/>
        <v>9</v>
      </c>
      <c r="K116" s="204" t="s">
        <v>341</v>
      </c>
      <c r="N116" s="91"/>
      <c r="O116" s="50"/>
      <c r="P116" s="53"/>
      <c r="Q116" s="145"/>
      <c r="R116" s="109"/>
      <c r="S116" s="59"/>
    </row>
    <row r="117" spans="1:19" ht="17.25" customHeight="1">
      <c r="A117" s="14">
        <v>41912</v>
      </c>
      <c r="B117" s="23" t="s">
        <v>322</v>
      </c>
      <c r="C117" s="11">
        <v>41912</v>
      </c>
      <c r="D117" s="16" t="s">
        <v>51</v>
      </c>
      <c r="E117" s="12" t="s">
        <v>42</v>
      </c>
      <c r="F117" s="9"/>
      <c r="G117" s="19">
        <v>107590000</v>
      </c>
      <c r="H117" s="5">
        <f t="shared" si="13"/>
        <v>0</v>
      </c>
      <c r="I117" s="5">
        <f t="shared" si="14"/>
        <v>1190077000</v>
      </c>
      <c r="J117" s="36">
        <f t="shared" si="12"/>
        <v>9</v>
      </c>
      <c r="K117" s="204" t="s">
        <v>265</v>
      </c>
      <c r="N117" s="91"/>
      <c r="O117" s="50"/>
      <c r="P117" s="53"/>
      <c r="Q117" s="145"/>
      <c r="R117" s="109"/>
      <c r="S117" s="59"/>
    </row>
    <row r="118" spans="1:19" ht="17.25" customHeight="1">
      <c r="A118" s="14">
        <v>41897</v>
      </c>
      <c r="B118" s="23" t="s">
        <v>182</v>
      </c>
      <c r="C118" s="11">
        <v>41897</v>
      </c>
      <c r="D118" s="16" t="s">
        <v>44</v>
      </c>
      <c r="E118" s="12" t="s">
        <v>45</v>
      </c>
      <c r="F118" s="9">
        <v>550000000</v>
      </c>
      <c r="G118" s="19"/>
      <c r="H118" s="5">
        <f t="shared" si="13"/>
        <v>0</v>
      </c>
      <c r="I118" s="5">
        <f t="shared" si="14"/>
        <v>640077000</v>
      </c>
      <c r="J118" s="36">
        <f t="shared" si="12"/>
        <v>9</v>
      </c>
      <c r="K118" s="204"/>
      <c r="N118" s="91"/>
      <c r="O118" s="50"/>
      <c r="P118" s="53"/>
      <c r="Q118" s="145"/>
      <c r="R118" s="109"/>
      <c r="S118" s="59"/>
    </row>
    <row r="119" spans="1:19" ht="17.25" customHeight="1">
      <c r="A119" s="14">
        <v>41910</v>
      </c>
      <c r="B119" s="23" t="s">
        <v>58</v>
      </c>
      <c r="C119" s="11">
        <v>41910</v>
      </c>
      <c r="D119" s="16" t="s">
        <v>44</v>
      </c>
      <c r="E119" s="12" t="s">
        <v>45</v>
      </c>
      <c r="F119" s="9">
        <v>650000000</v>
      </c>
      <c r="G119" s="19"/>
      <c r="H119" s="5">
        <f t="shared" si="13"/>
        <v>9923000</v>
      </c>
      <c r="I119" s="5">
        <f t="shared" si="14"/>
        <v>0</v>
      </c>
      <c r="J119" s="36">
        <f t="shared" si="12"/>
        <v>9</v>
      </c>
      <c r="K119" s="204"/>
      <c r="N119" s="91"/>
      <c r="O119" s="50"/>
      <c r="P119" s="53"/>
      <c r="Q119" s="145"/>
      <c r="R119" s="109"/>
      <c r="S119" s="59"/>
    </row>
    <row r="120" spans="1:19" ht="17.25" customHeight="1">
      <c r="A120" s="14">
        <v>41943</v>
      </c>
      <c r="B120" s="23" t="s">
        <v>323</v>
      </c>
      <c r="C120" s="11">
        <v>41943</v>
      </c>
      <c r="D120" s="16" t="s">
        <v>41</v>
      </c>
      <c r="E120" s="12" t="s">
        <v>42</v>
      </c>
      <c r="F120" s="9"/>
      <c r="G120" s="19">
        <v>164175000</v>
      </c>
      <c r="H120" s="5">
        <f t="shared" si="13"/>
        <v>0</v>
      </c>
      <c r="I120" s="5">
        <f t="shared" si="14"/>
        <v>154252000</v>
      </c>
      <c r="J120" s="36">
        <f t="shared" si="12"/>
        <v>10</v>
      </c>
      <c r="K120" s="204" t="s">
        <v>316</v>
      </c>
      <c r="N120" s="91"/>
      <c r="O120" s="50"/>
      <c r="P120" s="53"/>
      <c r="Q120" s="145"/>
      <c r="R120" s="109"/>
      <c r="S120" s="59"/>
    </row>
    <row r="121" spans="1:19" ht="17.25" customHeight="1">
      <c r="A121" s="14">
        <v>41943</v>
      </c>
      <c r="B121" s="23" t="s">
        <v>323</v>
      </c>
      <c r="C121" s="11">
        <v>41943</v>
      </c>
      <c r="D121" s="16" t="s">
        <v>162</v>
      </c>
      <c r="E121" s="12" t="s">
        <v>42</v>
      </c>
      <c r="F121" s="9"/>
      <c r="G121" s="19">
        <v>87771000</v>
      </c>
      <c r="H121" s="5">
        <f t="shared" si="13"/>
        <v>0</v>
      </c>
      <c r="I121" s="5">
        <f t="shared" si="14"/>
        <v>242023000</v>
      </c>
      <c r="J121" s="36">
        <f t="shared" si="12"/>
        <v>10</v>
      </c>
      <c r="K121" s="204" t="s">
        <v>269</v>
      </c>
      <c r="N121" s="91"/>
      <c r="O121" s="50"/>
      <c r="P121" s="53"/>
      <c r="Q121" s="145"/>
      <c r="R121" s="109"/>
      <c r="S121" s="59"/>
    </row>
    <row r="122" spans="1:19" ht="17.25" customHeight="1">
      <c r="A122" s="14">
        <v>41943</v>
      </c>
      <c r="B122" s="23" t="s">
        <v>323</v>
      </c>
      <c r="C122" s="11">
        <v>41943</v>
      </c>
      <c r="D122" s="16" t="s">
        <v>161</v>
      </c>
      <c r="E122" s="12" t="s">
        <v>42</v>
      </c>
      <c r="F122" s="9"/>
      <c r="G122" s="19">
        <v>92956000</v>
      </c>
      <c r="H122" s="5">
        <f t="shared" si="13"/>
        <v>0</v>
      </c>
      <c r="I122" s="5">
        <f t="shared" si="14"/>
        <v>334979000</v>
      </c>
      <c r="J122" s="36">
        <f t="shared" si="12"/>
        <v>10</v>
      </c>
      <c r="K122" s="204" t="s">
        <v>250</v>
      </c>
      <c r="N122" s="91"/>
      <c r="O122" s="50"/>
      <c r="P122" s="53"/>
      <c r="Q122" s="145"/>
      <c r="R122" s="109"/>
      <c r="S122" s="59"/>
    </row>
    <row r="123" spans="1:19" ht="17.25" customHeight="1">
      <c r="A123" s="14">
        <v>41943</v>
      </c>
      <c r="B123" s="23" t="s">
        <v>323</v>
      </c>
      <c r="C123" s="11">
        <v>41943</v>
      </c>
      <c r="D123" s="16" t="s">
        <v>140</v>
      </c>
      <c r="E123" s="12" t="s">
        <v>42</v>
      </c>
      <c r="F123" s="9"/>
      <c r="G123" s="19">
        <v>101439000</v>
      </c>
      <c r="H123" s="5">
        <f t="shared" si="13"/>
        <v>0</v>
      </c>
      <c r="I123" s="5">
        <f t="shared" si="14"/>
        <v>436418000</v>
      </c>
      <c r="J123" s="36">
        <f t="shared" si="12"/>
        <v>10</v>
      </c>
      <c r="K123" s="204" t="s">
        <v>260</v>
      </c>
      <c r="N123" s="91"/>
      <c r="O123" s="50"/>
      <c r="P123" s="53"/>
      <c r="Q123" s="145"/>
      <c r="R123" s="109"/>
      <c r="S123" s="59"/>
    </row>
    <row r="124" spans="1:19" ht="17.25" customHeight="1">
      <c r="A124" s="14">
        <v>41943</v>
      </c>
      <c r="B124" s="23" t="s">
        <v>323</v>
      </c>
      <c r="C124" s="11">
        <v>41943</v>
      </c>
      <c r="D124" s="16" t="s">
        <v>317</v>
      </c>
      <c r="E124" s="12" t="s">
        <v>42</v>
      </c>
      <c r="F124" s="9"/>
      <c r="G124" s="19">
        <v>192440000</v>
      </c>
      <c r="H124" s="5">
        <f t="shared" si="13"/>
        <v>0</v>
      </c>
      <c r="I124" s="5">
        <f t="shared" si="14"/>
        <v>628858000</v>
      </c>
      <c r="J124" s="36">
        <f t="shared" si="12"/>
        <v>10</v>
      </c>
      <c r="K124" s="204" t="s">
        <v>375</v>
      </c>
      <c r="N124" s="91"/>
      <c r="O124" s="50"/>
      <c r="P124" s="53"/>
      <c r="Q124" s="145"/>
      <c r="R124" s="109"/>
      <c r="S124" s="59"/>
    </row>
    <row r="125" spans="1:19" ht="17.25" customHeight="1">
      <c r="A125" s="14">
        <v>41943</v>
      </c>
      <c r="B125" s="23" t="s">
        <v>323</v>
      </c>
      <c r="C125" s="11">
        <v>41943</v>
      </c>
      <c r="D125" s="16" t="s">
        <v>318</v>
      </c>
      <c r="E125" s="12" t="s">
        <v>42</v>
      </c>
      <c r="F125" s="9"/>
      <c r="G125" s="19">
        <v>156740000</v>
      </c>
      <c r="H125" s="5">
        <f t="shared" si="13"/>
        <v>0</v>
      </c>
      <c r="I125" s="5">
        <f t="shared" si="14"/>
        <v>785598000</v>
      </c>
      <c r="J125" s="36">
        <f t="shared" si="12"/>
        <v>10</v>
      </c>
      <c r="K125" s="204" t="s">
        <v>376</v>
      </c>
      <c r="N125" s="91"/>
      <c r="O125" s="50"/>
      <c r="P125" s="53"/>
      <c r="Q125" s="145"/>
      <c r="R125" s="109"/>
      <c r="S125" s="59"/>
    </row>
    <row r="126" spans="1:19" ht="17.25" customHeight="1">
      <c r="A126" s="14">
        <v>41943</v>
      </c>
      <c r="B126" s="23" t="s">
        <v>323</v>
      </c>
      <c r="C126" s="11">
        <v>41943</v>
      </c>
      <c r="D126" s="16" t="s">
        <v>37</v>
      </c>
      <c r="E126" s="12" t="s">
        <v>42</v>
      </c>
      <c r="F126" s="9"/>
      <c r="G126" s="19">
        <v>172892500</v>
      </c>
      <c r="H126" s="5">
        <f t="shared" si="13"/>
        <v>0</v>
      </c>
      <c r="I126" s="5">
        <f t="shared" si="14"/>
        <v>958490500</v>
      </c>
      <c r="J126" s="36">
        <f t="shared" si="12"/>
        <v>10</v>
      </c>
      <c r="K126" s="204" t="s">
        <v>253</v>
      </c>
      <c r="N126" s="91"/>
      <c r="O126" s="50"/>
      <c r="P126" s="53"/>
      <c r="Q126" s="145"/>
      <c r="R126" s="109"/>
      <c r="S126" s="59"/>
    </row>
    <row r="127" spans="1:19" ht="17.25" customHeight="1">
      <c r="A127" s="14">
        <v>41943</v>
      </c>
      <c r="B127" s="23" t="s">
        <v>323</v>
      </c>
      <c r="C127" s="11">
        <v>41943</v>
      </c>
      <c r="D127" s="16" t="s">
        <v>141</v>
      </c>
      <c r="E127" s="12" t="s">
        <v>42</v>
      </c>
      <c r="F127" s="9"/>
      <c r="G127" s="19">
        <v>191454000</v>
      </c>
      <c r="H127" s="5">
        <f t="shared" si="13"/>
        <v>0</v>
      </c>
      <c r="I127" s="5">
        <f t="shared" si="14"/>
        <v>1149944500</v>
      </c>
      <c r="J127" s="36">
        <f t="shared" si="12"/>
        <v>10</v>
      </c>
      <c r="K127" s="204" t="s">
        <v>377</v>
      </c>
      <c r="N127" s="91"/>
      <c r="O127" s="50"/>
      <c r="P127" s="53"/>
      <c r="Q127" s="145"/>
      <c r="R127" s="109"/>
      <c r="S127" s="59"/>
    </row>
    <row r="128" spans="1:19" ht="17.25" customHeight="1">
      <c r="A128" s="14">
        <v>41922</v>
      </c>
      <c r="B128" s="23" t="s">
        <v>143</v>
      </c>
      <c r="C128" s="11">
        <v>41922</v>
      </c>
      <c r="D128" s="16" t="s">
        <v>44</v>
      </c>
      <c r="E128" s="12" t="s">
        <v>45</v>
      </c>
      <c r="F128" s="9">
        <v>550000000</v>
      </c>
      <c r="G128" s="19"/>
      <c r="H128" s="5">
        <f t="shared" si="13"/>
        <v>0</v>
      </c>
      <c r="I128" s="5">
        <f t="shared" si="14"/>
        <v>599944500</v>
      </c>
      <c r="J128" s="36">
        <f t="shared" si="12"/>
        <v>10</v>
      </c>
      <c r="K128" s="204"/>
      <c r="N128" s="91"/>
      <c r="O128" s="50"/>
      <c r="P128" s="53"/>
      <c r="Q128" s="145"/>
      <c r="R128" s="109"/>
      <c r="S128" s="59"/>
    </row>
    <row r="129" spans="1:19" ht="17.25" customHeight="1">
      <c r="A129" s="14">
        <v>41939</v>
      </c>
      <c r="B129" s="23" t="s">
        <v>67</v>
      </c>
      <c r="C129" s="11">
        <v>41939</v>
      </c>
      <c r="D129" s="16" t="s">
        <v>44</v>
      </c>
      <c r="E129" s="12" t="s">
        <v>45</v>
      </c>
      <c r="F129" s="9">
        <v>600000000</v>
      </c>
      <c r="G129" s="19"/>
      <c r="H129" s="5">
        <f t="shared" si="13"/>
        <v>55500</v>
      </c>
      <c r="I129" s="5">
        <f t="shared" si="14"/>
        <v>0</v>
      </c>
      <c r="J129" s="36">
        <f t="shared" si="12"/>
        <v>10</v>
      </c>
      <c r="K129" s="204"/>
      <c r="N129" s="91"/>
      <c r="O129" s="50"/>
      <c r="P129" s="53"/>
      <c r="Q129" s="145"/>
      <c r="R129" s="109"/>
      <c r="S129" s="59"/>
    </row>
    <row r="130" spans="1:19" ht="17.25" customHeight="1">
      <c r="A130" s="14">
        <v>41973</v>
      </c>
      <c r="B130" s="23" t="s">
        <v>324</v>
      </c>
      <c r="C130" s="11">
        <v>41973</v>
      </c>
      <c r="D130" s="16" t="s">
        <v>41</v>
      </c>
      <c r="E130" s="12" t="s">
        <v>42</v>
      </c>
      <c r="F130" s="9"/>
      <c r="G130" s="19">
        <v>293151000</v>
      </c>
      <c r="H130" s="5">
        <f t="shared" si="13"/>
        <v>0</v>
      </c>
      <c r="I130" s="5">
        <f t="shared" si="14"/>
        <v>293095500</v>
      </c>
      <c r="J130" s="36">
        <f t="shared" si="12"/>
        <v>11</v>
      </c>
      <c r="K130" s="204" t="s">
        <v>378</v>
      </c>
      <c r="N130" s="91"/>
      <c r="O130" s="50"/>
      <c r="P130" s="53"/>
      <c r="Q130" s="145"/>
      <c r="R130" s="109"/>
      <c r="S130" s="59"/>
    </row>
    <row r="131" spans="1:19" ht="17.25" customHeight="1">
      <c r="A131" s="14">
        <v>41973</v>
      </c>
      <c r="B131" s="23" t="s">
        <v>324</v>
      </c>
      <c r="C131" s="11">
        <v>41973</v>
      </c>
      <c r="D131" s="16" t="s">
        <v>29</v>
      </c>
      <c r="E131" s="12" t="s">
        <v>42</v>
      </c>
      <c r="F131" s="9"/>
      <c r="G131" s="19">
        <v>178365000</v>
      </c>
      <c r="H131" s="5">
        <f t="shared" si="13"/>
        <v>0</v>
      </c>
      <c r="I131" s="5">
        <f t="shared" si="14"/>
        <v>471460500</v>
      </c>
      <c r="J131" s="36">
        <f t="shared" si="12"/>
        <v>11</v>
      </c>
      <c r="K131" s="204" t="s">
        <v>370</v>
      </c>
      <c r="N131" s="91"/>
      <c r="O131" s="50"/>
      <c r="P131" s="53"/>
      <c r="Q131" s="145"/>
      <c r="R131" s="109"/>
      <c r="S131" s="59"/>
    </row>
    <row r="132" spans="1:19" ht="17.25" customHeight="1">
      <c r="A132" s="14">
        <v>41973</v>
      </c>
      <c r="B132" s="23" t="s">
        <v>324</v>
      </c>
      <c r="C132" s="11">
        <v>41973</v>
      </c>
      <c r="D132" s="16" t="s">
        <v>31</v>
      </c>
      <c r="E132" s="12" t="s">
        <v>42</v>
      </c>
      <c r="F132" s="9"/>
      <c r="G132" s="19">
        <v>188100000</v>
      </c>
      <c r="H132" s="5">
        <f t="shared" si="13"/>
        <v>0</v>
      </c>
      <c r="I132" s="5">
        <f t="shared" si="14"/>
        <v>659560500</v>
      </c>
      <c r="J132" s="36">
        <f t="shared" si="12"/>
        <v>11</v>
      </c>
      <c r="K132" s="204" t="s">
        <v>204</v>
      </c>
      <c r="N132" s="91"/>
      <c r="O132" s="50"/>
      <c r="P132" s="53"/>
      <c r="Q132" s="145"/>
      <c r="R132" s="109"/>
      <c r="S132" s="59"/>
    </row>
    <row r="133" spans="1:19" ht="17.25" customHeight="1">
      <c r="A133" s="14">
        <v>41973</v>
      </c>
      <c r="B133" s="23" t="s">
        <v>324</v>
      </c>
      <c r="C133" s="11">
        <v>41973</v>
      </c>
      <c r="D133" s="16" t="s">
        <v>40</v>
      </c>
      <c r="E133" s="12" t="s">
        <v>42</v>
      </c>
      <c r="F133" s="9"/>
      <c r="G133" s="19">
        <v>118845000</v>
      </c>
      <c r="H133" s="5">
        <f t="shared" si="13"/>
        <v>0</v>
      </c>
      <c r="I133" s="5">
        <f t="shared" si="14"/>
        <v>778405500</v>
      </c>
      <c r="J133" s="36">
        <f t="shared" si="12"/>
        <v>11</v>
      </c>
      <c r="K133" s="204" t="s">
        <v>224</v>
      </c>
      <c r="N133" s="91"/>
      <c r="O133" s="50"/>
      <c r="P133" s="53"/>
      <c r="Q133" s="145"/>
      <c r="R133" s="109"/>
      <c r="S133" s="59"/>
    </row>
    <row r="134" spans="1:19" ht="17.25" customHeight="1">
      <c r="A134" s="14">
        <v>41973</v>
      </c>
      <c r="B134" s="23" t="s">
        <v>324</v>
      </c>
      <c r="C134" s="11">
        <v>41973</v>
      </c>
      <c r="D134" s="16" t="s">
        <v>32</v>
      </c>
      <c r="E134" s="12" t="s">
        <v>42</v>
      </c>
      <c r="F134" s="9"/>
      <c r="G134" s="19">
        <v>384175000</v>
      </c>
      <c r="H134" s="5">
        <f t="shared" si="13"/>
        <v>0</v>
      </c>
      <c r="I134" s="5">
        <f t="shared" si="14"/>
        <v>1162580500</v>
      </c>
      <c r="J134" s="36">
        <f t="shared" si="12"/>
        <v>11</v>
      </c>
      <c r="K134" s="204" t="s">
        <v>379</v>
      </c>
      <c r="N134" s="91"/>
      <c r="O134" s="50"/>
      <c r="P134" s="53"/>
      <c r="Q134" s="145"/>
      <c r="R134" s="109"/>
      <c r="S134" s="59"/>
    </row>
    <row r="135" spans="1:19" ht="17.25" customHeight="1">
      <c r="A135" s="14">
        <v>41973</v>
      </c>
      <c r="B135" s="23" t="s">
        <v>324</v>
      </c>
      <c r="C135" s="11">
        <v>41973</v>
      </c>
      <c r="D135" s="16" t="s">
        <v>37</v>
      </c>
      <c r="E135" s="12" t="s">
        <v>42</v>
      </c>
      <c r="F135" s="9"/>
      <c r="G135" s="19">
        <v>285085500</v>
      </c>
      <c r="H135" s="5">
        <f t="shared" si="13"/>
        <v>0</v>
      </c>
      <c r="I135" s="5">
        <f t="shared" si="14"/>
        <v>1447666000</v>
      </c>
      <c r="J135" s="36">
        <f t="shared" si="12"/>
        <v>11</v>
      </c>
      <c r="K135" s="204" t="s">
        <v>380</v>
      </c>
      <c r="N135" s="91"/>
      <c r="O135" s="50"/>
      <c r="P135" s="53"/>
      <c r="Q135" s="145"/>
      <c r="R135" s="109"/>
      <c r="S135" s="59"/>
    </row>
    <row r="136" spans="1:19" ht="17.25" customHeight="1">
      <c r="A136" s="14">
        <v>41973</v>
      </c>
      <c r="B136" s="23" t="s">
        <v>324</v>
      </c>
      <c r="C136" s="11">
        <v>41973</v>
      </c>
      <c r="D136" s="16" t="s">
        <v>38</v>
      </c>
      <c r="E136" s="12" t="s">
        <v>42</v>
      </c>
      <c r="F136" s="9"/>
      <c r="G136" s="19">
        <v>126369000</v>
      </c>
      <c r="H136" s="5">
        <f t="shared" si="13"/>
        <v>0</v>
      </c>
      <c r="I136" s="5">
        <f t="shared" si="14"/>
        <v>1574035000</v>
      </c>
      <c r="J136" s="36">
        <f t="shared" si="12"/>
        <v>11</v>
      </c>
      <c r="K136" s="204" t="s">
        <v>374</v>
      </c>
      <c r="N136" s="91"/>
      <c r="O136" s="50"/>
      <c r="P136" s="53"/>
      <c r="Q136" s="145"/>
      <c r="R136" s="109"/>
      <c r="S136" s="59"/>
    </row>
    <row r="137" spans="1:19" ht="17.25" customHeight="1">
      <c r="A137" s="14">
        <v>41973</v>
      </c>
      <c r="B137" s="23" t="s">
        <v>324</v>
      </c>
      <c r="C137" s="11">
        <v>41973</v>
      </c>
      <c r="D137" s="16" t="s">
        <v>51</v>
      </c>
      <c r="E137" s="12" t="s">
        <v>42</v>
      </c>
      <c r="F137" s="9"/>
      <c r="G137" s="19">
        <v>548735000</v>
      </c>
      <c r="H137" s="5">
        <f t="shared" si="13"/>
        <v>0</v>
      </c>
      <c r="I137" s="5">
        <f t="shared" si="14"/>
        <v>2122770000</v>
      </c>
      <c r="J137" s="36">
        <f t="shared" si="12"/>
        <v>11</v>
      </c>
      <c r="K137" s="204" t="s">
        <v>381</v>
      </c>
      <c r="N137" s="91"/>
      <c r="O137" s="50"/>
      <c r="P137" s="53"/>
      <c r="Q137" s="145"/>
      <c r="R137" s="109"/>
      <c r="S137" s="59"/>
    </row>
    <row r="138" spans="1:19" ht="17.25" customHeight="1">
      <c r="A138" s="14">
        <v>41946</v>
      </c>
      <c r="B138" s="23" t="s">
        <v>158</v>
      </c>
      <c r="C138" s="11">
        <v>41946</v>
      </c>
      <c r="D138" s="16" t="s">
        <v>44</v>
      </c>
      <c r="E138" s="12" t="s">
        <v>45</v>
      </c>
      <c r="F138" s="9">
        <v>550000000</v>
      </c>
      <c r="G138" s="19"/>
      <c r="H138" s="5">
        <f t="shared" si="13"/>
        <v>0</v>
      </c>
      <c r="I138" s="5">
        <f t="shared" si="14"/>
        <v>1572770000</v>
      </c>
      <c r="J138" s="36">
        <f t="shared" si="12"/>
        <v>11</v>
      </c>
      <c r="K138" s="204"/>
      <c r="N138" s="91"/>
      <c r="O138" s="50"/>
      <c r="P138" s="53"/>
      <c r="Q138" s="145"/>
      <c r="R138" s="109"/>
      <c r="S138" s="59"/>
    </row>
    <row r="139" spans="1:19" ht="17.25" customHeight="1">
      <c r="A139" s="14">
        <v>41953</v>
      </c>
      <c r="B139" s="23" t="s">
        <v>59</v>
      </c>
      <c r="C139" s="11">
        <v>41953</v>
      </c>
      <c r="D139" s="16" t="s">
        <v>44</v>
      </c>
      <c r="E139" s="12" t="s">
        <v>45</v>
      </c>
      <c r="F139" s="9">
        <v>550000000</v>
      </c>
      <c r="G139" s="19"/>
      <c r="H139" s="5">
        <f t="shared" si="13"/>
        <v>0</v>
      </c>
      <c r="I139" s="5">
        <f t="shared" si="14"/>
        <v>1022770000</v>
      </c>
      <c r="J139" s="36">
        <f t="shared" si="12"/>
        <v>11</v>
      </c>
      <c r="K139" s="204"/>
      <c r="N139" s="91"/>
      <c r="O139" s="50"/>
      <c r="P139" s="53"/>
      <c r="Q139" s="145"/>
      <c r="R139" s="109"/>
      <c r="S139" s="59"/>
    </row>
    <row r="140" spans="1:19" ht="17.25" customHeight="1">
      <c r="A140" s="14">
        <v>41962</v>
      </c>
      <c r="B140" s="23" t="s">
        <v>178</v>
      </c>
      <c r="C140" s="11">
        <v>41962</v>
      </c>
      <c r="D140" s="16" t="s">
        <v>44</v>
      </c>
      <c r="E140" s="12" t="s">
        <v>45</v>
      </c>
      <c r="F140" s="9">
        <v>550000000</v>
      </c>
      <c r="G140" s="19"/>
      <c r="H140" s="5">
        <f t="shared" si="13"/>
        <v>0</v>
      </c>
      <c r="I140" s="5">
        <f t="shared" si="14"/>
        <v>472770000</v>
      </c>
      <c r="J140" s="36">
        <f t="shared" si="12"/>
        <v>11</v>
      </c>
      <c r="K140" s="204"/>
      <c r="N140" s="91"/>
      <c r="O140" s="50"/>
      <c r="P140" s="53"/>
      <c r="Q140" s="145"/>
      <c r="R140" s="109"/>
      <c r="S140" s="59"/>
    </row>
    <row r="141" spans="1:19" ht="17.25" customHeight="1">
      <c r="A141" s="14">
        <v>41970</v>
      </c>
      <c r="B141" s="23" t="s">
        <v>180</v>
      </c>
      <c r="C141" s="11">
        <v>41970</v>
      </c>
      <c r="D141" s="16" t="s">
        <v>44</v>
      </c>
      <c r="E141" s="12" t="s">
        <v>45</v>
      </c>
      <c r="F141" s="9">
        <v>500000000</v>
      </c>
      <c r="G141" s="19"/>
      <c r="H141" s="5">
        <f t="shared" si="13"/>
        <v>27230000</v>
      </c>
      <c r="I141" s="5">
        <f t="shared" si="14"/>
        <v>0</v>
      </c>
      <c r="J141" s="36">
        <f t="shared" si="12"/>
        <v>11</v>
      </c>
      <c r="K141" s="204"/>
      <c r="N141" s="91"/>
      <c r="O141" s="50"/>
      <c r="P141" s="53"/>
      <c r="Q141" s="145"/>
      <c r="R141" s="109"/>
      <c r="S141" s="59"/>
    </row>
    <row r="142" spans="1:19" ht="17.25" customHeight="1">
      <c r="A142" s="14">
        <v>42004</v>
      </c>
      <c r="B142" s="23" t="s">
        <v>325</v>
      </c>
      <c r="C142" s="11">
        <v>42004</v>
      </c>
      <c r="D142" s="16" t="s">
        <v>29</v>
      </c>
      <c r="E142" s="12" t="s">
        <v>42</v>
      </c>
      <c r="F142" s="9"/>
      <c r="G142" s="19">
        <v>499790000</v>
      </c>
      <c r="H142" s="5">
        <f t="shared" si="13"/>
        <v>0</v>
      </c>
      <c r="I142" s="5">
        <f t="shared" si="14"/>
        <v>472560000</v>
      </c>
      <c r="J142" s="36">
        <f t="shared" si="12"/>
        <v>12</v>
      </c>
      <c r="K142" s="204" t="s">
        <v>382</v>
      </c>
      <c r="N142" s="91"/>
      <c r="O142" s="50"/>
      <c r="P142" s="53"/>
      <c r="Q142" s="145"/>
      <c r="R142" s="109"/>
      <c r="S142" s="59"/>
    </row>
    <row r="143" spans="1:19" ht="17.25" customHeight="1">
      <c r="A143" s="14">
        <v>42004</v>
      </c>
      <c r="B143" s="23" t="s">
        <v>325</v>
      </c>
      <c r="C143" s="11">
        <v>42004</v>
      </c>
      <c r="D143" s="16" t="s">
        <v>31</v>
      </c>
      <c r="E143" s="12" t="s">
        <v>42</v>
      </c>
      <c r="F143" s="9"/>
      <c r="G143" s="19">
        <v>521864500</v>
      </c>
      <c r="H143" s="5">
        <f t="shared" si="13"/>
        <v>0</v>
      </c>
      <c r="I143" s="5">
        <f t="shared" si="14"/>
        <v>994424500</v>
      </c>
      <c r="J143" s="36">
        <f t="shared" si="12"/>
        <v>12</v>
      </c>
      <c r="K143" s="204" t="s">
        <v>383</v>
      </c>
      <c r="N143" s="91"/>
      <c r="O143" s="50"/>
      <c r="P143" s="53"/>
      <c r="Q143" s="145"/>
      <c r="R143" s="109"/>
      <c r="S143" s="59"/>
    </row>
    <row r="144" spans="1:19" ht="17.25" customHeight="1">
      <c r="A144" s="14">
        <v>42004</v>
      </c>
      <c r="B144" s="23" t="s">
        <v>325</v>
      </c>
      <c r="C144" s="11">
        <v>42004</v>
      </c>
      <c r="D144" s="16" t="s">
        <v>40</v>
      </c>
      <c r="E144" s="12" t="s">
        <v>42</v>
      </c>
      <c r="F144" s="9"/>
      <c r="G144" s="19">
        <v>154180000</v>
      </c>
      <c r="H144" s="5">
        <f t="shared" si="13"/>
        <v>0</v>
      </c>
      <c r="I144" s="5">
        <f t="shared" si="14"/>
        <v>1148604500</v>
      </c>
      <c r="J144" s="36">
        <f t="shared" si="12"/>
        <v>12</v>
      </c>
      <c r="K144" s="204" t="s">
        <v>384</v>
      </c>
      <c r="N144" s="91"/>
      <c r="O144" s="50"/>
      <c r="P144" s="53"/>
      <c r="Q144" s="145"/>
      <c r="R144" s="109"/>
      <c r="S144" s="59"/>
    </row>
    <row r="145" spans="1:19" ht="17.25" customHeight="1">
      <c r="A145" s="14">
        <v>42004</v>
      </c>
      <c r="B145" s="23" t="s">
        <v>325</v>
      </c>
      <c r="C145" s="11">
        <v>42004</v>
      </c>
      <c r="D145" s="16" t="s">
        <v>32</v>
      </c>
      <c r="E145" s="12" t="s">
        <v>42</v>
      </c>
      <c r="F145" s="9"/>
      <c r="G145" s="19">
        <v>482088000</v>
      </c>
      <c r="H145" s="5">
        <f t="shared" si="13"/>
        <v>0</v>
      </c>
      <c r="I145" s="5">
        <f t="shared" si="14"/>
        <v>1630692500</v>
      </c>
      <c r="J145" s="36">
        <f t="shared" si="12"/>
        <v>12</v>
      </c>
      <c r="K145" s="204" t="s">
        <v>385</v>
      </c>
      <c r="N145" s="91"/>
      <c r="O145" s="50"/>
      <c r="P145" s="53"/>
      <c r="Q145" s="145"/>
      <c r="R145" s="109"/>
      <c r="S145" s="59"/>
    </row>
    <row r="146" spans="1:19" ht="17.25" customHeight="1">
      <c r="A146" s="14">
        <v>42004</v>
      </c>
      <c r="B146" s="23" t="s">
        <v>325</v>
      </c>
      <c r="C146" s="11">
        <v>42004</v>
      </c>
      <c r="D146" s="16" t="s">
        <v>51</v>
      </c>
      <c r="E146" s="12" t="s">
        <v>42</v>
      </c>
      <c r="F146" s="9"/>
      <c r="G146" s="19">
        <v>524011000</v>
      </c>
      <c r="H146" s="5">
        <f t="shared" si="13"/>
        <v>0</v>
      </c>
      <c r="I146" s="5">
        <f t="shared" si="14"/>
        <v>2154703500</v>
      </c>
      <c r="J146" s="36">
        <f t="shared" si="12"/>
        <v>12</v>
      </c>
      <c r="K146" s="204" t="s">
        <v>386</v>
      </c>
      <c r="N146" s="91"/>
      <c r="O146" s="50"/>
      <c r="P146" s="53"/>
      <c r="Q146" s="145"/>
      <c r="R146" s="109"/>
      <c r="S146" s="59"/>
    </row>
    <row r="147" spans="1:19" ht="17.25" customHeight="1">
      <c r="A147" s="14">
        <v>41977</v>
      </c>
      <c r="B147" s="23" t="s">
        <v>182</v>
      </c>
      <c r="C147" s="11">
        <v>41977</v>
      </c>
      <c r="D147" s="16" t="s">
        <v>44</v>
      </c>
      <c r="E147" s="12" t="s">
        <v>45</v>
      </c>
      <c r="F147" s="9">
        <v>550000000</v>
      </c>
      <c r="G147" s="19"/>
      <c r="H147" s="5">
        <f t="shared" si="13"/>
        <v>0</v>
      </c>
      <c r="I147" s="5">
        <f t="shared" si="14"/>
        <v>1604703500</v>
      </c>
      <c r="J147" s="36">
        <f t="shared" si="12"/>
        <v>12</v>
      </c>
      <c r="K147" s="204"/>
      <c r="N147" s="91"/>
      <c r="O147" s="50"/>
      <c r="P147" s="53"/>
      <c r="Q147" s="145"/>
      <c r="R147" s="109"/>
      <c r="S147" s="59"/>
    </row>
    <row r="148" spans="1:19" ht="17.25" customHeight="1">
      <c r="A148" s="14">
        <v>41984</v>
      </c>
      <c r="B148" s="23" t="s">
        <v>67</v>
      </c>
      <c r="C148" s="11">
        <v>41984</v>
      </c>
      <c r="D148" s="16" t="s">
        <v>44</v>
      </c>
      <c r="E148" s="12" t="s">
        <v>45</v>
      </c>
      <c r="F148" s="9">
        <v>550000000</v>
      </c>
      <c r="G148" s="19"/>
      <c r="H148" s="5">
        <f t="shared" si="13"/>
        <v>0</v>
      </c>
      <c r="I148" s="5">
        <f t="shared" si="14"/>
        <v>1054703500</v>
      </c>
      <c r="J148" s="36">
        <f t="shared" si="12"/>
        <v>12</v>
      </c>
      <c r="K148" s="204"/>
      <c r="N148" s="91"/>
      <c r="O148" s="50"/>
      <c r="P148" s="53"/>
      <c r="Q148" s="145"/>
      <c r="R148" s="109"/>
      <c r="S148" s="59"/>
    </row>
    <row r="149" spans="1:19" ht="17.25" customHeight="1">
      <c r="A149" s="14">
        <v>41991</v>
      </c>
      <c r="B149" s="23" t="s">
        <v>69</v>
      </c>
      <c r="C149" s="11">
        <v>41991</v>
      </c>
      <c r="D149" s="16" t="s">
        <v>44</v>
      </c>
      <c r="E149" s="12" t="s">
        <v>45</v>
      </c>
      <c r="F149" s="9">
        <v>550000000</v>
      </c>
      <c r="G149" s="19"/>
      <c r="H149" s="5">
        <f t="shared" si="13"/>
        <v>0</v>
      </c>
      <c r="I149" s="5">
        <f t="shared" si="14"/>
        <v>504703500</v>
      </c>
      <c r="J149" s="36">
        <f t="shared" si="12"/>
        <v>12</v>
      </c>
      <c r="K149" s="204"/>
      <c r="N149" s="91"/>
      <c r="O149" s="50"/>
      <c r="P149" s="53"/>
      <c r="Q149" s="145"/>
      <c r="R149" s="109"/>
      <c r="S149" s="59"/>
    </row>
    <row r="150" spans="1:19" ht="17.25" customHeight="1">
      <c r="A150" s="14">
        <v>42003</v>
      </c>
      <c r="B150" s="23" t="s">
        <v>326</v>
      </c>
      <c r="C150" s="11">
        <v>42003</v>
      </c>
      <c r="D150" s="16" t="s">
        <v>44</v>
      </c>
      <c r="E150" s="12" t="s">
        <v>45</v>
      </c>
      <c r="F150" s="9">
        <v>550000000</v>
      </c>
      <c r="G150" s="19"/>
      <c r="H150" s="5">
        <f t="shared" si="13"/>
        <v>45296500</v>
      </c>
      <c r="I150" s="5">
        <f t="shared" si="14"/>
        <v>0</v>
      </c>
      <c r="J150" s="36">
        <f t="shared" si="12"/>
        <v>12</v>
      </c>
      <c r="K150" s="204"/>
      <c r="N150" s="91"/>
      <c r="O150" s="50"/>
      <c r="P150" s="53"/>
      <c r="Q150" s="145"/>
      <c r="R150" s="109"/>
      <c r="S150" s="59"/>
    </row>
    <row r="151" spans="1:19" ht="17.25" customHeight="1">
      <c r="A151" s="14">
        <v>42004</v>
      </c>
      <c r="B151" s="23" t="s">
        <v>327</v>
      </c>
      <c r="C151" s="11">
        <v>42004</v>
      </c>
      <c r="D151" s="16" t="s">
        <v>197</v>
      </c>
      <c r="E151" s="12" t="s">
        <v>45</v>
      </c>
      <c r="F151" s="9"/>
      <c r="G151" s="19">
        <v>45296500</v>
      </c>
      <c r="H151" s="5">
        <f t="shared" si="13"/>
        <v>0</v>
      </c>
      <c r="I151" s="5">
        <f t="shared" si="14"/>
        <v>0</v>
      </c>
      <c r="J151" s="36">
        <f t="shared" si="12"/>
        <v>12</v>
      </c>
      <c r="K151" s="204"/>
      <c r="N151" s="91"/>
      <c r="O151" s="50"/>
      <c r="P151" s="53"/>
      <c r="Q151" s="145"/>
      <c r="R151" s="109"/>
      <c r="S151" s="59"/>
    </row>
    <row r="152" spans="1:19" ht="17.25" customHeight="1">
      <c r="A152" s="11"/>
      <c r="B152" s="25"/>
      <c r="C152" s="11"/>
      <c r="D152" s="16"/>
      <c r="E152" s="25"/>
      <c r="F152" s="4"/>
      <c r="G152" s="5"/>
      <c r="H152" s="5"/>
      <c r="I152" s="5"/>
      <c r="J152" s="36" t="str">
        <f t="shared" ref="J152:J154" si="15">IF(A152&lt;&gt;"",MONTH(A152),"")</f>
        <v/>
      </c>
      <c r="N152" s="18"/>
      <c r="O152" s="50"/>
      <c r="P152" s="53"/>
      <c r="Q152" s="18"/>
      <c r="R152" s="106"/>
      <c r="S152" s="60"/>
    </row>
    <row r="153" spans="1:19" ht="17.25" customHeight="1">
      <c r="A153" s="11"/>
      <c r="B153" s="25"/>
      <c r="C153" s="11"/>
      <c r="D153" s="48" t="s">
        <v>22</v>
      </c>
      <c r="E153" s="49" t="s">
        <v>23</v>
      </c>
      <c r="F153" s="7">
        <f>SUM(F16:F152)</f>
        <v>23200000000</v>
      </c>
      <c r="G153" s="7">
        <f>SUM(G16:G152)</f>
        <v>23200000000</v>
      </c>
      <c r="H153" s="7" t="s">
        <v>23</v>
      </c>
      <c r="I153" s="7" t="s">
        <v>23</v>
      </c>
      <c r="J153" s="36" t="str">
        <f t="shared" si="15"/>
        <v/>
      </c>
      <c r="N153" s="18"/>
      <c r="O153" s="50"/>
      <c r="P153" s="105"/>
      <c r="Q153" s="18"/>
      <c r="R153" s="106"/>
      <c r="S153" s="106"/>
    </row>
    <row r="154" spans="1:19" ht="17.25" customHeight="1">
      <c r="A154" s="40"/>
      <c r="B154" s="43"/>
      <c r="C154" s="40"/>
      <c r="D154" s="42" t="s">
        <v>24</v>
      </c>
      <c r="E154" s="43" t="s">
        <v>23</v>
      </c>
      <c r="F154" s="6" t="s">
        <v>23</v>
      </c>
      <c r="G154" s="8" t="s">
        <v>23</v>
      </c>
      <c r="H154" s="8">
        <f>IF(H15-I15+F153-G153&gt;0,H15-I15+F153-G153,0)</f>
        <v>0</v>
      </c>
      <c r="I154" s="8">
        <f>IF(I15-H15+G153-F153&gt;0,I15-H15+G153-F153,0)</f>
        <v>0</v>
      </c>
      <c r="J154" s="36" t="str">
        <f t="shared" si="15"/>
        <v/>
      </c>
      <c r="N154" s="18"/>
      <c r="O154" s="50"/>
      <c r="P154" s="105"/>
      <c r="Q154" s="18"/>
      <c r="R154" s="106"/>
      <c r="S154" s="60"/>
    </row>
    <row r="155" spans="1:19">
      <c r="A155" s="27"/>
      <c r="B155" s="27"/>
      <c r="C155" s="27"/>
      <c r="D155" s="28"/>
      <c r="E155" s="27"/>
      <c r="F155" s="27"/>
      <c r="G155" s="44"/>
      <c r="H155" s="56"/>
      <c r="I155" s="45"/>
      <c r="N155" s="18"/>
      <c r="O155" s="18"/>
      <c r="P155" s="53"/>
      <c r="Q155" s="18"/>
      <c r="R155" s="18"/>
      <c r="S155" s="60"/>
    </row>
    <row r="156" spans="1:19">
      <c r="A156" s="27"/>
      <c r="B156" s="27"/>
      <c r="C156" s="46" t="s">
        <v>48</v>
      </c>
      <c r="D156" s="28"/>
      <c r="E156" s="27"/>
      <c r="F156" s="27"/>
      <c r="G156" s="44"/>
      <c r="H156" s="55"/>
      <c r="I156" s="44"/>
      <c r="N156" s="18"/>
      <c r="O156" s="116"/>
      <c r="P156" s="53"/>
      <c r="Q156" s="18"/>
      <c r="R156" s="18"/>
      <c r="S156" s="60"/>
    </row>
    <row r="157" spans="1:19">
      <c r="A157" s="27"/>
      <c r="B157" s="27"/>
      <c r="C157" s="46" t="s">
        <v>198</v>
      </c>
      <c r="D157" s="28"/>
      <c r="E157" s="27"/>
      <c r="F157" s="27"/>
      <c r="G157" s="44"/>
      <c r="H157" s="27"/>
      <c r="I157" s="45"/>
      <c r="J157" s="22"/>
      <c r="N157" s="18"/>
      <c r="O157" s="116"/>
      <c r="P157" s="53"/>
      <c r="Q157" s="18"/>
      <c r="R157" s="18"/>
      <c r="S157" s="60"/>
    </row>
    <row r="158" spans="1:19">
      <c r="A158" s="27"/>
      <c r="B158" s="27"/>
      <c r="C158" s="27"/>
      <c r="D158" s="28"/>
      <c r="E158" s="291" t="s">
        <v>139</v>
      </c>
      <c r="F158" s="291"/>
      <c r="G158" s="291"/>
      <c r="H158" s="291"/>
      <c r="I158" s="291"/>
      <c r="J158" s="50"/>
      <c r="L158" s="58"/>
      <c r="M158" s="58"/>
      <c r="N158" s="18"/>
      <c r="O158" s="18"/>
      <c r="P158" s="53"/>
      <c r="Q158" s="115"/>
      <c r="R158" s="58"/>
      <c r="S158" s="58"/>
    </row>
    <row r="159" spans="1:19">
      <c r="A159" s="291" t="s">
        <v>25</v>
      </c>
      <c r="B159" s="291"/>
      <c r="C159" s="291"/>
      <c r="D159" s="291"/>
      <c r="E159" s="291" t="s">
        <v>26</v>
      </c>
      <c r="F159" s="291"/>
      <c r="G159" s="291"/>
      <c r="H159" s="291"/>
      <c r="I159" s="291"/>
      <c r="J159" s="50"/>
      <c r="L159" s="58"/>
      <c r="M159" s="58"/>
      <c r="N159" s="58"/>
      <c r="O159" s="58"/>
      <c r="P159" s="58"/>
      <c r="Q159" s="115"/>
      <c r="R159" s="58"/>
      <c r="S159" s="58"/>
    </row>
    <row r="160" spans="1:19">
      <c r="A160" s="291" t="s">
        <v>27</v>
      </c>
      <c r="B160" s="291"/>
      <c r="C160" s="291"/>
      <c r="D160" s="291"/>
      <c r="E160" s="291" t="s">
        <v>27</v>
      </c>
      <c r="F160" s="291"/>
      <c r="G160" s="291"/>
      <c r="H160" s="291"/>
      <c r="I160" s="291"/>
      <c r="J160" s="59"/>
      <c r="K160" s="204"/>
      <c r="L160" s="59"/>
      <c r="M160" s="58"/>
      <c r="N160" s="58"/>
      <c r="O160" s="58"/>
      <c r="P160" s="58"/>
      <c r="Q160" s="115"/>
      <c r="R160" s="58"/>
      <c r="S160" s="58"/>
    </row>
    <row r="161" spans="1:19">
      <c r="A161" s="27"/>
      <c r="B161" s="27"/>
      <c r="C161" s="27"/>
      <c r="D161" s="28"/>
      <c r="E161" s="27"/>
      <c r="F161" s="27"/>
      <c r="G161" s="44"/>
      <c r="H161" s="27"/>
      <c r="I161" s="27"/>
      <c r="J161" s="59"/>
      <c r="L161" s="59"/>
      <c r="M161" s="58"/>
      <c r="N161" s="27"/>
      <c r="O161" s="27"/>
      <c r="P161" s="28"/>
      <c r="Q161" s="27"/>
      <c r="R161" s="27"/>
      <c r="S161" s="44"/>
    </row>
    <row r="162" spans="1:19">
      <c r="J162" s="59"/>
      <c r="L162" s="59"/>
      <c r="M162" s="58"/>
    </row>
    <row r="163" spans="1:19">
      <c r="C163" s="51"/>
      <c r="F163" s="13"/>
      <c r="J163" s="59"/>
      <c r="L163" s="59"/>
      <c r="M163" s="58"/>
      <c r="O163" s="51"/>
      <c r="R163" s="13"/>
    </row>
    <row r="164" spans="1:19">
      <c r="C164" s="51"/>
      <c r="F164" s="13"/>
      <c r="J164" s="59"/>
      <c r="K164" s="207"/>
      <c r="L164" s="59"/>
      <c r="M164" s="58"/>
      <c r="O164" s="51"/>
      <c r="R164" s="13"/>
    </row>
    <row r="165" spans="1:19">
      <c r="C165" s="51"/>
      <c r="F165" s="13"/>
      <c r="J165" s="59"/>
      <c r="K165" s="207"/>
      <c r="L165" s="59"/>
      <c r="M165" s="58"/>
      <c r="O165" s="51"/>
      <c r="R165" s="13"/>
    </row>
    <row r="166" spans="1:19">
      <c r="C166" s="51"/>
      <c r="F166" s="13"/>
      <c r="J166" s="59"/>
      <c r="K166" s="207"/>
      <c r="L166" s="59"/>
      <c r="M166" s="58"/>
      <c r="O166" s="51"/>
      <c r="R166" s="13"/>
    </row>
    <row r="167" spans="1:19">
      <c r="C167" s="51"/>
      <c r="F167" s="13"/>
      <c r="J167" s="59"/>
      <c r="K167" s="207"/>
      <c r="L167" s="59"/>
      <c r="M167" s="58"/>
      <c r="O167" s="51"/>
      <c r="R167" s="13"/>
    </row>
    <row r="168" spans="1:19">
      <c r="C168" s="51"/>
      <c r="F168" s="13"/>
      <c r="J168" s="59"/>
      <c r="K168" s="207"/>
      <c r="L168" s="60"/>
      <c r="M168" s="58"/>
      <c r="O168" s="51"/>
      <c r="R168" s="13"/>
    </row>
    <row r="169" spans="1:19">
      <c r="C169" s="51"/>
      <c r="F169" s="13"/>
      <c r="J169" s="58"/>
      <c r="K169" s="208"/>
      <c r="L169" s="58"/>
      <c r="M169" s="58"/>
      <c r="O169" s="51"/>
      <c r="R169" s="13"/>
    </row>
    <row r="170" spans="1:19">
      <c r="C170" s="51"/>
      <c r="F170" s="13"/>
      <c r="J170" s="58"/>
      <c r="K170" s="208"/>
      <c r="L170" s="58"/>
      <c r="M170" s="58"/>
      <c r="O170" s="51"/>
      <c r="R170" s="13"/>
    </row>
    <row r="171" spans="1:19">
      <c r="C171" s="51"/>
      <c r="F171" s="13"/>
      <c r="J171" s="58"/>
      <c r="K171" s="208"/>
      <c r="L171" s="58"/>
      <c r="M171" s="58"/>
      <c r="O171" s="51"/>
      <c r="R171" s="13"/>
    </row>
    <row r="172" spans="1:19">
      <c r="K172" s="208"/>
    </row>
    <row r="173" spans="1:19">
      <c r="K173" s="208"/>
    </row>
    <row r="174" spans="1:19">
      <c r="K174" s="208"/>
    </row>
    <row r="175" spans="1:19">
      <c r="K175" s="208"/>
    </row>
    <row r="176" spans="1:19">
      <c r="K176" s="208"/>
    </row>
    <row r="177" spans="11:11">
      <c r="K177" s="208"/>
    </row>
    <row r="178" spans="11:11">
      <c r="K178" s="208"/>
    </row>
  </sheetData>
  <autoFilter ref="A14:Q151"/>
  <mergeCells count="33">
    <mergeCell ref="A160:D160"/>
    <mergeCell ref="E160:I160"/>
    <mergeCell ref="E158:I158"/>
    <mergeCell ref="G12:G13"/>
    <mergeCell ref="H12:H13"/>
    <mergeCell ref="I12:I13"/>
    <mergeCell ref="F12:F13"/>
    <mergeCell ref="D11:D13"/>
    <mergeCell ref="E11:E13"/>
    <mergeCell ref="F11:G11"/>
    <mergeCell ref="A159:D159"/>
    <mergeCell ref="E159:I159"/>
    <mergeCell ref="R11:S11"/>
    <mergeCell ref="N12:N13"/>
    <mergeCell ref="O12:O13"/>
    <mergeCell ref="R12:R13"/>
    <mergeCell ref="S12:S13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A27" sqref="A27"/>
    </sheetView>
  </sheetViews>
  <sheetFormatPr defaultRowHeight="16.5"/>
  <cols>
    <col min="1" max="1" width="83.28515625" style="65" customWidth="1"/>
    <col min="2" max="2" width="18.425781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7" width="9.140625" style="123"/>
    <col min="8" max="16384" width="9.140625" style="65"/>
  </cols>
  <sheetData>
    <row r="1" spans="1:7" s="63" customFormat="1" ht="12.75" customHeight="1">
      <c r="A1" s="15" t="s">
        <v>0</v>
      </c>
      <c r="B1" s="62"/>
      <c r="C1" s="119"/>
      <c r="D1" s="119"/>
      <c r="E1" s="120"/>
      <c r="F1" s="121"/>
      <c r="G1" s="121"/>
    </row>
    <row r="2" spans="1:7" s="63" customFormat="1" ht="12.75" customHeight="1">
      <c r="A2" s="15" t="s">
        <v>1</v>
      </c>
      <c r="B2" s="64"/>
      <c r="C2" s="119"/>
      <c r="D2" s="122" t="s">
        <v>96</v>
      </c>
      <c r="E2" s="120"/>
      <c r="F2" s="121"/>
      <c r="G2" s="121"/>
    </row>
    <row r="3" spans="1:7" ht="24" customHeight="1">
      <c r="A3" s="297" t="s">
        <v>76</v>
      </c>
      <c r="B3" s="297"/>
      <c r="D3" s="92">
        <v>6</v>
      </c>
    </row>
    <row r="4" spans="1:7" ht="12" customHeight="1">
      <c r="A4" s="291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6   năm   2014</v>
      </c>
      <c r="B4" s="291"/>
      <c r="C4" s="53"/>
      <c r="D4" s="53"/>
    </row>
    <row r="5" spans="1:7" ht="12" customHeight="1">
      <c r="A5" s="298"/>
      <c r="B5" s="66" t="str">
        <f ca="1">IF(ROWS($1:1)&gt;COUNT(Dong02),"","Số:   "&amp;OFFSET('141-BH'!P$1,SMALL(Dong02,ROWS($1:1)),))</f>
        <v>Số:   TU11</v>
      </c>
    </row>
    <row r="6" spans="1:7" ht="12" customHeight="1">
      <c r="A6" s="298"/>
      <c r="B6" s="66" t="s">
        <v>77</v>
      </c>
    </row>
    <row r="7" spans="1:7" ht="12" customHeight="1">
      <c r="A7" s="298"/>
      <c r="B7" s="66" t="s">
        <v>78</v>
      </c>
    </row>
    <row r="8" spans="1:7" ht="13.5" customHeight="1">
      <c r="A8" s="67" t="s">
        <v>79</v>
      </c>
    </row>
    <row r="9" spans="1:7" ht="13.5" customHeight="1">
      <c r="A9" s="67" t="s">
        <v>80</v>
      </c>
    </row>
    <row r="10" spans="1:7" ht="13.5" customHeight="1">
      <c r="A10" s="68" t="s">
        <v>81</v>
      </c>
    </row>
    <row r="11" spans="1:7" s="70" customFormat="1" ht="19.5" customHeight="1">
      <c r="A11" s="69" t="s">
        <v>8</v>
      </c>
      <c r="B11" s="69" t="s">
        <v>82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83</v>
      </c>
    </row>
    <row r="13" spans="1:7" s="70" customFormat="1" ht="18.75" customHeight="1">
      <c r="A13" s="72" t="s">
        <v>84</v>
      </c>
      <c r="B13" s="73">
        <f ca="1">B14+B15</f>
        <v>3867627000</v>
      </c>
      <c r="C13" s="80"/>
      <c r="D13" s="80"/>
      <c r="E13" s="80"/>
      <c r="F13" s="80"/>
      <c r="G13" s="80"/>
    </row>
    <row r="14" spans="1:7" ht="18.75" customHeight="1">
      <c r="A14" s="74" t="s">
        <v>85</v>
      </c>
      <c r="B14" s="75">
        <f ca="1">IF(ROWS($1:1)&gt;COUNT(Dau),"",OFFSET('141-BH'!H$1,SMALL(Dau,COUNT(Dau)),))</f>
        <v>17627000</v>
      </c>
    </row>
    <row r="15" spans="1:7" ht="18.75" customHeight="1">
      <c r="A15" s="74" t="s">
        <v>86</v>
      </c>
      <c r="B15" s="75">
        <f ca="1">SUM(B16:B22)</f>
        <v>3850000000</v>
      </c>
    </row>
    <row r="16" spans="1:7" s="79" customFormat="1" ht="18.7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........C06.....ngày....4/6/2014</v>
      </c>
      <c r="B16" s="77">
        <f ca="1">IF(ROWS($1:1)&gt;COUNT(Dong01),"",OFFSET('141-BH'!S$1,SMALL(Dong01,ROWS($1:1)),))</f>
        <v>800000000</v>
      </c>
      <c r="C16" s="124"/>
      <c r="D16" s="125"/>
      <c r="E16" s="78"/>
      <c r="F16" s="126"/>
      <c r="G16" s="127"/>
    </row>
    <row r="17" spans="1:7" s="79" customFormat="1" ht="18.7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........C11.....ngày....13/6/2014</v>
      </c>
      <c r="B17" s="77">
        <f ca="1">IF(ROWS($1:2)&gt;COUNT(Dong01),"",OFFSET('141-BH'!S$1,SMALL(Dong01,ROWS($1:2)),))</f>
        <v>800000000</v>
      </c>
      <c r="C17" s="124"/>
      <c r="D17" s="125"/>
      <c r="E17" s="78"/>
      <c r="F17" s="126"/>
      <c r="G17" s="127"/>
    </row>
    <row r="18" spans="1:7" s="79" customFormat="1" ht="18.7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........C14.....ngày....15/6/2014</v>
      </c>
      <c r="B18" s="77">
        <f ca="1">IF(ROWS($1:3)&gt;COUNT(Dong01),"",OFFSET('141-BH'!S$1,SMALL(Dong01,ROWS($1:3)),))</f>
        <v>800000000</v>
      </c>
      <c r="C18" s="124"/>
      <c r="D18" s="125"/>
      <c r="E18" s="78"/>
      <c r="F18" s="126"/>
      <c r="G18" s="127"/>
    </row>
    <row r="19" spans="1:7" s="79" customFormat="1" ht="18.7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........C18.....ngày....20/6/2014</v>
      </c>
      <c r="B19" s="77">
        <f ca="1">IF(ROWS($1:4)&gt;COUNT(Dong01),"",OFFSET('141-BH'!S$1,SMALL(Dong01,ROWS($1:4)),))</f>
        <v>800000000</v>
      </c>
      <c r="C19" s="124"/>
      <c r="D19" s="125"/>
      <c r="E19" s="78"/>
      <c r="F19" s="126"/>
      <c r="G19" s="127"/>
    </row>
    <row r="20" spans="1:7" s="79" customFormat="1" ht="18.7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........C25.....ngày....26/6/2014</v>
      </c>
      <c r="B20" s="77">
        <f ca="1">IF(ROWS($1:5)&gt;COUNT(Dong01),"",OFFSET('141-BH'!S$1,SMALL(Dong01,ROWS($1:5)),))</f>
        <v>650000000</v>
      </c>
      <c r="C20" s="124"/>
      <c r="D20" s="125"/>
      <c r="E20" s="78"/>
      <c r="F20" s="126"/>
      <c r="G20" s="127"/>
    </row>
    <row r="21" spans="1:7" s="79" customFormat="1" ht="18.7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77" t="str">
        <f ca="1">IF(ROWS($1:6)&gt;COUNT(Dong01),"",OFFSET('141-BH'!S$1,SMALL(Dong01,ROWS($1:6)),))</f>
        <v/>
      </c>
      <c r="C21" s="124"/>
      <c r="D21" s="125"/>
      <c r="E21" s="78"/>
      <c r="F21" s="126"/>
      <c r="G21" s="127"/>
    </row>
    <row r="22" spans="1:7" s="79" customFormat="1" ht="18.7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7" t="str">
        <f ca="1">IF(ROWS($1:7)&gt;COUNT(Dong01),"",OFFSET('141-BH'!S$1,SMALL(Dong01,ROWS($1:7)),))</f>
        <v/>
      </c>
      <c r="C22" s="124"/>
      <c r="D22" s="125"/>
      <c r="E22" s="78"/>
      <c r="F22" s="126"/>
      <c r="G22" s="127"/>
    </row>
    <row r="23" spans="1:7" s="70" customFormat="1" ht="18.75" customHeight="1">
      <c r="A23" s="72" t="s">
        <v>87</v>
      </c>
      <c r="B23" s="73">
        <f ca="1">SUM(B24:B37)</f>
        <v>3849157000</v>
      </c>
      <c r="C23" s="78"/>
      <c r="D23" s="128"/>
      <c r="E23" s="80"/>
      <c r="F23" s="80"/>
      <c r="G23" s="80"/>
    </row>
    <row r="24" spans="1:7" s="79" customFormat="1" ht="18.75" customHeight="1">
      <c r="A24" s="81" t="str">
        <f ca="1">IF(ROWS($1:1)&gt;COUNT(Dong02),"","- "&amp;OFFSET('141-BH'!Q$1,SMALL(Dong02,ROWS($1:1)),)&amp;" - PNK số: " &amp;OFFSET('141-BH'!U$1,SMALL(Dong02,ROWS($1:1)),)&amp; " Tháng "&amp;$D$3&amp;"/2014")</f>
        <v>- Đặng Thanh Phong - PNK số: N05/NL &amp; N13/NL &amp; N06/NL &amp; N30/NL &amp; N42/NL Tháng 6/2014</v>
      </c>
      <c r="B24" s="82">
        <f ca="1">IF(ROWS($1:1)&gt;COUNT(Dong02),"",OFFSET('141-BH'!T$1,SMALL(Dong02,ROWS($1:1)),))</f>
        <v>748410000</v>
      </c>
      <c r="C24" s="129"/>
      <c r="D24" s="130"/>
      <c r="E24" s="131"/>
      <c r="F24" s="106"/>
      <c r="G24" s="127"/>
    </row>
    <row r="25" spans="1:7" s="79" customFormat="1" ht="18.75" customHeight="1">
      <c r="A25" s="81" t="str">
        <f ca="1">IF(ROWS($1:2)&gt;COUNT(Dong02),"","- "&amp;OFFSET('141-BH'!Q$1,SMALL(Dong02,ROWS($1:2)),)&amp;" - PNK số: " &amp;OFFSET('141-BH'!U$1,SMALL(Dong02,ROWS($1:2)),)&amp; " Tháng "&amp;$D$3&amp;"/2014")</f>
        <v>- Đỗ Ngọc Trương - PNK số: N06/NL &amp; N14/NL &amp; N21/NL &amp; N31/NL &amp; N43/NL Tháng 6/2014</v>
      </c>
      <c r="B25" s="82">
        <f ca="1">IF(ROWS($1:2)&gt;COUNT(Dong02),"",OFFSET('141-BH'!T$1,SMALL(Dong02,ROWS($1:2)),))</f>
        <v>754003000</v>
      </c>
      <c r="C25" s="132"/>
      <c r="D25" s="133"/>
      <c r="E25" s="131"/>
      <c r="F25" s="106"/>
      <c r="G25" s="127"/>
    </row>
    <row r="26" spans="1:7" s="79" customFormat="1" ht="18.75" customHeight="1">
      <c r="A26" s="81" t="str">
        <f ca="1">IF(ROWS($1:3)&gt;COUNT(Dong02),"","- "&amp;OFFSET('141-BH'!Q$1,SMALL(Dong02,ROWS($1:3)),)&amp;" - PNK số: " &amp;OFFSET('141-BH'!U$1,SMALL(Dong02,ROWS($1:3)),)&amp; " Tháng "&amp;$D$3&amp;"/2014")</f>
        <v>- Huỳnh Thị Kiều - PNK số: N01/NL &amp; N25/NL &amp; N21/NL Tháng 6/2014</v>
      </c>
      <c r="B26" s="82">
        <f ca="1">IF(ROWS($1:3)&gt;COUNT(Dong02),"",OFFSET('141-BH'!T$1,SMALL(Dong02,ROWS($1:3)),))</f>
        <v>450644000</v>
      </c>
      <c r="C26" s="134"/>
      <c r="D26" s="133"/>
      <c r="E26" s="131"/>
      <c r="F26" s="106"/>
      <c r="G26" s="127"/>
    </row>
    <row r="27" spans="1:7" s="79" customFormat="1" ht="18.75" customHeight="1">
      <c r="A27" s="81" t="str">
        <f ca="1">IF(ROWS($1:4)&gt;COUNT(Dong02),"","- "&amp;OFFSET('141-BH'!Q$1,SMALL(Dong02,ROWS($1:4)),)&amp;" - PNK số: " &amp;OFFSET('141-BH'!U$1,SMALL(Dong02,ROWS($1:4)),)&amp; " Tháng "&amp;$D$3&amp;"/2014")</f>
        <v>- Lê Thị Diễm - PNK số: N07/NL &amp; N32/NL Tháng 6/2014</v>
      </c>
      <c r="B27" s="82">
        <f ca="1">IF(ROWS($1:4)&gt;COUNT(Dong02),"",OFFSET('141-BH'!T$1,SMALL(Dong02,ROWS($1:4)),))</f>
        <v>309591000</v>
      </c>
      <c r="C27" s="50"/>
      <c r="D27" s="133"/>
      <c r="E27" s="131"/>
      <c r="F27" s="106"/>
      <c r="G27" s="127"/>
    </row>
    <row r="28" spans="1:7" s="79" customFormat="1" ht="18.75" customHeight="1">
      <c r="A28" s="81" t="str">
        <f ca="1">IF(ROWS($1:5)&gt;COUNT(Dong02),"","- "&amp;OFFSET('141-BH'!Q$1,SMALL(Dong02,ROWS($1:5)),)&amp;" - PNK số: " &amp;OFFSET('141-BH'!U$1,SMALL(Dong02,ROWS($1:5)),)&amp; " Tháng "&amp;$D$3&amp;"/2014")</f>
        <v>- Nguyễn Thị Kim Vân - PNK số: N02/NL &amp; N26/NL &amp; N22/NL Tháng 6/2014</v>
      </c>
      <c r="B28" s="82">
        <f ca="1">IF(ROWS($1:5)&gt;COUNT(Dong02),"",OFFSET('141-BH'!T$1,SMALL(Dong02,ROWS($1:5)),))</f>
        <v>453167000</v>
      </c>
      <c r="C28" s="90"/>
      <c r="D28" s="130"/>
      <c r="E28" s="131"/>
      <c r="F28" s="106"/>
      <c r="G28" s="127"/>
    </row>
    <row r="29" spans="1:7" s="79" customFormat="1" ht="18.75" customHeight="1">
      <c r="A29" s="81" t="str">
        <f ca="1">IF(ROWS($1:6)&gt;COUNT(Dong02),"","- "&amp;OFFSET('141-BH'!Q$1,SMALL(Dong02,ROWS($1:6)),)&amp;" - PNK số: " &amp;OFFSET('141-BH'!U$1,SMALL(Dong02,ROWS($1:6)),)&amp; " Tháng "&amp;$D$3&amp;"/2014")</f>
        <v>- Nguyễn Văn Hải - PNK số: N03/NL &amp; N27/NL Tháng 6/2014</v>
      </c>
      <c r="B29" s="82">
        <f ca="1">IF(ROWS($1:6)&gt;COUNT(Dong02),"",OFFSET('141-BH'!T$1,SMALL(Dong02,ROWS($1:6)),))</f>
        <v>300962000</v>
      </c>
      <c r="C29" s="90"/>
      <c r="D29" s="133"/>
      <c r="E29" s="131"/>
      <c r="F29" s="106"/>
      <c r="G29" s="127"/>
    </row>
    <row r="30" spans="1:7" s="79" customFormat="1" ht="18.75" customHeight="1">
      <c r="A30" s="81" t="str">
        <f ca="1">IF(ROWS($1:7)&gt;COUNT(Dong02),"","- "&amp;OFFSET('141-BH'!Q$1,SMALL(Dong02,ROWS($1:7)),)&amp;" - PNK số: " &amp;OFFSET('141-BH'!U$1,SMALL(Dong02,ROWS($1:7)),)&amp; " Tháng "&amp;$D$3&amp;"/2014")</f>
        <v>- Nguyễn Văn Hiền - PNK số: N08/NL &amp; N33/NL Tháng 6/2014</v>
      </c>
      <c r="B30" s="82">
        <f ca="1">IF(ROWS($1:7)&gt;COUNT(Dong02),"",OFFSET('141-BH'!T$1,SMALL(Dong02,ROWS($1:7)),))</f>
        <v>306798000</v>
      </c>
      <c r="C30" s="50"/>
      <c r="D30" s="133"/>
      <c r="E30" s="131"/>
      <c r="F30" s="106"/>
      <c r="G30" s="127"/>
    </row>
    <row r="31" spans="1:7" s="79" customFormat="1" ht="18.75" customHeight="1">
      <c r="A31" s="81" t="str">
        <f ca="1">IF(ROWS($1:8)&gt;COUNT(Dong02),"","- "&amp;OFFSET('141-BH'!Q$1,SMALL(Dong02,ROWS($1:8)),)&amp;" - PNK số: " &amp;OFFSET('141-BH'!U$1,SMALL(Dong02,ROWS($1:8)),)&amp; " Tháng "&amp;$D$3&amp;"/2014")</f>
        <v>- Phạm Thị Bảy - PNK số: N04/NL &amp; N28/NL Tháng 6/2014</v>
      </c>
      <c r="B31" s="82">
        <f ca="1">IF(ROWS($1:8)&gt;COUNT(Dong02),"",OFFSET('141-BH'!T$1,SMALL(Dong02,ROWS($1:8)),))</f>
        <v>298258000</v>
      </c>
      <c r="C31" s="90"/>
      <c r="D31" s="133"/>
      <c r="E31" s="131"/>
      <c r="F31" s="106"/>
      <c r="G31" s="127"/>
    </row>
    <row r="32" spans="1:7" s="79" customFormat="1" ht="18.75" customHeight="1">
      <c r="A32" s="81" t="str">
        <f ca="1">IF(ROWS($1:9)&gt;COUNT(Dong02),"","- "&amp;OFFSET('141-BH'!Q$1,SMALL(Dong02,ROWS($1:9)),)&amp;" - PNK số: " &amp;OFFSET('141-BH'!U$1,SMALL(Dong02,ROWS($1:9)),)&amp; " Tháng "&amp;$D$3&amp;"/2014")</f>
        <v>- Phan Quốc Việt - PNK số: N15/NL Tháng 6/2014</v>
      </c>
      <c r="B32" s="82">
        <f ca="1">IF(ROWS($1:9)&gt;COUNT(Dong02),"",OFFSET('141-BH'!T$1,SMALL(Dong02,ROWS($1:9)),))</f>
        <v>109327000</v>
      </c>
      <c r="C32" s="90"/>
      <c r="D32" s="130"/>
      <c r="E32" s="131"/>
      <c r="F32" s="106"/>
      <c r="G32" s="127"/>
    </row>
    <row r="33" spans="1:7" s="79" customFormat="1" ht="18.75" customHeight="1">
      <c r="A33" s="81" t="str">
        <f ca="1">IF(ROWS($1:10)&gt;COUNT(Dong02),"","- "&amp;OFFSET('141-BH'!Q$1,SMALL(Dong02,ROWS($1:10)),)&amp;" - PNK số: " &amp;OFFSET('141-BH'!U$1,SMALL(Dong02,ROWS($1:10)),)&amp; " Tháng "&amp;$D$3&amp;"/2014")</f>
        <v>- Trương Thị Nhớ - PNK số: N19/NL Tháng 6/2014</v>
      </c>
      <c r="B33" s="82">
        <f ca="1">IF(ROWS($1:10)&gt;COUNT(Dong02),"",OFFSET('141-BH'!T$1,SMALL(Dong02,ROWS($1:10)),))</f>
        <v>117997000</v>
      </c>
      <c r="C33" s="90"/>
      <c r="D33" s="133"/>
      <c r="E33" s="131"/>
      <c r="F33" s="106"/>
      <c r="G33" s="127"/>
    </row>
    <row r="34" spans="1:7" s="79" customFormat="1" ht="18.75" customHeight="1">
      <c r="A34" s="81" t="str">
        <f ca="1">IF(ROWS($1:11)&gt;COUNT(Dong02),"","- "&amp;OFFSET('141-BH'!Q$1,SMALL(Dong02,ROWS($1:11)),)&amp;" - PNK số: " &amp;OFFSET('141-BH'!U$1,SMALL(Dong02,ROWS($1:11)),)&amp; " Tháng "&amp;$D$3&amp;"/2014")</f>
        <v/>
      </c>
      <c r="B34" s="82" t="str">
        <f ca="1">IF(ROWS($1:11)&gt;COUNT(Dong02),"",OFFSET('141-BH'!T$1,SMALL(Dong02,ROWS($1:11)),))</f>
        <v/>
      </c>
      <c r="C34" s="90"/>
      <c r="D34" s="133"/>
      <c r="E34" s="131"/>
      <c r="F34" s="106"/>
      <c r="G34" s="127"/>
    </row>
    <row r="35" spans="1:7" s="79" customFormat="1" ht="18.75" customHeight="1">
      <c r="A35" s="81" t="str">
        <f ca="1">IF(ROWS($1:12)&gt;COUNT(Dong02),"","- "&amp;OFFSET('141-BH'!Q$1,SMALL(Dong02,ROWS($1:12)),)&amp;" - PNK số: " &amp;OFFSET('141-BH'!U$1,SMALL(Dong02,ROWS($1:12)),)&amp; " Tháng "&amp;$D$3&amp;"/2014")</f>
        <v/>
      </c>
      <c r="B35" s="82" t="str">
        <f ca="1">IF(ROWS($1:12)&gt;COUNT(Dong02),"",OFFSET('141-BH'!T$1,SMALL(Dong02,ROWS($1:12)),))</f>
        <v/>
      </c>
      <c r="C35" s="90"/>
      <c r="D35" s="130"/>
      <c r="E35" s="131"/>
      <c r="F35" s="106"/>
      <c r="G35" s="127"/>
    </row>
    <row r="36" spans="1:7" s="79" customFormat="1" ht="18.75" customHeight="1">
      <c r="A36" s="81" t="str">
        <f ca="1">IF(ROWS($1:13)&gt;COUNT(Dong02),"","- "&amp;OFFSET('141-BH'!Q$1,SMALL(Dong02,ROWS($1:13)),)&amp;" - PNK số: " &amp;OFFSET('141-BH'!U$1,SMALL(Dong02,ROWS($1:13)),)&amp; " Tháng "&amp;$D$3&amp;"/2014")</f>
        <v/>
      </c>
      <c r="B36" s="82" t="str">
        <f ca="1">IF(ROWS($1:13)&gt;COUNT(Dong02),"",OFFSET('141-BH'!T$1,SMALL(Dong02,ROWS($1:13)),))</f>
        <v/>
      </c>
      <c r="C36" s="90"/>
      <c r="D36" s="133"/>
      <c r="E36" s="131"/>
      <c r="F36" s="106"/>
      <c r="G36" s="127"/>
    </row>
    <row r="37" spans="1:7" s="79" customFormat="1" ht="18.75" customHeight="1">
      <c r="A37" s="81" t="str">
        <f ca="1">IF(ROWS($1:14)&gt;COUNT(Dong02),"","- "&amp;OFFSET('141-BH'!Q$1,SMALL(Dong02,ROWS($1:14)),)&amp;" - PNK số: " &amp;OFFSET('141-BH'!U$1,SMALL(Dong02,ROWS($1:14)),)&amp; " Tháng "&amp;$D$3&amp;"/2014")</f>
        <v/>
      </c>
      <c r="B37" s="82" t="str">
        <f ca="1">IF(ROWS($1:14)&gt;COUNT(Dong02),"",OFFSET('141-BH'!T$1,SMALL(Dong02,ROWS($1:14)),))</f>
        <v/>
      </c>
      <c r="C37" s="90"/>
      <c r="D37" s="133"/>
      <c r="E37" s="131"/>
      <c r="F37" s="106"/>
      <c r="G37" s="127"/>
    </row>
    <row r="38" spans="1:7" s="70" customFormat="1" ht="18.75" customHeight="1">
      <c r="A38" s="72" t="s">
        <v>88</v>
      </c>
      <c r="B38" s="73">
        <f ca="1">B13-B23</f>
        <v>18470000</v>
      </c>
      <c r="C38" s="133"/>
      <c r="D38" s="135"/>
      <c r="E38" s="131"/>
      <c r="F38" s="80"/>
      <c r="G38" s="80"/>
    </row>
    <row r="39" spans="1:7" ht="18.75" customHeight="1">
      <c r="A39" s="74" t="s">
        <v>89</v>
      </c>
      <c r="B39" s="75">
        <f ca="1">B38</f>
        <v>18470000</v>
      </c>
      <c r="C39" s="133"/>
      <c r="D39" s="135"/>
      <c r="E39" s="131"/>
    </row>
    <row r="40" spans="1:7" ht="18.75" customHeight="1">
      <c r="A40" s="74" t="s">
        <v>90</v>
      </c>
      <c r="B40" s="75"/>
      <c r="C40" s="133"/>
      <c r="D40" s="135"/>
      <c r="E40" s="131"/>
    </row>
    <row r="41" spans="1:7" ht="25.5" customHeight="1">
      <c r="A41" s="83" t="s">
        <v>91</v>
      </c>
      <c r="B41" s="83" t="s">
        <v>92</v>
      </c>
      <c r="C41" s="130"/>
      <c r="D41" s="135"/>
    </row>
    <row r="42" spans="1:7" ht="19.5" customHeight="1">
      <c r="A42" s="66" t="s">
        <v>93</v>
      </c>
      <c r="B42" s="84" t="s">
        <v>27</v>
      </c>
      <c r="C42" s="130"/>
      <c r="D42" s="130"/>
    </row>
    <row r="43" spans="1:7">
      <c r="A43" s="85"/>
      <c r="B43" s="85"/>
      <c r="C43" s="130"/>
      <c r="D43" s="130"/>
    </row>
    <row r="44" spans="1:7">
      <c r="A44" s="86"/>
      <c r="B44" s="86"/>
      <c r="C44" s="130"/>
      <c r="D44" s="130"/>
    </row>
    <row r="45" spans="1:7">
      <c r="A45" s="87"/>
      <c r="B45" s="87"/>
      <c r="C45" s="130"/>
      <c r="D45" s="130"/>
    </row>
    <row r="46" spans="1:7">
      <c r="C46" s="130"/>
      <c r="D46" s="130"/>
    </row>
    <row r="47" spans="1:7">
      <c r="C47" s="130"/>
      <c r="D47" s="130"/>
    </row>
    <row r="48" spans="1:7">
      <c r="C48" s="133"/>
      <c r="D48" s="133"/>
    </row>
    <row r="78" spans="4:4">
      <c r="D78" s="123" t="str">
        <f ca="1">IF(ROWS($1:24)&gt;COUNT(Dong),"",OFFSET('141-BH'!B$1,SMALL(Dong,ROWS($1:24)),))</f>
        <v/>
      </c>
    </row>
    <row r="79" spans="4:4">
      <c r="D79" s="123" t="str">
        <f ca="1">IF(ROWS($1:25)&gt;COUNT(Dong),"",OFFSET('141-BH'!B$1,SMALL(Dong,ROWS($1:25)),))</f>
        <v/>
      </c>
    </row>
    <row r="80" spans="4:4">
      <c r="D80" s="123" t="str">
        <f ca="1">IF(ROWS($1:26)&gt;COUNT(Dong),"",OFFSET('141-BH'!B$1,SMALL(Dong,ROWS($1:26)),))</f>
        <v/>
      </c>
    </row>
    <row r="81" spans="4:4">
      <c r="D81" s="123" t="str">
        <f ca="1">IF(ROWS($1:27)&gt;COUNT(Dong),"",OFFSET('141-BH'!B$1,SMALL(Dong,ROWS($1:27)),))</f>
        <v/>
      </c>
    </row>
    <row r="82" spans="4:4">
      <c r="D82" s="123" t="str">
        <f ca="1">IF(ROWS($1:28)&gt;COUNT(Dong),"",OFFSET('141-BH'!B$1,SMALL(Dong,ROWS($1:28)),))</f>
        <v/>
      </c>
    </row>
    <row r="83" spans="4:4">
      <c r="D83" s="123" t="str">
        <f ca="1">IF(ROWS($1:29)&gt;COUNT(Dong),"",OFFSET('141-BH'!B$1,SMALL(Dong,ROWS($1:29)),))</f>
        <v/>
      </c>
    </row>
    <row r="84" spans="4:4">
      <c r="D84" s="123" t="str">
        <f ca="1">IF(ROWS($1:30)&gt;COUNT(Dong),"",OFFSET('141-BH'!B$1,SMALL(Dong,ROWS($1:30)),))</f>
        <v/>
      </c>
    </row>
    <row r="85" spans="4:4">
      <c r="D85" s="123" t="str">
        <f ca="1">IF(ROWS($1:31)&gt;COUNT(Dong),"",OFFSET('141-BH'!B$1,SMALL(Dong,ROWS($1:31)),))</f>
        <v/>
      </c>
    </row>
    <row r="86" spans="4:4">
      <c r="D86" s="123" t="str">
        <f ca="1">IF(ROWS($1:32)&gt;COUNT(Dong),"",OFFSET('141-BH'!B$1,SMALL(Dong,ROWS($1:32)),))</f>
        <v/>
      </c>
    </row>
    <row r="87" spans="4:4">
      <c r="D87" s="123" t="str">
        <f ca="1">IF(ROWS($1:33)&gt;COUNT(Dong),"",OFFSET('141-BH'!B$1,SMALL(Dong,ROWS($1:33)),))</f>
        <v/>
      </c>
    </row>
    <row r="88" spans="4:4">
      <c r="D88" s="123" t="str">
        <f ca="1">IF(ROWS($1:34)&gt;COUNT(Dong),"",OFFSET('141-BH'!B$1,SMALL(Dong,ROWS($1:34)),))</f>
        <v/>
      </c>
    </row>
    <row r="89" spans="4:4">
      <c r="D89" s="123" t="str">
        <f ca="1">IF(ROWS($1:35)&gt;COUNT(Dong),"",OFFSET('141-BH'!B$1,SMALL(Dong,ROWS($1:35)),))</f>
        <v/>
      </c>
    </row>
    <row r="90" spans="4:4">
      <c r="D90" s="123" t="str">
        <f ca="1">IF(ROWS($1:36)&gt;COUNT(Dong),"",OFFSET('141-BH'!B$1,SMALL(Dong,ROWS($1:36)),))</f>
        <v/>
      </c>
    </row>
    <row r="91" spans="4:4">
      <c r="D91" s="123" t="str">
        <f ca="1">IF(ROWS($1:38)&gt;COUNT(Dong),"",OFFSET('141-BH'!B$1,SMALL(Dong,ROWS($1:38)),))</f>
        <v/>
      </c>
    </row>
    <row r="92" spans="4:4">
      <c r="D92" s="123" t="str">
        <f ca="1">IF(ROWS($1:39)&gt;COUNT(Dong),"",OFFSET('141-BH'!B$1,SMALL(Dong,ROWS($1:39)),))</f>
        <v/>
      </c>
    </row>
    <row r="93" spans="4:4">
      <c r="D93" s="123" t="str">
        <f ca="1">IF(ROWS($1:40)&gt;COUNT(Dong),"",OFFSET('141-BH'!B$1,SMALL(Dong,ROWS($1:40)),))</f>
        <v/>
      </c>
    </row>
    <row r="94" spans="4:4">
      <c r="D94" s="123" t="str">
        <f ca="1">IF(ROWS($1:41)&gt;COUNT(Dong),"",OFFSET('141-BH'!B$1,SMALL(Dong,ROWS($1:41)),))</f>
        <v/>
      </c>
    </row>
    <row r="95" spans="4:4">
      <c r="D95" s="123" t="str">
        <f ca="1">IF(ROWS($1:42)&gt;COUNT(Dong),"",OFFSET('141-BH'!B$1,SMALL(Dong,ROWS($1:42)),))</f>
        <v/>
      </c>
    </row>
    <row r="96" spans="4:4">
      <c r="D96" s="123" t="str">
        <f ca="1">IF(ROWS($1:43)&gt;COUNT(Dong),"",OFFSET('141-BH'!B$1,SMALL(Dong,ROWS($1:43)),))</f>
        <v/>
      </c>
    </row>
    <row r="97" spans="4:4">
      <c r="D97" s="123" t="str">
        <f ca="1">IF(ROWS($1:44)&gt;COUNT(Dong),"",OFFSET('141-BH'!B$1,SMALL(Dong,ROWS($1:44)),))</f>
        <v/>
      </c>
    </row>
    <row r="98" spans="4:4">
      <c r="D98" s="123" t="str">
        <f ca="1">IF(ROWS($1:45)&gt;COUNT(Dong),"",OFFSET('141-BH'!B$1,SMALL(Dong,ROWS($1:45)),))</f>
        <v/>
      </c>
    </row>
    <row r="99" spans="4:4">
      <c r="D99" s="123" t="str">
        <f ca="1">IF(ROWS($1:46)&gt;COUNT(Dong),"",OFFSET('141-BH'!B$1,SMALL(Dong,ROWS($1:46)),))</f>
        <v/>
      </c>
    </row>
    <row r="100" spans="4:4">
      <c r="D100" s="123" t="str">
        <f ca="1">IF(ROWS($1:47)&gt;COUNT(Dong),"",OFFSET('141-BH'!B$1,SMALL(Dong,ROWS($1:47)),))</f>
        <v/>
      </c>
    </row>
    <row r="101" spans="4:4">
      <c r="D101" s="123" t="str">
        <f ca="1">IF(ROWS($1:48)&gt;COUNT(Dong),"",OFFSET('141-BH'!B$1,SMALL(Dong,ROWS($1:48)),))</f>
        <v/>
      </c>
    </row>
    <row r="102" spans="4:4">
      <c r="D102" s="123" t="str">
        <f ca="1">IF(ROWS($1:49)&gt;COUNT(Dong),"",OFFSET('141-BH'!B$1,SMALL(Dong,ROWS($1:49)),))</f>
        <v/>
      </c>
    </row>
    <row r="103" spans="4:4">
      <c r="D103" s="123" t="str">
        <f ca="1">IF(ROWS($1:50)&gt;COUNT(Dong),"",OFFSET('141-BH'!B$1,SMALL(Dong,ROWS($1:50)),))</f>
        <v/>
      </c>
    </row>
    <row r="104" spans="4:4">
      <c r="D104" s="123" t="str">
        <f ca="1">IF(ROWS($1:51)&gt;COUNT(Dong),"",OFFSET('141-BH'!B$1,SMALL(Dong,ROWS($1:51)),))</f>
        <v/>
      </c>
    </row>
    <row r="105" spans="4:4">
      <c r="D105" s="123" t="str">
        <f ca="1">IF(ROWS($1:52)&gt;COUNT(Dong),"",OFFSET('141-BH'!B$1,SMALL(Dong,ROWS($1:52)),))</f>
        <v/>
      </c>
    </row>
    <row r="106" spans="4:4">
      <c r="D106" s="123" t="str">
        <f ca="1">IF(ROWS($1:53)&gt;COUNT(Dong),"",OFFSET('141-BH'!B$1,SMALL(Dong,ROWS($1:53)),))</f>
        <v/>
      </c>
    </row>
    <row r="107" spans="4:4">
      <c r="D107" s="123" t="str">
        <f ca="1">IF(ROWS($1:54)&gt;COUNT(Dong),"",OFFSET('141-BH'!B$1,SMALL(Dong,ROWS($1:54)),))</f>
        <v/>
      </c>
    </row>
    <row r="108" spans="4:4">
      <c r="D108" s="123" t="str">
        <f ca="1">IF(ROWS($1:55)&gt;COUNT(Dong),"",OFFSET('141-BH'!B$1,SMALL(Dong,ROWS($1:55)),))</f>
        <v/>
      </c>
    </row>
    <row r="109" spans="4:4">
      <c r="D109" s="123" t="str">
        <f ca="1">IF(ROWS($1:56)&gt;COUNT(Dong),"",OFFSET('141-BH'!B$1,SMALL(Dong,ROWS($1:56)),))</f>
        <v/>
      </c>
    </row>
    <row r="110" spans="4:4">
      <c r="D110" s="123" t="str">
        <f ca="1">IF(ROWS($1:57)&gt;COUNT(Dong),"",OFFSET('141-BH'!B$1,SMALL(Dong,ROWS($1:57)),))</f>
        <v/>
      </c>
    </row>
    <row r="111" spans="4:4">
      <c r="D111" s="123" t="str">
        <f ca="1">IF(ROWS($1:58)&gt;COUNT(Dong),"",OFFSET('141-BH'!B$1,SMALL(Dong,ROWS($1:58)),))</f>
        <v/>
      </c>
    </row>
    <row r="112" spans="4:4">
      <c r="D112" s="123" t="str">
        <f ca="1">IF(ROWS($1:59)&gt;COUNT(Dong),"",OFFSET('141-BH'!B$1,SMALL(Dong,ROWS($1:59)),))</f>
        <v/>
      </c>
    </row>
    <row r="113" spans="4:4">
      <c r="D113" s="123" t="str">
        <f ca="1">IF(ROWS($1:60)&gt;COUNT(Dong),"",OFFSET('141-BH'!B$1,SMALL(Dong,ROWS($1:60)),))</f>
        <v/>
      </c>
    </row>
    <row r="114" spans="4:4">
      <c r="D114" s="123" t="str">
        <f ca="1">IF(ROWS($1:61)&gt;COUNT(Dong),"",OFFSET('141-BH'!B$1,SMALL(Dong,ROWS($1:61)),))</f>
        <v/>
      </c>
    </row>
    <row r="115" spans="4:4">
      <c r="D115" s="123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A25" sqref="A25"/>
    </sheetView>
  </sheetViews>
  <sheetFormatPr defaultRowHeight="16.5"/>
  <cols>
    <col min="1" max="1" width="82.5703125" style="65" customWidth="1"/>
    <col min="2" max="2" width="19.285156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11" width="9.140625" style="123"/>
    <col min="12" max="16384" width="9.140625" style="65"/>
  </cols>
  <sheetData>
    <row r="1" spans="1:11" s="63" customFormat="1" ht="15">
      <c r="A1" s="15" t="s">
        <v>0</v>
      </c>
      <c r="B1" s="62"/>
      <c r="C1" s="119"/>
      <c r="D1" s="119"/>
      <c r="E1" s="120"/>
      <c r="F1" s="121"/>
      <c r="G1" s="121"/>
      <c r="H1" s="121"/>
      <c r="I1" s="121"/>
      <c r="J1" s="121"/>
      <c r="K1" s="121"/>
    </row>
    <row r="2" spans="1:11" s="63" customFormat="1" ht="15" customHeight="1">
      <c r="A2" s="15" t="s">
        <v>1</v>
      </c>
      <c r="B2" s="64"/>
      <c r="C2" s="119"/>
      <c r="D2" s="122" t="s">
        <v>96</v>
      </c>
      <c r="E2" s="120"/>
      <c r="F2" s="121"/>
      <c r="G2" s="121"/>
      <c r="H2" s="121"/>
      <c r="I2" s="121"/>
      <c r="J2" s="121"/>
      <c r="K2" s="121"/>
    </row>
    <row r="3" spans="1:11" ht="28.5" customHeight="1">
      <c r="A3" s="297" t="s">
        <v>76</v>
      </c>
      <c r="B3" s="297"/>
      <c r="D3" s="92">
        <v>6</v>
      </c>
    </row>
    <row r="4" spans="1:11" ht="14.25" customHeight="1">
      <c r="A4" s="291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6   năm   2014</v>
      </c>
      <c r="B4" s="291"/>
      <c r="C4" s="53"/>
      <c r="D4" s="53"/>
    </row>
    <row r="5" spans="1:11" ht="14.25" customHeight="1">
      <c r="A5" s="298"/>
      <c r="B5" s="66" t="str">
        <f ca="1">IF(ROWS($1:1)&gt;COUNT(Dong04),"","Số:   "&amp;OFFSET('141-TT'!N$1,SMALL(Dong04,ROWS($1:1)),))</f>
        <v>Số:   TU12</v>
      </c>
    </row>
    <row r="6" spans="1:11" ht="14.25" customHeight="1">
      <c r="A6" s="298"/>
      <c r="B6" s="66" t="s">
        <v>77</v>
      </c>
    </row>
    <row r="7" spans="1:11" ht="14.25" customHeight="1">
      <c r="A7" s="298"/>
      <c r="B7" s="66" t="s">
        <v>78</v>
      </c>
    </row>
    <row r="8" spans="1:11" ht="15.75" customHeight="1">
      <c r="A8" s="67" t="s">
        <v>94</v>
      </c>
    </row>
    <row r="9" spans="1:11" ht="15.75" customHeight="1">
      <c r="A9" s="67" t="s">
        <v>80</v>
      </c>
    </row>
    <row r="10" spans="1:11" ht="15.75" customHeight="1">
      <c r="A10" s="68" t="s">
        <v>81</v>
      </c>
    </row>
    <row r="11" spans="1:11" s="70" customFormat="1" ht="24.75" customHeight="1">
      <c r="A11" s="69" t="s">
        <v>8</v>
      </c>
      <c r="B11" s="69" t="s">
        <v>82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83</v>
      </c>
    </row>
    <row r="13" spans="1:11" s="70" customFormat="1" ht="20.25" customHeight="1">
      <c r="A13" s="72" t="s">
        <v>84</v>
      </c>
      <c r="B13" s="73">
        <f ca="1">B14+B15</f>
        <v>2078516500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85</v>
      </c>
      <c r="B14" s="75">
        <f ca="1">IF(ROWS($1:1)&gt;COUNT(_Dau1),"",OFFSET('141-TT'!H$1,SMALL(_Dau1,COUNT(_Dau1)),))</f>
        <v>28516500</v>
      </c>
    </row>
    <row r="15" spans="1:11" ht="20.25" customHeight="1">
      <c r="A15" s="74" t="s">
        <v>86</v>
      </c>
      <c r="B15" s="75">
        <f ca="1">SUM(B16:B22)</f>
        <v>2050000000</v>
      </c>
    </row>
    <row r="16" spans="1:11" s="79" customFormat="1" ht="20.25" customHeight="1">
      <c r="A16" s="76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........C10.....ngày....13/6/2014</v>
      </c>
      <c r="B16" s="77">
        <f ca="1">IF(ROWS($1:1)&gt;COUNT(Dong03),"",OFFSET('141-TT'!R$1,SMALL(Dong03,ROWS($1:1)),))</f>
        <v>800000000</v>
      </c>
      <c r="C16" s="124"/>
      <c r="D16" s="148"/>
      <c r="E16" s="78"/>
      <c r="F16" s="126"/>
      <c r="G16" s="127"/>
      <c r="H16" s="127"/>
      <c r="I16" s="127"/>
      <c r="J16" s="127"/>
      <c r="K16" s="127"/>
    </row>
    <row r="17" spans="1:11" s="79" customFormat="1" ht="20.25" customHeight="1">
      <c r="A17" s="76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........C13.....ngày....15/6/2014</v>
      </c>
      <c r="B17" s="77">
        <f ca="1">IF(ROWS($1:2)&gt;COUNT(Dong03),"",OFFSET('141-TT'!R$1,SMALL(Dong03,ROWS($1:2)),))</f>
        <v>650000000</v>
      </c>
      <c r="C17" s="124"/>
      <c r="D17" s="148"/>
      <c r="E17" s="78"/>
      <c r="F17" s="126"/>
      <c r="G17" s="127"/>
      <c r="H17" s="127"/>
      <c r="I17" s="127"/>
      <c r="J17" s="127"/>
      <c r="K17" s="127"/>
    </row>
    <row r="18" spans="1:11" s="79" customFormat="1" ht="20.25" customHeight="1">
      <c r="A18" s="76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........C24.....ngày....26/6/2014</v>
      </c>
      <c r="B18" s="77">
        <f ca="1">IF(ROWS($1:3)&gt;COUNT(Dong03),"",OFFSET('141-TT'!R$1,SMALL(Dong03,ROWS($1:3)),))</f>
        <v>600000000</v>
      </c>
      <c r="C18" s="128"/>
      <c r="D18" s="128"/>
      <c r="E18" s="78"/>
      <c r="F18" s="126"/>
      <c r="G18" s="127"/>
      <c r="H18" s="127"/>
      <c r="I18" s="127"/>
      <c r="J18" s="127"/>
      <c r="K18" s="127"/>
    </row>
    <row r="19" spans="1:11" s="79" customFormat="1" ht="20.25" customHeight="1">
      <c r="A19" s="76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77" t="str">
        <f ca="1">IF(ROWS($1:4)&gt;COUNT(Dong03),"",OFFSET('141-TT'!R$1,SMALL(Dong03,ROWS($1:4)),))</f>
        <v/>
      </c>
      <c r="C19" s="124"/>
      <c r="D19" s="148"/>
      <c r="E19" s="78"/>
      <c r="F19" s="126"/>
      <c r="G19" s="127"/>
      <c r="H19" s="127"/>
      <c r="I19" s="127"/>
      <c r="J19" s="127"/>
      <c r="K19" s="127"/>
    </row>
    <row r="20" spans="1:11" s="79" customFormat="1" ht="20.25" customHeight="1">
      <c r="A20" s="76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77" t="str">
        <f ca="1">IF(ROWS($1:5)&gt;COUNT(Dong03),"",OFFSET('141-TT'!R$1,SMALL(Dong03,ROWS($1:5)),))</f>
        <v/>
      </c>
      <c r="C20" s="124"/>
      <c r="D20" s="148"/>
      <c r="E20" s="78"/>
      <c r="F20" s="126"/>
      <c r="G20" s="127"/>
      <c r="H20" s="127"/>
      <c r="I20" s="127"/>
      <c r="J20" s="127"/>
      <c r="K20" s="127"/>
    </row>
    <row r="21" spans="1:11" s="79" customFormat="1" ht="20.25" customHeight="1">
      <c r="A21" s="76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77" t="str">
        <f ca="1">IF(ROWS($1:6)&gt;COUNT(Dong03),"",OFFSET('141-TT'!R$1,SMALL(Dong03,ROWS($1:6)),))</f>
        <v/>
      </c>
      <c r="C21" s="124"/>
      <c r="D21" s="148"/>
      <c r="E21" s="78"/>
      <c r="F21" s="126"/>
      <c r="G21" s="127"/>
      <c r="H21" s="127"/>
      <c r="I21" s="127"/>
      <c r="J21" s="127"/>
      <c r="K21" s="127"/>
    </row>
    <row r="22" spans="1:11" s="79" customFormat="1" ht="20.25" customHeight="1">
      <c r="A22" s="76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77" t="str">
        <f ca="1">IF(ROWS($1:7)&gt;COUNT(Dong03),"",OFFSET('141-TT'!R$1,SMALL(Dong03,ROWS($1:7)),))</f>
        <v/>
      </c>
      <c r="C22" s="124"/>
      <c r="D22" s="148"/>
      <c r="E22" s="78"/>
      <c r="F22" s="126"/>
      <c r="G22" s="127"/>
      <c r="H22" s="127"/>
      <c r="I22" s="127"/>
      <c r="J22" s="127"/>
      <c r="K22" s="127"/>
    </row>
    <row r="23" spans="1:11" s="70" customFormat="1" ht="20.25" customHeight="1">
      <c r="A23" s="72" t="s">
        <v>87</v>
      </c>
      <c r="B23" s="73">
        <f ca="1">SUM(B24:B41)</f>
        <v>2057173000</v>
      </c>
      <c r="C23" s="78"/>
      <c r="D23" s="128"/>
      <c r="E23" s="80"/>
      <c r="F23" s="80"/>
      <c r="G23" s="80"/>
      <c r="H23" s="80"/>
      <c r="I23" s="80"/>
      <c r="J23" s="80"/>
      <c r="K23" s="80"/>
    </row>
    <row r="24" spans="1:11" s="79" customFormat="1" ht="20.25" customHeight="1">
      <c r="A24" s="81" t="str">
        <f ca="1">IF(ROWS($1:1)&gt;COUNT(Dong04),"","- "&amp;OFFSET('141-TT'!P$1,SMALL(Dong04,ROWS($1:1)),)&amp;" - PNK số: " &amp;OFFSET('141-TT'!T$1,SMALL(Dong04,ROWS($1:1)),)&amp; " Tháng "&amp;$D$3&amp;"/2014")</f>
        <v>- Đỗ Thị Hoàng Mai - PNK số: N09/NL &amp; N37/NL Tháng 6/2014</v>
      </c>
      <c r="B24" s="82">
        <f ca="1">IF(ROWS($1:1)&gt;COUNT(Dong04),"",OFFSET('141-TT'!S$1,SMALL(Dong04,ROWS($1:1)),))</f>
        <v>283955000</v>
      </c>
      <c r="C24" s="124"/>
      <c r="D24" s="58"/>
      <c r="E24" s="53"/>
      <c r="F24" s="106"/>
      <c r="G24" s="127"/>
      <c r="H24" s="127"/>
      <c r="I24" s="127"/>
      <c r="J24" s="127"/>
      <c r="K24" s="127"/>
    </row>
    <row r="25" spans="1:11" s="79" customFormat="1" ht="20.25" customHeight="1">
      <c r="A25" s="81" t="str">
        <f ca="1">IF(ROWS($1:2)&gt;COUNT(Dong04),"","- "&amp;OFFSET('141-TT'!P$1,SMALL(Dong04,ROWS($1:2)),)&amp;" - PNK số: " &amp;OFFSET('141-TT'!T$1,SMALL(Dong04,ROWS($1:2)),)&amp; " Tháng "&amp;$D$3&amp;"/2014")</f>
        <v>- Đỗ Văn Tâm - PNK số: N01/NL &amp; N07/NL Tháng 6/2014</v>
      </c>
      <c r="B25" s="82">
        <f ca="1">IF(ROWS($1:2)&gt;COUNT(Dong04),"",OFFSET('141-TT'!S$1,SMALL(Dong04,ROWS($1:2)),))</f>
        <v>177378000</v>
      </c>
      <c r="C25" s="90"/>
      <c r="D25" s="58"/>
      <c r="E25" s="53"/>
      <c r="F25" s="106"/>
      <c r="G25" s="127"/>
      <c r="H25" s="127"/>
      <c r="I25" s="127"/>
      <c r="J25" s="127"/>
      <c r="K25" s="127"/>
    </row>
    <row r="26" spans="1:11" s="79" customFormat="1" ht="20.25" customHeight="1">
      <c r="A26" s="81" t="str">
        <f ca="1">IF(ROWS($1:3)&gt;COUNT(Dong04),"","- "&amp;OFFSET('141-TT'!P$1,SMALL(Dong04,ROWS($1:3)),)&amp;" - PNK số: " &amp;OFFSET('141-TT'!T$1,SMALL(Dong04,ROWS($1:3)),)&amp; " Tháng "&amp;$D$3&amp;"/2014")</f>
        <v>- Hồ Thị Mỹ - PNK số: N08/NL Tháng 6/2014</v>
      </c>
      <c r="B26" s="82">
        <f ca="1">IF(ROWS($1:3)&gt;COUNT(Dong04),"",OFFSET('141-TT'!S$1,SMALL(Dong04,ROWS($1:3)),))</f>
        <v>101439000</v>
      </c>
      <c r="C26" s="90"/>
      <c r="D26" s="58"/>
      <c r="E26" s="53"/>
      <c r="F26" s="106"/>
      <c r="G26" s="127"/>
      <c r="H26" s="127"/>
      <c r="I26" s="127"/>
      <c r="J26" s="127"/>
      <c r="K26" s="127"/>
    </row>
    <row r="27" spans="1:11" s="79" customFormat="1" ht="20.25" customHeight="1">
      <c r="A27" s="81" t="str">
        <f ca="1">IF(ROWS($1:4)&gt;COUNT(Dong04),"","- "&amp;OFFSET('141-TT'!P$1,SMALL(Dong04,ROWS($1:4)),)&amp;" - PNK số: " &amp;OFFSET('141-TT'!T$1,SMALL(Dong04,ROWS($1:4)),)&amp; " Tháng "&amp;$D$3&amp;"/2014")</f>
        <v>- Lê Văn Thành - PNK số: N10/NL &amp; N38/NL Tháng 6/2014</v>
      </c>
      <c r="B27" s="82">
        <f ca="1">IF(ROWS($1:4)&gt;COUNT(Dong04),"",OFFSET('141-TT'!S$1,SMALL(Dong04,ROWS($1:4)),))</f>
        <v>296661000</v>
      </c>
      <c r="C27" s="90"/>
      <c r="D27" s="58"/>
      <c r="E27" s="53"/>
      <c r="F27" s="106"/>
      <c r="G27" s="127"/>
      <c r="H27" s="127"/>
      <c r="I27" s="127"/>
      <c r="J27" s="127"/>
      <c r="K27" s="127"/>
    </row>
    <row r="28" spans="1:11" s="79" customFormat="1" ht="20.25" customHeight="1">
      <c r="A28" s="81" t="str">
        <f ca="1">IF(ROWS($1:5)&gt;COUNT(Dong04),"","- "&amp;OFFSET('141-TT'!P$1,SMALL(Dong04,ROWS($1:5)),)&amp;" - PNK số: " &amp;OFFSET('141-TT'!T$1,SMALL(Dong04,ROWS($1:5)),)&amp; " Tháng "&amp;$D$3&amp;"/2014")</f>
        <v>- Nguyễn Thanh Vân - PNK số: N02/NL &amp; N09/NL Tháng 6/2014</v>
      </c>
      <c r="B28" s="82">
        <f ca="1">IF(ROWS($1:5)&gt;COUNT(Dong04),"",OFFSET('141-TT'!S$1,SMALL(Dong04,ROWS($1:5)),))</f>
        <v>189754000</v>
      </c>
      <c r="C28" s="90"/>
      <c r="D28" s="58"/>
      <c r="E28" s="53"/>
      <c r="F28" s="106"/>
      <c r="G28" s="127"/>
      <c r="H28" s="127"/>
      <c r="I28" s="127"/>
      <c r="J28" s="127"/>
      <c r="K28" s="127"/>
    </row>
    <row r="29" spans="1:11" s="79" customFormat="1" ht="20.25" customHeight="1">
      <c r="A29" s="81" t="str">
        <f ca="1">IF(ROWS($1:6)&gt;COUNT(Dong04),"","- "&amp;OFFSET('141-TT'!P$1,SMALL(Dong04,ROWS($1:6)),)&amp;" - PNK số: " &amp;OFFSET('141-TT'!T$1,SMALL(Dong04,ROWS($1:6)),)&amp; " Tháng "&amp;$D$3&amp;"/2014")</f>
        <v>- Nguyễn Thị Mộng Tuyền - PNK số: N11/NL &amp; N39/NL Tháng 6/2014</v>
      </c>
      <c r="B29" s="82">
        <f ca="1">IF(ROWS($1:6)&gt;COUNT(Dong04),"",OFFSET('141-TT'!S$1,SMALL(Dong04,ROWS($1:6)),))</f>
        <v>310562000</v>
      </c>
      <c r="C29" s="90"/>
      <c r="D29" s="58"/>
      <c r="E29" s="53"/>
      <c r="F29" s="106"/>
      <c r="G29" s="127"/>
      <c r="H29" s="127"/>
      <c r="I29" s="127"/>
      <c r="J29" s="127"/>
      <c r="K29" s="127"/>
    </row>
    <row r="30" spans="1:11" s="79" customFormat="1" ht="20.25" customHeight="1">
      <c r="A30" s="81" t="str">
        <f ca="1">IF(ROWS($1:7)&gt;COUNT(Dong04),"","- "&amp;OFFSET('141-TT'!P$1,SMALL(Dong04,ROWS($1:7)),)&amp;" - PNK số: " &amp;OFFSET('141-TT'!T$1,SMALL(Dong04,ROWS($1:7)),)&amp; " Tháng "&amp;$D$3&amp;"/2014")</f>
        <v>- Nguyễn Văn Đức - PNK số: N03/NL Tháng 6/2014</v>
      </c>
      <c r="B30" s="82">
        <f ca="1">IF(ROWS($1:7)&gt;COUNT(Dong04),"",OFFSET('141-TT'!S$1,SMALL(Dong04,ROWS($1:7)),))</f>
        <v>99127000</v>
      </c>
      <c r="C30" s="90"/>
      <c r="D30" s="58"/>
      <c r="E30" s="53"/>
      <c r="F30" s="106"/>
      <c r="G30" s="127"/>
      <c r="H30" s="127"/>
      <c r="I30" s="127"/>
      <c r="J30" s="127"/>
      <c r="K30" s="127"/>
    </row>
    <row r="31" spans="1:11" s="79" customFormat="1" ht="20.25" customHeight="1">
      <c r="A31" s="81" t="str">
        <f ca="1">IF(ROWS($1:8)&gt;COUNT(Dong04),"","- "&amp;OFFSET('141-TT'!P$1,SMALL(Dong04,ROWS($1:8)),)&amp;" - PNK số: " &amp;OFFSET('141-TT'!T$1,SMALL(Dong04,ROWS($1:8)),)&amp; " Tháng "&amp;$D$3&amp;"/2014")</f>
        <v>- Nguyễn Văn Tư - PNK số: N04/NL &amp; N10/NL Tháng 6/2014</v>
      </c>
      <c r="B31" s="82">
        <f ca="1">IF(ROWS($1:8)&gt;COUNT(Dong04),"",OFFSET('141-TT'!S$1,SMALL(Dong04,ROWS($1:8)),))</f>
        <v>180302000</v>
      </c>
      <c r="C31" s="90"/>
      <c r="D31" s="58"/>
      <c r="E31" s="53"/>
      <c r="F31" s="106"/>
      <c r="G31" s="127"/>
      <c r="H31" s="127"/>
      <c r="I31" s="127"/>
      <c r="J31" s="127"/>
      <c r="K31" s="127"/>
    </row>
    <row r="32" spans="1:11" s="79" customFormat="1" ht="20.25" customHeight="1">
      <c r="A32" s="81" t="str">
        <f ca="1">IF(ROWS($1:9)&gt;COUNT(Dong04),"","- "&amp;OFFSET('141-TT'!P$1,SMALL(Dong04,ROWS($1:9)),)&amp;" - PNK số: " &amp;OFFSET('141-TT'!T$1,SMALL(Dong04,ROWS($1:9)),)&amp; " Tháng "&amp;$D$3&amp;"/2014")</f>
        <v>- Phạm Thị Chính - PNK số: N12/NL &amp; N40/NL Tháng 6/2014</v>
      </c>
      <c r="B32" s="82">
        <f ca="1">IF(ROWS($1:9)&gt;COUNT(Dong04),"",OFFSET('141-TT'!S$1,SMALL(Dong04,ROWS($1:9)),))</f>
        <v>299352000</v>
      </c>
      <c r="C32" s="90"/>
      <c r="D32" s="58"/>
      <c r="E32" s="53"/>
      <c r="F32" s="106"/>
      <c r="G32" s="127"/>
      <c r="H32" s="127"/>
      <c r="I32" s="127"/>
      <c r="J32" s="127"/>
      <c r="K32" s="127"/>
    </row>
    <row r="33" spans="1:11" s="79" customFormat="1" ht="20.25" customHeight="1">
      <c r="A33" s="81" t="str">
        <f ca="1">IF(ROWS($1:10)&gt;COUNT(Dong04),"","- "&amp;OFFSET('141-TT'!P$1,SMALL(Dong04,ROWS($1:10)),)&amp;" - PNK số: " &amp;OFFSET('141-TT'!T$1,SMALL(Dong04,ROWS($1:10)),)&amp; " Tháng "&amp;$D$3&amp;"/2014")</f>
        <v>- Trần Thị Lang - PNK số: N27/NL Tháng 6/2014</v>
      </c>
      <c r="B33" s="82">
        <f ca="1">IF(ROWS($1:10)&gt;COUNT(Dong04),"",OFFSET('141-TT'!S$1,SMALL(Dong04,ROWS($1:10)),))</f>
        <v>118643000</v>
      </c>
      <c r="C33" s="90"/>
      <c r="D33" s="58"/>
      <c r="E33" s="53"/>
      <c r="F33" s="106"/>
      <c r="G33" s="127"/>
      <c r="H33" s="127"/>
      <c r="I33" s="127"/>
      <c r="J33" s="127"/>
      <c r="K33" s="127"/>
    </row>
    <row r="34" spans="1:11" s="79" customFormat="1" ht="20.25" customHeight="1">
      <c r="A34" s="81" t="str">
        <f ca="1">IF(ROWS($1:11)&gt;COUNT(Dong04),"","- "&amp;OFFSET('141-TT'!P$1,SMALL(Dong04,ROWS($1:11)),)&amp;" - PNK số: " &amp;OFFSET('141-TT'!T$1,SMALL(Dong04,ROWS($1:11)),)&amp; " Tháng "&amp;$D$3&amp;"/2014")</f>
        <v/>
      </c>
      <c r="B34" s="82" t="str">
        <f ca="1">IF(ROWS($1:11)&gt;COUNT(Dong04),"",OFFSET('141-TT'!S$1,SMALL(Dong04,ROWS($1:11)),))</f>
        <v/>
      </c>
      <c r="C34" s="90"/>
      <c r="D34" s="58"/>
      <c r="E34" s="53"/>
      <c r="F34" s="106"/>
      <c r="G34" s="127"/>
      <c r="H34" s="127"/>
      <c r="I34" s="127"/>
      <c r="J34" s="127"/>
      <c r="K34" s="127"/>
    </row>
    <row r="35" spans="1:11" s="79" customFormat="1" ht="20.25" customHeight="1">
      <c r="A35" s="81" t="str">
        <f ca="1">IF(ROWS($1:12)&gt;COUNT(Dong04),"","- "&amp;OFFSET('141-TT'!P$1,SMALL(Dong04,ROWS($1:12)),)&amp;" - PNK số: " &amp;OFFSET('141-TT'!T$1,SMALL(Dong04,ROWS($1:12)),)&amp; " Tháng "&amp;$D$3&amp;"/2014")</f>
        <v/>
      </c>
      <c r="B35" s="82" t="str">
        <f ca="1">IF(ROWS($1:12)&gt;COUNT(Dong04),"",OFFSET('141-TT'!S$1,SMALL(Dong04,ROWS($1:12)),))</f>
        <v/>
      </c>
      <c r="C35" s="90"/>
      <c r="D35" s="58"/>
      <c r="E35" s="53"/>
      <c r="F35" s="106"/>
      <c r="G35" s="127"/>
      <c r="H35" s="127"/>
      <c r="I35" s="127"/>
      <c r="J35" s="127"/>
      <c r="K35" s="127"/>
    </row>
    <row r="36" spans="1:11" s="79" customFormat="1" ht="20.25" customHeight="1">
      <c r="A36" s="81" t="str">
        <f ca="1">IF(ROWS($1:13)&gt;COUNT(Dong04),"","- "&amp;OFFSET('141-TT'!P$1,SMALL(Dong04,ROWS($1:13)),)&amp;" - PNK số: " &amp;OFFSET('141-TT'!T$1,SMALL(Dong04,ROWS($1:13)),)&amp; " Tháng "&amp;$D$3&amp;"/2014")</f>
        <v/>
      </c>
      <c r="B36" s="82" t="str">
        <f ca="1">IF(ROWS($1:13)&gt;COUNT(Dong04),"",OFFSET('141-TT'!S$1,SMALL(Dong04,ROWS($1:13)),))</f>
        <v/>
      </c>
      <c r="C36" s="90"/>
      <c r="D36" s="58"/>
      <c r="E36" s="53"/>
      <c r="F36" s="106"/>
      <c r="G36" s="127"/>
      <c r="H36" s="127"/>
      <c r="I36" s="127"/>
      <c r="J36" s="127"/>
      <c r="K36" s="127"/>
    </row>
    <row r="37" spans="1:11" s="79" customFormat="1" ht="20.25" customHeight="1">
      <c r="A37" s="81" t="str">
        <f ca="1">IF(ROWS($1:14)&gt;COUNT(Dong04),"","- "&amp;OFFSET('141-TT'!P$1,SMALL(Dong04,ROWS($1:14)),)&amp;" - PNK số: " &amp;OFFSET('141-TT'!T$1,SMALL(Dong04,ROWS($1:14)),)&amp; " Tháng "&amp;$D$3&amp;"/2014")</f>
        <v/>
      </c>
      <c r="B37" s="82" t="str">
        <f ca="1">IF(ROWS($1:14)&gt;COUNT(Dong04),"",OFFSET('141-TT'!S$1,SMALL(Dong04,ROWS($1:14)),))</f>
        <v/>
      </c>
      <c r="C37" s="90"/>
      <c r="D37" s="58"/>
      <c r="E37" s="53"/>
      <c r="F37" s="106"/>
      <c r="G37" s="127"/>
      <c r="H37" s="127"/>
      <c r="I37" s="127"/>
      <c r="J37" s="127"/>
      <c r="K37" s="127"/>
    </row>
    <row r="38" spans="1:11" s="79" customFormat="1" ht="20.25" customHeight="1">
      <c r="A38" s="81" t="str">
        <f ca="1">IF(ROWS($1:15)&gt;COUNT(Dong04),"","- "&amp;OFFSET('141-TT'!P$1,SMALL(Dong04,ROWS($1:15)),)&amp;" - PNK số: " &amp;OFFSET('141-TT'!T$1,SMALL(Dong04,ROWS($1:15)),)&amp; " Tháng "&amp;$D$3&amp;"/2014")</f>
        <v/>
      </c>
      <c r="B38" s="82" t="str">
        <f ca="1">IF(ROWS($1:15)&gt;COUNT(Dong04),"",OFFSET('141-TT'!S$1,SMALL(Dong04,ROWS($1:15)),))</f>
        <v/>
      </c>
      <c r="C38" s="90"/>
      <c r="D38" s="58"/>
      <c r="E38" s="53"/>
      <c r="F38" s="106"/>
      <c r="G38" s="127"/>
      <c r="H38" s="127"/>
      <c r="I38" s="127"/>
      <c r="J38" s="127"/>
      <c r="K38" s="127"/>
    </row>
    <row r="39" spans="1:11" s="79" customFormat="1" ht="20.25" customHeight="1">
      <c r="A39" s="81" t="str">
        <f ca="1">IF(ROWS($1:16)&gt;COUNT(Dong04),"","- "&amp;OFFSET('141-TT'!P$1,SMALL(Dong04,ROWS($1:16)),)&amp;" - PNK số: " &amp;OFFSET('141-TT'!T$1,SMALL(Dong04,ROWS($1:16)),)&amp; " Tháng "&amp;$D$3&amp;"/2014")</f>
        <v/>
      </c>
      <c r="B39" s="82" t="str">
        <f ca="1">IF(ROWS($1:16)&gt;COUNT(Dong04),"",OFFSET('141-TT'!S$1,SMALL(Dong04,ROWS($1:16)),))</f>
        <v/>
      </c>
      <c r="C39" s="90"/>
      <c r="D39" s="58"/>
      <c r="E39" s="53"/>
      <c r="F39" s="106"/>
      <c r="G39" s="127"/>
      <c r="H39" s="127"/>
      <c r="I39" s="127"/>
      <c r="J39" s="127"/>
      <c r="K39" s="127"/>
    </row>
    <row r="40" spans="1:11" s="79" customFormat="1" ht="20.25" customHeight="1">
      <c r="A40" s="81" t="str">
        <f ca="1">IF(ROWS($1:17)&gt;COUNT(Dong04),"","- "&amp;OFFSET('141-TT'!P$1,SMALL(Dong04,ROWS($1:17)),)&amp;" - PNK số: " &amp;OFFSET('141-TT'!T$1,SMALL(Dong04,ROWS($1:17)),)&amp; " Tháng "&amp;$D$3&amp;"/2014")</f>
        <v/>
      </c>
      <c r="B40" s="82" t="str">
        <f ca="1">IF(ROWS($1:17)&gt;COUNT(Dong04),"",OFFSET('141-TT'!S$1,SMALL(Dong04,ROWS($1:17)),))</f>
        <v/>
      </c>
      <c r="C40" s="90"/>
      <c r="D40" s="58"/>
      <c r="E40" s="53"/>
      <c r="F40" s="106"/>
      <c r="G40" s="127"/>
      <c r="H40" s="127"/>
      <c r="I40" s="127"/>
      <c r="J40" s="127"/>
      <c r="K40" s="127"/>
    </row>
    <row r="41" spans="1:11" s="79" customFormat="1" ht="20.25" customHeight="1">
      <c r="A41" s="81" t="str">
        <f ca="1">IF(ROWS($1:18)&gt;COUNT(Dong04),"","- "&amp;OFFSET('141-TT'!P$1,SMALL(Dong04,ROWS($1:18)),)&amp;" - PNK số: " &amp;OFFSET('141-TT'!T$1,SMALL(Dong04,ROWS($1:18)),)&amp; " Tháng "&amp;$D$3&amp;"/2014")</f>
        <v/>
      </c>
      <c r="B41" s="82" t="str">
        <f ca="1">IF(ROWS($1:18)&gt;COUNT(Dong04),"",OFFSET('141-TT'!S$1,SMALL(Dong04,ROWS($1:18)),))</f>
        <v/>
      </c>
      <c r="C41" s="90"/>
      <c r="D41" s="58"/>
      <c r="E41" s="53"/>
      <c r="F41" s="106"/>
      <c r="G41" s="127"/>
      <c r="H41" s="127"/>
      <c r="I41" s="127"/>
      <c r="J41" s="127"/>
      <c r="K41" s="127"/>
    </row>
    <row r="42" spans="1:11" s="70" customFormat="1" ht="20.25" customHeight="1">
      <c r="A42" s="72" t="s">
        <v>88</v>
      </c>
      <c r="B42" s="73">
        <f ca="1">B13-B23</f>
        <v>21343500</v>
      </c>
      <c r="C42" s="133"/>
      <c r="D42" s="135"/>
      <c r="E42" s="123"/>
      <c r="F42" s="80"/>
      <c r="G42" s="80"/>
      <c r="H42" s="80"/>
      <c r="I42" s="80"/>
      <c r="J42" s="80"/>
      <c r="K42" s="80"/>
    </row>
    <row r="43" spans="1:11" ht="20.25" customHeight="1">
      <c r="A43" s="74" t="s">
        <v>89</v>
      </c>
      <c r="B43" s="75">
        <f ca="1">B42</f>
        <v>21343500</v>
      </c>
      <c r="C43" s="133"/>
      <c r="D43" s="135"/>
    </row>
    <row r="44" spans="1:11" ht="20.25" customHeight="1">
      <c r="A44" s="74" t="s">
        <v>90</v>
      </c>
      <c r="B44" s="75"/>
      <c r="C44" s="133"/>
      <c r="D44" s="135"/>
    </row>
    <row r="45" spans="1:11" ht="14.25" customHeight="1">
      <c r="A45" s="88"/>
      <c r="C45" s="133"/>
      <c r="D45" s="135"/>
    </row>
    <row r="46" spans="1:11" ht="33" customHeight="1">
      <c r="A46" s="83" t="s">
        <v>91</v>
      </c>
      <c r="B46" s="83" t="s">
        <v>92</v>
      </c>
      <c r="C46" s="130"/>
      <c r="D46" s="135"/>
    </row>
    <row r="47" spans="1:11">
      <c r="A47" s="66" t="s">
        <v>95</v>
      </c>
      <c r="B47" s="84" t="s">
        <v>27</v>
      </c>
      <c r="C47" s="130"/>
      <c r="D47" s="130"/>
    </row>
    <row r="48" spans="1:11">
      <c r="A48" s="85"/>
      <c r="B48" s="85"/>
      <c r="C48" s="130"/>
      <c r="D48" s="130"/>
    </row>
    <row r="49" spans="1:4">
      <c r="A49" s="86"/>
      <c r="B49" s="86"/>
      <c r="C49" s="130"/>
      <c r="D49" s="130"/>
    </row>
    <row r="50" spans="1:4">
      <c r="A50" s="87"/>
      <c r="B50" s="87"/>
      <c r="C50" s="130"/>
      <c r="D50" s="130"/>
    </row>
    <row r="51" spans="1:4">
      <c r="C51" s="130"/>
      <c r="D51" s="130"/>
    </row>
    <row r="52" spans="1:4">
      <c r="C52" s="130"/>
      <c r="D52" s="130"/>
    </row>
    <row r="53" spans="1:4">
      <c r="C53" s="133"/>
      <c r="D53" s="133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311-341</vt:lpstr>
      <vt:lpstr>TH-VAY</vt:lpstr>
      <vt:lpstr>CT-VAY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'311-341'!Print_Area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2015-09-10T07:41:50Z</cp:lastPrinted>
  <dcterms:created xsi:type="dcterms:W3CDTF">1996-10-14T23:33:28Z</dcterms:created>
  <dcterms:modified xsi:type="dcterms:W3CDTF">2015-09-10T08:38:28Z</dcterms:modified>
</cp:coreProperties>
</file>