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45" windowWidth="15330" windowHeight="436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TH!$A$4:$O$488</definedName>
    <definedName name="_xlnm._FilterDatabase" localSheetId="4" hidden="1">'THE KHO'!$A$1:$J$1</definedName>
    <definedName name="_NXT1">NXT!$M$12:$M$402</definedName>
    <definedName name="Dong">IF(Loai01="x",ROW(Loai01)-1,"")</definedName>
    <definedName name="Dong3">IF(Loai='THE KHO'!$E$7,ROW(Loai)-1,"")</definedName>
    <definedName name="DS">TH!$B$5:$O$488</definedName>
    <definedName name="DSGT1">BTGT!$B$7:$B$10</definedName>
    <definedName name="DSGT10">BTGT!$B$215:$B$221</definedName>
    <definedName name="DSGT11">BTGT!$B$241:$B$247</definedName>
    <definedName name="DSGT12">BTGT!$B$266:$B$272</definedName>
    <definedName name="DSGT2">BTGT!$B$28:$B$30</definedName>
    <definedName name="DSGT3">BTGT!$B$46:$B$50</definedName>
    <definedName name="DSGT4">BTGT!$B$68:$B$70</definedName>
    <definedName name="DSGT5">BTGT!$B$90:$B$92</definedName>
    <definedName name="DSGT6">BTGT!$B$110:$B$114</definedName>
    <definedName name="DSGT7">BTGT!$B$138:$B$141</definedName>
    <definedName name="DSGT8">BTGT!$B$161:$B$165</definedName>
    <definedName name="DSGT9">BTGT!$B$188:$B$193</definedName>
    <definedName name="DSKH1">'[1]331'!$B$4:$B$35</definedName>
    <definedName name="DSKH2">'[1]331'!$B$35:$B$76</definedName>
    <definedName name="DSNL">NXT!$N$12:$S$553</definedName>
    <definedName name="DSNX1">TH!$F$5:$F$622</definedName>
    <definedName name="DSNX2">TH!$K$5:$K$622</definedName>
    <definedName name="DSNX3">TH!$M$5:$M$622</definedName>
    <definedName name="DSNX4">TH!$N$5:$N$622</definedName>
    <definedName name="DSNX5">TH!$L$5:$L$622</definedName>
    <definedName name="DSNX6">TH!$H$5:$H$622</definedName>
    <definedName name="DSNX7">TH!$I$5:$I$622</definedName>
    <definedName name="DSNX8">TH!$G$5:$G$622</definedName>
    <definedName name="DSNXT1">NXT!$C$53:$C$66</definedName>
    <definedName name="DSSP1">BTGT!$B$7:$P$10</definedName>
    <definedName name="DSSP10">BTGT!$B$215:$P$221</definedName>
    <definedName name="DSSP11">BTGT!$B$241:$P$247</definedName>
    <definedName name="DSSP12">BTGT!$B$266:$P$272</definedName>
    <definedName name="DSSP2">BTGT!$B$28:$P$30</definedName>
    <definedName name="DSSP3">BTGT!$B$46:$P$50</definedName>
    <definedName name="DSSP4">BTGT!$B$68:$P$70</definedName>
    <definedName name="DSSP5">BTGT!$B$90:$P$92</definedName>
    <definedName name="DSSP6">BTGT!$B$110:$P$113</definedName>
    <definedName name="DSSP7">BTGT!$B$138:$P$141</definedName>
    <definedName name="DSSP8">BTGT!$B$161:$P$165</definedName>
    <definedName name="DSSP9">BTGT!$B$188:$P$193</definedName>
    <definedName name="Loai">OFFSET(TH!$F$5,,,COUNTA(TH!$F$5:$F$40158))</definedName>
    <definedName name="Loai01">OFFSET(TH!$O$5,,,COUNTA(TH!$O$5:$O$30158))</definedName>
    <definedName name="Loai1">OFFSET(TH!$B$5,,,COUNTA(TH!$B$5:$B$30158))</definedName>
    <definedName name="Loai2">OFFSET(INDIRECT(ADDRESS(MATCH(RIGHT(TH!$C1,2),NXT,0)+11,3,,,"NXT")),0,0,COUNTIF(NXT,RIGHT(TH!$C1,2)),1)</definedName>
    <definedName name="Loai3">OFFSET(INDIRECT(ADDRESS(MATCH(RIGHT(TH!$C1,2),_NXT1,0)+11,14,,,"NXT")),0,0,COUNTIF(_NXT1,RIGHT(TH!$C1,2)),1)</definedName>
    <definedName name="NXT">NXT!$A$12:$A$390</definedName>
    <definedName name="_xlnm.Print_Area" localSheetId="5">'BANG KE NL'!$A$1:$K$65</definedName>
    <definedName name="_xlnm.Print_Area" localSheetId="1">'IN-NX'!$A$1:$I$36</definedName>
    <definedName name="_xlnm.Print_Area" localSheetId="3">'SO CT'!$B$2:$M$37</definedName>
    <definedName name="_xlnm.Print_Area" localSheetId="2">TH!$E$13:$J$30</definedName>
    <definedName name="_xlnm.Print_Area" localSheetId="4">'THE KHO'!$A$1:$J$38</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B20" i="70"/>
  <c r="B21"/>
  <c r="B22" s="1"/>
  <c r="B23" s="1"/>
  <c r="B24" s="1"/>
  <c r="B25" s="1"/>
  <c r="B26" s="1"/>
  <c r="B27" s="1"/>
  <c r="B28" s="1"/>
  <c r="B29" s="1"/>
  <c r="B30" s="1"/>
  <c r="B31" s="1"/>
  <c r="B32" s="1"/>
  <c r="A7" i="88" l="1"/>
  <c r="B7"/>
  <c r="L7"/>
  <c r="N7"/>
  <c r="O7"/>
  <c r="I194" i="90" l="1"/>
  <c r="E51"/>
  <c r="E31"/>
  <c r="M13" i="70" l="1"/>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72"/>
  <c r="M73"/>
  <c r="M74"/>
  <c r="M75"/>
  <c r="M76"/>
  <c r="M77"/>
  <c r="M78"/>
  <c r="M79"/>
  <c r="M80"/>
  <c r="M81"/>
  <c r="M82"/>
  <c r="M83"/>
  <c r="M84"/>
  <c r="M85"/>
  <c r="M86"/>
  <c r="M87"/>
  <c r="M59"/>
  <c r="M60"/>
  <c r="M61"/>
  <c r="M62"/>
  <c r="M63"/>
  <c r="M64"/>
  <c r="M65"/>
  <c r="M66"/>
  <c r="M67"/>
  <c r="M68"/>
  <c r="M69"/>
  <c r="M70"/>
  <c r="B45"/>
  <c r="A46" s="1"/>
  <c r="G45"/>
  <c r="I45"/>
  <c r="B11" i="88"/>
  <c r="B12"/>
  <c r="B13"/>
  <c r="B14"/>
  <c r="B15"/>
  <c r="B16"/>
  <c r="B17"/>
  <c r="B18"/>
  <c r="B19"/>
  <c r="B20"/>
  <c r="B21"/>
  <c r="B22"/>
  <c r="B23"/>
  <c r="B24"/>
  <c r="B25"/>
  <c r="B26"/>
  <c r="B27"/>
  <c r="B28"/>
  <c r="B29"/>
  <c r="B30"/>
  <c r="B31"/>
  <c r="B32"/>
  <c r="B33"/>
  <c r="B34"/>
  <c r="B35"/>
  <c r="B36"/>
  <c r="B37"/>
  <c r="B38"/>
  <c r="B39"/>
  <c r="B40"/>
  <c r="B41"/>
  <c r="V279" i="90"/>
  <c r="V280"/>
  <c r="V281"/>
  <c r="V282"/>
  <c r="V283"/>
  <c r="V284"/>
  <c r="V278"/>
  <c r="V267"/>
  <c r="V268"/>
  <c r="V269"/>
  <c r="V270"/>
  <c r="V271"/>
  <c r="V272"/>
  <c r="V273"/>
  <c r="V274"/>
  <c r="V275"/>
  <c r="V266"/>
  <c r="V254"/>
  <c r="V255"/>
  <c r="V256"/>
  <c r="V257"/>
  <c r="V258"/>
  <c r="V253"/>
  <c r="V242"/>
  <c r="V243"/>
  <c r="V244"/>
  <c r="V245"/>
  <c r="V246"/>
  <c r="V247"/>
  <c r="V248"/>
  <c r="V249"/>
  <c r="V250"/>
  <c r="V241"/>
  <c r="V228"/>
  <c r="V229"/>
  <c r="V230"/>
  <c r="V231"/>
  <c r="V232"/>
  <c r="V233"/>
  <c r="V234"/>
  <c r="V227"/>
  <c r="V216"/>
  <c r="V217"/>
  <c r="V218"/>
  <c r="V219"/>
  <c r="V220"/>
  <c r="V221"/>
  <c r="V222"/>
  <c r="V223"/>
  <c r="V224"/>
  <c r="V215"/>
  <c r="V201"/>
  <c r="V202"/>
  <c r="V203"/>
  <c r="V204"/>
  <c r="V205"/>
  <c r="V206"/>
  <c r="V207"/>
  <c r="V200"/>
  <c r="V189"/>
  <c r="V190"/>
  <c r="V191"/>
  <c r="V192"/>
  <c r="V193"/>
  <c r="V194"/>
  <c r="V195"/>
  <c r="V196"/>
  <c r="V197"/>
  <c r="V188"/>
  <c r="V175"/>
  <c r="V176"/>
  <c r="V177"/>
  <c r="V178"/>
  <c r="V179"/>
  <c r="V180"/>
  <c r="V181"/>
  <c r="V174"/>
  <c r="V162"/>
  <c r="V163"/>
  <c r="V164"/>
  <c r="V165"/>
  <c r="V166"/>
  <c r="V167"/>
  <c r="V168"/>
  <c r="V169"/>
  <c r="V170"/>
  <c r="V171"/>
  <c r="V161"/>
  <c r="V151"/>
  <c r="V152"/>
  <c r="V153"/>
  <c r="V154"/>
  <c r="V155"/>
  <c r="V150"/>
  <c r="V139"/>
  <c r="V140"/>
  <c r="V141"/>
  <c r="V142"/>
  <c r="V143"/>
  <c r="V144"/>
  <c r="V145"/>
  <c r="V146"/>
  <c r="V147"/>
  <c r="V138"/>
  <c r="V126"/>
  <c r="V127"/>
  <c r="V128"/>
  <c r="V129"/>
  <c r="V130"/>
  <c r="V131"/>
  <c r="V125"/>
  <c r="V111"/>
  <c r="V112"/>
  <c r="V113"/>
  <c r="V114"/>
  <c r="V115"/>
  <c r="V116"/>
  <c r="V117"/>
  <c r="V118"/>
  <c r="V119"/>
  <c r="V120"/>
  <c r="V121"/>
  <c r="V122"/>
  <c r="V110"/>
  <c r="V100"/>
  <c r="V101"/>
  <c r="V102"/>
  <c r="V103"/>
  <c r="V99"/>
  <c r="V91"/>
  <c r="V92"/>
  <c r="V93"/>
  <c r="V94"/>
  <c r="V95"/>
  <c r="V96"/>
  <c r="V90"/>
  <c r="V82"/>
  <c r="V83"/>
  <c r="V84"/>
  <c r="V81"/>
  <c r="V69"/>
  <c r="V70"/>
  <c r="V71"/>
  <c r="V72"/>
  <c r="V73"/>
  <c r="V74"/>
  <c r="V75"/>
  <c r="V76"/>
  <c r="V77"/>
  <c r="V78"/>
  <c r="V68"/>
  <c r="V58"/>
  <c r="V59"/>
  <c r="V60"/>
  <c r="V61"/>
  <c r="V62"/>
  <c r="V57"/>
  <c r="V47"/>
  <c r="V48"/>
  <c r="V49"/>
  <c r="V50"/>
  <c r="V51"/>
  <c r="V52"/>
  <c r="V53"/>
  <c r="V54"/>
  <c r="V46"/>
  <c r="V39"/>
  <c r="V40"/>
  <c r="V38"/>
  <c r="V29"/>
  <c r="V30"/>
  <c r="V31"/>
  <c r="V32"/>
  <c r="V33"/>
  <c r="V34"/>
  <c r="V35"/>
  <c r="V28"/>
  <c r="V19"/>
  <c r="V20"/>
  <c r="V21"/>
  <c r="V22"/>
  <c r="V18"/>
  <c r="V8"/>
  <c r="V9"/>
  <c r="V10"/>
  <c r="V11"/>
  <c r="V12"/>
  <c r="V13"/>
  <c r="V14"/>
  <c r="V15"/>
  <c r="V7"/>
  <c r="K45" i="70" l="1"/>
  <c r="L28" i="90"/>
  <c r="W17"/>
  <c r="G20" i="70"/>
  <c r="H20"/>
  <c r="I20"/>
  <c r="J20"/>
  <c r="G21"/>
  <c r="H21"/>
  <c r="I21"/>
  <c r="J21"/>
  <c r="G22"/>
  <c r="H22"/>
  <c r="I22"/>
  <c r="J22"/>
  <c r="G23"/>
  <c r="H23"/>
  <c r="I23"/>
  <c r="J23"/>
  <c r="B33"/>
  <c r="B34"/>
  <c r="B35"/>
  <c r="B36"/>
  <c r="B37"/>
  <c r="B38"/>
  <c r="B47"/>
  <c r="A48" s="1"/>
  <c r="B48"/>
  <c r="A49" s="1"/>
  <c r="B49"/>
  <c r="A50" s="1"/>
  <c r="B50"/>
  <c r="A51" s="1"/>
  <c r="K23" l="1"/>
  <c r="K21"/>
  <c r="K20"/>
  <c r="L23"/>
  <c r="L22"/>
  <c r="L21"/>
  <c r="L20"/>
  <c r="K22"/>
  <c r="V37" i="90"/>
  <c r="I31" s="1"/>
  <c r="A14" i="88"/>
  <c r="O14" s="1"/>
  <c r="A27"/>
  <c r="O27" s="1"/>
  <c r="A28"/>
  <c r="O28" s="1"/>
  <c r="A29"/>
  <c r="O29" s="1"/>
  <c r="A30"/>
  <c r="O30" s="1"/>
  <c r="A31"/>
  <c r="O31" s="1"/>
  <c r="A32"/>
  <c r="O32" s="1"/>
  <c r="A33"/>
  <c r="O33" s="1"/>
  <c r="A15"/>
  <c r="O15" s="1"/>
  <c r="A16"/>
  <c r="O16" s="1"/>
  <c r="A17"/>
  <c r="O17" s="1"/>
  <c r="A18"/>
  <c r="O18" s="1"/>
  <c r="A19"/>
  <c r="O19" s="1"/>
  <c r="G26" i="70" l="1"/>
  <c r="H26"/>
  <c r="I26"/>
  <c r="J26"/>
  <c r="G27"/>
  <c r="H27"/>
  <c r="I27"/>
  <c r="J27"/>
  <c r="G28"/>
  <c r="I28"/>
  <c r="G29"/>
  <c r="I29"/>
  <c r="G30"/>
  <c r="I30"/>
  <c r="G31"/>
  <c r="I31"/>
  <c r="G32"/>
  <c r="I32"/>
  <c r="G33"/>
  <c r="H33"/>
  <c r="I33"/>
  <c r="J33"/>
  <c r="G34"/>
  <c r="H34"/>
  <c r="I34"/>
  <c r="J34"/>
  <c r="G35"/>
  <c r="H35"/>
  <c r="I35"/>
  <c r="J35"/>
  <c r="G36"/>
  <c r="H36"/>
  <c r="I36"/>
  <c r="J36"/>
  <c r="G37"/>
  <c r="H37"/>
  <c r="I37"/>
  <c r="J37"/>
  <c r="G38"/>
  <c r="H38"/>
  <c r="I38"/>
  <c r="J38"/>
  <c r="G39"/>
  <c r="H39"/>
  <c r="I39"/>
  <c r="J39"/>
  <c r="G40"/>
  <c r="H40"/>
  <c r="I40"/>
  <c r="J40"/>
  <c r="G24"/>
  <c r="H24"/>
  <c r="I24"/>
  <c r="J24"/>
  <c r="G14"/>
  <c r="I14"/>
  <c r="G15"/>
  <c r="I15"/>
  <c r="G16"/>
  <c r="I16"/>
  <c r="G17"/>
  <c r="I17"/>
  <c r="G18"/>
  <c r="I18"/>
  <c r="G19"/>
  <c r="I19"/>
  <c r="J25"/>
  <c r="I25"/>
  <c r="H25"/>
  <c r="G25"/>
  <c r="L27" l="1"/>
  <c r="K27"/>
  <c r="K31"/>
  <c r="K24"/>
  <c r="K29"/>
  <c r="L25"/>
  <c r="L24"/>
  <c r="L26"/>
  <c r="K32"/>
  <c r="K30"/>
  <c r="K28"/>
  <c r="K26"/>
  <c r="K25"/>
  <c r="N13" i="88"/>
  <c r="L13"/>
  <c r="A13"/>
  <c r="O13" s="1"/>
  <c r="L14"/>
  <c r="N14"/>
  <c r="A9"/>
  <c r="O9" s="1"/>
  <c r="L9"/>
  <c r="N9"/>
  <c r="A10"/>
  <c r="O10" s="1"/>
  <c r="L10"/>
  <c r="N10"/>
  <c r="A11"/>
  <c r="O11" s="1"/>
  <c r="L11"/>
  <c r="N11"/>
  <c r="A12"/>
  <c r="O12" s="1"/>
  <c r="L12"/>
  <c r="N12"/>
  <c r="A8"/>
  <c r="O8" s="1"/>
  <c r="L8"/>
  <c r="N8"/>
  <c r="A6"/>
  <c r="O6" s="1"/>
  <c r="L6"/>
  <c r="N6"/>
  <c r="B14" i="75"/>
  <c r="B42" i="70" l="1"/>
  <c r="A43" s="1"/>
  <c r="E67"/>
  <c r="F43"/>
  <c r="E43"/>
  <c r="F51"/>
  <c r="E51"/>
  <c r="F67"/>
  <c r="J63" i="89"/>
  <c r="A4"/>
  <c r="E16" i="91"/>
  <c r="D5"/>
  <c r="C29" i="90"/>
  <c r="C48"/>
  <c r="C49"/>
  <c r="C69"/>
  <c r="C68"/>
  <c r="C91"/>
  <c r="C90"/>
  <c r="C111"/>
  <c r="C112"/>
  <c r="C113"/>
  <c r="C110"/>
  <c r="C139"/>
  <c r="C140"/>
  <c r="C138"/>
  <c r="C162"/>
  <c r="C163"/>
  <c r="C164"/>
  <c r="C165"/>
  <c r="C161"/>
  <c r="C189"/>
  <c r="C190"/>
  <c r="C191"/>
  <c r="C192"/>
  <c r="C188"/>
  <c r="C216"/>
  <c r="C217"/>
  <c r="C218"/>
  <c r="C219"/>
  <c r="C220"/>
  <c r="C215"/>
  <c r="P29"/>
  <c r="L27" i="88"/>
  <c r="N27"/>
  <c r="L28"/>
  <c r="N28"/>
  <c r="L29"/>
  <c r="N29"/>
  <c r="L30"/>
  <c r="N30"/>
  <c r="L31"/>
  <c r="N31"/>
  <c r="L33"/>
  <c r="N33"/>
  <c r="L32"/>
  <c r="N32"/>
  <c r="L15"/>
  <c r="N15"/>
  <c r="L16"/>
  <c r="N16"/>
  <c r="L17"/>
  <c r="N17"/>
  <c r="L18"/>
  <c r="H15" i="70" s="1"/>
  <c r="N18" i="88"/>
  <c r="J15" i="70" s="1"/>
  <c r="H16"/>
  <c r="J16"/>
  <c r="L19" i="88"/>
  <c r="H17" i="70" s="1"/>
  <c r="N19" i="88"/>
  <c r="J17" i="70" s="1"/>
  <c r="L20" i="88"/>
  <c r="H18" i="70" s="1"/>
  <c r="N20" i="88"/>
  <c r="J18" i="70" s="1"/>
  <c r="L21" i="88"/>
  <c r="H19" i="70" s="1"/>
  <c r="N21" i="88"/>
  <c r="J19" i="70" s="1"/>
  <c r="L22" i="88"/>
  <c r="H30" i="70" s="1"/>
  <c r="N22" i="88"/>
  <c r="J30" i="70" s="1"/>
  <c r="L23" i="88"/>
  <c r="H31" i="70" s="1"/>
  <c r="N23" i="88"/>
  <c r="J31" i="70" s="1"/>
  <c r="L24" i="88"/>
  <c r="H32" i="70" s="1"/>
  <c r="N24" i="88"/>
  <c r="J32" i="70" s="1"/>
  <c r="L25" i="88"/>
  <c r="H28" i="70" s="1"/>
  <c r="N25" i="88"/>
  <c r="J28" i="70" s="1"/>
  <c r="L26" i="88"/>
  <c r="H29" i="70" s="1"/>
  <c r="N26" i="88"/>
  <c r="J29" i="70" s="1"/>
  <c r="L34" i="88"/>
  <c r="H45" i="70" s="1"/>
  <c r="N34" i="88"/>
  <c r="J45" i="70" s="1"/>
  <c r="L35" i="88"/>
  <c r="N35"/>
  <c r="L36"/>
  <c r="N36"/>
  <c r="L37"/>
  <c r="N37"/>
  <c r="L38"/>
  <c r="N38"/>
  <c r="L39"/>
  <c r="N39"/>
  <c r="L40"/>
  <c r="N40"/>
  <c r="L41"/>
  <c r="N41"/>
  <c r="L42"/>
  <c r="N42"/>
  <c r="L43"/>
  <c r="N43"/>
  <c r="L44"/>
  <c r="N44"/>
  <c r="L45"/>
  <c r="N45"/>
  <c r="L46"/>
  <c r="N46"/>
  <c r="L47"/>
  <c r="N47"/>
  <c r="L48"/>
  <c r="N48"/>
  <c r="L49"/>
  <c r="N49"/>
  <c r="L50"/>
  <c r="N50"/>
  <c r="L51"/>
  <c r="N51"/>
  <c r="L52"/>
  <c r="N52"/>
  <c r="L53"/>
  <c r="N53"/>
  <c r="L54"/>
  <c r="N54"/>
  <c r="L55"/>
  <c r="N55"/>
  <c r="L56"/>
  <c r="N56"/>
  <c r="L57"/>
  <c r="N57"/>
  <c r="L58"/>
  <c r="N58"/>
  <c r="L59"/>
  <c r="N59"/>
  <c r="L60"/>
  <c r="N60"/>
  <c r="L61"/>
  <c r="N61"/>
  <c r="L62"/>
  <c r="N62"/>
  <c r="L63"/>
  <c r="N63"/>
  <c r="L64"/>
  <c r="N64"/>
  <c r="L65"/>
  <c r="N65"/>
  <c r="L66"/>
  <c r="N66"/>
  <c r="L67"/>
  <c r="N67"/>
  <c r="L68"/>
  <c r="N68"/>
  <c r="L69"/>
  <c r="N69"/>
  <c r="L70"/>
  <c r="N70"/>
  <c r="L71"/>
  <c r="N71"/>
  <c r="L72"/>
  <c r="N72"/>
  <c r="L73"/>
  <c r="N73"/>
  <c r="L74"/>
  <c r="N74"/>
  <c r="L75"/>
  <c r="N75"/>
  <c r="L76"/>
  <c r="N76"/>
  <c r="L77"/>
  <c r="N77"/>
  <c r="L78"/>
  <c r="N78"/>
  <c r="L79"/>
  <c r="N79"/>
  <c r="L80"/>
  <c r="N80"/>
  <c r="L81"/>
  <c r="N81"/>
  <c r="L82"/>
  <c r="N82"/>
  <c r="L83"/>
  <c r="N83"/>
  <c r="L84"/>
  <c r="N84"/>
  <c r="L85"/>
  <c r="N85"/>
  <c r="L86"/>
  <c r="N86"/>
  <c r="L87"/>
  <c r="N87"/>
  <c r="L88"/>
  <c r="N88"/>
  <c r="L89"/>
  <c r="N89"/>
  <c r="L90"/>
  <c r="N90"/>
  <c r="L91"/>
  <c r="N91"/>
  <c r="L92"/>
  <c r="N92"/>
  <c r="L93"/>
  <c r="N93"/>
  <c r="L94"/>
  <c r="N94"/>
  <c r="L95"/>
  <c r="N95"/>
  <c r="L96"/>
  <c r="N96"/>
  <c r="L97"/>
  <c r="N97"/>
  <c r="L98"/>
  <c r="N98"/>
  <c r="L99"/>
  <c r="N99"/>
  <c r="L100"/>
  <c r="N100"/>
  <c r="L101"/>
  <c r="N101"/>
  <c r="L102"/>
  <c r="N102"/>
  <c r="L103"/>
  <c r="N103"/>
  <c r="L104"/>
  <c r="N104"/>
  <c r="L105"/>
  <c r="N105"/>
  <c r="L106"/>
  <c r="N106"/>
  <c r="L107"/>
  <c r="N107"/>
  <c r="L108"/>
  <c r="N108"/>
  <c r="L109"/>
  <c r="N109"/>
  <c r="L110"/>
  <c r="N110"/>
  <c r="L111"/>
  <c r="N111"/>
  <c r="L112"/>
  <c r="N112"/>
  <c r="L113"/>
  <c r="N113"/>
  <c r="L114"/>
  <c r="N114"/>
  <c r="L115"/>
  <c r="N115"/>
  <c r="L116"/>
  <c r="N116"/>
  <c r="L117"/>
  <c r="N117"/>
  <c r="L118"/>
  <c r="N118"/>
  <c r="L119"/>
  <c r="N119"/>
  <c r="L120"/>
  <c r="N120"/>
  <c r="L121"/>
  <c r="N121"/>
  <c r="L122"/>
  <c r="N122"/>
  <c r="L123"/>
  <c r="N123"/>
  <c r="L124"/>
  <c r="N124"/>
  <c r="L125"/>
  <c r="N125"/>
  <c r="L126"/>
  <c r="N126"/>
  <c r="L127"/>
  <c r="N127"/>
  <c r="L128"/>
  <c r="N128"/>
  <c r="L129"/>
  <c r="N129"/>
  <c r="L130"/>
  <c r="N130"/>
  <c r="L131"/>
  <c r="N131"/>
  <c r="L132"/>
  <c r="N132"/>
  <c r="L133"/>
  <c r="N133"/>
  <c r="L134"/>
  <c r="N134"/>
  <c r="L135"/>
  <c r="N135"/>
  <c r="L136"/>
  <c r="N136"/>
  <c r="L137"/>
  <c r="N137"/>
  <c r="L138"/>
  <c r="N138"/>
  <c r="L139"/>
  <c r="N139"/>
  <c r="L140"/>
  <c r="N140"/>
  <c r="L141"/>
  <c r="N141"/>
  <c r="L142"/>
  <c r="N142"/>
  <c r="L143"/>
  <c r="N143"/>
  <c r="L144"/>
  <c r="N144"/>
  <c r="L145"/>
  <c r="N145"/>
  <c r="L146"/>
  <c r="N146"/>
  <c r="L147"/>
  <c r="N147"/>
  <c r="L148"/>
  <c r="N148"/>
  <c r="L149"/>
  <c r="N149"/>
  <c r="L150"/>
  <c r="N150"/>
  <c r="L151"/>
  <c r="N151"/>
  <c r="L152"/>
  <c r="N152"/>
  <c r="L153"/>
  <c r="N153"/>
  <c r="L154"/>
  <c r="N154"/>
  <c r="L155"/>
  <c r="N155"/>
  <c r="L156"/>
  <c r="N156"/>
  <c r="L157"/>
  <c r="N157"/>
  <c r="L158"/>
  <c r="N158"/>
  <c r="L159"/>
  <c r="N159"/>
  <c r="L160"/>
  <c r="N160"/>
  <c r="L161"/>
  <c r="N161"/>
  <c r="L162"/>
  <c r="N162"/>
  <c r="L163"/>
  <c r="N163"/>
  <c r="L164"/>
  <c r="N164"/>
  <c r="L165"/>
  <c r="N165"/>
  <c r="L166"/>
  <c r="N166"/>
  <c r="L167"/>
  <c r="N167"/>
  <c r="L168"/>
  <c r="N168"/>
  <c r="L169"/>
  <c r="N169"/>
  <c r="L170"/>
  <c r="N170"/>
  <c r="L171"/>
  <c r="N171"/>
  <c r="L172"/>
  <c r="N172"/>
  <c r="L173"/>
  <c r="N173"/>
  <c r="L174"/>
  <c r="N174"/>
  <c r="L175"/>
  <c r="N175"/>
  <c r="L176"/>
  <c r="N176"/>
  <c r="L177"/>
  <c r="N177"/>
  <c r="L178"/>
  <c r="N178"/>
  <c r="L179"/>
  <c r="N179"/>
  <c r="L180"/>
  <c r="N180"/>
  <c r="L181"/>
  <c r="N181"/>
  <c r="L182"/>
  <c r="N182"/>
  <c r="L183"/>
  <c r="N183"/>
  <c r="L184"/>
  <c r="N184"/>
  <c r="L185"/>
  <c r="N185"/>
  <c r="L186"/>
  <c r="N186"/>
  <c r="L187"/>
  <c r="N187"/>
  <c r="L188"/>
  <c r="N188"/>
  <c r="L189"/>
  <c r="N189"/>
  <c r="L190"/>
  <c r="N190"/>
  <c r="L191"/>
  <c r="N191"/>
  <c r="L192"/>
  <c r="N192"/>
  <c r="L193"/>
  <c r="N193"/>
  <c r="L194"/>
  <c r="N194"/>
  <c r="L195"/>
  <c r="N195"/>
  <c r="L196"/>
  <c r="N196"/>
  <c r="L197"/>
  <c r="N197"/>
  <c r="L198"/>
  <c r="N198"/>
  <c r="L199"/>
  <c r="N199"/>
  <c r="L200"/>
  <c r="N200"/>
  <c r="L201"/>
  <c r="N201"/>
  <c r="L202"/>
  <c r="N202"/>
  <c r="L203"/>
  <c r="N203"/>
  <c r="L204"/>
  <c r="N204"/>
  <c r="L205"/>
  <c r="N205"/>
  <c r="L206"/>
  <c r="N206"/>
  <c r="L207"/>
  <c r="N207"/>
  <c r="L208"/>
  <c r="N208"/>
  <c r="L209"/>
  <c r="N209"/>
  <c r="L210"/>
  <c r="N210"/>
  <c r="L211"/>
  <c r="N211"/>
  <c r="L212"/>
  <c r="N212"/>
  <c r="L213"/>
  <c r="N213"/>
  <c r="L214"/>
  <c r="N214"/>
  <c r="L215"/>
  <c r="N215"/>
  <c r="L216"/>
  <c r="N216"/>
  <c r="L217"/>
  <c r="N217"/>
  <c r="L218"/>
  <c r="N218"/>
  <c r="L219"/>
  <c r="N219"/>
  <c r="L220"/>
  <c r="N220"/>
  <c r="L221"/>
  <c r="N221"/>
  <c r="L222"/>
  <c r="N222"/>
  <c r="L223"/>
  <c r="N223"/>
  <c r="L224"/>
  <c r="N224"/>
  <c r="L225"/>
  <c r="N225"/>
  <c r="L226"/>
  <c r="N226"/>
  <c r="L227"/>
  <c r="N227"/>
  <c r="L228"/>
  <c r="N228"/>
  <c r="L229"/>
  <c r="N229"/>
  <c r="L230"/>
  <c r="N230"/>
  <c r="L231"/>
  <c r="N231"/>
  <c r="L232"/>
  <c r="N232"/>
  <c r="L233"/>
  <c r="N233"/>
  <c r="L234"/>
  <c r="N234"/>
  <c r="L235"/>
  <c r="N235"/>
  <c r="L236"/>
  <c r="N236"/>
  <c r="L237"/>
  <c r="N237"/>
  <c r="L238"/>
  <c r="N238"/>
  <c r="L239"/>
  <c r="N239"/>
  <c r="L240"/>
  <c r="N240"/>
  <c r="L241"/>
  <c r="N241"/>
  <c r="L242"/>
  <c r="N242"/>
  <c r="L243"/>
  <c r="N243"/>
  <c r="L244"/>
  <c r="N244"/>
  <c r="L245"/>
  <c r="N245"/>
  <c r="L246"/>
  <c r="N246"/>
  <c r="L247"/>
  <c r="N247"/>
  <c r="L248"/>
  <c r="N248"/>
  <c r="L249"/>
  <c r="N249"/>
  <c r="L250"/>
  <c r="N250"/>
  <c r="L251"/>
  <c r="N251"/>
  <c r="L252"/>
  <c r="N252"/>
  <c r="L253"/>
  <c r="N253"/>
  <c r="L254"/>
  <c r="N254"/>
  <c r="L255"/>
  <c r="N255"/>
  <c r="L256"/>
  <c r="N256"/>
  <c r="L257"/>
  <c r="N257"/>
  <c r="L258"/>
  <c r="N258"/>
  <c r="L259"/>
  <c r="N259"/>
  <c r="L260"/>
  <c r="N260"/>
  <c r="L261"/>
  <c r="N261"/>
  <c r="L262"/>
  <c r="N262"/>
  <c r="L263"/>
  <c r="N263"/>
  <c r="L264"/>
  <c r="N264"/>
  <c r="L265"/>
  <c r="N265"/>
  <c r="L266"/>
  <c r="N266"/>
  <c r="L267"/>
  <c r="N267"/>
  <c r="L268"/>
  <c r="N268"/>
  <c r="L269"/>
  <c r="N269"/>
  <c r="L270"/>
  <c r="N270"/>
  <c r="L271"/>
  <c r="N271"/>
  <c r="L272"/>
  <c r="N272"/>
  <c r="L273"/>
  <c r="N273"/>
  <c r="L274"/>
  <c r="N274"/>
  <c r="L275"/>
  <c r="N275"/>
  <c r="L276"/>
  <c r="N276"/>
  <c r="L277"/>
  <c r="N277"/>
  <c r="L278"/>
  <c r="N278"/>
  <c r="L279"/>
  <c r="N279"/>
  <c r="L280"/>
  <c r="N280"/>
  <c r="L281"/>
  <c r="N281"/>
  <c r="L282"/>
  <c r="N282"/>
  <c r="L283"/>
  <c r="N283"/>
  <c r="L284"/>
  <c r="N284"/>
  <c r="L285"/>
  <c r="N285"/>
  <c r="L286"/>
  <c r="N286"/>
  <c r="L287"/>
  <c r="N287"/>
  <c r="L288"/>
  <c r="N288"/>
  <c r="L289"/>
  <c r="N289"/>
  <c r="L290"/>
  <c r="N290"/>
  <c r="L291"/>
  <c r="N291"/>
  <c r="L292"/>
  <c r="N292"/>
  <c r="L293"/>
  <c r="N293"/>
  <c r="L294"/>
  <c r="N294"/>
  <c r="L295"/>
  <c r="N295"/>
  <c r="L296"/>
  <c r="N296"/>
  <c r="L297"/>
  <c r="N297"/>
  <c r="L298"/>
  <c r="N298"/>
  <c r="L299"/>
  <c r="N299"/>
  <c r="L300"/>
  <c r="N300"/>
  <c r="L301"/>
  <c r="N301"/>
  <c r="L302"/>
  <c r="N302"/>
  <c r="L303"/>
  <c r="N303"/>
  <c r="L304"/>
  <c r="N304"/>
  <c r="L305"/>
  <c r="N305"/>
  <c r="L306"/>
  <c r="N306"/>
  <c r="L307"/>
  <c r="N307"/>
  <c r="L308"/>
  <c r="N308"/>
  <c r="L309"/>
  <c r="N309"/>
  <c r="L310"/>
  <c r="N310"/>
  <c r="L311"/>
  <c r="N311"/>
  <c r="L312"/>
  <c r="N312"/>
  <c r="L313"/>
  <c r="N313"/>
  <c r="L314"/>
  <c r="N314"/>
  <c r="L315"/>
  <c r="N315"/>
  <c r="L316"/>
  <c r="N316"/>
  <c r="L317"/>
  <c r="N317"/>
  <c r="L318"/>
  <c r="N318"/>
  <c r="L319"/>
  <c r="N319"/>
  <c r="L320"/>
  <c r="N320"/>
  <c r="L321"/>
  <c r="N321"/>
  <c r="L322"/>
  <c r="N322"/>
  <c r="L323"/>
  <c r="N323"/>
  <c r="L324"/>
  <c r="N324"/>
  <c r="L325"/>
  <c r="N325"/>
  <c r="L326"/>
  <c r="N326"/>
  <c r="L327"/>
  <c r="N327"/>
  <c r="L328"/>
  <c r="N328"/>
  <c r="L329"/>
  <c r="N329"/>
  <c r="L330"/>
  <c r="N330"/>
  <c r="L331"/>
  <c r="N331"/>
  <c r="L332"/>
  <c r="N332"/>
  <c r="L333"/>
  <c r="N333"/>
  <c r="L334"/>
  <c r="N334"/>
  <c r="L335"/>
  <c r="N335"/>
  <c r="L336"/>
  <c r="N336"/>
  <c r="L337"/>
  <c r="N337"/>
  <c r="L338"/>
  <c r="N338"/>
  <c r="L339"/>
  <c r="N339"/>
  <c r="L340"/>
  <c r="N340"/>
  <c r="L341"/>
  <c r="N341"/>
  <c r="L342"/>
  <c r="N342"/>
  <c r="L343"/>
  <c r="N343"/>
  <c r="L344"/>
  <c r="N344"/>
  <c r="L345"/>
  <c r="N345"/>
  <c r="L346"/>
  <c r="N346"/>
  <c r="L347"/>
  <c r="N347"/>
  <c r="L348"/>
  <c r="N348"/>
  <c r="L349"/>
  <c r="N349"/>
  <c r="L350"/>
  <c r="N350"/>
  <c r="L351"/>
  <c r="N351"/>
  <c r="L352"/>
  <c r="N352"/>
  <c r="L353"/>
  <c r="N353"/>
  <c r="L354"/>
  <c r="N354"/>
  <c r="L355"/>
  <c r="N355"/>
  <c r="L356"/>
  <c r="N356"/>
  <c r="L357"/>
  <c r="N357"/>
  <c r="L358"/>
  <c r="N358"/>
  <c r="L359"/>
  <c r="N359"/>
  <c r="L360"/>
  <c r="N360"/>
  <c r="L361"/>
  <c r="N361"/>
  <c r="L362"/>
  <c r="N362"/>
  <c r="L363"/>
  <c r="N363"/>
  <c r="L364"/>
  <c r="N364"/>
  <c r="L365"/>
  <c r="N365"/>
  <c r="L366"/>
  <c r="N366"/>
  <c r="L367"/>
  <c r="N367"/>
  <c r="L368"/>
  <c r="N368"/>
  <c r="L369"/>
  <c r="N369"/>
  <c r="L370"/>
  <c r="N370"/>
  <c r="L371"/>
  <c r="N371"/>
  <c r="L372"/>
  <c r="N372"/>
  <c r="L373"/>
  <c r="N373"/>
  <c r="L374"/>
  <c r="N374"/>
  <c r="L375"/>
  <c r="N375"/>
  <c r="L376"/>
  <c r="N376"/>
  <c r="L377"/>
  <c r="N377"/>
  <c r="L378"/>
  <c r="N378"/>
  <c r="L379"/>
  <c r="N379"/>
  <c r="L380"/>
  <c r="N380"/>
  <c r="L381"/>
  <c r="N381"/>
  <c r="L382"/>
  <c r="N382"/>
  <c r="L383"/>
  <c r="N383"/>
  <c r="L384"/>
  <c r="N384"/>
  <c r="L385"/>
  <c r="N385"/>
  <c r="L386"/>
  <c r="N386"/>
  <c r="L387"/>
  <c r="N387"/>
  <c r="L388"/>
  <c r="N388"/>
  <c r="L389"/>
  <c r="N389"/>
  <c r="L390"/>
  <c r="N390"/>
  <c r="L391"/>
  <c r="N391"/>
  <c r="L392"/>
  <c r="N392"/>
  <c r="L393"/>
  <c r="N393"/>
  <c r="L394"/>
  <c r="N394"/>
  <c r="L395"/>
  <c r="N395"/>
  <c r="L396"/>
  <c r="N396"/>
  <c r="L397"/>
  <c r="N397"/>
  <c r="L398"/>
  <c r="N398"/>
  <c r="L399"/>
  <c r="N399"/>
  <c r="L400"/>
  <c r="N400"/>
  <c r="L401"/>
  <c r="N401"/>
  <c r="L402"/>
  <c r="N402"/>
  <c r="L403"/>
  <c r="N403"/>
  <c r="L404"/>
  <c r="N404"/>
  <c r="L405"/>
  <c r="N405"/>
  <c r="L406"/>
  <c r="N406"/>
  <c r="L407"/>
  <c r="N407"/>
  <c r="L408"/>
  <c r="N408"/>
  <c r="L409"/>
  <c r="N409"/>
  <c r="L410"/>
  <c r="N410"/>
  <c r="L411"/>
  <c r="N411"/>
  <c r="L412"/>
  <c r="N412"/>
  <c r="L413"/>
  <c r="N413"/>
  <c r="L414"/>
  <c r="N414"/>
  <c r="L415"/>
  <c r="N415"/>
  <c r="L416"/>
  <c r="N416"/>
  <c r="L417"/>
  <c r="N417"/>
  <c r="L418"/>
  <c r="N418"/>
  <c r="L419"/>
  <c r="N419"/>
  <c r="L420"/>
  <c r="N420"/>
  <c r="L421"/>
  <c r="N421"/>
  <c r="L422"/>
  <c r="N422"/>
  <c r="L423"/>
  <c r="N423"/>
  <c r="L424"/>
  <c r="N424"/>
  <c r="L425"/>
  <c r="N425"/>
  <c r="L426"/>
  <c r="N426"/>
  <c r="L427"/>
  <c r="N427"/>
  <c r="L428"/>
  <c r="N428"/>
  <c r="L429"/>
  <c r="N429"/>
  <c r="L430"/>
  <c r="N430"/>
  <c r="L431"/>
  <c r="N431"/>
  <c r="L432"/>
  <c r="N432"/>
  <c r="L433"/>
  <c r="N433"/>
  <c r="L434"/>
  <c r="N434"/>
  <c r="L435"/>
  <c r="N435"/>
  <c r="L436"/>
  <c r="N436"/>
  <c r="L437"/>
  <c r="N437"/>
  <c r="L438"/>
  <c r="N438"/>
  <c r="L439"/>
  <c r="N439"/>
  <c r="L440"/>
  <c r="N440"/>
  <c r="L441"/>
  <c r="N441"/>
  <c r="L442"/>
  <c r="N442"/>
  <c r="L443"/>
  <c r="N443"/>
  <c r="L444"/>
  <c r="N444"/>
  <c r="L445"/>
  <c r="N445"/>
  <c r="L446"/>
  <c r="N446"/>
  <c r="L447"/>
  <c r="N447"/>
  <c r="L448"/>
  <c r="N448"/>
  <c r="L449"/>
  <c r="N449"/>
  <c r="L450"/>
  <c r="N450"/>
  <c r="L451"/>
  <c r="N451"/>
  <c r="L452"/>
  <c r="N452"/>
  <c r="L453"/>
  <c r="N453"/>
  <c r="L454"/>
  <c r="N454"/>
  <c r="L455"/>
  <c r="N455"/>
  <c r="L456"/>
  <c r="N456"/>
  <c r="L457"/>
  <c r="N457"/>
  <c r="L458"/>
  <c r="N458"/>
  <c r="L459"/>
  <c r="N459"/>
  <c r="L460"/>
  <c r="N460"/>
  <c r="L461"/>
  <c r="N461"/>
  <c r="L462"/>
  <c r="N462"/>
  <c r="L463"/>
  <c r="N463"/>
  <c r="L464"/>
  <c r="N464"/>
  <c r="L465"/>
  <c r="N465"/>
  <c r="L466"/>
  <c r="N466"/>
  <c r="L467"/>
  <c r="N467"/>
  <c r="L468"/>
  <c r="N468"/>
  <c r="L469"/>
  <c r="N469"/>
  <c r="L470"/>
  <c r="N470"/>
  <c r="L471"/>
  <c r="N471"/>
  <c r="L472"/>
  <c r="N472"/>
  <c r="L473"/>
  <c r="N473"/>
  <c r="L474"/>
  <c r="N474"/>
  <c r="L475"/>
  <c r="N475"/>
  <c r="L476"/>
  <c r="N476"/>
  <c r="L477"/>
  <c r="N477"/>
  <c r="L478"/>
  <c r="N478"/>
  <c r="L479"/>
  <c r="N479"/>
  <c r="L480"/>
  <c r="N480"/>
  <c r="L481"/>
  <c r="N481"/>
  <c r="L482"/>
  <c r="N482"/>
  <c r="L483"/>
  <c r="N483"/>
  <c r="L484"/>
  <c r="N484"/>
  <c r="L485"/>
  <c r="N485"/>
  <c r="L486"/>
  <c r="N486"/>
  <c r="L487"/>
  <c r="N487"/>
  <c r="L488"/>
  <c r="N488"/>
  <c r="L45" i="70" l="1"/>
  <c r="L32"/>
  <c r="L28"/>
  <c r="L31"/>
  <c r="L29"/>
  <c r="L30"/>
  <c r="A420" i="88"/>
  <c r="O420" s="1"/>
  <c r="A419"/>
  <c r="O419" s="1"/>
  <c r="A418"/>
  <c r="O418" s="1"/>
  <c r="A417"/>
  <c r="O417" s="1"/>
  <c r="A416"/>
  <c r="O416" s="1"/>
  <c r="A415"/>
  <c r="O415" s="1"/>
  <c r="A414"/>
  <c r="O414" s="1"/>
  <c r="A413"/>
  <c r="O413" s="1"/>
  <c r="A412"/>
  <c r="O412" s="1"/>
  <c r="A411"/>
  <c r="O411" s="1"/>
  <c r="A410"/>
  <c r="O410" s="1"/>
  <c r="A409"/>
  <c r="O409" s="1"/>
  <c r="A408"/>
  <c r="O408" s="1"/>
  <c r="A407"/>
  <c r="O407" s="1"/>
  <c r="A406"/>
  <c r="O406" s="1"/>
  <c r="A405"/>
  <c r="O405" s="1"/>
  <c r="A404"/>
  <c r="O404" s="1"/>
  <c r="A403"/>
  <c r="O403" s="1"/>
  <c r="A402"/>
  <c r="O402" s="1"/>
  <c r="A401"/>
  <c r="O401" s="1"/>
  <c r="A400"/>
  <c r="O400" s="1"/>
  <c r="A399"/>
  <c r="O399" s="1"/>
  <c r="A398"/>
  <c r="O398" s="1"/>
  <c r="A397"/>
  <c r="O397" s="1"/>
  <c r="A396"/>
  <c r="O396" s="1"/>
  <c r="A389"/>
  <c r="O389" s="1"/>
  <c r="A395"/>
  <c r="O395" s="1"/>
  <c r="A394"/>
  <c r="O394" s="1"/>
  <c r="A393"/>
  <c r="O393" s="1"/>
  <c r="A392"/>
  <c r="O392" s="1"/>
  <c r="A391"/>
  <c r="O391" s="1"/>
  <c r="A390"/>
  <c r="O390" s="1"/>
  <c r="A388"/>
  <c r="O388" s="1"/>
  <c r="A387"/>
  <c r="O387" s="1"/>
  <c r="A385"/>
  <c r="O385" s="1"/>
  <c r="A383"/>
  <c r="O383" s="1"/>
  <c r="A382"/>
  <c r="O382" s="1"/>
  <c r="A380"/>
  <c r="O380" s="1"/>
  <c r="A386"/>
  <c r="O386" s="1"/>
  <c r="A384"/>
  <c r="O384" s="1"/>
  <c r="A381"/>
  <c r="O381" s="1"/>
  <c r="A379"/>
  <c r="O379" s="1"/>
  <c r="A375"/>
  <c r="O375" s="1"/>
  <c r="A374"/>
  <c r="O374" s="1"/>
  <c r="A373"/>
  <c r="O373" s="1"/>
  <c r="A372"/>
  <c r="O372" s="1"/>
  <c r="A371"/>
  <c r="O371" s="1"/>
  <c r="A370"/>
  <c r="O370" s="1"/>
  <c r="A369"/>
  <c r="O369" s="1"/>
  <c r="A368"/>
  <c r="O368" s="1"/>
  <c r="A367"/>
  <c r="O367" s="1"/>
  <c r="A377"/>
  <c r="O377" s="1"/>
  <c r="A376"/>
  <c r="O376" s="1"/>
  <c r="A378"/>
  <c r="O378" s="1"/>
  <c r="A366"/>
  <c r="O366" s="1"/>
  <c r="A365"/>
  <c r="O365" s="1"/>
  <c r="A364"/>
  <c r="O364" s="1"/>
  <c r="A363"/>
  <c r="O363" s="1"/>
  <c r="A362"/>
  <c r="O362" s="1"/>
  <c r="A361"/>
  <c r="O361" s="1"/>
  <c r="A360"/>
  <c r="O360" s="1"/>
  <c r="A359"/>
  <c r="O359" s="1"/>
  <c r="A358"/>
  <c r="O358" s="1"/>
  <c r="A357"/>
  <c r="O357" s="1"/>
  <c r="A356"/>
  <c r="O356" s="1"/>
  <c r="A355"/>
  <c r="O355" s="1"/>
  <c r="A354"/>
  <c r="O354" s="1"/>
  <c r="A353"/>
  <c r="O353" s="1"/>
  <c r="A352"/>
  <c r="O352" s="1"/>
  <c r="A351"/>
  <c r="O351" s="1"/>
  <c r="A350"/>
  <c r="O350" s="1"/>
  <c r="A349"/>
  <c r="O349" s="1"/>
  <c r="A348"/>
  <c r="O348" s="1"/>
  <c r="A347"/>
  <c r="O347" s="1"/>
  <c r="A346"/>
  <c r="O346" s="1"/>
  <c r="A345"/>
  <c r="O345" s="1"/>
  <c r="A344"/>
  <c r="O344" s="1"/>
  <c r="A343"/>
  <c r="O343" s="1"/>
  <c r="A342" l="1"/>
  <c r="O342" s="1"/>
  <c r="A341"/>
  <c r="O341" s="1"/>
  <c r="A340"/>
  <c r="O340" s="1"/>
  <c r="A339"/>
  <c r="O339" s="1"/>
  <c r="A338"/>
  <c r="O338" s="1"/>
  <c r="A337"/>
  <c r="O337" s="1"/>
  <c r="A336"/>
  <c r="O336" s="1"/>
  <c r="A335"/>
  <c r="O335" s="1"/>
  <c r="A334"/>
  <c r="O334" s="1"/>
  <c r="A333"/>
  <c r="O333" s="1"/>
  <c r="A332"/>
  <c r="O332" s="1"/>
  <c r="A331"/>
  <c r="O331" s="1"/>
  <c r="A330"/>
  <c r="O330" s="1"/>
  <c r="A329"/>
  <c r="O329" s="1"/>
  <c r="A328"/>
  <c r="O328" s="1"/>
  <c r="A327"/>
  <c r="O327" s="1"/>
  <c r="A326"/>
  <c r="O326" s="1"/>
  <c r="A325"/>
  <c r="O325" s="1"/>
  <c r="A324"/>
  <c r="O324" s="1"/>
  <c r="A323"/>
  <c r="O323" s="1"/>
  <c r="A322"/>
  <c r="O322" s="1"/>
  <c r="A321"/>
  <c r="O321" s="1"/>
  <c r="A320"/>
  <c r="O320" s="1"/>
  <c r="A319"/>
  <c r="O319" s="1"/>
  <c r="A318"/>
  <c r="O318" s="1"/>
  <c r="A317"/>
  <c r="O317" s="1"/>
  <c r="J56" i="70" l="1"/>
  <c r="J57"/>
  <c r="I53"/>
  <c r="I54"/>
  <c r="I55"/>
  <c r="I56"/>
  <c r="I57"/>
  <c r="I58"/>
  <c r="I59"/>
  <c r="I60"/>
  <c r="I61"/>
  <c r="I62"/>
  <c r="I63"/>
  <c r="I64"/>
  <c r="I65"/>
  <c r="H55"/>
  <c r="H56"/>
  <c r="H57"/>
  <c r="G53"/>
  <c r="G54"/>
  <c r="G55"/>
  <c r="G56"/>
  <c r="G57"/>
  <c r="G58"/>
  <c r="G59"/>
  <c r="G60"/>
  <c r="G61"/>
  <c r="G62"/>
  <c r="G63"/>
  <c r="G64"/>
  <c r="G65"/>
  <c r="G12"/>
  <c r="D246" i="90"/>
  <c r="G246" s="1"/>
  <c r="C267" l="1"/>
  <c r="C268"/>
  <c r="C269"/>
  <c r="C270"/>
  <c r="C271"/>
  <c r="C266"/>
  <c r="C242"/>
  <c r="C243"/>
  <c r="C244"/>
  <c r="C245"/>
  <c r="C241"/>
  <c r="M71" i="70" l="1"/>
  <c r="H59"/>
  <c r="M58"/>
  <c r="M12"/>
  <c r="J59"/>
  <c r="B15" i="75"/>
  <c r="C15"/>
  <c r="D15"/>
  <c r="A15" s="1"/>
  <c r="E15"/>
  <c r="F15"/>
  <c r="G15"/>
  <c r="I15"/>
  <c r="B16"/>
  <c r="C16"/>
  <c r="D16"/>
  <c r="A16" s="1"/>
  <c r="E16"/>
  <c r="F16"/>
  <c r="G16"/>
  <c r="I16"/>
  <c r="B17"/>
  <c r="C17"/>
  <c r="D17"/>
  <c r="A17" s="1"/>
  <c r="E17"/>
  <c r="F17"/>
  <c r="G17"/>
  <c r="I17"/>
  <c r="B18"/>
  <c r="C18"/>
  <c r="D18"/>
  <c r="A18" s="1"/>
  <c r="E18"/>
  <c r="F18"/>
  <c r="G18"/>
  <c r="I18"/>
  <c r="B19"/>
  <c r="C19"/>
  <c r="D19"/>
  <c r="A19" s="1"/>
  <c r="E19"/>
  <c r="F19"/>
  <c r="G19"/>
  <c r="I19"/>
  <c r="B20"/>
  <c r="C20"/>
  <c r="D20"/>
  <c r="A20" s="1"/>
  <c r="E20"/>
  <c r="F20"/>
  <c r="G20"/>
  <c r="I20"/>
  <c r="B21"/>
  <c r="C21"/>
  <c r="D21"/>
  <c r="A21" s="1"/>
  <c r="E21"/>
  <c r="F21"/>
  <c r="G21"/>
  <c r="I21"/>
  <c r="B22"/>
  <c r="C22"/>
  <c r="D22"/>
  <c r="A22" s="1"/>
  <c r="E22"/>
  <c r="F22"/>
  <c r="G22"/>
  <c r="I22"/>
  <c r="B23"/>
  <c r="C23"/>
  <c r="D23"/>
  <c r="A23" s="1"/>
  <c r="E23"/>
  <c r="F23"/>
  <c r="G23"/>
  <c r="I23"/>
  <c r="B24"/>
  <c r="C24"/>
  <c r="D24"/>
  <c r="A24" s="1"/>
  <c r="E24"/>
  <c r="F24"/>
  <c r="G24"/>
  <c r="I24"/>
  <c r="B25"/>
  <c r="C25"/>
  <c r="D25"/>
  <c r="A25" s="1"/>
  <c r="E25"/>
  <c r="F25"/>
  <c r="G25"/>
  <c r="I25"/>
  <c r="B26"/>
  <c r="C26"/>
  <c r="D26"/>
  <c r="A26" s="1"/>
  <c r="E26"/>
  <c r="F26"/>
  <c r="G26"/>
  <c r="I26"/>
  <c r="B27"/>
  <c r="C27"/>
  <c r="D27"/>
  <c r="A27" s="1"/>
  <c r="E27"/>
  <c r="F27"/>
  <c r="G27"/>
  <c r="I27"/>
  <c r="B28"/>
  <c r="C28"/>
  <c r="D28"/>
  <c r="A28" s="1"/>
  <c r="E28"/>
  <c r="F28"/>
  <c r="G28"/>
  <c r="I28"/>
  <c r="B29"/>
  <c r="C29"/>
  <c r="D29"/>
  <c r="A29" s="1"/>
  <c r="E29"/>
  <c r="F29"/>
  <c r="G29"/>
  <c r="I29"/>
  <c r="B30"/>
  <c r="C30"/>
  <c r="D30"/>
  <c r="A30" s="1"/>
  <c r="E30"/>
  <c r="F30"/>
  <c r="G30"/>
  <c r="I30"/>
  <c r="J29" l="1"/>
  <c r="J25"/>
  <c r="J21"/>
  <c r="J17"/>
  <c r="J30"/>
  <c r="J26"/>
  <c r="J22"/>
  <c r="J18"/>
  <c r="J20"/>
  <c r="J27"/>
  <c r="J23"/>
  <c r="J19"/>
  <c r="J24"/>
  <c r="J16"/>
  <c r="H53" i="70"/>
  <c r="J28" i="75"/>
  <c r="L59" i="70"/>
  <c r="K59"/>
  <c r="H15" i="75"/>
  <c r="H30"/>
  <c r="H29"/>
  <c r="H28"/>
  <c r="H27"/>
  <c r="H26"/>
  <c r="H25"/>
  <c r="H24"/>
  <c r="H23"/>
  <c r="H22"/>
  <c r="H21"/>
  <c r="H20"/>
  <c r="H19"/>
  <c r="H18"/>
  <c r="H17"/>
  <c r="H16"/>
  <c r="J15"/>
  <c r="D215" i="90"/>
  <c r="G215" s="1"/>
  <c r="D216"/>
  <c r="G216" s="1"/>
  <c r="M216"/>
  <c r="D217"/>
  <c r="G217" s="1"/>
  <c r="D218"/>
  <c r="G218" s="1"/>
  <c r="D219"/>
  <c r="G219" s="1"/>
  <c r="A20" i="88"/>
  <c r="O20" s="1"/>
  <c r="A21"/>
  <c r="O21" s="1"/>
  <c r="A22"/>
  <c r="O22" s="1"/>
  <c r="A23"/>
  <c r="O23" s="1"/>
  <c r="A24"/>
  <c r="O24" s="1"/>
  <c r="A25"/>
  <c r="O25" s="1"/>
  <c r="A26"/>
  <c r="O26" s="1"/>
  <c r="A34"/>
  <c r="O34" s="1"/>
  <c r="A35"/>
  <c r="O35" s="1"/>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O199" s="1"/>
  <c r="A200"/>
  <c r="O200" s="1"/>
  <c r="A201"/>
  <c r="A202"/>
  <c r="A203"/>
  <c r="A204"/>
  <c r="A205"/>
  <c r="A206"/>
  <c r="A207"/>
  <c r="A208"/>
  <c r="A209"/>
  <c r="A210"/>
  <c r="A211"/>
  <c r="A212"/>
  <c r="A213"/>
  <c r="A214"/>
  <c r="A215"/>
  <c r="A216"/>
  <c r="A217"/>
  <c r="A218"/>
  <c r="A219"/>
  <c r="A220"/>
  <c r="A221"/>
  <c r="A222"/>
  <c r="A223"/>
  <c r="O223" s="1"/>
  <c r="A224"/>
  <c r="A225"/>
  <c r="O225" s="1"/>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O292" s="1"/>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O316" s="1"/>
  <c r="A421"/>
  <c r="O421" s="1"/>
  <c r="A422"/>
  <c r="O422" s="1"/>
  <c r="A423"/>
  <c r="O423" s="1"/>
  <c r="A424"/>
  <c r="O424" s="1"/>
  <c r="A425"/>
  <c r="O425" s="1"/>
  <c r="A426"/>
  <c r="O426" s="1"/>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O201"/>
  <c r="I41" i="70" l="1"/>
  <c r="G41"/>
  <c r="K41" l="1"/>
  <c r="K38"/>
  <c r="K37"/>
  <c r="K39"/>
  <c r="K33"/>
  <c r="K34"/>
  <c r="K35"/>
  <c r="K36"/>
  <c r="K40"/>
  <c r="D220" i="90"/>
  <c r="G220" s="1"/>
  <c r="G222" s="1"/>
  <c r="O260" i="88"/>
  <c r="O261"/>
  <c r="O262"/>
  <c r="O263"/>
  <c r="O264"/>
  <c r="O265"/>
  <c r="O266"/>
  <c r="O267"/>
  <c r="O268"/>
  <c r="O269"/>
  <c r="O270"/>
  <c r="O271"/>
  <c r="O272"/>
  <c r="O273"/>
  <c r="O274"/>
  <c r="O275"/>
  <c r="O276"/>
  <c r="O277"/>
  <c r="O278"/>
  <c r="O279"/>
  <c r="O280"/>
  <c r="O281"/>
  <c r="O282"/>
  <c r="O283"/>
  <c r="O284"/>
  <c r="O285"/>
  <c r="O286"/>
  <c r="O287"/>
  <c r="O288"/>
  <c r="O289"/>
  <c r="O290"/>
  <c r="O291"/>
  <c r="O235"/>
  <c r="O236"/>
  <c r="O237"/>
  <c r="O238"/>
  <c r="O239"/>
  <c r="O240"/>
  <c r="O241"/>
  <c r="O242"/>
  <c r="O243"/>
  <c r="O244"/>
  <c r="O245"/>
  <c r="O246"/>
  <c r="O247"/>
  <c r="O248"/>
  <c r="O249"/>
  <c r="O250"/>
  <c r="O251"/>
  <c r="O252"/>
  <c r="O253"/>
  <c r="O254"/>
  <c r="O255"/>
  <c r="O256"/>
  <c r="A191" i="90" l="1"/>
  <c r="A192"/>
  <c r="O488" i="88"/>
  <c r="O485"/>
  <c r="O487"/>
  <c r="O486"/>
  <c r="D190" i="90" l="1"/>
  <c r="G190" s="1"/>
  <c r="D191"/>
  <c r="G191" s="1"/>
  <c r="D192"/>
  <c r="G192" s="1"/>
  <c r="O483" i="88"/>
  <c r="D163" i="90" l="1"/>
  <c r="G163" s="1"/>
  <c r="M163"/>
  <c r="E273" l="1"/>
  <c r="E248"/>
  <c r="E222"/>
  <c r="E194"/>
  <c r="E166"/>
  <c r="L246" l="1"/>
  <c r="L245"/>
  <c r="L244"/>
  <c r="L243"/>
  <c r="L242"/>
  <c r="L241"/>
  <c r="V285" l="1"/>
  <c r="L166"/>
  <c r="V259"/>
  <c r="O484" i="88"/>
  <c r="O482"/>
  <c r="O481"/>
  <c r="O480"/>
  <c r="G49" i="70"/>
  <c r="H49"/>
  <c r="I49"/>
  <c r="J49"/>
  <c r="K49" l="1"/>
  <c r="L49"/>
  <c r="O479" i="88"/>
  <c r="O478"/>
  <c r="O477"/>
  <c r="O476"/>
  <c r="H58" i="70"/>
  <c r="O475" i="88"/>
  <c r="O474"/>
  <c r="E93" i="90" l="1"/>
  <c r="O186" i="88" l="1"/>
  <c r="O187"/>
  <c r="O188"/>
  <c r="O193"/>
  <c r="O194"/>
  <c r="O210"/>
  <c r="O211"/>
  <c r="O212"/>
  <c r="O189"/>
  <c r="O190"/>
  <c r="O191"/>
  <c r="O192"/>
  <c r="O195"/>
  <c r="O196"/>
  <c r="O197"/>
  <c r="O198"/>
  <c r="O202"/>
  <c r="O203"/>
  <c r="O204"/>
  <c r="O205"/>
  <c r="O206"/>
  <c r="O207"/>
  <c r="O208"/>
  <c r="O209"/>
  <c r="O213"/>
  <c r="O214"/>
  <c r="O215"/>
  <c r="O216"/>
  <c r="O217"/>
  <c r="O218"/>
  <c r="O219"/>
  <c r="O220"/>
  <c r="O221"/>
  <c r="O222"/>
  <c r="O227"/>
  <c r="O224"/>
  <c r="O226"/>
  <c r="O228"/>
  <c r="O229"/>
  <c r="O230"/>
  <c r="O231"/>
  <c r="O232"/>
  <c r="O233"/>
  <c r="O257"/>
  <c r="O258"/>
  <c r="O234"/>
  <c r="O259"/>
  <c r="L35" i="70" l="1"/>
  <c r="O464" i="88"/>
  <c r="O465"/>
  <c r="O466"/>
  <c r="O467"/>
  <c r="O468"/>
  <c r="O469"/>
  <c r="O470"/>
  <c r="O471"/>
  <c r="O472"/>
  <c r="O473"/>
  <c r="D112" i="90" l="1"/>
  <c r="G112" s="1"/>
  <c r="O131" i="88" l="1"/>
  <c r="O132"/>
  <c r="O133"/>
  <c r="O134"/>
  <c r="O135"/>
  <c r="O139"/>
  <c r="O140"/>
  <c r="O141"/>
  <c r="O144"/>
  <c r="O145"/>
  <c r="O146"/>
  <c r="O136"/>
  <c r="O137"/>
  <c r="O138"/>
  <c r="O142"/>
  <c r="O143"/>
  <c r="O147"/>
  <c r="O148"/>
  <c r="O152"/>
  <c r="O154"/>
  <c r="O156"/>
  <c r="O149"/>
  <c r="O150"/>
  <c r="O151"/>
  <c r="B11" i="91" l="1"/>
  <c r="W277" i="90"/>
  <c r="O273"/>
  <c r="L273"/>
  <c r="L275" s="1"/>
  <c r="A272"/>
  <c r="M271"/>
  <c r="D271"/>
  <c r="G271" s="1"/>
  <c r="A271"/>
  <c r="D270"/>
  <c r="G270" s="1"/>
  <c r="A270"/>
  <c r="M269"/>
  <c r="D269"/>
  <c r="G269" s="1"/>
  <c r="A269"/>
  <c r="D268"/>
  <c r="G268" s="1"/>
  <c r="D267"/>
  <c r="G267" s="1"/>
  <c r="M266"/>
  <c r="D266"/>
  <c r="G266" s="1"/>
  <c r="A266"/>
  <c r="A267" s="1"/>
  <c r="A268" s="1"/>
  <c r="W252"/>
  <c r="O248"/>
  <c r="L248"/>
  <c r="A247"/>
  <c r="M246"/>
  <c r="D245"/>
  <c r="G245" s="1"/>
  <c r="M244"/>
  <c r="D244"/>
  <c r="G244" s="1"/>
  <c r="D243"/>
  <c r="G243" s="1"/>
  <c r="D242"/>
  <c r="G242" s="1"/>
  <c r="M241"/>
  <c r="D241"/>
  <c r="G241" s="1"/>
  <c r="A241"/>
  <c r="A242" s="1"/>
  <c r="A243" s="1"/>
  <c r="A244" s="1"/>
  <c r="A245" s="1"/>
  <c r="A246" s="1"/>
  <c r="W226"/>
  <c r="O222"/>
  <c r="L222"/>
  <c r="A221"/>
  <c r="A220"/>
  <c r="A219"/>
  <c r="A218"/>
  <c r="M222"/>
  <c r="A215"/>
  <c r="A216" s="1"/>
  <c r="A217" s="1"/>
  <c r="W199"/>
  <c r="O194"/>
  <c r="L194"/>
  <c r="A193"/>
  <c r="D189"/>
  <c r="M188"/>
  <c r="D188"/>
  <c r="G188" s="1"/>
  <c r="A188"/>
  <c r="A189" s="1"/>
  <c r="A190" s="1"/>
  <c r="W173"/>
  <c r="O166"/>
  <c r="A165"/>
  <c r="M164"/>
  <c r="D164"/>
  <c r="G164" s="1"/>
  <c r="D162"/>
  <c r="G162" s="1"/>
  <c r="M161"/>
  <c r="D161"/>
  <c r="G161" s="1"/>
  <c r="A161"/>
  <c r="A162" s="1"/>
  <c r="A163" s="1"/>
  <c r="A164" s="1"/>
  <c r="W149"/>
  <c r="O142"/>
  <c r="L142"/>
  <c r="M141"/>
  <c r="D141"/>
  <c r="G141" s="1"/>
  <c r="A141"/>
  <c r="D140"/>
  <c r="G140" s="1"/>
  <c r="D139"/>
  <c r="G139" s="1"/>
  <c r="M138"/>
  <c r="D138"/>
  <c r="G138" s="1"/>
  <c r="A138"/>
  <c r="A139" s="1"/>
  <c r="A140" s="1"/>
  <c r="W124"/>
  <c r="O115"/>
  <c r="L115"/>
  <c r="A114"/>
  <c r="M113"/>
  <c r="D113"/>
  <c r="G113" s="1"/>
  <c r="D111"/>
  <c r="G111" s="1"/>
  <c r="M110"/>
  <c r="D110"/>
  <c r="G110" s="1"/>
  <c r="A110"/>
  <c r="A111" s="1"/>
  <c r="A112" s="1"/>
  <c r="A113" s="1"/>
  <c r="W98"/>
  <c r="O93"/>
  <c r="L93"/>
  <c r="A92"/>
  <c r="D91"/>
  <c r="G91" s="1"/>
  <c r="M90"/>
  <c r="M93" s="1"/>
  <c r="D90"/>
  <c r="G90" s="1"/>
  <c r="A90"/>
  <c r="A91" s="1"/>
  <c r="W80"/>
  <c r="O71"/>
  <c r="A70"/>
  <c r="D69"/>
  <c r="G69" s="1"/>
  <c r="V80"/>
  <c r="M68"/>
  <c r="D68"/>
  <c r="G68" s="1"/>
  <c r="A68"/>
  <c r="A69" s="1"/>
  <c r="W56"/>
  <c r="O51"/>
  <c r="M51"/>
  <c r="A50"/>
  <c r="D49"/>
  <c r="G49" s="1"/>
  <c r="D48"/>
  <c r="G48" s="1"/>
  <c r="D47"/>
  <c r="G47" s="1"/>
  <c r="D46"/>
  <c r="A46"/>
  <c r="A47" s="1"/>
  <c r="A48" s="1"/>
  <c r="A49" s="1"/>
  <c r="W37"/>
  <c r="M31"/>
  <c r="A30"/>
  <c r="D29"/>
  <c r="G29" s="1"/>
  <c r="D28"/>
  <c r="G28" s="1"/>
  <c r="A28"/>
  <c r="A29" s="1"/>
  <c r="L8"/>
  <c r="M11"/>
  <c r="P10"/>
  <c r="A10"/>
  <c r="D9"/>
  <c r="G9" s="1"/>
  <c r="D8"/>
  <c r="G8" s="1"/>
  <c r="O11"/>
  <c r="A7"/>
  <c r="A8" s="1"/>
  <c r="A9" s="1"/>
  <c r="L7" l="1"/>
  <c r="L9"/>
  <c r="V277"/>
  <c r="I273" s="1"/>
  <c r="L71"/>
  <c r="D7"/>
  <c r="G7" s="1"/>
  <c r="O31"/>
  <c r="V199"/>
  <c r="V124"/>
  <c r="I115" s="1"/>
  <c r="M273"/>
  <c r="V17"/>
  <c r="I11" s="1"/>
  <c r="M71"/>
  <c r="M248"/>
  <c r="V149"/>
  <c r="I142" s="1"/>
  <c r="D51"/>
  <c r="V56"/>
  <c r="I51" s="1"/>
  <c r="M115"/>
  <c r="V173"/>
  <c r="I166" s="1"/>
  <c r="M142"/>
  <c r="M166"/>
  <c r="M194"/>
  <c r="V226"/>
  <c r="I222" s="1"/>
  <c r="V252"/>
  <c r="I248" s="1"/>
  <c r="D31"/>
  <c r="V98"/>
  <c r="I93" s="1"/>
  <c r="I71"/>
  <c r="D71"/>
  <c r="G71"/>
  <c r="G93"/>
  <c r="G248"/>
  <c r="G273"/>
  <c r="G31"/>
  <c r="G115"/>
  <c r="G142"/>
  <c r="D93"/>
  <c r="D115"/>
  <c r="D142"/>
  <c r="D166"/>
  <c r="D194"/>
  <c r="H188" s="1"/>
  <c r="D222"/>
  <c r="H220" s="1"/>
  <c r="D248"/>
  <c r="D273"/>
  <c r="C12" i="91"/>
  <c r="H12"/>
  <c r="L11" i="90" l="1"/>
  <c r="C13" i="91"/>
  <c r="C14" s="1"/>
  <c r="H13"/>
  <c r="H14" s="1"/>
  <c r="G11" i="90"/>
  <c r="H47"/>
  <c r="H49"/>
  <c r="H46"/>
  <c r="H48"/>
  <c r="I46"/>
  <c r="H29"/>
  <c r="K28"/>
  <c r="I29"/>
  <c r="J28"/>
  <c r="J29"/>
  <c r="I28"/>
  <c r="K29"/>
  <c r="H28"/>
  <c r="H91"/>
  <c r="H90"/>
  <c r="I161"/>
  <c r="J161"/>
  <c r="H161"/>
  <c r="H141"/>
  <c r="H138"/>
  <c r="H139"/>
  <c r="H140"/>
  <c r="H69"/>
  <c r="H68"/>
  <c r="H113"/>
  <c r="H110"/>
  <c r="H111"/>
  <c r="H112"/>
  <c r="D11"/>
  <c r="K47"/>
  <c r="J48"/>
  <c r="K48"/>
  <c r="J49"/>
  <c r="J46"/>
  <c r="I47"/>
  <c r="K49"/>
  <c r="K46"/>
  <c r="I48"/>
  <c r="J47"/>
  <c r="I49"/>
  <c r="H215"/>
  <c r="K215"/>
  <c r="I216"/>
  <c r="J216"/>
  <c r="I217"/>
  <c r="J217"/>
  <c r="I218"/>
  <c r="J218"/>
  <c r="I219"/>
  <c r="J219"/>
  <c r="I215"/>
  <c r="J215"/>
  <c r="H216"/>
  <c r="K216"/>
  <c r="H217"/>
  <c r="K217"/>
  <c r="H218"/>
  <c r="K218"/>
  <c r="H219"/>
  <c r="K219"/>
  <c r="J220"/>
  <c r="I220"/>
  <c r="K220"/>
  <c r="L31"/>
  <c r="H163"/>
  <c r="H162"/>
  <c r="H164"/>
  <c r="L51"/>
  <c r="H191"/>
  <c r="H189"/>
  <c r="H190"/>
  <c r="H192"/>
  <c r="I190"/>
  <c r="J190"/>
  <c r="K191"/>
  <c r="I192"/>
  <c r="J192"/>
  <c r="K190"/>
  <c r="I191"/>
  <c r="J191"/>
  <c r="K192"/>
  <c r="I163"/>
  <c r="J163"/>
  <c r="K163"/>
  <c r="H243"/>
  <c r="H245"/>
  <c r="H241"/>
  <c r="J242"/>
  <c r="I243"/>
  <c r="K243"/>
  <c r="J244"/>
  <c r="I245"/>
  <c r="K245"/>
  <c r="J246"/>
  <c r="J241"/>
  <c r="I241"/>
  <c r="H242"/>
  <c r="H244"/>
  <c r="H246"/>
  <c r="I242"/>
  <c r="K242"/>
  <c r="J243"/>
  <c r="I244"/>
  <c r="K244"/>
  <c r="J245"/>
  <c r="I246"/>
  <c r="K246"/>
  <c r="K241"/>
  <c r="I189"/>
  <c r="K189"/>
  <c r="K188"/>
  <c r="J189"/>
  <c r="J188"/>
  <c r="I188"/>
  <c r="H268"/>
  <c r="H270"/>
  <c r="H266"/>
  <c r="J267"/>
  <c r="I268"/>
  <c r="K268"/>
  <c r="J269"/>
  <c r="I270"/>
  <c r="K270"/>
  <c r="J271"/>
  <c r="J266"/>
  <c r="I266"/>
  <c r="H267"/>
  <c r="H269"/>
  <c r="H271"/>
  <c r="I267"/>
  <c r="K267"/>
  <c r="J268"/>
  <c r="I269"/>
  <c r="K269"/>
  <c r="J270"/>
  <c r="I271"/>
  <c r="K271"/>
  <c r="K266"/>
  <c r="I162"/>
  <c r="K162"/>
  <c r="J164"/>
  <c r="J162"/>
  <c r="I164"/>
  <c r="K164"/>
  <c r="K161"/>
  <c r="I139"/>
  <c r="K139"/>
  <c r="J140"/>
  <c r="I141"/>
  <c r="K141"/>
  <c r="J138"/>
  <c r="J139"/>
  <c r="I140"/>
  <c r="K140"/>
  <c r="J141"/>
  <c r="K138"/>
  <c r="I138"/>
  <c r="I90"/>
  <c r="I91"/>
  <c r="I111"/>
  <c r="J111"/>
  <c r="I112"/>
  <c r="J112"/>
  <c r="I113"/>
  <c r="J113"/>
  <c r="I110"/>
  <c r="K110"/>
  <c r="K111"/>
  <c r="K112"/>
  <c r="K113"/>
  <c r="J110"/>
  <c r="I69"/>
  <c r="J69"/>
  <c r="I68"/>
  <c r="J68"/>
  <c r="K68"/>
  <c r="K69"/>
  <c r="J91"/>
  <c r="K90"/>
  <c r="K91"/>
  <c r="J90"/>
  <c r="H8" l="1"/>
  <c r="H9"/>
  <c r="J7"/>
  <c r="I8"/>
  <c r="I9"/>
  <c r="K7"/>
  <c r="J8"/>
  <c r="J9"/>
  <c r="I7"/>
  <c r="K8"/>
  <c r="K9"/>
  <c r="H7"/>
  <c r="N113"/>
  <c r="N270"/>
  <c r="P270" s="1"/>
  <c r="N269"/>
  <c r="P269" s="1"/>
  <c r="N91"/>
  <c r="P91" s="1"/>
  <c r="N112"/>
  <c r="P112" s="1"/>
  <c r="N188"/>
  <c r="P188" s="1"/>
  <c r="N271"/>
  <c r="P271" s="1"/>
  <c r="N268"/>
  <c r="P268" s="1"/>
  <c r="N215"/>
  <c r="P215" s="1"/>
  <c r="N111"/>
  <c r="P111" s="1"/>
  <c r="N219"/>
  <c r="P219" s="1"/>
  <c r="N218"/>
  <c r="P218" s="1"/>
  <c r="N217"/>
  <c r="P217" s="1"/>
  <c r="N216"/>
  <c r="P216" s="1"/>
  <c r="N220"/>
  <c r="P220" s="1"/>
  <c r="N47"/>
  <c r="P47" s="1"/>
  <c r="N49"/>
  <c r="P49" s="1"/>
  <c r="N48"/>
  <c r="P48" s="1"/>
  <c r="N191"/>
  <c r="P191" s="1"/>
  <c r="N192"/>
  <c r="P192" s="1"/>
  <c r="N190"/>
  <c r="P190" s="1"/>
  <c r="N163"/>
  <c r="P163" s="1"/>
  <c r="P246"/>
  <c r="P242"/>
  <c r="N29"/>
  <c r="N164"/>
  <c r="P164" s="1"/>
  <c r="G189" s="1"/>
  <c r="N266"/>
  <c r="P266" s="1"/>
  <c r="P241"/>
  <c r="P245"/>
  <c r="N69"/>
  <c r="P69" s="1"/>
  <c r="N267"/>
  <c r="P267" s="1"/>
  <c r="P244"/>
  <c r="P243"/>
  <c r="N162"/>
  <c r="P162" s="1"/>
  <c r="N138"/>
  <c r="P138" s="1"/>
  <c r="N140"/>
  <c r="P140" s="1"/>
  <c r="N141"/>
  <c r="P141" s="1"/>
  <c r="N139"/>
  <c r="P139" s="1"/>
  <c r="N110"/>
  <c r="P110" s="1"/>
  <c r="N28"/>
  <c r="P28" s="1"/>
  <c r="F46" s="1"/>
  <c r="G46" s="1"/>
  <c r="N68"/>
  <c r="P68" s="1"/>
  <c r="N90"/>
  <c r="G12" i="91"/>
  <c r="F12"/>
  <c r="E12"/>
  <c r="D12"/>
  <c r="B12" l="1"/>
  <c r="G51" i="90"/>
  <c r="N46"/>
  <c r="P46" s="1"/>
  <c r="F13" i="91"/>
  <c r="F14" s="1"/>
  <c r="G13"/>
  <c r="G14" s="1"/>
  <c r="E13"/>
  <c r="E14" s="1"/>
  <c r="D13"/>
  <c r="D14" s="1"/>
  <c r="N8" i="90"/>
  <c r="P8" s="1"/>
  <c r="N9"/>
  <c r="N7"/>
  <c r="G194"/>
  <c r="N189"/>
  <c r="P189" s="1"/>
  <c r="N222"/>
  <c r="N161"/>
  <c r="N248"/>
  <c r="N273"/>
  <c r="P113"/>
  <c r="N142"/>
  <c r="N31"/>
  <c r="N115"/>
  <c r="N71"/>
  <c r="N93"/>
  <c r="P90"/>
  <c r="B13" i="91"/>
  <c r="P9" i="90" l="1"/>
  <c r="B14" i="91"/>
  <c r="N51" i="90"/>
  <c r="P7"/>
  <c r="N194"/>
  <c r="N11"/>
  <c r="P161"/>
  <c r="G166"/>
  <c r="O155" i="88"/>
  <c r="O153"/>
  <c r="N166" i="90" l="1"/>
  <c r="O122" i="88"/>
  <c r="B66" i="70" l="1"/>
  <c r="A67" s="1"/>
  <c r="D7" i="87"/>
  <c r="N5" i="88"/>
  <c r="J14" i="70" s="1"/>
  <c r="J58"/>
  <c r="L5" i="88"/>
  <c r="H14" i="70" s="1"/>
  <c r="H54"/>
  <c r="A5" i="88"/>
  <c r="O5" s="1"/>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102"/>
  <c r="O99"/>
  <c r="O100"/>
  <c r="O101"/>
  <c r="O103"/>
  <c r="O104"/>
  <c r="O105"/>
  <c r="O106"/>
  <c r="O107"/>
  <c r="O108"/>
  <c r="O109"/>
  <c r="O110"/>
  <c r="O111"/>
  <c r="O112"/>
  <c r="O113"/>
  <c r="O114"/>
  <c r="O115"/>
  <c r="O116"/>
  <c r="O117"/>
  <c r="O118"/>
  <c r="O119"/>
  <c r="O120"/>
  <c r="O121"/>
  <c r="O123"/>
  <c r="O427"/>
  <c r="O428"/>
  <c r="O429"/>
  <c r="O431"/>
  <c r="O432"/>
  <c r="O430"/>
  <c r="O433"/>
  <c r="O435"/>
  <c r="O436"/>
  <c r="O434"/>
  <c r="O437"/>
  <c r="O438"/>
  <c r="O439"/>
  <c r="O440"/>
  <c r="O441"/>
  <c r="O442"/>
  <c r="O443"/>
  <c r="O444"/>
  <c r="O445"/>
  <c r="O446"/>
  <c r="O448"/>
  <c r="O449"/>
  <c r="O447"/>
  <c r="O450"/>
  <c r="O451"/>
  <c r="O452"/>
  <c r="O453"/>
  <c r="O454"/>
  <c r="O455"/>
  <c r="O456"/>
  <c r="O457"/>
  <c r="O458"/>
  <c r="O459"/>
  <c r="O460"/>
  <c r="O461"/>
  <c r="O462"/>
  <c r="O463"/>
  <c r="O124"/>
  <c r="O125"/>
  <c r="O126"/>
  <c r="O127"/>
  <c r="O128"/>
  <c r="O129"/>
  <c r="O130"/>
  <c r="O157"/>
  <c r="O158"/>
  <c r="O159"/>
  <c r="O160"/>
  <c r="O161"/>
  <c r="O162"/>
  <c r="O163"/>
  <c r="O164"/>
  <c r="O165"/>
  <c r="O166"/>
  <c r="O167"/>
  <c r="O168"/>
  <c r="O169"/>
  <c r="O170"/>
  <c r="O171"/>
  <c r="O172"/>
  <c r="O173"/>
  <c r="O174"/>
  <c r="O175"/>
  <c r="O176"/>
  <c r="O177"/>
  <c r="O178"/>
  <c r="O179"/>
  <c r="O180"/>
  <c r="O181"/>
  <c r="O182"/>
  <c r="O183"/>
  <c r="O184"/>
  <c r="O185"/>
  <c r="C14" i="75"/>
  <c r="B34" s="1"/>
  <c r="B30" i="84"/>
  <c r="F30" s="1"/>
  <c r="B29"/>
  <c r="F29" s="1"/>
  <c r="B28"/>
  <c r="F28" s="1"/>
  <c r="B27"/>
  <c r="F27" s="1"/>
  <c r="B26"/>
  <c r="F26" s="1"/>
  <c r="B25"/>
  <c r="F25" s="1"/>
  <c r="B24"/>
  <c r="F24" s="1"/>
  <c r="B23"/>
  <c r="F23" s="1"/>
  <c r="B22"/>
  <c r="F22" s="1"/>
  <c r="B21"/>
  <c r="F21" s="1"/>
  <c r="B20"/>
  <c r="F20" s="1"/>
  <c r="B19"/>
  <c r="F19" s="1"/>
  <c r="B18"/>
  <c r="F18" s="1"/>
  <c r="B17"/>
  <c r="F17" s="1"/>
  <c r="B16"/>
  <c r="F16" s="1"/>
  <c r="B15"/>
  <c r="F15" s="1"/>
  <c r="B14"/>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C24"/>
  <c r="D24"/>
  <c r="C25"/>
  <c r="D25"/>
  <c r="C26"/>
  <c r="D26"/>
  <c r="C27"/>
  <c r="D27"/>
  <c r="C28"/>
  <c r="D28"/>
  <c r="C29"/>
  <c r="D29"/>
  <c r="C30"/>
  <c r="D30"/>
  <c r="I7" i="75"/>
  <c r="I12" i="70"/>
  <c r="I13"/>
  <c r="J13"/>
  <c r="G13"/>
  <c r="B12"/>
  <c r="B46"/>
  <c r="A47" s="1"/>
  <c r="D14" i="75"/>
  <c r="A14" s="1"/>
  <c r="K13"/>
  <c r="G14"/>
  <c r="I14"/>
  <c r="L13"/>
  <c r="F14"/>
  <c r="C8" i="84"/>
  <c r="C15"/>
  <c r="D15"/>
  <c r="C16"/>
  <c r="D16"/>
  <c r="C17"/>
  <c r="D17"/>
  <c r="C18"/>
  <c r="D18"/>
  <c r="C19"/>
  <c r="D19"/>
  <c r="C20"/>
  <c r="D20"/>
  <c r="C21"/>
  <c r="D21"/>
  <c r="C22"/>
  <c r="D22"/>
  <c r="C23"/>
  <c r="D23"/>
  <c r="D14"/>
  <c r="C14"/>
  <c r="G46" i="70"/>
  <c r="H46"/>
  <c r="I46"/>
  <c r="J46"/>
  <c r="G47"/>
  <c r="I47"/>
  <c r="J47"/>
  <c r="G48"/>
  <c r="H48"/>
  <c r="I48"/>
  <c r="J48"/>
  <c r="B53"/>
  <c r="A54" s="1"/>
  <c r="A68"/>
  <c r="A52"/>
  <c r="A44"/>
  <c r="G2" i="87"/>
  <c r="F15"/>
  <c r="H30"/>
  <c r="A12"/>
  <c r="C7"/>
  <c r="D5"/>
  <c r="E14" i="75"/>
  <c r="A27" i="87"/>
  <c r="A31" i="84"/>
  <c r="B10" i="88" l="1"/>
  <c r="B6"/>
  <c r="B9"/>
  <c r="B8"/>
  <c r="A11" i="87"/>
  <c r="A10"/>
  <c r="A14" i="84"/>
  <c r="A35"/>
  <c r="E5"/>
  <c r="F36" i="87"/>
  <c r="B398" i="88"/>
  <c r="B397"/>
  <c r="B396"/>
  <c r="B389"/>
  <c r="B369"/>
  <c r="B377"/>
  <c r="B376"/>
  <c r="B366"/>
  <c r="B364"/>
  <c r="B363"/>
  <c r="B419"/>
  <c r="B416"/>
  <c r="B413"/>
  <c r="B410"/>
  <c r="B408"/>
  <c r="B405"/>
  <c r="B402"/>
  <c r="B400"/>
  <c r="B356"/>
  <c r="B395"/>
  <c r="B394"/>
  <c r="B393"/>
  <c r="B392"/>
  <c r="B391"/>
  <c r="B390"/>
  <c r="B388"/>
  <c r="B387"/>
  <c r="B385"/>
  <c r="B384"/>
  <c r="B381"/>
  <c r="B379"/>
  <c r="B375"/>
  <c r="B374"/>
  <c r="B373"/>
  <c r="B372"/>
  <c r="B371"/>
  <c r="B370"/>
  <c r="B368"/>
  <c r="B367"/>
  <c r="B378"/>
  <c r="B365"/>
  <c r="B362"/>
  <c r="B361"/>
  <c r="B418"/>
  <c r="B415"/>
  <c r="B412"/>
  <c r="B409"/>
  <c r="B406"/>
  <c r="B403"/>
  <c r="B399"/>
  <c r="B357"/>
  <c r="B383"/>
  <c r="B382"/>
  <c r="B380"/>
  <c r="B386"/>
  <c r="B360"/>
  <c r="B359"/>
  <c r="B358"/>
  <c r="B355"/>
  <c r="B354"/>
  <c r="B353"/>
  <c r="B352"/>
  <c r="B351"/>
  <c r="B350"/>
  <c r="B349"/>
  <c r="B348"/>
  <c r="B347"/>
  <c r="B345"/>
  <c r="B344"/>
  <c r="B343"/>
  <c r="B420"/>
  <c r="B417"/>
  <c r="B414"/>
  <c r="B411"/>
  <c r="B407"/>
  <c r="B404"/>
  <c r="B401"/>
  <c r="B346"/>
  <c r="B336"/>
  <c r="B337"/>
  <c r="B328"/>
  <c r="B324"/>
  <c r="B320"/>
  <c r="B319"/>
  <c r="B338"/>
  <c r="B327"/>
  <c r="B325"/>
  <c r="B322"/>
  <c r="B318"/>
  <c r="B342"/>
  <c r="B341"/>
  <c r="B340"/>
  <c r="B339"/>
  <c r="B334"/>
  <c r="B333"/>
  <c r="B332"/>
  <c r="B331"/>
  <c r="B330"/>
  <c r="B329"/>
  <c r="B326"/>
  <c r="B323"/>
  <c r="B321"/>
  <c r="B317"/>
  <c r="B335"/>
  <c r="H65" i="70"/>
  <c r="H60"/>
  <c r="G43"/>
  <c r="J61"/>
  <c r="J62"/>
  <c r="H64"/>
  <c r="H63"/>
  <c r="J64"/>
  <c r="J54"/>
  <c r="L54" s="1"/>
  <c r="J53"/>
  <c r="J60"/>
  <c r="H61"/>
  <c r="H62"/>
  <c r="L62" s="1"/>
  <c r="J55"/>
  <c r="J65"/>
  <c r="J63"/>
  <c r="H47"/>
  <c r="L47" s="1"/>
  <c r="B43" i="88"/>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421"/>
  <c r="B423"/>
  <c r="B425"/>
  <c r="B427"/>
  <c r="B429"/>
  <c r="B431"/>
  <c r="B433"/>
  <c r="B435"/>
  <c r="B437"/>
  <c r="B439"/>
  <c r="B441"/>
  <c r="B443"/>
  <c r="B445"/>
  <c r="B447"/>
  <c r="B449"/>
  <c r="B451"/>
  <c r="B453"/>
  <c r="B455"/>
  <c r="B457"/>
  <c r="B459"/>
  <c r="B461"/>
  <c r="B463"/>
  <c r="B465"/>
  <c r="B467"/>
  <c r="B469"/>
  <c r="B471"/>
  <c r="B473"/>
  <c r="B475"/>
  <c r="B477"/>
  <c r="B479"/>
  <c r="B481"/>
  <c r="B483"/>
  <c r="B485"/>
  <c r="B487"/>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422"/>
  <c r="B424"/>
  <c r="B426"/>
  <c r="B428"/>
  <c r="B430"/>
  <c r="B432"/>
  <c r="B434"/>
  <c r="B436"/>
  <c r="B438"/>
  <c r="B440"/>
  <c r="B442"/>
  <c r="B444"/>
  <c r="B446"/>
  <c r="B448"/>
  <c r="B450"/>
  <c r="B452"/>
  <c r="B454"/>
  <c r="B456"/>
  <c r="B458"/>
  <c r="B460"/>
  <c r="B462"/>
  <c r="B464"/>
  <c r="B466"/>
  <c r="B468"/>
  <c r="B470"/>
  <c r="B472"/>
  <c r="B474"/>
  <c r="B476"/>
  <c r="B478"/>
  <c r="B480"/>
  <c r="B482"/>
  <c r="B484"/>
  <c r="B486"/>
  <c r="B488"/>
  <c r="L33" i="70"/>
  <c r="L39"/>
  <c r="L36"/>
  <c r="L38"/>
  <c r="L37"/>
  <c r="K18"/>
  <c r="K16"/>
  <c r="K14"/>
  <c r="K12"/>
  <c r="J41"/>
  <c r="H41"/>
  <c r="L40"/>
  <c r="L34"/>
  <c r="K19"/>
  <c r="K17"/>
  <c r="K15"/>
  <c r="K13"/>
  <c r="L497" i="88"/>
  <c r="J14" i="75"/>
  <c r="H13" i="70"/>
  <c r="L13" s="1"/>
  <c r="L17"/>
  <c r="H12"/>
  <c r="J12"/>
  <c r="F29" i="87"/>
  <c r="F30"/>
  <c r="F13" i="75"/>
  <c r="B54" i="70"/>
  <c r="B13"/>
  <c r="A12"/>
  <c r="N493" i="88"/>
  <c r="F14" i="84"/>
  <c r="B5" i="88"/>
  <c r="L57" i="70"/>
  <c r="K55"/>
  <c r="L48"/>
  <c r="G32" i="84"/>
  <c r="H32"/>
  <c r="K47" i="70"/>
  <c r="K60"/>
  <c r="K61"/>
  <c r="K56"/>
  <c r="K62"/>
  <c r="K14" i="75"/>
  <c r="K15" s="1"/>
  <c r="K16" s="1"/>
  <c r="K17" s="1"/>
  <c r="K18" s="1"/>
  <c r="K19" s="1"/>
  <c r="K20" s="1"/>
  <c r="K21" s="1"/>
  <c r="K22" s="1"/>
  <c r="K23" s="1"/>
  <c r="K24" s="1"/>
  <c r="K25" s="1"/>
  <c r="K26" s="1"/>
  <c r="K27" s="1"/>
  <c r="K28" s="1"/>
  <c r="K29" s="1"/>
  <c r="K30" s="1"/>
  <c r="K46" i="70"/>
  <c r="K58"/>
  <c r="L15"/>
  <c r="I67"/>
  <c r="K65"/>
  <c r="K64"/>
  <c r="L19"/>
  <c r="I32" i="75"/>
  <c r="A15" i="84"/>
  <c r="A16" s="1"/>
  <c r="A17" s="1"/>
  <c r="A18" s="1"/>
  <c r="A19" s="1"/>
  <c r="A20" s="1"/>
  <c r="A21" s="1"/>
  <c r="A22" s="1"/>
  <c r="A23" s="1"/>
  <c r="A24" s="1"/>
  <c r="A25" s="1"/>
  <c r="A26" s="1"/>
  <c r="A27" s="1"/>
  <c r="A28" s="1"/>
  <c r="A29" s="1"/>
  <c r="A30" s="1"/>
  <c r="I14"/>
  <c r="I15" s="1"/>
  <c r="I16" s="1"/>
  <c r="I17" s="1"/>
  <c r="I18" s="1"/>
  <c r="I19" s="1"/>
  <c r="I20" s="1"/>
  <c r="I21" s="1"/>
  <c r="I22" s="1"/>
  <c r="I23" s="1"/>
  <c r="I24" s="1"/>
  <c r="I25" s="1"/>
  <c r="I26" s="1"/>
  <c r="I27" s="1"/>
  <c r="I28" s="1"/>
  <c r="I29" s="1"/>
  <c r="I30"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61" i="70"/>
  <c r="L58"/>
  <c r="K48"/>
  <c r="L64"/>
  <c r="I51"/>
  <c r="K63"/>
  <c r="K57"/>
  <c r="K54"/>
  <c r="D42" i="89"/>
  <c r="D35"/>
  <c r="D33"/>
  <c r="G30"/>
  <c r="G26"/>
  <c r="A24"/>
  <c r="D21"/>
  <c r="G18"/>
  <c r="I14"/>
  <c r="B59"/>
  <c r="C59" s="1"/>
  <c r="B39"/>
  <c r="C39" s="1"/>
  <c r="B33"/>
  <c r="C33" s="1"/>
  <c r="B28"/>
  <c r="C28" s="1"/>
  <c r="B20"/>
  <c r="C20" s="1"/>
  <c r="I43" i="70"/>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53" i="70"/>
  <c r="G67"/>
  <c r="L56"/>
  <c r="L55"/>
  <c r="G32" i="75"/>
  <c r="L46" i="70"/>
  <c r="G56" i="89"/>
  <c r="G54"/>
  <c r="G51"/>
  <c r="G50"/>
  <c r="G47"/>
  <c r="G43"/>
  <c r="G40"/>
  <c r="G39"/>
  <c r="G36"/>
  <c r="L41" i="70" l="1"/>
  <c r="L60"/>
  <c r="B17" i="87"/>
  <c r="D17" s="1"/>
  <c r="L65" i="70"/>
  <c r="L63"/>
  <c r="L16"/>
  <c r="K43"/>
  <c r="H51"/>
  <c r="H67"/>
  <c r="L53"/>
  <c r="L12"/>
  <c r="A55"/>
  <c r="B55"/>
  <c r="B56" s="1"/>
  <c r="B57" s="1"/>
  <c r="B58" s="1"/>
  <c r="B59" s="1"/>
  <c r="B60" s="1"/>
  <c r="B61" s="1"/>
  <c r="B62" s="1"/>
  <c r="B63" s="1"/>
  <c r="B64" s="1"/>
  <c r="B65" s="1"/>
  <c r="H43"/>
  <c r="J67"/>
  <c r="L14" i="75"/>
  <c r="L14" i="70"/>
  <c r="L18"/>
  <c r="J51"/>
  <c r="J43"/>
  <c r="B14"/>
  <c r="A13"/>
  <c r="F19" i="89"/>
  <c r="F23"/>
  <c r="E27"/>
  <c r="J43"/>
  <c r="J49"/>
  <c r="F53"/>
  <c r="E59"/>
  <c r="E31"/>
  <c r="E37"/>
  <c r="E47"/>
  <c r="F51"/>
  <c r="F55"/>
  <c r="F61"/>
  <c r="E17"/>
  <c r="E21"/>
  <c r="E25"/>
  <c r="E29"/>
  <c r="F52"/>
  <c r="F35"/>
  <c r="F41"/>
  <c r="F45"/>
  <c r="F57"/>
  <c r="J61"/>
  <c r="I32" i="84"/>
  <c r="K32" i="75"/>
  <c r="J30" i="89"/>
  <c r="J36"/>
  <c r="J38"/>
  <c r="J46"/>
  <c r="J26"/>
  <c r="H32" i="75"/>
  <c r="J15" i="89"/>
  <c r="J35"/>
  <c r="J41"/>
  <c r="J45"/>
  <c r="J18"/>
  <c r="J32"/>
  <c r="J34"/>
  <c r="J40"/>
  <c r="J22"/>
  <c r="K67" i="70"/>
  <c r="B22" i="87"/>
  <c r="G51" i="70"/>
  <c r="B18" i="87"/>
  <c r="D18" s="1"/>
  <c r="A9"/>
  <c r="G17"/>
  <c r="E51" i="89"/>
  <c r="G18" i="87"/>
  <c r="G23"/>
  <c r="B21"/>
  <c r="D21" s="1"/>
  <c r="E55" i="89"/>
  <c r="J14"/>
  <c r="J31"/>
  <c r="J37"/>
  <c r="F43"/>
  <c r="E53"/>
  <c r="E49"/>
  <c r="J53"/>
  <c r="F49"/>
  <c r="J51"/>
  <c r="F27"/>
  <c r="J24"/>
  <c r="E43"/>
  <c r="J55"/>
  <c r="J16"/>
  <c r="F31"/>
  <c r="E61"/>
  <c r="E23"/>
  <c r="F37"/>
  <c r="E19"/>
  <c r="F17"/>
  <c r="E45"/>
  <c r="F25"/>
  <c r="J32" i="75"/>
  <c r="E57" i="89"/>
  <c r="K51"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l="1"/>
  <c r="A57" i="70"/>
  <c r="A56"/>
  <c r="A60"/>
  <c r="L15" i="75"/>
  <c r="L16" s="1"/>
  <c r="L17" s="1"/>
  <c r="L18" s="1"/>
  <c r="L19" s="1"/>
  <c r="H18" i="87"/>
  <c r="H17"/>
  <c r="L67" i="70"/>
  <c r="L51"/>
  <c r="N62" i="89"/>
  <c r="L43" i="70"/>
  <c r="H20" i="87"/>
  <c r="B15" i="70"/>
  <c r="A14"/>
  <c r="J68" i="89"/>
  <c r="H21" i="87"/>
  <c r="H19"/>
  <c r="A59" i="70"/>
  <c r="D22" i="87"/>
  <c r="L32" i="75"/>
  <c r="A18" i="87"/>
  <c r="A19" s="1"/>
  <c r="A20" s="1"/>
  <c r="A21" s="1"/>
  <c r="A22" s="1"/>
  <c r="E62" i="89"/>
  <c r="D23" i="87"/>
  <c r="A23"/>
  <c r="D20"/>
  <c r="D19"/>
  <c r="L20" i="75" l="1"/>
  <c r="L21" s="1"/>
  <c r="B16" i="70"/>
  <c r="A15"/>
  <c r="H24" i="87"/>
  <c r="A58" i="70"/>
  <c r="A26" i="87"/>
  <c r="L22" i="75" l="1"/>
  <c r="L23" s="1"/>
  <c r="L24" s="1"/>
  <c r="L25" s="1"/>
  <c r="L26" s="1"/>
  <c r="L27" s="1"/>
  <c r="L28" s="1"/>
  <c r="L29" s="1"/>
  <c r="L30" s="1"/>
  <c r="B17" i="70"/>
  <c r="A16"/>
  <c r="A61"/>
  <c r="B18" l="1"/>
  <c r="A17"/>
  <c r="A62"/>
  <c r="B19" l="1"/>
  <c r="A18"/>
  <c r="A63"/>
  <c r="A20" l="1"/>
  <c r="A19"/>
  <c r="A21" l="1"/>
  <c r="A64"/>
  <c r="A22" l="1"/>
  <c r="A65"/>
  <c r="A66"/>
  <c r="A23" l="1"/>
  <c r="A24"/>
  <c r="A25" l="1"/>
  <c r="A26" l="1"/>
  <c r="A28" l="1"/>
  <c r="A27"/>
  <c r="B39" l="1"/>
  <c r="B40" s="1"/>
  <c r="A29"/>
  <c r="A41" l="1"/>
  <c r="B41"/>
  <c r="A37"/>
  <c r="A30"/>
  <c r="A42" l="1"/>
  <c r="A31"/>
  <c r="A32" l="1"/>
  <c r="A33" l="1"/>
  <c r="A34" l="1"/>
  <c r="A35" l="1"/>
  <c r="A36" l="1"/>
  <c r="A38" l="1"/>
  <c r="A39" l="1"/>
  <c r="A40" l="1"/>
</calcChain>
</file>

<file path=xl/sharedStrings.xml><?xml version="1.0" encoding="utf-8"?>
<sst xmlns="http://schemas.openxmlformats.org/spreadsheetml/2006/main" count="1081" uniqueCount="352">
  <si>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</si>
  <si>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</si>
  <si>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</si>
  <si>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</si>
  <si>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</si>
  <si>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</si>
  <si>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</si>
  <si>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</si>
  <si>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</si>
  <si>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</si>
  <si>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</si>
  <si>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</si>
  <si>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</si>
  <si>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</si>
  <si>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</si>
  <si>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</si>
  <si>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</si>
  <si>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</si>
  <si>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</si>
  <si>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</si>
  <si>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</si>
  <si>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</si>
  <si>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</si>
  <si>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</si>
  <si>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</si>
  <si>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</si>
  <si>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</si>
  <si>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</si>
  <si>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</si>
  <si>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</si>
  <si>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</si>
  <si>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</si>
  <si>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</si>
  <si>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</si>
  <si>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</si>
  <si>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</si>
  <si>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</si>
  <si>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</si>
  <si>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</si>
  <si>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</si>
  <si>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</si>
  <si>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</si>
  <si>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Đơn vị: Công Ty TNHH Hải Sản An Lạc</t>
  </si>
  <si>
    <t>- Sổ này có …01…..trang, đánh số từ trang 01 đến trang …01…..</t>
  </si>
  <si>
    <t>Địa chỉ: Lô A14, Đường 4A, KCN Hải Sơn, H. Đức Hoà, T. Long An</t>
  </si>
  <si>
    <t>Thùng carton 48x35.5x22</t>
  </si>
  <si>
    <t>Mực TP</t>
  </si>
  <si>
    <t>Bột biến tính</t>
  </si>
  <si>
    <t>Túi mực 18g</t>
  </si>
  <si>
    <t>Túi mực 40g</t>
  </si>
  <si>
    <t>Túi mực 90g</t>
  </si>
  <si>
    <t>Túi PE</t>
  </si>
  <si>
    <t>Cá bò NL</t>
  </si>
  <si>
    <t>SL</t>
  </si>
  <si>
    <t>Tiền</t>
  </si>
  <si>
    <t>Gas</t>
  </si>
  <si>
    <t>Tổng cộng VL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</si>
  <si>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</si>
  <si>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</si>
  <si>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</si>
  <si>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</si>
  <si>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</si>
  <si>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</si>
  <si>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</si>
  <si>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</si>
  <si>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</si>
  <si>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</si>
  <si>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</si>
  <si>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</si>
  <si>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</si>
  <si>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</si>
  <si>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</si>
  <si>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</si>
  <si>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</si>
  <si>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</si>
  <si>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</si>
  <si>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</si>
  <si>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</si>
  <si>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</si>
  <si>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</si>
  <si>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</si>
  <si>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</si>
  <si>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</si>
  <si>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</si>
  <si>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</si>
  <si>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Thùng carton 30.5x20x15</t>
  </si>
  <si>
    <t>Túi cá chỉ 40g</t>
  </si>
  <si>
    <t xml:space="preserve">Túi cá chỉ 90g </t>
  </si>
  <si>
    <t xml:space="preserve"> Sorbitol </t>
  </si>
  <si>
    <t>TT</t>
  </si>
  <si>
    <t>Ghẹ khô 8kg/thùng TP</t>
  </si>
  <si>
    <t>Khô cá ngân TP</t>
  </si>
  <si>
    <t>Khô cá chỉ vàng TP</t>
  </si>
  <si>
    <t>Cá đù TP</t>
  </si>
  <si>
    <t>Cá chỉ vàng (10kg/bó) (1kg)</t>
  </si>
  <si>
    <t>Cá cơm (10kg/bó) (1kg)</t>
  </si>
  <si>
    <t>Cá cơm (9kg/bó) (25g)</t>
  </si>
  <si>
    <t>Cá chỉ vàng (10.8kg/bó) (90g)</t>
  </si>
  <si>
    <t>Cá chỉ vàng (12kg/bó) (40g)</t>
  </si>
  <si>
    <t>Hũ ly trung</t>
  </si>
  <si>
    <t>Khô cá cơm TP</t>
  </si>
  <si>
    <t>Thùng carton 30x20x15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</si>
  <si>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</si>
  <si>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</si>
  <si>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</si>
  <si>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</si>
  <si>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</si>
  <si>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</si>
  <si>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</si>
  <si>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</si>
  <si>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</si>
  <si>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</si>
  <si>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</si>
  <si>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</si>
  <si>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</si>
  <si>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</si>
  <si>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</si>
  <si>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</si>
  <si>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</si>
  <si>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</si>
  <si>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</si>
  <si>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</si>
  <si>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</si>
  <si>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</si>
  <si>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</si>
  <si>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</si>
  <si>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</si>
  <si>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</si>
  <si>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CuuLong Trading Corpotation</t>
  </si>
  <si>
    <t>Jintatsu Foodstuff Co.,Ltd</t>
  </si>
  <si>
    <t>Limitted Liability Company</t>
  </si>
  <si>
    <t>Markov K.A., Individual Entrepreneur</t>
  </si>
  <si>
    <t>Cá bò khô tẩm TP</t>
  </si>
  <si>
    <t>Tokai Denpun</t>
  </si>
  <si>
    <t>Nguyễn Thị Hồng Hoa</t>
  </si>
  <si>
    <t>Nguyễn Văn Tha</t>
  </si>
  <si>
    <t>Lý Thị Thảo</t>
  </si>
  <si>
    <t>Nguyễn Văn Phong</t>
  </si>
  <si>
    <t>Lê Thị Diệu</t>
  </si>
  <si>
    <t>Lê Thị Thiện Em</t>
  </si>
  <si>
    <t>Trần Văn An</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</si>
  <si>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</si>
  <si>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</si>
  <si>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</si>
  <si>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</si>
  <si>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</si>
  <si>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</si>
  <si>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</si>
  <si>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</si>
  <si>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</si>
  <si>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</si>
  <si>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</si>
  <si>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</si>
  <si>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</si>
  <si>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</si>
  <si>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</si>
  <si>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</si>
  <si>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</si>
  <si>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</si>
  <si>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</si>
  <si>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</si>
  <si>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</si>
  <si>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</si>
  <si>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</si>
  <si>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</si>
  <si>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</si>
  <si>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</si>
  <si>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</si>
  <si>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</si>
  <si>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</si>
  <si>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</si>
  <si>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</si>
  <si>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</si>
  <si>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</si>
  <si>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</si>
  <si>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</si>
  <si>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</si>
  <si>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VL</t>
  </si>
  <si>
    <t>NL</t>
  </si>
  <si>
    <t>Mẫu số S11-DN</t>
  </si>
  <si>
    <t xml:space="preserve"> Ngày 22/12/2014 của Bộ Tài chính)</t>
  </si>
  <si>
    <t>Xuất SX</t>
  </si>
  <si>
    <t>DNTN SX TM XNK Khang Thịnh Phước</t>
  </si>
  <si>
    <t xml:space="preserve">Tên kho: </t>
  </si>
  <si>
    <t>Tài khoản: ....1521......</t>
  </si>
  <si>
    <t>Ký xác nhận</t>
  </si>
  <si>
    <t>CMND</t>
  </si>
  <si>
    <t>Địa Chỉ</t>
  </si>
  <si>
    <t>Đức Linh - Bình Thuận</t>
  </si>
  <si>
    <t>Hàm Tân - Bình Thuận</t>
  </si>
  <si>
    <t>Phan Thiết - Bình Thuận</t>
  </si>
  <si>
    <t>Thanh Hải - Bình Thuận</t>
  </si>
  <si>
    <t>Rạch Giá - Kiên Giang</t>
  </si>
  <si>
    <t>Gò Quao - Kiên Giang</t>
  </si>
  <si>
    <t>Kiên lương - Kiên Giang</t>
  </si>
  <si>
    <t>Mỹ Tho - Tiền Giang</t>
  </si>
  <si>
    <t>Châu Thành - Tiền Giang</t>
  </si>
  <si>
    <t>Gò Công Đông - Tiền Giang</t>
  </si>
  <si>
    <t>Gò Công Tây - Tiền Giang</t>
  </si>
  <si>
    <t xml:space="preserve">Gò Công Tây - Tiền Giang </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</si>
  <si>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</si>
  <si>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</si>
  <si>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</si>
  <si>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</si>
  <si>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</si>
  <si>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</si>
  <si>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</si>
  <si>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</si>
  <si>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</si>
  <si>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</si>
  <si>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</si>
  <si>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</si>
  <si>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</si>
  <si>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</si>
  <si>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</si>
  <si>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</si>
  <si>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</si>
  <si>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</si>
  <si>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</si>
  <si>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</si>
  <si>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</si>
  <si>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</si>
  <si>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</si>
  <si>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</si>
  <si>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</si>
  <si>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</si>
  <si>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</si>
  <si>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</si>
  <si>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</si>
  <si>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TP</t>
  </si>
  <si>
    <t>CÔNG TY TNHH HẢI SẢN AN LẠC</t>
  </si>
  <si>
    <t>MẶT HÀNG</t>
  </si>
  <si>
    <t>ĐM</t>
  </si>
  <si>
    <t>SL NL</t>
  </si>
  <si>
    <t>ĐG</t>
  </si>
  <si>
    <t>CP NVL C</t>
  </si>
  <si>
    <t>CP NVL P</t>
  </si>
  <si>
    <t>CP CÔNG NHÂN</t>
  </si>
  <si>
    <t>CP NHIÊN LIỆU</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</si>
  <si>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</si>
  <si>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</si>
  <si>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</si>
  <si>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</si>
  <si>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</si>
  <si>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</si>
  <si>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</si>
  <si>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</si>
  <si>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</si>
  <si>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</si>
  <si>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</si>
  <si>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</si>
  <si>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</si>
  <si>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</si>
  <si>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</si>
  <si>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</si>
  <si>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</si>
  <si>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</si>
  <si>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</si>
  <si>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</si>
  <si>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</si>
  <si>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</si>
  <si>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</si>
  <si>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</si>
  <si>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</si>
  <si>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Khô cá cơm B TP</t>
  </si>
  <si>
    <t>Cá bò khô tẩm B TP</t>
  </si>
  <si>
    <t>Cty TNHH Tân Hùng Thái</t>
  </si>
  <si>
    <t>Cty TNHH Hóa Chất Thành Phương</t>
  </si>
  <si>
    <t>More - 2007</t>
  </si>
  <si>
    <t>O.Cheon Industry Co.,LTD</t>
  </si>
  <si>
    <t>TỈNH</t>
  </si>
  <si>
    <t>Flak Vostok LLC</t>
  </si>
  <si>
    <t>Zhoushan Foreign Trade And Economy Corp.,LTD</t>
  </si>
  <si>
    <t>Khô cá mai TP</t>
  </si>
  <si>
    <t>Tạm nhập</t>
  </si>
  <si>
    <t>Công Ty TNHH In Và SX Bao Bì Đức Mỹ</t>
  </si>
  <si>
    <t xml:space="preserve">       Võ Uyên Phương                                                      Trần Minh Nghĩa</t>
  </si>
  <si>
    <t>BẢNG TÍNH GIÁ THÀNH SP T01/2016</t>
  </si>
  <si>
    <t>BẢNG TÍNH GIÁ THÀNH SP T02/2016</t>
  </si>
  <si>
    <t>BẢNG TÍNH GIÁ THÀNH SP T03/2016</t>
  </si>
  <si>
    <t>BẢNG TÍNH GIÁ THÀNH SP T04/2016</t>
  </si>
  <si>
    <t>BẢNG TÍNH GIÁ THÀNH SP T05/2016</t>
  </si>
  <si>
    <t>BẢNG TÍNH GIÁ THÀNH SP T06/2016</t>
  </si>
  <si>
    <t>BẢNG TÍNH GIÁ THÀNH SP T07/2016</t>
  </si>
  <si>
    <t>BẢNG TÍNH GIÁ THÀNH SP T08/2016</t>
  </si>
  <si>
    <t>BẢNG TÍNH GIÁ THÀNH SP T09/2016</t>
  </si>
  <si>
    <t>BẢNG TÍNH GIÁ THÀNH SP T10/2016</t>
  </si>
  <si>
    <t>BẢNG TÍNH GIÁ THÀNH SP T11/2016</t>
  </si>
  <si>
    <t>BẢNG TÍNH GIÁ THÀNH SP T12/2016</t>
  </si>
  <si>
    <t>Ngày  31  tháng   12  năm   2016</t>
  </si>
  <si>
    <t>Năm: 2016</t>
  </si>
  <si>
    <t>N01</t>
  </si>
  <si>
    <t>Công Ty TNHH TM - DV Thanh Thanh</t>
  </si>
  <si>
    <t>1522</t>
  </si>
  <si>
    <t>331</t>
  </si>
  <si>
    <t>N02</t>
  </si>
  <si>
    <t>CN Công Ty TNHH Tân Hy Xí Nghiệp In &amp; Bao Bì Duy Nhật</t>
  </si>
  <si>
    <t>Thùng carton 47x37x11</t>
  </si>
  <si>
    <t>Thùng carton 45x31x10.5</t>
  </si>
  <si>
    <t>Thùng carton 54.5x37.5x32.5</t>
  </si>
  <si>
    <t>Thùng carton 54x41</t>
  </si>
  <si>
    <t>Thùng carton 46.5x34.5x26.5</t>
  </si>
  <si>
    <t>N03</t>
  </si>
  <si>
    <t>N04</t>
  </si>
  <si>
    <t>N05</t>
  </si>
  <si>
    <t>Hộp ghẹ</t>
  </si>
  <si>
    <t>N06</t>
  </si>
  <si>
    <t>NVL</t>
  </si>
  <si>
    <t>Ghẹ khô tẩm TP</t>
  </si>
  <si>
    <t>TP</t>
  </si>
  <si>
    <t>155</t>
  </si>
  <si>
    <t>154</t>
  </si>
  <si>
    <t>Say D.S Co., Ltd</t>
  </si>
  <si>
    <t>632</t>
  </si>
  <si>
    <t>X01</t>
  </si>
  <si>
    <t>X02</t>
  </si>
  <si>
    <t>X03</t>
  </si>
  <si>
    <t>X04</t>
  </si>
  <si>
    <t>X05</t>
  </si>
  <si>
    <t>X06</t>
  </si>
  <si>
    <t>1521</t>
  </si>
  <si>
    <t>681/AT, xã An Thủy, Ba Tri, Bến Tre</t>
  </si>
  <si>
    <t>Ghi Chú</t>
  </si>
  <si>
    <t>Số ĐK Tàu</t>
  </si>
  <si>
    <t>DS - KH Xuất</t>
  </si>
  <si>
    <t>DS - KH Vật liệu</t>
  </si>
  <si>
    <t>Lê Thành Lê</t>
  </si>
  <si>
    <t>Nguyễn Thành Quang</t>
  </si>
  <si>
    <t>xã Hưng Nhượng, Giồng Trôm, Bến Tre</t>
  </si>
  <si>
    <t>001/AT, xã An Thủy, Ba Tri, Bến Tre</t>
  </si>
  <si>
    <t>Trương Thị Nhớ</t>
  </si>
  <si>
    <t>542/AT, xã An Thủy, Ba Tri, Bến Tre</t>
  </si>
  <si>
    <t>Nguyễn Thanh Hải</t>
  </si>
  <si>
    <t>xã Châu Hòa, Giồng Trôm, Bến Tre</t>
  </si>
  <si>
    <t>Phạm Tuấn Anh</t>
  </si>
  <si>
    <t>Ấp An Thới, An Qui, Thạnh Phú, Bến Tre</t>
  </si>
  <si>
    <t>Nguyễn Thanh Hoàng</t>
  </si>
  <si>
    <t>788/AT, xã An Thủy, Ba Tri, Bến Tre</t>
  </si>
  <si>
    <t>xã An Thủy, Ba Tri, Bến Tre</t>
  </si>
  <si>
    <t>Vỏ Văn Thắng</t>
  </si>
  <si>
    <t>188/AT, xã An Thủy, Ba Tri, Bến Tre</t>
  </si>
  <si>
    <t>Đặng Thanh Phong</t>
  </si>
  <si>
    <t>Bình Thành, Giồng Trôm, Bến Tre</t>
  </si>
  <si>
    <t>62 Đinh Tiên Hoàng, P2, Bà Rịa Vũng Tàu</t>
  </si>
  <si>
    <t>196 Mỹ Lâm, Hòn Đất, Kiên Giang</t>
  </si>
  <si>
    <t>Br 4147TS</t>
  </si>
  <si>
    <t>Br 5400TS</t>
  </si>
  <si>
    <t>Br 4437TS, Br 4516TS</t>
  </si>
  <si>
    <t>Br 7799TS</t>
  </si>
  <si>
    <t>KG 90428TS, KG90139TS, KG91737TS</t>
  </si>
  <si>
    <t>'Cá bò khô tẩm B TP</t>
  </si>
  <si>
    <t>CP KHTS</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</si>
</sst>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10"/>
      <name val="Times New Roman"/>
      <family val="1"/>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
      <left/>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67">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5" fillId="26" borderId="2" xfId="0" applyFont="1" applyFill="1" applyBorder="1" applyAlignment="1">
      <alignment horizontal="center" vertical="center"/>
    </xf>
    <xf numFmtId="0" fontId="35" fillId="0" borderId="12" xfId="0"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0" xfId="58" applyFont="1" applyAlignment="1" applyProtection="1">
      <alignment horizontal="center" vertical="center"/>
      <protection hidden="1"/>
    </xf>
    <xf numFmtId="0" fontId="35" fillId="0" borderId="18"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7" fillId="0" borderId="0" xfId="56" applyFont="1"/>
    <xf numFmtId="0" fontId="32" fillId="0" borderId="19" xfId="55" quotePrefix="1" applyFont="1" applyBorder="1" applyAlignment="1">
      <alignment horizontal="center" vertical="center"/>
    </xf>
    <xf numFmtId="0" fontId="41" fillId="0" borderId="0" xfId="0" applyFont="1" applyAlignment="1">
      <alignment vertical="center"/>
    </xf>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32" fillId="0" borderId="0" xfId="56" applyFont="1" applyAlignment="1" applyProtection="1">
      <alignment horizontal="center"/>
      <protection hidden="1"/>
    </xf>
    <xf numFmtId="0" fontId="59" fillId="0" borderId="18" xfId="56" applyFont="1" applyBorder="1" applyAlignment="1">
      <alignment horizontal="center"/>
    </xf>
    <xf numFmtId="16" fontId="59" fillId="0" borderId="18" xfId="56" applyNumberFormat="1" applyFont="1" applyBorder="1" applyAlignment="1">
      <alignment horizontal="center"/>
    </xf>
    <xf numFmtId="14" fontId="59" fillId="0" borderId="18" xfId="55" applyNumberFormat="1" applyFont="1" applyBorder="1" applyAlignment="1">
      <alignment horizontal="center" vertical="center"/>
    </xf>
    <xf numFmtId="0" fontId="59" fillId="0" borderId="18" xfId="55" applyFont="1" applyBorder="1" applyAlignment="1">
      <alignment vertical="center"/>
    </xf>
    <xf numFmtId="0" fontId="59" fillId="0" borderId="19" xfId="55" applyFont="1" applyBorder="1" applyAlignment="1">
      <alignment vertical="center"/>
    </xf>
    <xf numFmtId="0" fontId="59" fillId="0" borderId="19" xfId="55" quotePrefix="1" applyFont="1" applyBorder="1" applyAlignment="1">
      <alignment horizontal="center" vertical="center"/>
    </xf>
    <xf numFmtId="0" fontId="59" fillId="0" borderId="18" xfId="56" quotePrefix="1" applyFont="1" applyBorder="1" applyAlignment="1">
      <alignment horizontal="center"/>
    </xf>
    <xf numFmtId="164" fontId="59" fillId="0" borderId="18" xfId="29" applyNumberFormat="1" applyFont="1" applyBorder="1"/>
    <xf numFmtId="0" fontId="59" fillId="0" borderId="0" xfId="56" applyFont="1"/>
    <xf numFmtId="0" fontId="59"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164" fontId="35" fillId="0" borderId="0" xfId="29" applyNumberFormat="1" applyFont="1" applyFill="1" applyBorder="1" applyAlignment="1">
      <alignment horizontal="left"/>
    </xf>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164" fontId="35" fillId="0" borderId="0" xfId="29" applyNumberFormat="1" applyFont="1" applyFill="1" applyBorder="1"/>
    <xf numFmtId="164" fontId="35" fillId="0" borderId="0" xfId="77" applyNumberFormat="1" applyFont="1"/>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6" fillId="0" borderId="0" xfId="57" applyNumberFormat="1" applyFont="1" applyAlignment="1">
      <alignment horizontal="center" vertical="center" wrapText="1"/>
    </xf>
    <xf numFmtId="164" fontId="67" fillId="0" borderId="0" xfId="57" applyNumberFormat="1" applyFont="1" applyAlignment="1">
      <alignment vertical="center" wrapText="1"/>
    </xf>
    <xf numFmtId="164" fontId="67" fillId="0" borderId="0" xfId="57" applyNumberFormat="1" applyFont="1" applyAlignment="1">
      <alignment horizontal="left" vertical="center" wrapText="1"/>
    </xf>
    <xf numFmtId="0" fontId="64" fillId="0" borderId="0" xfId="59" applyFont="1" applyAlignment="1">
      <alignment vertical="center"/>
    </xf>
    <xf numFmtId="0" fontId="68" fillId="0" borderId="0" xfId="0" applyFont="1" applyAlignment="1">
      <alignment vertical="center"/>
    </xf>
    <xf numFmtId="0" fontId="67" fillId="0" borderId="0" xfId="0" applyFont="1" applyAlignment="1">
      <alignment vertical="center"/>
    </xf>
    <xf numFmtId="0" fontId="67" fillId="0" borderId="0" xfId="0" applyFont="1" applyAlignment="1">
      <alignment horizontal="center" vertical="center"/>
    </xf>
    <xf numFmtId="164" fontId="67" fillId="0" borderId="0" xfId="29" applyNumberFormat="1" applyFont="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35" fillId="0" borderId="19" xfId="29" applyNumberFormat="1" applyFont="1" applyBorder="1"/>
    <xf numFmtId="0" fontId="69" fillId="0" borderId="0" xfId="58" applyFont="1" applyAlignment="1" applyProtection="1">
      <alignment horizontal="left" vertical="center"/>
      <protection hidden="1"/>
    </xf>
    <xf numFmtId="0" fontId="69" fillId="0" borderId="0" xfId="58" applyFont="1" applyAlignment="1" applyProtection="1">
      <alignment horizontal="center" vertical="center"/>
      <protection hidden="1"/>
    </xf>
    <xf numFmtId="0" fontId="35" fillId="0" borderId="18" xfId="0" applyFont="1" applyFill="1" applyBorder="1" applyAlignment="1" applyProtection="1">
      <alignment horizontal="left"/>
      <protection hidden="1"/>
    </xf>
    <xf numFmtId="0" fontId="35" fillId="0" borderId="18" xfId="58" applyFont="1" applyBorder="1" applyAlignment="1" applyProtection="1">
      <alignment vertical="center"/>
      <protection hidden="1"/>
    </xf>
    <xf numFmtId="0" fontId="35" fillId="0" borderId="18" xfId="58" applyFont="1" applyBorder="1" applyAlignment="1" applyProtection="1">
      <alignment horizontal="center" vertical="center"/>
      <protection hidden="1"/>
    </xf>
    <xf numFmtId="164" fontId="35" fillId="0" borderId="18" xfId="29" applyNumberFormat="1" applyFont="1" applyBorder="1" applyAlignment="1" applyProtection="1">
      <alignment vertical="center"/>
      <protection hidden="1"/>
    </xf>
    <xf numFmtId="164" fontId="35" fillId="0" borderId="18" xfId="29" applyNumberFormat="1" applyFont="1" applyFill="1" applyBorder="1" applyAlignment="1" applyProtection="1">
      <alignment horizontal="center"/>
      <protection hidden="1"/>
    </xf>
    <xf numFmtId="164" fontId="35" fillId="0" borderId="18" xfId="29" applyNumberFormat="1" applyFont="1" applyFill="1" applyBorder="1" applyAlignment="1" applyProtection="1">
      <alignment horizontal="left"/>
      <protection hidden="1"/>
    </xf>
    <xf numFmtId="0" fontId="35" fillId="0" borderId="20" xfId="59" applyNumberFormat="1" applyFont="1" applyBorder="1" applyAlignment="1" applyProtection="1">
      <alignment horizontal="center" vertical="center"/>
      <protection hidden="1"/>
    </xf>
    <xf numFmtId="0" fontId="35" fillId="0" borderId="20" xfId="0" applyFont="1" applyFill="1" applyBorder="1" applyAlignment="1" applyProtection="1">
      <alignment horizontal="left"/>
      <protection hidden="1"/>
    </xf>
    <xf numFmtId="0" fontId="35" fillId="0" borderId="20" xfId="58" applyFont="1" applyBorder="1" applyAlignment="1" applyProtection="1">
      <alignment vertical="center"/>
      <protection hidden="1"/>
    </xf>
    <xf numFmtId="0" fontId="35" fillId="0" borderId="20" xfId="58" applyFont="1" applyBorder="1" applyAlignment="1" applyProtection="1">
      <alignment horizontal="center" vertical="center"/>
      <protection hidden="1"/>
    </xf>
    <xf numFmtId="164" fontId="35" fillId="0" borderId="20" xfId="29" applyNumberFormat="1" applyFont="1" applyBorder="1" applyAlignment="1" applyProtection="1">
      <alignment vertical="center"/>
      <protection hidden="1"/>
    </xf>
    <xf numFmtId="164" fontId="35" fillId="0" borderId="20" xfId="29" applyNumberFormat="1" applyFont="1" applyFill="1" applyBorder="1" applyAlignment="1" applyProtection="1">
      <alignment horizontal="center"/>
      <protection hidden="1"/>
    </xf>
    <xf numFmtId="164" fontId="35" fillId="0" borderId="20" xfId="29" applyNumberFormat="1" applyFont="1" applyFill="1" applyBorder="1" applyAlignment="1" applyProtection="1">
      <alignment horizontal="left"/>
      <protection hidden="1"/>
    </xf>
    <xf numFmtId="0" fontId="35" fillId="0" borderId="28" xfId="58" applyFont="1" applyBorder="1" applyAlignment="1" applyProtection="1">
      <alignment horizontal="center" vertical="center" wrapText="1"/>
      <protection hidden="1"/>
    </xf>
    <xf numFmtId="0" fontId="45" fillId="32" borderId="28" xfId="58" applyFont="1" applyFill="1" applyBorder="1" applyAlignment="1" applyProtection="1">
      <alignment horizontal="center" vertical="center"/>
      <protection hidden="1"/>
    </xf>
    <xf numFmtId="164" fontId="60" fillId="0" borderId="19" xfId="29" applyNumberFormat="1" applyFont="1" applyFill="1" applyBorder="1" applyAlignment="1">
      <alignment vertical="center"/>
    </xf>
    <xf numFmtId="164" fontId="65" fillId="0" borderId="19" xfId="29" applyNumberFormat="1" applyFont="1" applyBorder="1" applyAlignment="1">
      <alignment vertical="center"/>
    </xf>
    <xf numFmtId="164" fontId="65" fillId="0" borderId="18" xfId="29" applyNumberFormat="1" applyFont="1" applyBorder="1" applyAlignment="1">
      <alignment vertical="center"/>
    </xf>
    <xf numFmtId="164" fontId="35" fillId="0" borderId="2" xfId="29" applyNumberFormat="1" applyFont="1" applyBorder="1" applyAlignment="1">
      <alignment horizontal="center"/>
    </xf>
    <xf numFmtId="43" fontId="32" fillId="0" borderId="0" xfId="29" applyFont="1"/>
    <xf numFmtId="0" fontId="59" fillId="0" borderId="18" xfId="55" quotePrefix="1" applyFont="1" applyBorder="1" applyAlignment="1">
      <alignment horizontal="center" vertical="center"/>
    </xf>
    <xf numFmtId="0" fontId="60" fillId="33" borderId="12" xfId="0" applyFont="1" applyFill="1" applyBorder="1" applyAlignment="1">
      <alignment vertical="center"/>
    </xf>
    <xf numFmtId="164" fontId="35" fillId="0" borderId="48" xfId="29" applyNumberFormat="1" applyFont="1" applyBorder="1" applyAlignment="1">
      <alignment horizontal="left"/>
    </xf>
    <xf numFmtId="14" fontId="35" fillId="0" borderId="48" xfId="29" applyNumberFormat="1" applyFont="1" applyBorder="1" applyAlignment="1">
      <alignment horizontal="center"/>
    </xf>
    <xf numFmtId="164" fontId="35" fillId="0" borderId="48" xfId="29" applyNumberFormat="1" applyFont="1" applyBorder="1" applyAlignment="1">
      <alignment horizontal="center"/>
    </xf>
    <xf numFmtId="0" fontId="35" fillId="0" borderId="48" xfId="77" applyFont="1" applyBorder="1"/>
    <xf numFmtId="0" fontId="35" fillId="21" borderId="2" xfId="0" applyFont="1" applyFill="1" applyBorder="1" applyAlignment="1">
      <alignment horizontal="center" vertical="center"/>
    </xf>
    <xf numFmtId="0" fontId="35" fillId="26" borderId="26" xfId="0" applyFont="1" applyFill="1" applyBorder="1" applyAlignment="1">
      <alignment horizontal="center" vertical="center" wrapText="1"/>
    </xf>
    <xf numFmtId="164" fontId="67" fillId="0" borderId="0" xfId="29" applyNumberFormat="1" applyFont="1" applyBorder="1" applyAlignment="1">
      <alignment vertical="center"/>
    </xf>
    <xf numFmtId="0" fontId="35" fillId="33" borderId="2" xfId="0" applyFont="1" applyFill="1" applyBorder="1" applyAlignment="1">
      <alignment vertical="center"/>
    </xf>
    <xf numFmtId="0" fontId="35" fillId="0" borderId="18" xfId="77" quotePrefix="1" applyFont="1" applyFill="1" applyBorder="1"/>
    <xf numFmtId="0" fontId="35" fillId="0" borderId="18" xfId="56" applyFont="1" applyBorder="1" applyAlignment="1">
      <alignment horizontal="center" vertical="center"/>
    </xf>
    <xf numFmtId="0" fontId="35" fillId="21" borderId="22" xfId="0" applyFont="1" applyFill="1" applyBorder="1" applyAlignment="1">
      <alignment horizontal="center" vertical="center"/>
    </xf>
    <xf numFmtId="0" fontId="35" fillId="0" borderId="12" xfId="56" applyFont="1" applyBorder="1" applyAlignment="1">
      <alignment horizontal="center" vertical="center"/>
    </xf>
    <xf numFmtId="164" fontId="60" fillId="0" borderId="19" xfId="29" applyNumberFormat="1" applyFont="1" applyBorder="1" applyAlignment="1">
      <alignment vertical="center"/>
    </xf>
    <xf numFmtId="164" fontId="60" fillId="0" borderId="18" xfId="29" applyNumberFormat="1" applyFont="1" applyFill="1" applyBorder="1" applyAlignment="1">
      <alignment vertical="center"/>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wrapText="1"/>
    </xf>
    <xf numFmtId="0" fontId="35" fillId="26" borderId="22" xfId="0" applyFont="1" applyFill="1" applyBorder="1" applyAlignment="1">
      <alignment horizontal="center" vertical="center" wrapText="1"/>
    </xf>
    <xf numFmtId="0" fontId="35" fillId="26" borderId="26" xfId="0" applyFont="1" applyFill="1" applyBorder="1" applyAlignment="1">
      <alignment horizontal="center" vertical="center" wrapText="1"/>
    </xf>
    <xf numFmtId="0" fontId="32" fillId="0" borderId="0" xfId="56" applyFont="1" applyAlignment="1" applyProtection="1">
      <alignment horizontal="center"/>
      <protection hidden="1"/>
    </xf>
    <xf numFmtId="0" fontId="35" fillId="0" borderId="2" xfId="58" applyFont="1" applyBorder="1" applyAlignment="1" applyProtection="1">
      <alignment horizontal="center" vertical="center" wrapText="1"/>
      <protection hidden="1"/>
    </xf>
    <xf numFmtId="0" fontId="35" fillId="0" borderId="28" xfId="58" applyFont="1" applyBorder="1" applyAlignment="1" applyProtection="1">
      <alignment horizontal="center" vertical="center"/>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02.KE-TOAN/SO%20SACH%20-%20LA/SO%20SACH/2013%20-%202015/S&#7893;%20S&#225;ch/2015/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31"/>
      <sheetName val="131-TH"/>
      <sheetName val="131-CT"/>
      <sheetName val="331"/>
      <sheetName val="331 - TH"/>
      <sheetName val="331-CT"/>
    </sheetNames>
    <sheetDataSet>
      <sheetData sheetId="0" refreshError="1"/>
      <sheetData sheetId="1" refreshError="1"/>
      <sheetData sheetId="2" refreshError="1"/>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T107"/>
  <sheetViews>
    <sheetView topLeftCell="A8" workbookViewId="0">
      <pane xSplit="3" ySplit="4" topLeftCell="D12" activePane="bottomRight" state="frozen"/>
      <selection activeCell="A8" sqref="A8"/>
      <selection pane="topRight" activeCell="D8" sqref="D8"/>
      <selection pane="bottomLeft" activeCell="A12" sqref="A12"/>
      <selection pane="bottomRight" activeCell="C33" sqref="C33"/>
    </sheetView>
  </sheetViews>
  <sheetFormatPr defaultRowHeight="12.75"/>
  <cols>
    <col min="1" max="1" width="3.7109375" style="35" hidden="1" customWidth="1"/>
    <col min="2" max="2" width="3.42578125" style="35" customWidth="1"/>
    <col min="3" max="3" width="28.28515625" style="35" customWidth="1"/>
    <col min="4" max="4" width="7.7109375" style="44"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35" customWidth="1"/>
    <col min="14" max="14" width="24.140625" style="35" customWidth="1"/>
    <col min="15" max="15" width="10.5703125" style="35" customWidth="1"/>
    <col min="16" max="16" width="10.42578125" style="35" customWidth="1"/>
    <col min="17" max="17" width="22.28515625" style="35" customWidth="1"/>
    <col min="18" max="18" width="12" style="35" customWidth="1"/>
    <col min="19" max="19" width="4.85546875" style="35" customWidth="1"/>
    <col min="20" max="16384" width="9.140625" style="35"/>
  </cols>
  <sheetData>
    <row r="1" spans="1:19" s="6" customFormat="1" ht="14.25" customHeight="1">
      <c r="B1" s="191" t="s">
        <v>42</v>
      </c>
      <c r="C1" s="30"/>
      <c r="D1" s="30"/>
      <c r="E1" s="30"/>
      <c r="F1" s="31"/>
      <c r="G1" s="31"/>
      <c r="H1" s="486" t="s">
        <v>179</v>
      </c>
      <c r="I1" s="486"/>
      <c r="J1" s="486"/>
      <c r="K1" s="486"/>
      <c r="L1" s="486"/>
      <c r="M1" s="430"/>
      <c r="N1" s="193"/>
      <c r="O1" s="5"/>
    </row>
    <row r="2" spans="1:19" s="6" customFormat="1" ht="14.25" customHeight="1">
      <c r="B2" s="192" t="s">
        <v>44</v>
      </c>
      <c r="C2" s="32"/>
      <c r="D2" s="32"/>
      <c r="E2" s="32"/>
      <c r="F2" s="32"/>
      <c r="G2" s="32"/>
      <c r="H2" s="487" t="s">
        <v>102</v>
      </c>
      <c r="I2" s="487"/>
      <c r="J2" s="487"/>
      <c r="K2" s="487"/>
      <c r="L2" s="487"/>
      <c r="M2" s="431"/>
      <c r="N2" s="195"/>
      <c r="O2" s="7"/>
    </row>
    <row r="3" spans="1:19" s="6" customFormat="1" ht="14.25" customHeight="1">
      <c r="B3" s="32"/>
      <c r="C3" s="32"/>
      <c r="D3" s="32"/>
      <c r="E3" s="32"/>
      <c r="F3" s="32"/>
      <c r="G3" s="32"/>
      <c r="H3" s="488" t="s">
        <v>180</v>
      </c>
      <c r="I3" s="488"/>
      <c r="J3" s="488"/>
      <c r="K3" s="488"/>
      <c r="L3" s="488"/>
      <c r="M3" s="432"/>
      <c r="N3" s="194"/>
      <c r="O3" s="7"/>
    </row>
    <row r="4" spans="1:19" s="4" customFormat="1" ht="27.75" customHeight="1">
      <c r="B4" s="490" t="s">
        <v>29</v>
      </c>
      <c r="C4" s="490"/>
      <c r="D4" s="490"/>
      <c r="E4" s="490"/>
      <c r="F4" s="490"/>
      <c r="G4" s="490"/>
      <c r="H4" s="490"/>
      <c r="I4" s="490"/>
      <c r="J4" s="490"/>
      <c r="K4" s="490"/>
      <c r="L4" s="490"/>
      <c r="M4" s="433"/>
    </row>
    <row r="5" spans="1:19" s="4" customFormat="1" ht="15" customHeight="1">
      <c r="B5" s="491" t="s">
        <v>61</v>
      </c>
      <c r="C5" s="491"/>
      <c r="D5" s="491"/>
      <c r="E5" s="491"/>
      <c r="F5" s="491"/>
      <c r="G5" s="491"/>
      <c r="H5" s="491"/>
      <c r="I5" s="491"/>
      <c r="J5" s="491"/>
      <c r="K5" s="491"/>
      <c r="L5" s="491"/>
      <c r="M5" s="433"/>
    </row>
    <row r="6" spans="1:19" s="4" customFormat="1" ht="12.75" hidden="1" customHeight="1">
      <c r="B6" s="491" t="s">
        <v>62</v>
      </c>
      <c r="C6" s="491"/>
      <c r="D6" s="491"/>
      <c r="E6" s="491"/>
      <c r="F6" s="491"/>
      <c r="G6" s="491"/>
      <c r="H6" s="491"/>
      <c r="I6" s="491"/>
      <c r="J6" s="491"/>
      <c r="K6" s="491"/>
      <c r="L6" s="491"/>
      <c r="M6" s="433"/>
    </row>
    <row r="7" spans="1:19" s="33" customFormat="1" ht="24" hidden="1" customHeight="1">
      <c r="C7" s="489" t="s">
        <v>60</v>
      </c>
      <c r="D7" s="489"/>
      <c r="E7" s="489"/>
      <c r="F7" s="489"/>
      <c r="G7" s="489"/>
      <c r="H7" s="489"/>
      <c r="I7" s="489"/>
      <c r="J7" s="489"/>
      <c r="K7" s="489"/>
      <c r="L7" s="489"/>
      <c r="M7" s="434"/>
    </row>
    <row r="8" spans="1:19" ht="20.25" customHeight="1">
      <c r="B8" s="480" t="s">
        <v>30</v>
      </c>
      <c r="C8" s="482" t="s">
        <v>31</v>
      </c>
      <c r="D8" s="483" t="s">
        <v>79</v>
      </c>
      <c r="E8" s="485" t="s">
        <v>32</v>
      </c>
      <c r="F8" s="485"/>
      <c r="G8" s="485"/>
      <c r="H8" s="485"/>
      <c r="I8" s="485"/>
      <c r="J8" s="485"/>
      <c r="K8" s="485"/>
      <c r="L8" s="485"/>
      <c r="N8" s="492" t="s">
        <v>126</v>
      </c>
      <c r="O8" s="492" t="s">
        <v>270</v>
      </c>
      <c r="P8" s="492" t="s">
        <v>186</v>
      </c>
      <c r="Q8" s="492" t="s">
        <v>187</v>
      </c>
      <c r="R8" s="492" t="s">
        <v>323</v>
      </c>
      <c r="S8" s="492" t="s">
        <v>322</v>
      </c>
    </row>
    <row r="9" spans="1:19" ht="20.25" customHeight="1">
      <c r="B9" s="480"/>
      <c r="C9" s="482"/>
      <c r="D9" s="484"/>
      <c r="E9" s="485" t="s">
        <v>35</v>
      </c>
      <c r="F9" s="485"/>
      <c r="G9" s="481" t="s">
        <v>36</v>
      </c>
      <c r="H9" s="481"/>
      <c r="I9" s="481" t="s">
        <v>33</v>
      </c>
      <c r="J9" s="481"/>
      <c r="K9" s="481" t="s">
        <v>34</v>
      </c>
      <c r="L9" s="481"/>
      <c r="N9" s="493"/>
      <c r="O9" s="493"/>
      <c r="P9" s="493"/>
      <c r="Q9" s="493"/>
      <c r="R9" s="493"/>
      <c r="S9" s="493"/>
    </row>
    <row r="10" spans="1:19" ht="20.25" hidden="1" customHeight="1">
      <c r="B10" s="480"/>
      <c r="C10" s="482"/>
      <c r="D10" s="34"/>
      <c r="E10" s="43" t="s">
        <v>53</v>
      </c>
      <c r="F10" s="43" t="s">
        <v>54</v>
      </c>
      <c r="G10" s="43" t="s">
        <v>53</v>
      </c>
      <c r="H10" s="43" t="s">
        <v>54</v>
      </c>
      <c r="I10" s="43" t="s">
        <v>53</v>
      </c>
      <c r="J10" s="43" t="s">
        <v>54</v>
      </c>
      <c r="K10" s="43" t="s">
        <v>53</v>
      </c>
      <c r="L10" s="43" t="s">
        <v>54</v>
      </c>
      <c r="N10" s="494"/>
      <c r="O10" s="494"/>
      <c r="P10" s="494"/>
      <c r="Q10" s="494"/>
      <c r="R10" s="471"/>
      <c r="S10" s="494"/>
    </row>
    <row r="11" spans="1:19" s="44" customFormat="1">
      <c r="B11" s="45" t="s">
        <v>13</v>
      </c>
      <c r="C11" s="34" t="s">
        <v>14</v>
      </c>
      <c r="D11" s="34"/>
      <c r="E11" s="43">
        <v>1</v>
      </c>
      <c r="F11" s="43">
        <v>1</v>
      </c>
      <c r="G11" s="43">
        <v>2</v>
      </c>
      <c r="H11" s="43">
        <v>2</v>
      </c>
      <c r="I11" s="43">
        <v>3</v>
      </c>
      <c r="J11" s="43">
        <v>3</v>
      </c>
      <c r="K11" s="43">
        <v>4</v>
      </c>
      <c r="L11" s="43">
        <v>4</v>
      </c>
      <c r="M11" s="436"/>
      <c r="N11" s="82"/>
      <c r="O11" s="82"/>
      <c r="P11" s="82"/>
      <c r="Q11" s="82"/>
      <c r="R11" s="82"/>
      <c r="S11" s="82"/>
    </row>
    <row r="12" spans="1:19" ht="18" customHeight="1">
      <c r="A12" s="40" t="str">
        <f>IF(B12&lt;&gt;"","VL","")</f>
        <v>VL</v>
      </c>
      <c r="B12" s="475">
        <f>IF(C12&lt;&gt;"",ROW()-(ROW()-1),"")</f>
        <v>1</v>
      </c>
      <c r="C12" s="41" t="s">
        <v>39</v>
      </c>
      <c r="D12" s="50" t="s">
        <v>37</v>
      </c>
      <c r="E12" s="46">
        <v>450</v>
      </c>
      <c r="F12" s="46">
        <v>15950000</v>
      </c>
      <c r="G12" s="46">
        <f>SUMIF(DSNX1,$C12,DSNX2)</f>
        <v>0</v>
      </c>
      <c r="H12" s="46">
        <f t="shared" ref="H12:H40" si="0">SUMIF(DSNX1,$C12,DSNX5)</f>
        <v>0</v>
      </c>
      <c r="I12" s="46">
        <f t="shared" ref="I12:I40" si="1">SUMIF(DSNX1,$C12,DSNX3)</f>
        <v>100</v>
      </c>
      <c r="J12" s="46">
        <f t="shared" ref="J12:J40" si="2">SUMIF(DSNX1,$C12,DSNX4)</f>
        <v>3544444</v>
      </c>
      <c r="K12" s="46">
        <f t="shared" ref="K12:K19" si="3">E12+G12-I12</f>
        <v>350</v>
      </c>
      <c r="L12" s="46">
        <f t="shared" ref="L12:L19" si="4">F12+H12-J12</f>
        <v>12405556</v>
      </c>
      <c r="M12" s="437" t="str">
        <f>IF(N12&lt;&gt;"","NL","")</f>
        <v>NL</v>
      </c>
      <c r="N12" s="83" t="s">
        <v>326</v>
      </c>
      <c r="O12" s="41" t="s">
        <v>161</v>
      </c>
      <c r="P12" s="226">
        <v>330593933</v>
      </c>
      <c r="Q12" s="226" t="s">
        <v>328</v>
      </c>
      <c r="R12" s="226"/>
      <c r="S12" s="226" t="s">
        <v>219</v>
      </c>
    </row>
    <row r="13" spans="1:19" ht="18" customHeight="1">
      <c r="A13" s="40" t="str">
        <f t="shared" ref="A13:A19" si="5">IF(B13&lt;&gt;"","VL","")</f>
        <v>VL</v>
      </c>
      <c r="B13" s="475">
        <f>IF(C13&lt;&gt;"",B12+1,"")</f>
        <v>2</v>
      </c>
      <c r="C13" s="37" t="s">
        <v>47</v>
      </c>
      <c r="D13" s="51" t="s">
        <v>37</v>
      </c>
      <c r="E13" s="38">
        <v>525</v>
      </c>
      <c r="F13" s="38">
        <v>24539130</v>
      </c>
      <c r="G13" s="46">
        <f t="shared" ref="G13:G40" si="6">SUMIF(DSNX1,$C13,DSNX2)</f>
        <v>0</v>
      </c>
      <c r="H13" s="46">
        <f t="shared" si="0"/>
        <v>0</v>
      </c>
      <c r="I13" s="46">
        <f t="shared" si="1"/>
        <v>20</v>
      </c>
      <c r="J13" s="46">
        <f t="shared" si="2"/>
        <v>934824</v>
      </c>
      <c r="K13" s="38">
        <f t="shared" si="3"/>
        <v>505</v>
      </c>
      <c r="L13" s="38">
        <f t="shared" si="4"/>
        <v>23604306</v>
      </c>
      <c r="M13" s="437" t="str">
        <f t="shared" ref="M13:M56" si="7">IF(N13&lt;&gt;"","NL","")</f>
        <v>NL</v>
      </c>
      <c r="N13" s="37" t="s">
        <v>327</v>
      </c>
      <c r="O13" s="226" t="s">
        <v>161</v>
      </c>
      <c r="P13" s="226">
        <v>320775664</v>
      </c>
      <c r="Q13" s="226" t="s">
        <v>321</v>
      </c>
      <c r="R13" s="226"/>
      <c r="S13" s="226" t="s">
        <v>219</v>
      </c>
    </row>
    <row r="14" spans="1:19" ht="18" customHeight="1">
      <c r="A14" s="40" t="str">
        <f t="shared" si="5"/>
        <v>VL</v>
      </c>
      <c r="B14" s="475">
        <f t="shared" ref="B14:B39" si="8">IF(C14&lt;&gt;"",B13+1,"")</f>
        <v>3</v>
      </c>
      <c r="C14" s="37" t="s">
        <v>40</v>
      </c>
      <c r="D14" s="51" t="s">
        <v>37</v>
      </c>
      <c r="E14" s="38">
        <v>300</v>
      </c>
      <c r="F14" s="38">
        <v>3500002</v>
      </c>
      <c r="G14" s="46">
        <f t="shared" si="6"/>
        <v>2000</v>
      </c>
      <c r="H14" s="46">
        <f t="shared" si="0"/>
        <v>28095239</v>
      </c>
      <c r="I14" s="46">
        <f t="shared" si="1"/>
        <v>150</v>
      </c>
      <c r="J14" s="46">
        <f t="shared" si="2"/>
        <v>1750001</v>
      </c>
      <c r="K14" s="38">
        <f t="shared" si="3"/>
        <v>2150</v>
      </c>
      <c r="L14" s="38">
        <f t="shared" si="4"/>
        <v>29845240</v>
      </c>
      <c r="M14" s="437" t="str">
        <f t="shared" si="7"/>
        <v>NL</v>
      </c>
      <c r="N14" s="37" t="s">
        <v>137</v>
      </c>
      <c r="O14" s="178" t="s">
        <v>161</v>
      </c>
      <c r="P14" s="226">
        <v>320892558</v>
      </c>
      <c r="Q14" s="226" t="s">
        <v>329</v>
      </c>
      <c r="R14" s="226"/>
      <c r="S14" s="226" t="s">
        <v>219</v>
      </c>
    </row>
    <row r="15" spans="1:19" ht="18" customHeight="1">
      <c r="A15" s="40" t="str">
        <f t="shared" si="5"/>
        <v>VL</v>
      </c>
      <c r="B15" s="475">
        <f t="shared" si="8"/>
        <v>4</v>
      </c>
      <c r="C15" s="37" t="s">
        <v>55</v>
      </c>
      <c r="D15" s="51" t="s">
        <v>37</v>
      </c>
      <c r="E15" s="38">
        <v>495</v>
      </c>
      <c r="F15" s="38">
        <v>10879997</v>
      </c>
      <c r="G15" s="46">
        <f t="shared" si="6"/>
        <v>0</v>
      </c>
      <c r="H15" s="46">
        <f t="shared" si="0"/>
        <v>0</v>
      </c>
      <c r="I15" s="46">
        <f t="shared" si="1"/>
        <v>100</v>
      </c>
      <c r="J15" s="46">
        <f t="shared" si="2"/>
        <v>2197979</v>
      </c>
      <c r="K15" s="38">
        <f t="shared" si="3"/>
        <v>395</v>
      </c>
      <c r="L15" s="38">
        <f t="shared" si="4"/>
        <v>8682018</v>
      </c>
      <c r="M15" s="437" t="str">
        <f t="shared" si="7"/>
        <v>NL</v>
      </c>
      <c r="N15" s="37" t="s">
        <v>330</v>
      </c>
      <c r="O15" s="178" t="s">
        <v>161</v>
      </c>
      <c r="P15" s="226">
        <v>320892578</v>
      </c>
      <c r="Q15" s="226" t="s">
        <v>331</v>
      </c>
      <c r="R15" s="226"/>
      <c r="S15" s="226" t="s">
        <v>219</v>
      </c>
    </row>
    <row r="16" spans="1:19" ht="18" customHeight="1">
      <c r="A16" s="40" t="str">
        <f t="shared" si="5"/>
        <v>VL</v>
      </c>
      <c r="B16" s="475">
        <f t="shared" si="8"/>
        <v>5</v>
      </c>
      <c r="C16" s="37" t="s">
        <v>41</v>
      </c>
      <c r="D16" s="51" t="s">
        <v>37</v>
      </c>
      <c r="E16" s="38">
        <v>50</v>
      </c>
      <c r="F16" s="38">
        <v>175000</v>
      </c>
      <c r="G16" s="46">
        <f t="shared" si="6"/>
        <v>0</v>
      </c>
      <c r="H16" s="46">
        <f t="shared" si="0"/>
        <v>0</v>
      </c>
      <c r="I16" s="46">
        <f t="shared" si="1"/>
        <v>0</v>
      </c>
      <c r="J16" s="46">
        <f t="shared" si="2"/>
        <v>0</v>
      </c>
      <c r="K16" s="38">
        <f t="shared" si="3"/>
        <v>50</v>
      </c>
      <c r="L16" s="38">
        <f t="shared" si="4"/>
        <v>175000</v>
      </c>
      <c r="M16" s="437" t="str">
        <f t="shared" si="7"/>
        <v>NL</v>
      </c>
      <c r="N16" s="37" t="s">
        <v>332</v>
      </c>
      <c r="O16" s="178" t="s">
        <v>161</v>
      </c>
      <c r="P16" s="226">
        <v>321179471</v>
      </c>
      <c r="Q16" s="226" t="s">
        <v>333</v>
      </c>
      <c r="R16" s="226"/>
      <c r="S16" s="226" t="s">
        <v>219</v>
      </c>
    </row>
    <row r="17" spans="1:20" ht="18" customHeight="1">
      <c r="A17" s="40" t="str">
        <f t="shared" si="5"/>
        <v>VL</v>
      </c>
      <c r="B17" s="475">
        <f t="shared" si="8"/>
        <v>6</v>
      </c>
      <c r="C17" s="414" t="s">
        <v>88</v>
      </c>
      <c r="D17" s="425" t="s">
        <v>37</v>
      </c>
      <c r="E17" s="416">
        <v>5400</v>
      </c>
      <c r="F17" s="416">
        <v>80459999</v>
      </c>
      <c r="G17" s="46">
        <f t="shared" si="6"/>
        <v>5400</v>
      </c>
      <c r="H17" s="46">
        <f t="shared" si="0"/>
        <v>77760000</v>
      </c>
      <c r="I17" s="46">
        <f t="shared" si="1"/>
        <v>810</v>
      </c>
      <c r="J17" s="46">
        <f t="shared" si="2"/>
        <v>12068999</v>
      </c>
      <c r="K17" s="38">
        <f t="shared" si="3"/>
        <v>9990</v>
      </c>
      <c r="L17" s="38">
        <f t="shared" si="4"/>
        <v>146151000</v>
      </c>
      <c r="M17" s="437" t="str">
        <f t="shared" si="7"/>
        <v>NL</v>
      </c>
      <c r="N17" s="37" t="s">
        <v>334</v>
      </c>
      <c r="O17" s="178" t="s">
        <v>161</v>
      </c>
      <c r="P17" s="226">
        <v>324478047</v>
      </c>
      <c r="Q17" s="226" t="s">
        <v>335</v>
      </c>
      <c r="R17" s="226"/>
      <c r="S17" s="226" t="s">
        <v>219</v>
      </c>
    </row>
    <row r="18" spans="1:20" ht="18" customHeight="1">
      <c r="A18" s="40" t="str">
        <f t="shared" si="5"/>
        <v>VL</v>
      </c>
      <c r="B18" s="475">
        <f t="shared" si="8"/>
        <v>7</v>
      </c>
      <c r="C18" s="414" t="s">
        <v>38</v>
      </c>
      <c r="D18" s="415" t="s">
        <v>76</v>
      </c>
      <c r="E18" s="416">
        <v>950</v>
      </c>
      <c r="F18" s="416">
        <v>8075000</v>
      </c>
      <c r="G18" s="46">
        <f t="shared" si="6"/>
        <v>0</v>
      </c>
      <c r="H18" s="46">
        <f t="shared" si="0"/>
        <v>0</v>
      </c>
      <c r="I18" s="46">
        <f t="shared" si="1"/>
        <v>200</v>
      </c>
      <c r="J18" s="46">
        <f t="shared" si="2"/>
        <v>1700000</v>
      </c>
      <c r="K18" s="38">
        <f t="shared" si="3"/>
        <v>750</v>
      </c>
      <c r="L18" s="38">
        <f t="shared" si="4"/>
        <v>6375000</v>
      </c>
      <c r="M18" s="437" t="str">
        <f t="shared" si="7"/>
        <v>NL</v>
      </c>
      <c r="N18" s="37" t="s">
        <v>336</v>
      </c>
      <c r="O18" s="178" t="s">
        <v>161</v>
      </c>
      <c r="P18" s="226">
        <v>321413712</v>
      </c>
      <c r="Q18" s="226" t="s">
        <v>337</v>
      </c>
      <c r="R18" s="226"/>
      <c r="S18" s="226" t="s">
        <v>219</v>
      </c>
    </row>
    <row r="19" spans="1:20" ht="18" customHeight="1">
      <c r="A19" s="40" t="str">
        <f t="shared" si="5"/>
        <v>VL</v>
      </c>
      <c r="B19" s="475">
        <f t="shared" si="8"/>
        <v>8</v>
      </c>
      <c r="C19" s="414" t="s">
        <v>51</v>
      </c>
      <c r="D19" s="415" t="s">
        <v>37</v>
      </c>
      <c r="E19" s="416">
        <v>1646.6999999999971</v>
      </c>
      <c r="F19" s="416">
        <v>531969</v>
      </c>
      <c r="G19" s="46">
        <f t="shared" si="6"/>
        <v>1000</v>
      </c>
      <c r="H19" s="46">
        <f t="shared" si="0"/>
        <v>33000000</v>
      </c>
      <c r="I19" s="46">
        <f t="shared" si="1"/>
        <v>1000</v>
      </c>
      <c r="J19" s="46">
        <f t="shared" si="2"/>
        <v>323052</v>
      </c>
      <c r="K19" s="416">
        <f t="shared" si="3"/>
        <v>1646.6999999999971</v>
      </c>
      <c r="L19" s="416">
        <f t="shared" si="4"/>
        <v>33208917</v>
      </c>
      <c r="M19" s="437" t="str">
        <f t="shared" si="7"/>
        <v>NL</v>
      </c>
      <c r="N19" s="37" t="s">
        <v>134</v>
      </c>
      <c r="O19" s="41" t="s">
        <v>161</v>
      </c>
      <c r="P19" s="226">
        <v>320744085</v>
      </c>
      <c r="Q19" s="226" t="s">
        <v>321</v>
      </c>
      <c r="R19" s="226"/>
      <c r="S19" s="226" t="s">
        <v>219</v>
      </c>
    </row>
    <row r="20" spans="1:20" ht="18" customHeight="1">
      <c r="A20" s="40" t="e">
        <f>IF(#REF!&lt;&gt;"","VL","")</f>
        <v>#REF!</v>
      </c>
      <c r="B20" s="475">
        <f t="shared" si="8"/>
        <v>9</v>
      </c>
      <c r="C20" s="421" t="s">
        <v>86</v>
      </c>
      <c r="D20" s="422" t="s">
        <v>78</v>
      </c>
      <c r="E20" s="423">
        <v>93800</v>
      </c>
      <c r="F20" s="423">
        <v>28140000</v>
      </c>
      <c r="G20" s="478">
        <f t="shared" si="6"/>
        <v>0</v>
      </c>
      <c r="H20" s="478">
        <f t="shared" si="0"/>
        <v>0</v>
      </c>
      <c r="I20" s="478">
        <f t="shared" si="1"/>
        <v>0</v>
      </c>
      <c r="J20" s="478">
        <f t="shared" si="2"/>
        <v>0</v>
      </c>
      <c r="K20" s="479">
        <f t="shared" ref="K20:K23" si="9">E20+G20-I20</f>
        <v>93800</v>
      </c>
      <c r="L20" s="479">
        <f t="shared" ref="L20:L23" si="10">F20+H20-J20</f>
        <v>28140000</v>
      </c>
      <c r="M20" s="437" t="str">
        <f t="shared" si="7"/>
        <v>NL</v>
      </c>
      <c r="N20" s="37" t="s">
        <v>135</v>
      </c>
      <c r="O20" s="41" t="s">
        <v>161</v>
      </c>
      <c r="P20" s="226">
        <v>320807672</v>
      </c>
      <c r="Q20" s="226" t="s">
        <v>338</v>
      </c>
      <c r="R20" s="226"/>
      <c r="S20" s="226" t="s">
        <v>219</v>
      </c>
    </row>
    <row r="21" spans="1:20" ht="18" customHeight="1">
      <c r="A21" s="40" t="str">
        <f>IF(B20&lt;&gt;"","VL","")</f>
        <v>VL</v>
      </c>
      <c r="B21" s="475">
        <f t="shared" si="8"/>
        <v>10</v>
      </c>
      <c r="C21" s="424" t="s">
        <v>87</v>
      </c>
      <c r="D21" s="422" t="s">
        <v>78</v>
      </c>
      <c r="E21" s="423">
        <v>48700</v>
      </c>
      <c r="F21" s="423">
        <v>19480000</v>
      </c>
      <c r="G21" s="478">
        <f t="shared" si="6"/>
        <v>0</v>
      </c>
      <c r="H21" s="478">
        <f t="shared" si="0"/>
        <v>0</v>
      </c>
      <c r="I21" s="478">
        <f t="shared" si="1"/>
        <v>0</v>
      </c>
      <c r="J21" s="478">
        <f t="shared" si="2"/>
        <v>0</v>
      </c>
      <c r="K21" s="479">
        <f t="shared" si="9"/>
        <v>48700</v>
      </c>
      <c r="L21" s="479">
        <f t="shared" si="10"/>
        <v>19480000</v>
      </c>
      <c r="M21" s="437" t="str">
        <f t="shared" si="7"/>
        <v>NL</v>
      </c>
      <c r="N21" s="37" t="s">
        <v>339</v>
      </c>
      <c r="O21" s="41" t="s">
        <v>161</v>
      </c>
      <c r="P21" s="226">
        <v>320044169</v>
      </c>
      <c r="Q21" s="226" t="s">
        <v>340</v>
      </c>
      <c r="R21" s="226"/>
      <c r="S21" s="226" t="s">
        <v>219</v>
      </c>
    </row>
    <row r="22" spans="1:20" ht="18" customHeight="1">
      <c r="A22" s="40" t="str">
        <f t="shared" ref="A22:A24" si="11">IF(B21&lt;&gt;"","VL","")</f>
        <v>VL</v>
      </c>
      <c r="B22" s="475">
        <f t="shared" si="8"/>
        <v>11</v>
      </c>
      <c r="C22" s="424" t="s">
        <v>48</v>
      </c>
      <c r="D22" s="422" t="s">
        <v>78</v>
      </c>
      <c r="E22" s="423">
        <v>12300</v>
      </c>
      <c r="F22" s="423">
        <v>2890500</v>
      </c>
      <c r="G22" s="478">
        <f t="shared" si="6"/>
        <v>0</v>
      </c>
      <c r="H22" s="478">
        <f t="shared" si="0"/>
        <v>0</v>
      </c>
      <c r="I22" s="478">
        <f t="shared" si="1"/>
        <v>0</v>
      </c>
      <c r="J22" s="478">
        <f t="shared" si="2"/>
        <v>0</v>
      </c>
      <c r="K22" s="479">
        <f t="shared" si="9"/>
        <v>12300</v>
      </c>
      <c r="L22" s="479">
        <f t="shared" si="10"/>
        <v>2890500</v>
      </c>
      <c r="M22" s="437" t="str">
        <f t="shared" si="7"/>
        <v>NL</v>
      </c>
      <c r="N22" s="76" t="s">
        <v>136</v>
      </c>
      <c r="O22" s="41" t="s">
        <v>161</v>
      </c>
      <c r="P22" s="226">
        <v>320881573</v>
      </c>
      <c r="Q22" s="226" t="s">
        <v>338</v>
      </c>
      <c r="R22" s="226"/>
      <c r="S22" s="226" t="s">
        <v>219</v>
      </c>
    </row>
    <row r="23" spans="1:20" ht="18" customHeight="1">
      <c r="A23" s="40" t="str">
        <f t="shared" si="11"/>
        <v>VL</v>
      </c>
      <c r="B23" s="475">
        <f t="shared" si="8"/>
        <v>12</v>
      </c>
      <c r="C23" s="424" t="s">
        <v>49</v>
      </c>
      <c r="D23" s="422" t="s">
        <v>78</v>
      </c>
      <c r="E23" s="423">
        <v>295214</v>
      </c>
      <c r="F23" s="423">
        <v>102435290</v>
      </c>
      <c r="G23" s="478">
        <f t="shared" si="6"/>
        <v>0</v>
      </c>
      <c r="H23" s="478">
        <f t="shared" si="0"/>
        <v>0</v>
      </c>
      <c r="I23" s="478">
        <f t="shared" si="1"/>
        <v>0</v>
      </c>
      <c r="J23" s="478">
        <f t="shared" si="2"/>
        <v>0</v>
      </c>
      <c r="K23" s="479">
        <f t="shared" si="9"/>
        <v>295214</v>
      </c>
      <c r="L23" s="479">
        <f t="shared" si="10"/>
        <v>102435290</v>
      </c>
      <c r="M23" s="437" t="str">
        <f t="shared" si="7"/>
        <v>NL</v>
      </c>
      <c r="N23" s="37" t="s">
        <v>341</v>
      </c>
      <c r="O23" s="41" t="s">
        <v>161</v>
      </c>
      <c r="P23" s="226">
        <v>320876558</v>
      </c>
      <c r="Q23" s="226" t="s">
        <v>342</v>
      </c>
      <c r="R23" s="226"/>
      <c r="S23" s="226" t="s">
        <v>219</v>
      </c>
    </row>
    <row r="24" spans="1:20" ht="18" customHeight="1">
      <c r="A24" s="40" t="str">
        <f t="shared" si="11"/>
        <v>VL</v>
      </c>
      <c r="B24" s="475">
        <f t="shared" si="8"/>
        <v>13</v>
      </c>
      <c r="C24" s="424" t="s">
        <v>50</v>
      </c>
      <c r="D24" s="422" t="s">
        <v>78</v>
      </c>
      <c r="E24" s="423">
        <v>6600</v>
      </c>
      <c r="F24" s="423">
        <v>3597000</v>
      </c>
      <c r="G24" s="459">
        <f t="shared" si="6"/>
        <v>0</v>
      </c>
      <c r="H24" s="459">
        <f t="shared" si="0"/>
        <v>0</v>
      </c>
      <c r="I24" s="459">
        <f t="shared" si="1"/>
        <v>0</v>
      </c>
      <c r="J24" s="459">
        <f t="shared" si="2"/>
        <v>0</v>
      </c>
      <c r="K24" s="423">
        <f t="shared" ref="K24" si="12">E24+G24-I24</f>
        <v>6600</v>
      </c>
      <c r="L24" s="423">
        <f t="shared" ref="L24" si="13">F24+H24-J24</f>
        <v>3597000</v>
      </c>
      <c r="M24" s="437" t="str">
        <f t="shared" si="7"/>
        <v>NL</v>
      </c>
      <c r="N24" s="37" t="s">
        <v>138</v>
      </c>
      <c r="O24" s="178" t="s">
        <v>162</v>
      </c>
      <c r="P24" s="226">
        <v>250746332</v>
      </c>
      <c r="Q24" s="226" t="s">
        <v>188</v>
      </c>
      <c r="R24" s="226"/>
      <c r="S24" s="226" t="s">
        <v>219</v>
      </c>
    </row>
    <row r="25" spans="1:20" ht="18" customHeight="1">
      <c r="A25" s="40" t="str">
        <f>IF(B24&lt;&gt;"","VL","")</f>
        <v>VL</v>
      </c>
      <c r="B25" s="475">
        <f t="shared" si="8"/>
        <v>14</v>
      </c>
      <c r="C25" s="417" t="s">
        <v>85</v>
      </c>
      <c r="D25" s="418" t="s">
        <v>77</v>
      </c>
      <c r="E25" s="419">
        <v>9928</v>
      </c>
      <c r="F25" s="419">
        <v>57392400</v>
      </c>
      <c r="G25" s="460">
        <f t="shared" si="6"/>
        <v>0</v>
      </c>
      <c r="H25" s="460">
        <f t="shared" si="0"/>
        <v>0</v>
      </c>
      <c r="I25" s="460">
        <f t="shared" si="1"/>
        <v>0</v>
      </c>
      <c r="J25" s="460">
        <f t="shared" si="2"/>
        <v>0</v>
      </c>
      <c r="K25" s="461">
        <f t="shared" ref="K25:K32" si="14">E25+G25-I25</f>
        <v>9928</v>
      </c>
      <c r="L25" s="461">
        <f t="shared" ref="L25:L32" si="15">F25+H25-J25</f>
        <v>57392400</v>
      </c>
      <c r="M25" s="437" t="str">
        <f t="shared" si="7"/>
        <v>NL</v>
      </c>
      <c r="N25" s="37" t="s">
        <v>139</v>
      </c>
      <c r="O25" s="178" t="s">
        <v>162</v>
      </c>
      <c r="P25" s="226">
        <v>260682094</v>
      </c>
      <c r="Q25" s="226" t="s">
        <v>188</v>
      </c>
      <c r="R25" s="226"/>
      <c r="S25" s="226" t="s">
        <v>219</v>
      </c>
    </row>
    <row r="26" spans="1:20" ht="18" customHeight="1">
      <c r="A26" s="40" t="str">
        <f>IF(B25&lt;&gt;"","VL","")</f>
        <v>VL</v>
      </c>
      <c r="B26" s="475">
        <f t="shared" si="8"/>
        <v>15</v>
      </c>
      <c r="C26" s="417" t="s">
        <v>101</v>
      </c>
      <c r="D26" s="418" t="s">
        <v>77</v>
      </c>
      <c r="E26" s="419">
        <v>13938</v>
      </c>
      <c r="F26" s="419">
        <v>62251600</v>
      </c>
      <c r="G26" s="460">
        <f t="shared" si="6"/>
        <v>0</v>
      </c>
      <c r="H26" s="460">
        <f t="shared" si="0"/>
        <v>0</v>
      </c>
      <c r="I26" s="460">
        <f t="shared" si="1"/>
        <v>0</v>
      </c>
      <c r="J26" s="460">
        <f t="shared" si="2"/>
        <v>0</v>
      </c>
      <c r="K26" s="461">
        <f t="shared" si="14"/>
        <v>13938</v>
      </c>
      <c r="L26" s="461">
        <f t="shared" si="15"/>
        <v>62251600</v>
      </c>
      <c r="M26" s="437" t="str">
        <f t="shared" si="7"/>
        <v>NL</v>
      </c>
      <c r="N26" s="37" t="s">
        <v>140</v>
      </c>
      <c r="O26" s="178" t="s">
        <v>162</v>
      </c>
      <c r="P26" s="226">
        <v>260690910</v>
      </c>
      <c r="Q26" s="226" t="s">
        <v>189</v>
      </c>
      <c r="R26" s="226"/>
      <c r="S26" s="226" t="s">
        <v>219</v>
      </c>
    </row>
    <row r="27" spans="1:20" ht="18" customHeight="1">
      <c r="A27" s="40" t="str">
        <f>IF(B26&lt;&gt;"","VL","")</f>
        <v>VL</v>
      </c>
      <c r="B27" s="475">
        <f t="shared" si="8"/>
        <v>16</v>
      </c>
      <c r="C27" s="417" t="s">
        <v>45</v>
      </c>
      <c r="D27" s="418" t="s">
        <v>77</v>
      </c>
      <c r="E27" s="419">
        <v>7380</v>
      </c>
      <c r="F27" s="419">
        <v>106222000</v>
      </c>
      <c r="G27" s="460">
        <f t="shared" si="6"/>
        <v>0</v>
      </c>
      <c r="H27" s="460">
        <f t="shared" si="0"/>
        <v>0</v>
      </c>
      <c r="I27" s="460">
        <f t="shared" si="1"/>
        <v>0</v>
      </c>
      <c r="J27" s="460">
        <f t="shared" si="2"/>
        <v>0</v>
      </c>
      <c r="K27" s="461">
        <f t="shared" si="14"/>
        <v>7380</v>
      </c>
      <c r="L27" s="461">
        <f t="shared" si="15"/>
        <v>106222000</v>
      </c>
      <c r="M27" s="437" t="str">
        <f t="shared" si="7"/>
        <v>NL</v>
      </c>
      <c r="N27" s="37" t="s">
        <v>141</v>
      </c>
      <c r="O27" s="178" t="s">
        <v>162</v>
      </c>
      <c r="P27" s="226">
        <v>260178873</v>
      </c>
      <c r="Q27" s="226" t="s">
        <v>190</v>
      </c>
      <c r="R27" s="226"/>
      <c r="S27" s="226" t="s">
        <v>219</v>
      </c>
    </row>
    <row r="28" spans="1:20" ht="18" customHeight="1">
      <c r="A28" s="40" t="str">
        <f t="shared" ref="A28" si="16">IF(B27&lt;&gt;"","VL","")</f>
        <v>VL</v>
      </c>
      <c r="B28" s="475">
        <f t="shared" si="8"/>
        <v>17</v>
      </c>
      <c r="C28" s="417" t="s">
        <v>297</v>
      </c>
      <c r="D28" s="418" t="s">
        <v>77</v>
      </c>
      <c r="E28" s="419"/>
      <c r="F28" s="419"/>
      <c r="G28" s="460">
        <f t="shared" si="6"/>
        <v>1150</v>
      </c>
      <c r="H28" s="460">
        <f t="shared" si="0"/>
        <v>13800000</v>
      </c>
      <c r="I28" s="460">
        <f t="shared" si="1"/>
        <v>1150</v>
      </c>
      <c r="J28" s="460">
        <f t="shared" si="2"/>
        <v>13800000</v>
      </c>
      <c r="K28" s="461">
        <f t="shared" si="14"/>
        <v>0</v>
      </c>
      <c r="L28" s="461">
        <f t="shared" si="15"/>
        <v>0</v>
      </c>
      <c r="M28" s="437" t="str">
        <f t="shared" si="7"/>
        <v>NL</v>
      </c>
      <c r="N28" s="37" t="s">
        <v>142</v>
      </c>
      <c r="O28" s="178" t="s">
        <v>162</v>
      </c>
      <c r="P28" s="226">
        <v>260850613</v>
      </c>
      <c r="Q28" s="226" t="s">
        <v>190</v>
      </c>
      <c r="R28" s="226"/>
      <c r="S28" s="226" t="s">
        <v>219</v>
      </c>
      <c r="T28" s="198"/>
    </row>
    <row r="29" spans="1:20" s="198" customFormat="1" ht="18" customHeight="1">
      <c r="A29" s="40" t="str">
        <f>IF(B28&lt;&gt;"","VL","")</f>
        <v>VL</v>
      </c>
      <c r="B29" s="475">
        <f t="shared" si="8"/>
        <v>18</v>
      </c>
      <c r="C29" s="417" t="s">
        <v>298</v>
      </c>
      <c r="D29" s="418" t="s">
        <v>77</v>
      </c>
      <c r="E29" s="419"/>
      <c r="F29" s="419"/>
      <c r="G29" s="460">
        <f t="shared" si="6"/>
        <v>150</v>
      </c>
      <c r="H29" s="460">
        <f t="shared" si="0"/>
        <v>1425000</v>
      </c>
      <c r="I29" s="460">
        <f t="shared" si="1"/>
        <v>150</v>
      </c>
      <c r="J29" s="460">
        <f t="shared" si="2"/>
        <v>1425000</v>
      </c>
      <c r="K29" s="419">
        <f t="shared" si="14"/>
        <v>0</v>
      </c>
      <c r="L29" s="419">
        <f t="shared" si="15"/>
        <v>0</v>
      </c>
      <c r="M29" s="437" t="str">
        <f t="shared" si="7"/>
        <v>NL</v>
      </c>
      <c r="N29" s="37" t="s">
        <v>143</v>
      </c>
      <c r="O29" s="178" t="s">
        <v>162</v>
      </c>
      <c r="P29" s="226">
        <v>280853616</v>
      </c>
      <c r="Q29" s="226" t="s">
        <v>190</v>
      </c>
      <c r="R29" s="226"/>
      <c r="S29" s="226" t="s">
        <v>219</v>
      </c>
    </row>
    <row r="30" spans="1:20" s="198" customFormat="1" ht="18" customHeight="1">
      <c r="A30" s="40" t="str">
        <f>IF(B29&lt;&gt;"","VL","")</f>
        <v>VL</v>
      </c>
      <c r="B30" s="475">
        <f t="shared" si="8"/>
        <v>19</v>
      </c>
      <c r="C30" s="417" t="s">
        <v>299</v>
      </c>
      <c r="D30" s="418" t="s">
        <v>77</v>
      </c>
      <c r="E30" s="419"/>
      <c r="F30" s="419"/>
      <c r="G30" s="460">
        <f t="shared" si="6"/>
        <v>400</v>
      </c>
      <c r="H30" s="460">
        <f t="shared" si="0"/>
        <v>6800000</v>
      </c>
      <c r="I30" s="460">
        <f t="shared" si="1"/>
        <v>400</v>
      </c>
      <c r="J30" s="460">
        <f t="shared" si="2"/>
        <v>6800000</v>
      </c>
      <c r="K30" s="419">
        <f t="shared" si="14"/>
        <v>0</v>
      </c>
      <c r="L30" s="419">
        <f t="shared" si="15"/>
        <v>0</v>
      </c>
      <c r="M30" s="437" t="str">
        <f t="shared" si="7"/>
        <v>NL</v>
      </c>
      <c r="N30" s="37" t="s">
        <v>144</v>
      </c>
      <c r="O30" s="178" t="s">
        <v>162</v>
      </c>
      <c r="P30" s="226">
        <v>261005222</v>
      </c>
      <c r="Q30" s="226" t="s">
        <v>191</v>
      </c>
      <c r="R30" s="226"/>
      <c r="S30" s="226" t="s">
        <v>219</v>
      </c>
    </row>
    <row r="31" spans="1:20" s="198" customFormat="1" ht="18" customHeight="1">
      <c r="A31" s="40" t="str">
        <f>IF(B30&lt;&gt;"","VL","")</f>
        <v>VL</v>
      </c>
      <c r="B31" s="475">
        <f t="shared" si="8"/>
        <v>20</v>
      </c>
      <c r="C31" s="417" t="s">
        <v>300</v>
      </c>
      <c r="D31" s="418" t="s">
        <v>77</v>
      </c>
      <c r="E31" s="419"/>
      <c r="F31" s="419"/>
      <c r="G31" s="460">
        <f t="shared" si="6"/>
        <v>400</v>
      </c>
      <c r="H31" s="460">
        <f t="shared" si="0"/>
        <v>1000000</v>
      </c>
      <c r="I31" s="460">
        <f t="shared" si="1"/>
        <v>400</v>
      </c>
      <c r="J31" s="460">
        <f t="shared" si="2"/>
        <v>1000000</v>
      </c>
      <c r="K31" s="419">
        <f t="shared" si="14"/>
        <v>0</v>
      </c>
      <c r="L31" s="419">
        <f t="shared" si="15"/>
        <v>0</v>
      </c>
      <c r="M31" s="437" t="str">
        <f t="shared" si="7"/>
        <v>NL</v>
      </c>
      <c r="N31" s="37" t="s">
        <v>151</v>
      </c>
      <c r="O31" s="178" t="s">
        <v>163</v>
      </c>
      <c r="P31" s="226">
        <v>370047763</v>
      </c>
      <c r="Q31" s="226" t="s">
        <v>192</v>
      </c>
      <c r="R31" s="226"/>
      <c r="S31" s="226" t="s">
        <v>219</v>
      </c>
      <c r="T31" s="35"/>
    </row>
    <row r="32" spans="1:20" ht="18.75" customHeight="1">
      <c r="A32" s="40" t="str">
        <f>IF(B31&lt;&gt;"","VL","")</f>
        <v>VL</v>
      </c>
      <c r="B32" s="475">
        <f t="shared" si="8"/>
        <v>21</v>
      </c>
      <c r="C32" s="417" t="s">
        <v>301</v>
      </c>
      <c r="D32" s="418" t="s">
        <v>77</v>
      </c>
      <c r="E32" s="419"/>
      <c r="F32" s="419"/>
      <c r="G32" s="460">
        <f t="shared" si="6"/>
        <v>620</v>
      </c>
      <c r="H32" s="460">
        <f t="shared" si="0"/>
        <v>11346000</v>
      </c>
      <c r="I32" s="460">
        <f t="shared" si="1"/>
        <v>620</v>
      </c>
      <c r="J32" s="460">
        <f t="shared" si="2"/>
        <v>11346000</v>
      </c>
      <c r="K32" s="419">
        <f t="shared" si="14"/>
        <v>0</v>
      </c>
      <c r="L32" s="419">
        <f t="shared" si="15"/>
        <v>0</v>
      </c>
      <c r="M32" s="437" t="str">
        <f t="shared" si="7"/>
        <v>NL</v>
      </c>
      <c r="N32" s="37" t="s">
        <v>152</v>
      </c>
      <c r="O32" s="178" t="s">
        <v>163</v>
      </c>
      <c r="P32" s="226">
        <v>370054438</v>
      </c>
      <c r="Q32" s="226" t="s">
        <v>192</v>
      </c>
      <c r="R32" s="226"/>
      <c r="S32" s="226" t="s">
        <v>219</v>
      </c>
    </row>
    <row r="33" spans="1:19" ht="18.75" customHeight="1">
      <c r="A33" s="40" t="str">
        <f>IF(B32&lt;&gt;"","VL","")</f>
        <v>VL</v>
      </c>
      <c r="B33" s="475" t="str">
        <f t="shared" ref="B31:B38" si="17">IF(C33&lt;&gt;"",B32+1,"")</f>
        <v/>
      </c>
      <c r="C33" s="417"/>
      <c r="D33" s="418"/>
      <c r="E33" s="419"/>
      <c r="F33" s="419"/>
      <c r="G33" s="460">
        <f t="shared" si="6"/>
        <v>0</v>
      </c>
      <c r="H33" s="460">
        <f t="shared" si="0"/>
        <v>0</v>
      </c>
      <c r="I33" s="460">
        <f t="shared" si="1"/>
        <v>0</v>
      </c>
      <c r="J33" s="460">
        <f t="shared" si="2"/>
        <v>0</v>
      </c>
      <c r="K33" s="419">
        <f t="shared" ref="K33:K41" si="18">E33+G33-I33</f>
        <v>0</v>
      </c>
      <c r="L33" s="419">
        <f t="shared" ref="L33:L41" si="19">F33+H33-J33</f>
        <v>0</v>
      </c>
      <c r="M33" s="437" t="str">
        <f t="shared" si="7"/>
        <v>NL</v>
      </c>
      <c r="N33" s="37" t="s">
        <v>145</v>
      </c>
      <c r="O33" s="178" t="s">
        <v>163</v>
      </c>
      <c r="P33" s="226">
        <v>370615318</v>
      </c>
      <c r="Q33" s="226" t="s">
        <v>193</v>
      </c>
      <c r="R33" s="226"/>
      <c r="S33" s="226" t="s">
        <v>219</v>
      </c>
    </row>
    <row r="34" spans="1:19" ht="18.75" customHeight="1">
      <c r="A34" s="40" t="str">
        <f>IF(B33&lt;&gt;"","VL","")</f>
        <v/>
      </c>
      <c r="B34" s="475" t="str">
        <f t="shared" si="17"/>
        <v/>
      </c>
      <c r="C34" s="417"/>
      <c r="D34" s="418"/>
      <c r="E34" s="419"/>
      <c r="F34" s="419"/>
      <c r="G34" s="460">
        <f t="shared" si="6"/>
        <v>0</v>
      </c>
      <c r="H34" s="460">
        <f t="shared" si="0"/>
        <v>0</v>
      </c>
      <c r="I34" s="460">
        <f t="shared" si="1"/>
        <v>0</v>
      </c>
      <c r="J34" s="460">
        <f t="shared" si="2"/>
        <v>0</v>
      </c>
      <c r="K34" s="419">
        <f t="shared" si="18"/>
        <v>0</v>
      </c>
      <c r="L34" s="419">
        <f t="shared" si="19"/>
        <v>0</v>
      </c>
      <c r="M34" s="437" t="str">
        <f t="shared" si="7"/>
        <v>NL</v>
      </c>
      <c r="N34" s="37" t="s">
        <v>146</v>
      </c>
      <c r="O34" s="178" t="s">
        <v>163</v>
      </c>
      <c r="P34" s="226">
        <v>370825748</v>
      </c>
      <c r="Q34" s="226" t="s">
        <v>193</v>
      </c>
      <c r="R34" s="226"/>
      <c r="S34" s="226" t="s">
        <v>219</v>
      </c>
    </row>
    <row r="35" spans="1:19" ht="18.75" customHeight="1">
      <c r="A35" s="40" t="str">
        <f>IF(B34&lt;&gt;"","VL","")</f>
        <v/>
      </c>
      <c r="B35" s="475" t="str">
        <f t="shared" si="17"/>
        <v/>
      </c>
      <c r="C35" s="417"/>
      <c r="D35" s="418"/>
      <c r="E35" s="419"/>
      <c r="F35" s="419"/>
      <c r="G35" s="460">
        <f t="shared" si="6"/>
        <v>0</v>
      </c>
      <c r="H35" s="460">
        <f t="shared" si="0"/>
        <v>0</v>
      </c>
      <c r="I35" s="460">
        <f t="shared" si="1"/>
        <v>0</v>
      </c>
      <c r="J35" s="460">
        <f t="shared" si="2"/>
        <v>0</v>
      </c>
      <c r="K35" s="419">
        <f t="shared" si="18"/>
        <v>0</v>
      </c>
      <c r="L35" s="419">
        <f t="shared" si="19"/>
        <v>0</v>
      </c>
      <c r="M35" s="437" t="str">
        <f t="shared" si="7"/>
        <v>NL</v>
      </c>
      <c r="N35" s="37" t="s">
        <v>147</v>
      </c>
      <c r="O35" s="178" t="s">
        <v>163</v>
      </c>
      <c r="P35" s="226">
        <v>370698949</v>
      </c>
      <c r="Q35" s="226" t="s">
        <v>344</v>
      </c>
      <c r="R35" s="226" t="s">
        <v>349</v>
      </c>
      <c r="S35" s="226" t="s">
        <v>219</v>
      </c>
    </row>
    <row r="36" spans="1:19" ht="18.75" customHeight="1">
      <c r="A36" s="40" t="str">
        <f>IF(B35&lt;&gt;"","VL","")</f>
        <v/>
      </c>
      <c r="B36" s="475" t="str">
        <f t="shared" si="17"/>
        <v/>
      </c>
      <c r="C36" s="417"/>
      <c r="D36" s="418"/>
      <c r="E36" s="419"/>
      <c r="F36" s="419"/>
      <c r="G36" s="460">
        <f t="shared" si="6"/>
        <v>0</v>
      </c>
      <c r="H36" s="460">
        <f t="shared" si="0"/>
        <v>0</v>
      </c>
      <c r="I36" s="460">
        <f t="shared" si="1"/>
        <v>0</v>
      </c>
      <c r="J36" s="460">
        <f t="shared" si="2"/>
        <v>0</v>
      </c>
      <c r="K36" s="419">
        <f t="shared" si="18"/>
        <v>0</v>
      </c>
      <c r="L36" s="419">
        <f t="shared" si="19"/>
        <v>0</v>
      </c>
      <c r="M36" s="437" t="str">
        <f t="shared" si="7"/>
        <v>NL</v>
      </c>
      <c r="N36" s="37" t="s">
        <v>148</v>
      </c>
      <c r="O36" s="178" t="s">
        <v>163</v>
      </c>
      <c r="P36" s="226">
        <v>370803567</v>
      </c>
      <c r="Q36" s="226" t="s">
        <v>194</v>
      </c>
      <c r="R36" s="226"/>
      <c r="S36" s="226" t="s">
        <v>219</v>
      </c>
    </row>
    <row r="37" spans="1:19" ht="18.75" customHeight="1">
      <c r="A37" s="40" t="str">
        <f t="shared" ref="A37" si="20">IF(B36&lt;&gt;"","VL","")</f>
        <v/>
      </c>
      <c r="B37" s="475" t="str">
        <f t="shared" si="17"/>
        <v/>
      </c>
      <c r="C37" s="417"/>
      <c r="D37" s="418"/>
      <c r="E37" s="419"/>
      <c r="F37" s="419"/>
      <c r="G37" s="460">
        <f t="shared" si="6"/>
        <v>0</v>
      </c>
      <c r="H37" s="460">
        <f t="shared" si="0"/>
        <v>0</v>
      </c>
      <c r="I37" s="460">
        <f t="shared" si="1"/>
        <v>0</v>
      </c>
      <c r="J37" s="460">
        <f t="shared" si="2"/>
        <v>0</v>
      </c>
      <c r="K37" s="419">
        <f t="shared" si="18"/>
        <v>0</v>
      </c>
      <c r="L37" s="419">
        <f t="shared" si="19"/>
        <v>0</v>
      </c>
      <c r="M37" s="437" t="str">
        <f t="shared" si="7"/>
        <v>NL</v>
      </c>
      <c r="N37" s="37" t="s">
        <v>149</v>
      </c>
      <c r="O37" s="178" t="s">
        <v>163</v>
      </c>
      <c r="P37" s="226">
        <v>370004125</v>
      </c>
      <c r="Q37" s="226" t="s">
        <v>192</v>
      </c>
      <c r="R37" s="226"/>
      <c r="S37" s="226" t="s">
        <v>219</v>
      </c>
    </row>
    <row r="38" spans="1:19" ht="18.75" customHeight="1">
      <c r="A38" s="40" t="str">
        <f>IF(B37&lt;&gt;"","VL","")</f>
        <v/>
      </c>
      <c r="B38" s="475" t="str">
        <f t="shared" si="17"/>
        <v/>
      </c>
      <c r="C38" s="417"/>
      <c r="D38" s="418"/>
      <c r="E38" s="419"/>
      <c r="F38" s="419"/>
      <c r="G38" s="460">
        <f t="shared" si="6"/>
        <v>0</v>
      </c>
      <c r="H38" s="460">
        <f t="shared" si="0"/>
        <v>0</v>
      </c>
      <c r="I38" s="460">
        <f t="shared" si="1"/>
        <v>0</v>
      </c>
      <c r="J38" s="460">
        <f t="shared" si="2"/>
        <v>0</v>
      </c>
      <c r="K38" s="419">
        <f t="shared" si="18"/>
        <v>0</v>
      </c>
      <c r="L38" s="419">
        <f t="shared" si="19"/>
        <v>0</v>
      </c>
      <c r="M38" s="437" t="str">
        <f t="shared" si="7"/>
        <v>NL</v>
      </c>
      <c r="N38" s="37" t="s">
        <v>150</v>
      </c>
      <c r="O38" s="178" t="s">
        <v>163</v>
      </c>
      <c r="P38" s="226">
        <v>370033286</v>
      </c>
      <c r="Q38" s="226" t="s">
        <v>192</v>
      </c>
      <c r="R38" s="226"/>
      <c r="S38" s="226" t="s">
        <v>219</v>
      </c>
    </row>
    <row r="39" spans="1:19" ht="18.75" customHeight="1">
      <c r="A39" s="40" t="str">
        <f>IF(B38&lt;&gt;"","VL","")</f>
        <v/>
      </c>
      <c r="B39" s="475" t="str">
        <f t="shared" si="8"/>
        <v/>
      </c>
      <c r="C39" s="417"/>
      <c r="D39" s="418"/>
      <c r="E39" s="419"/>
      <c r="F39" s="419"/>
      <c r="G39" s="460">
        <f t="shared" si="6"/>
        <v>0</v>
      </c>
      <c r="H39" s="460">
        <f t="shared" si="0"/>
        <v>0</v>
      </c>
      <c r="I39" s="460">
        <f t="shared" si="1"/>
        <v>0</v>
      </c>
      <c r="J39" s="460">
        <f t="shared" si="2"/>
        <v>0</v>
      </c>
      <c r="K39" s="419">
        <f t="shared" si="18"/>
        <v>0</v>
      </c>
      <c r="L39" s="419">
        <f t="shared" si="19"/>
        <v>0</v>
      </c>
      <c r="M39" s="437" t="str">
        <f t="shared" si="7"/>
        <v>NL</v>
      </c>
      <c r="N39" s="37" t="s">
        <v>160</v>
      </c>
      <c r="O39" s="178" t="s">
        <v>164</v>
      </c>
      <c r="P39" s="226">
        <v>310703274</v>
      </c>
      <c r="Q39" s="226" t="s">
        <v>195</v>
      </c>
      <c r="R39" s="226"/>
      <c r="S39" s="226" t="s">
        <v>54</v>
      </c>
    </row>
    <row r="40" spans="1:19" ht="18.75" customHeight="1">
      <c r="A40" s="40" t="str">
        <f>IF(B39&lt;&gt;"","VL","")</f>
        <v/>
      </c>
      <c r="B40" s="475" t="str">
        <f t="shared" ref="B40:B41" si="21">IF(C40&lt;&gt;"",B39+1,"")</f>
        <v/>
      </c>
      <c r="C40" s="417"/>
      <c r="D40" s="418"/>
      <c r="E40" s="419"/>
      <c r="F40" s="419"/>
      <c r="G40" s="460">
        <f t="shared" si="6"/>
        <v>0</v>
      </c>
      <c r="H40" s="460">
        <f t="shared" si="0"/>
        <v>0</v>
      </c>
      <c r="I40" s="460">
        <f t="shared" si="1"/>
        <v>0</v>
      </c>
      <c r="J40" s="460">
        <f t="shared" si="2"/>
        <v>0</v>
      </c>
      <c r="K40" s="419">
        <f t="shared" si="18"/>
        <v>0</v>
      </c>
      <c r="L40" s="419">
        <f t="shared" si="19"/>
        <v>0</v>
      </c>
      <c r="M40" s="437" t="str">
        <f t="shared" si="7"/>
        <v>NL</v>
      </c>
      <c r="N40" s="37" t="s">
        <v>154</v>
      </c>
      <c r="O40" s="178" t="s">
        <v>164</v>
      </c>
      <c r="P40" s="226">
        <v>311704830</v>
      </c>
      <c r="Q40" s="226" t="s">
        <v>196</v>
      </c>
      <c r="R40" s="226"/>
      <c r="S40" s="226" t="s">
        <v>54</v>
      </c>
    </row>
    <row r="41" spans="1:19" ht="18.75" customHeight="1">
      <c r="A41" s="40" t="str">
        <f t="shared" ref="A41:A43" si="22">IF(B40&lt;&gt;"","VL","")</f>
        <v/>
      </c>
      <c r="B41" s="475" t="str">
        <f t="shared" si="21"/>
        <v/>
      </c>
      <c r="C41" s="417"/>
      <c r="D41" s="418"/>
      <c r="E41" s="419"/>
      <c r="F41" s="419"/>
      <c r="G41" s="420">
        <f t="shared" ref="G41" si="23">SUMIF(DSNX1,$C41,DSNX2)</f>
        <v>0</v>
      </c>
      <c r="H41" s="420">
        <f t="shared" ref="H41" si="24">SUMIF(DSNX1,$C41,DSNX5)</f>
        <v>0</v>
      </c>
      <c r="I41" s="420">
        <f t="shared" ref="I41" si="25">SUMIF(DSNX1,$C41,DSNX3)</f>
        <v>0</v>
      </c>
      <c r="J41" s="420">
        <f t="shared" ref="J41" si="26">SUMIF(DSNX1,$C41,DSNX4)</f>
        <v>0</v>
      </c>
      <c r="K41" s="419">
        <f t="shared" si="18"/>
        <v>0</v>
      </c>
      <c r="L41" s="419">
        <f t="shared" si="19"/>
        <v>0</v>
      </c>
      <c r="M41" s="437" t="str">
        <f t="shared" si="7"/>
        <v>NL</v>
      </c>
      <c r="N41" s="37" t="s">
        <v>155</v>
      </c>
      <c r="O41" s="178" t="s">
        <v>164</v>
      </c>
      <c r="P41" s="226">
        <v>311318331</v>
      </c>
      <c r="Q41" s="226" t="s">
        <v>197</v>
      </c>
      <c r="R41" s="226"/>
      <c r="S41" s="226" t="s">
        <v>54</v>
      </c>
    </row>
    <row r="42" spans="1:19" ht="18" customHeight="1">
      <c r="A42" s="40" t="str">
        <f t="shared" si="22"/>
        <v/>
      </c>
      <c r="B42" s="475" t="str">
        <f>IF(C42&lt;&gt;"",#REF!+1,"")</f>
        <v/>
      </c>
      <c r="C42" s="76"/>
      <c r="D42" s="181"/>
      <c r="E42" s="77"/>
      <c r="F42" s="77"/>
      <c r="G42" s="46"/>
      <c r="H42" s="77"/>
      <c r="I42" s="77"/>
      <c r="J42" s="77"/>
      <c r="K42" s="77"/>
      <c r="L42" s="77"/>
      <c r="M42" s="437" t="str">
        <f t="shared" si="7"/>
        <v>NL</v>
      </c>
      <c r="N42" s="37" t="s">
        <v>156</v>
      </c>
      <c r="O42" s="178" t="s">
        <v>164</v>
      </c>
      <c r="P42" s="226">
        <v>310882191</v>
      </c>
      <c r="Q42" s="226" t="s">
        <v>198</v>
      </c>
      <c r="R42" s="226"/>
      <c r="S42" s="226" t="s">
        <v>54</v>
      </c>
    </row>
    <row r="43" spans="1:19" ht="18" customHeight="1">
      <c r="A43" s="40" t="str">
        <f t="shared" si="22"/>
        <v/>
      </c>
      <c r="B43" s="470"/>
      <c r="C43" s="39" t="s">
        <v>56</v>
      </c>
      <c r="D43" s="36"/>
      <c r="E43" s="36">
        <f>SUM(E12:E42)</f>
        <v>497676.7</v>
      </c>
      <c r="F43" s="36">
        <f>SUM(F12:F42)</f>
        <v>526519887</v>
      </c>
      <c r="G43" s="36">
        <f>SUM(G12:G42)</f>
        <v>11120</v>
      </c>
      <c r="H43" s="36">
        <f>SUM(H12:H42)</f>
        <v>173226239</v>
      </c>
      <c r="I43" s="36">
        <f>SUM(I12:I42)</f>
        <v>5100</v>
      </c>
      <c r="J43" s="36">
        <f>SUM(J12:J42)</f>
        <v>56890299</v>
      </c>
      <c r="K43" s="36">
        <f>SUM(K12:K42)</f>
        <v>503696.7</v>
      </c>
      <c r="L43" s="36">
        <f>SUM(L12:L42)</f>
        <v>642855827</v>
      </c>
      <c r="M43" s="437" t="str">
        <f t="shared" si="7"/>
        <v>NL</v>
      </c>
      <c r="N43" s="37" t="s">
        <v>157</v>
      </c>
      <c r="O43" s="178" t="s">
        <v>164</v>
      </c>
      <c r="P43" s="226">
        <v>310882158</v>
      </c>
      <c r="Q43" s="226" t="s">
        <v>199</v>
      </c>
      <c r="R43" s="226"/>
      <c r="S43" s="226" t="s">
        <v>54</v>
      </c>
    </row>
    <row r="44" spans="1:19" ht="19.5" customHeight="1">
      <c r="A44" s="40" t="str">
        <f>IF(B44&lt;&gt;"","VL","")</f>
        <v/>
      </c>
      <c r="B44" s="476"/>
      <c r="C44" s="62"/>
      <c r="D44" s="63"/>
      <c r="E44" s="63"/>
      <c r="F44" s="63"/>
      <c r="G44" s="63"/>
      <c r="H44" s="63"/>
      <c r="I44" s="63"/>
      <c r="J44" s="63"/>
      <c r="K44" s="63"/>
      <c r="L44" s="63"/>
      <c r="M44" s="437" t="str">
        <f t="shared" si="7"/>
        <v>NL</v>
      </c>
      <c r="N44" s="37" t="s">
        <v>158</v>
      </c>
      <c r="O44" s="178" t="s">
        <v>164</v>
      </c>
      <c r="P44" s="226">
        <v>310033074</v>
      </c>
      <c r="Q44" s="226" t="s">
        <v>195</v>
      </c>
      <c r="R44" s="226"/>
      <c r="S44" s="226" t="s">
        <v>54</v>
      </c>
    </row>
    <row r="45" spans="1:19" ht="19.5" customHeight="1">
      <c r="A45" s="40"/>
      <c r="B45" s="477">
        <f>IF(C45&lt;&gt;"",ROW()-(ROW()-1),"")</f>
        <v>1</v>
      </c>
      <c r="C45" s="37" t="s">
        <v>57</v>
      </c>
      <c r="D45" s="50" t="s">
        <v>37</v>
      </c>
      <c r="E45" s="46">
        <v>46400</v>
      </c>
      <c r="F45" s="46">
        <v>858400000</v>
      </c>
      <c r="G45" s="46">
        <f t="shared" ref="G45:G49" si="27">SUMIF(DSNX1,$C45,DSNX2)</f>
        <v>0</v>
      </c>
      <c r="H45" s="46">
        <f t="shared" ref="H45:H49" si="28">SUMIF(DSNX1,$C45,DSNX5)</f>
        <v>0</v>
      </c>
      <c r="I45" s="46">
        <f t="shared" ref="I45:I49" si="29">SUMIF(DSNX1,$C45,DSNX3)</f>
        <v>38400</v>
      </c>
      <c r="J45" s="46">
        <f t="shared" ref="J45:J49" si="30">SUMIF(DSNX1,$C45,DSNX4)</f>
        <v>710400000</v>
      </c>
      <c r="K45" s="46">
        <f t="shared" ref="K45:L48" si="31">E45+G45-I45</f>
        <v>8000</v>
      </c>
      <c r="L45" s="46">
        <f t="shared" si="31"/>
        <v>148000000</v>
      </c>
      <c r="M45" s="437" t="str">
        <f t="shared" si="7"/>
        <v>NL</v>
      </c>
      <c r="N45" s="37" t="s">
        <v>159</v>
      </c>
      <c r="O45" s="178" t="s">
        <v>164</v>
      </c>
      <c r="P45" s="226">
        <v>310526150</v>
      </c>
      <c r="Q45" s="226" t="s">
        <v>195</v>
      </c>
      <c r="R45" s="226"/>
      <c r="S45" s="226" t="s">
        <v>54</v>
      </c>
    </row>
    <row r="46" spans="1:19" ht="19.5" customHeight="1">
      <c r="A46" s="40" t="str">
        <f>IF(B45&lt;&gt;"","NL","")</f>
        <v>NL</v>
      </c>
      <c r="B46" s="475">
        <f>IF(C46&lt;&gt;"",B45+1,"")</f>
        <v>2</v>
      </c>
      <c r="C46" s="37" t="s">
        <v>52</v>
      </c>
      <c r="D46" s="50" t="s">
        <v>37</v>
      </c>
      <c r="E46" s="38">
        <v>132000</v>
      </c>
      <c r="F46" s="38">
        <v>1914000000</v>
      </c>
      <c r="G46" s="46">
        <f t="shared" si="27"/>
        <v>0</v>
      </c>
      <c r="H46" s="46">
        <f t="shared" si="28"/>
        <v>0</v>
      </c>
      <c r="I46" s="46">
        <f t="shared" si="29"/>
        <v>132000</v>
      </c>
      <c r="J46" s="46">
        <f t="shared" si="30"/>
        <v>1914000000</v>
      </c>
      <c r="K46" s="38">
        <f t="shared" si="31"/>
        <v>0</v>
      </c>
      <c r="L46" s="38">
        <f t="shared" si="31"/>
        <v>0</v>
      </c>
      <c r="M46" s="437" t="str">
        <f t="shared" si="7"/>
        <v>NL</v>
      </c>
      <c r="N46" s="37" t="s">
        <v>153</v>
      </c>
      <c r="O46" s="178" t="s">
        <v>164</v>
      </c>
      <c r="P46" s="226">
        <v>311514350</v>
      </c>
      <c r="Q46" s="226" t="s">
        <v>196</v>
      </c>
      <c r="R46" s="226"/>
      <c r="S46" s="226" t="s">
        <v>54</v>
      </c>
    </row>
    <row r="47" spans="1:19" ht="19.5" customHeight="1">
      <c r="A47" s="40" t="str">
        <f t="shared" ref="A47" si="32">IF(B46&lt;&gt;"","NL","")</f>
        <v>NL</v>
      </c>
      <c r="B47" s="475" t="str">
        <f t="shared" ref="B47:B50" si="33">IF(C47&lt;&gt;"",B46+1,"")</f>
        <v/>
      </c>
      <c r="C47" s="37"/>
      <c r="D47" s="50" t="s">
        <v>37</v>
      </c>
      <c r="E47" s="38">
        <v>0</v>
      </c>
      <c r="F47" s="38">
        <v>0</v>
      </c>
      <c r="G47" s="46">
        <f t="shared" si="27"/>
        <v>0</v>
      </c>
      <c r="H47" s="46">
        <f>SUMIF(DSNX1,$C47,DSNX5)</f>
        <v>0</v>
      </c>
      <c r="I47" s="46">
        <f t="shared" si="29"/>
        <v>0</v>
      </c>
      <c r="J47" s="46">
        <f t="shared" si="30"/>
        <v>0</v>
      </c>
      <c r="K47" s="38">
        <f t="shared" si="31"/>
        <v>0</v>
      </c>
      <c r="L47" s="38">
        <f t="shared" si="31"/>
        <v>0</v>
      </c>
      <c r="M47" s="437" t="str">
        <f t="shared" si="7"/>
        <v>NL</v>
      </c>
      <c r="N47" s="37" t="s">
        <v>167</v>
      </c>
      <c r="O47" s="178" t="s">
        <v>166</v>
      </c>
      <c r="P47" s="226">
        <v>270106056</v>
      </c>
      <c r="Q47" s="226" t="s">
        <v>166</v>
      </c>
      <c r="R47" s="226" t="s">
        <v>345</v>
      </c>
      <c r="S47" s="226" t="s">
        <v>54</v>
      </c>
    </row>
    <row r="48" spans="1:19" ht="19.5" customHeight="1">
      <c r="A48" s="40" t="str">
        <f t="shared" ref="A48:A51" si="34">IF(B47&lt;&gt;"","NL","")</f>
        <v/>
      </c>
      <c r="B48" s="475" t="str">
        <f t="shared" si="33"/>
        <v/>
      </c>
      <c r="C48" s="37"/>
      <c r="D48" s="50" t="s">
        <v>37</v>
      </c>
      <c r="E48" s="38">
        <v>0</v>
      </c>
      <c r="F48" s="38">
        <v>0</v>
      </c>
      <c r="G48" s="46">
        <f t="shared" si="27"/>
        <v>0</v>
      </c>
      <c r="H48" s="46">
        <f t="shared" si="28"/>
        <v>0</v>
      </c>
      <c r="I48" s="46">
        <f t="shared" si="29"/>
        <v>0</v>
      </c>
      <c r="J48" s="46">
        <f t="shared" si="30"/>
        <v>0</v>
      </c>
      <c r="K48" s="38">
        <f t="shared" si="31"/>
        <v>0</v>
      </c>
      <c r="L48" s="38">
        <f t="shared" si="31"/>
        <v>0</v>
      </c>
      <c r="M48" s="437" t="str">
        <f t="shared" si="7"/>
        <v>NL</v>
      </c>
      <c r="N48" s="37" t="s">
        <v>168</v>
      </c>
      <c r="O48" s="178" t="s">
        <v>166</v>
      </c>
      <c r="P48" s="226">
        <v>270176684</v>
      </c>
      <c r="Q48" s="226" t="s">
        <v>166</v>
      </c>
      <c r="R48" s="226" t="s">
        <v>346</v>
      </c>
      <c r="S48" s="226" t="s">
        <v>54</v>
      </c>
    </row>
    <row r="49" spans="1:20" ht="19.5" customHeight="1">
      <c r="A49" s="40" t="str">
        <f t="shared" si="34"/>
        <v/>
      </c>
      <c r="B49" s="475" t="str">
        <f t="shared" si="33"/>
        <v/>
      </c>
      <c r="C49" s="37"/>
      <c r="D49" s="50" t="s">
        <v>37</v>
      </c>
      <c r="E49" s="38">
        <v>0</v>
      </c>
      <c r="F49" s="38">
        <v>0</v>
      </c>
      <c r="G49" s="46">
        <f t="shared" si="27"/>
        <v>0</v>
      </c>
      <c r="H49" s="46">
        <f t="shared" si="28"/>
        <v>0</v>
      </c>
      <c r="I49" s="46">
        <f t="shared" si="29"/>
        <v>0</v>
      </c>
      <c r="J49" s="46">
        <f t="shared" si="30"/>
        <v>0</v>
      </c>
      <c r="K49" s="38">
        <f t="shared" ref="K49" si="35">E49+G49-I49</f>
        <v>0</v>
      </c>
      <c r="L49" s="38">
        <f t="shared" ref="L49" si="36">F49+H49-J49</f>
        <v>0</v>
      </c>
      <c r="M49" s="437" t="str">
        <f t="shared" si="7"/>
        <v>NL</v>
      </c>
      <c r="N49" s="37" t="s">
        <v>169</v>
      </c>
      <c r="O49" s="178" t="s">
        <v>166</v>
      </c>
      <c r="P49" s="226">
        <v>270176960</v>
      </c>
      <c r="Q49" s="226" t="s">
        <v>166</v>
      </c>
      <c r="R49" s="226" t="s">
        <v>347</v>
      </c>
      <c r="S49" s="226" t="s">
        <v>54</v>
      </c>
    </row>
    <row r="50" spans="1:20" ht="18" customHeight="1">
      <c r="A50" s="40" t="str">
        <f t="shared" si="34"/>
        <v/>
      </c>
      <c r="B50" s="475" t="str">
        <f t="shared" si="33"/>
        <v/>
      </c>
      <c r="C50" s="47"/>
      <c r="D50" s="52"/>
      <c r="E50" s="49"/>
      <c r="F50" s="49"/>
      <c r="G50" s="49"/>
      <c r="H50" s="49"/>
      <c r="I50" s="49"/>
      <c r="J50" s="49"/>
      <c r="K50" s="38"/>
      <c r="L50" s="38"/>
      <c r="M50" s="437" t="str">
        <f t="shared" si="7"/>
        <v>NL</v>
      </c>
      <c r="N50" s="37" t="s">
        <v>171</v>
      </c>
      <c r="O50" s="178" t="s">
        <v>166</v>
      </c>
      <c r="P50" s="226">
        <v>271181056</v>
      </c>
      <c r="Q50" s="226" t="s">
        <v>166</v>
      </c>
      <c r="R50" s="226"/>
      <c r="S50" s="226" t="s">
        <v>54</v>
      </c>
    </row>
    <row r="51" spans="1:20" ht="18" customHeight="1">
      <c r="A51" s="40" t="str">
        <f t="shared" si="34"/>
        <v/>
      </c>
      <c r="B51" s="470"/>
      <c r="C51" s="39" t="s">
        <v>58</v>
      </c>
      <c r="D51" s="45"/>
      <c r="E51" s="36">
        <f t="shared" ref="E51:L51" si="37">SUM(E45:E48)</f>
        <v>178400</v>
      </c>
      <c r="F51" s="36">
        <f t="shared" si="37"/>
        <v>2772400000</v>
      </c>
      <c r="G51" s="36">
        <f t="shared" si="37"/>
        <v>0</v>
      </c>
      <c r="H51" s="36">
        <f t="shared" si="37"/>
        <v>0</v>
      </c>
      <c r="I51" s="36">
        <f t="shared" si="37"/>
        <v>170400</v>
      </c>
      <c r="J51" s="36">
        <f t="shared" si="37"/>
        <v>2624400000</v>
      </c>
      <c r="K51" s="36">
        <f t="shared" si="37"/>
        <v>8000</v>
      </c>
      <c r="L51" s="36">
        <f t="shared" si="37"/>
        <v>148000000</v>
      </c>
      <c r="M51" s="437" t="str">
        <f t="shared" si="7"/>
        <v>NL</v>
      </c>
      <c r="N51" s="37" t="s">
        <v>170</v>
      </c>
      <c r="O51" s="178" t="s">
        <v>166</v>
      </c>
      <c r="P51" s="226">
        <v>270986506</v>
      </c>
      <c r="Q51" s="226" t="s">
        <v>166</v>
      </c>
      <c r="R51" s="226"/>
      <c r="S51" s="226" t="s">
        <v>54</v>
      </c>
    </row>
    <row r="52" spans="1:20" ht="18.75" customHeight="1">
      <c r="A52" s="40" t="str">
        <f t="shared" ref="A52" si="38">IF(B52&lt;&gt;"","NL","")</f>
        <v/>
      </c>
      <c r="B52" s="74"/>
      <c r="C52" s="73"/>
      <c r="D52" s="74"/>
      <c r="E52" s="75"/>
      <c r="F52" s="75"/>
      <c r="G52" s="75"/>
      <c r="H52" s="75"/>
      <c r="I52" s="75"/>
      <c r="J52" s="75"/>
      <c r="K52" s="75"/>
      <c r="L52" s="75"/>
      <c r="M52" s="437" t="str">
        <f t="shared" si="7"/>
        <v>NL</v>
      </c>
      <c r="N52" s="37" t="s">
        <v>165</v>
      </c>
      <c r="O52" s="178" t="s">
        <v>166</v>
      </c>
      <c r="P52" s="226">
        <v>273042454</v>
      </c>
      <c r="Q52" s="226" t="s">
        <v>343</v>
      </c>
      <c r="R52" s="226" t="s">
        <v>348</v>
      </c>
      <c r="S52" s="226" t="s">
        <v>54</v>
      </c>
    </row>
    <row r="53" spans="1:20" ht="18.75" customHeight="1">
      <c r="A53" s="40"/>
      <c r="B53" s="72">
        <f>IF(C53&lt;&gt;"",ROW()-(ROW()-1),"")</f>
        <v>1</v>
      </c>
      <c r="C53" s="41" t="s">
        <v>100</v>
      </c>
      <c r="D53" s="439" t="s">
        <v>37</v>
      </c>
      <c r="E53" s="46">
        <v>4725</v>
      </c>
      <c r="F53" s="46">
        <v>600463535</v>
      </c>
      <c r="G53" s="46">
        <f t="shared" ref="G53:G65" si="39">SUMIFS(DSNX2,DSNX1,$C53,DSNX8,"Bộ phận SX")</f>
        <v>0</v>
      </c>
      <c r="H53" s="46">
        <f t="shared" ref="H53:H65" si="40">SUMIFS(DSNX5,DSNX1,$C53,DSNX8,"Bộ phận SX")</f>
        <v>0</v>
      </c>
      <c r="I53" s="46">
        <f t="shared" ref="I53:I65" si="41">SUMIFS(DSNX3,DSNX1,$C53,DSNX6,"632")</f>
        <v>0</v>
      </c>
      <c r="J53" s="46">
        <f t="shared" ref="J53:J65" si="42">SUMIFS(DSNX4,DSNX1,$C53,DSNX6,"632")</f>
        <v>0</v>
      </c>
      <c r="K53" s="46">
        <f t="shared" ref="K53:K65" si="43">E53+G53-I53</f>
        <v>4725</v>
      </c>
      <c r="L53" s="46">
        <f t="shared" ref="L53:L65" si="44">F53+H53-J53</f>
        <v>600463535</v>
      </c>
      <c r="M53" s="437" t="str">
        <f t="shared" si="7"/>
        <v>NL</v>
      </c>
      <c r="N53" s="37" t="s">
        <v>173</v>
      </c>
      <c r="O53" s="178" t="s">
        <v>166</v>
      </c>
      <c r="P53" s="226">
        <v>273249576</v>
      </c>
      <c r="Q53" s="226" t="s">
        <v>166</v>
      </c>
      <c r="R53" s="226"/>
      <c r="S53" s="226" t="s">
        <v>54</v>
      </c>
    </row>
    <row r="54" spans="1:20" ht="18.75" customHeight="1">
      <c r="A54" s="40" t="str">
        <f>IF(B53&lt;&gt;"","TP","")</f>
        <v>TP</v>
      </c>
      <c r="B54" s="71">
        <f>IF(C54&lt;&gt;"",B53+1,"")</f>
        <v>2</v>
      </c>
      <c r="C54" s="37" t="s">
        <v>91</v>
      </c>
      <c r="D54" s="439" t="s">
        <v>37</v>
      </c>
      <c r="E54" s="38">
        <v>31675</v>
      </c>
      <c r="F54" s="38">
        <v>4490555471</v>
      </c>
      <c r="G54" s="46">
        <f t="shared" si="39"/>
        <v>0</v>
      </c>
      <c r="H54" s="46">
        <f t="shared" si="40"/>
        <v>0</v>
      </c>
      <c r="I54" s="46">
        <f t="shared" si="41"/>
        <v>0</v>
      </c>
      <c r="J54" s="46">
        <f t="shared" si="42"/>
        <v>0</v>
      </c>
      <c r="K54" s="38">
        <f t="shared" si="43"/>
        <v>31675</v>
      </c>
      <c r="L54" s="38">
        <f t="shared" si="44"/>
        <v>4490555471</v>
      </c>
      <c r="M54" s="437" t="str">
        <f t="shared" si="7"/>
        <v>NL</v>
      </c>
      <c r="N54" s="37" t="s">
        <v>172</v>
      </c>
      <c r="O54" s="178" t="s">
        <v>166</v>
      </c>
      <c r="P54" s="226">
        <v>271642418</v>
      </c>
      <c r="Q54" s="226" t="s">
        <v>166</v>
      </c>
      <c r="R54" s="226"/>
      <c r="S54" s="226" t="s">
        <v>54</v>
      </c>
    </row>
    <row r="55" spans="1:20" ht="18.75" customHeight="1">
      <c r="A55" s="40" t="str">
        <f t="shared" ref="A55:A67" si="45">IF(B54&lt;&gt;"","TP","")</f>
        <v>TP</v>
      </c>
      <c r="B55" s="71">
        <f t="shared" ref="B55:B65" si="46">IF(C55&lt;&gt;"",B54+1,"")</f>
        <v>3</v>
      </c>
      <c r="C55" s="37" t="s">
        <v>92</v>
      </c>
      <c r="D55" s="439" t="s">
        <v>37</v>
      </c>
      <c r="E55" s="38">
        <v>20987</v>
      </c>
      <c r="F55" s="38">
        <v>3171039713</v>
      </c>
      <c r="G55" s="46">
        <f t="shared" si="39"/>
        <v>0</v>
      </c>
      <c r="H55" s="46">
        <f t="shared" si="40"/>
        <v>0</v>
      </c>
      <c r="I55" s="46">
        <f t="shared" si="41"/>
        <v>0</v>
      </c>
      <c r="J55" s="46">
        <f t="shared" si="42"/>
        <v>0</v>
      </c>
      <c r="K55" s="38">
        <f t="shared" si="43"/>
        <v>20987</v>
      </c>
      <c r="L55" s="38">
        <f t="shared" si="44"/>
        <v>3171039713</v>
      </c>
      <c r="M55" s="437" t="str">
        <f t="shared" si="7"/>
        <v>NL</v>
      </c>
      <c r="N55" s="76" t="s">
        <v>174</v>
      </c>
      <c r="O55" s="178" t="s">
        <v>166</v>
      </c>
      <c r="P55" s="226">
        <v>273017840</v>
      </c>
      <c r="Q55" s="226" t="s">
        <v>200</v>
      </c>
      <c r="R55" s="226"/>
      <c r="S55" s="226" t="s">
        <v>54</v>
      </c>
    </row>
    <row r="56" spans="1:20" ht="19.5" customHeight="1">
      <c r="A56" s="40" t="str">
        <f t="shared" si="45"/>
        <v>TP</v>
      </c>
      <c r="B56" s="71">
        <f t="shared" si="46"/>
        <v>4</v>
      </c>
      <c r="C56" s="37" t="s">
        <v>93</v>
      </c>
      <c r="D56" s="439" t="s">
        <v>37</v>
      </c>
      <c r="E56" s="38">
        <v>122</v>
      </c>
      <c r="F56" s="38">
        <v>17080000</v>
      </c>
      <c r="G56" s="46">
        <f t="shared" si="39"/>
        <v>0</v>
      </c>
      <c r="H56" s="46">
        <f t="shared" si="40"/>
        <v>0</v>
      </c>
      <c r="I56" s="46">
        <f t="shared" si="41"/>
        <v>0</v>
      </c>
      <c r="J56" s="46">
        <f t="shared" si="42"/>
        <v>0</v>
      </c>
      <c r="K56" s="38">
        <f t="shared" si="43"/>
        <v>122</v>
      </c>
      <c r="L56" s="38">
        <f t="shared" si="44"/>
        <v>17080000</v>
      </c>
      <c r="M56" s="437" t="str">
        <f t="shared" si="7"/>
        <v>NL</v>
      </c>
      <c r="N56" s="37" t="s">
        <v>181</v>
      </c>
      <c r="O56" s="37"/>
      <c r="P56" s="37"/>
      <c r="Q56" s="37"/>
      <c r="R56" s="37"/>
      <c r="S56" s="37"/>
    </row>
    <row r="57" spans="1:20" ht="18.75" customHeight="1">
      <c r="A57" s="40" t="str">
        <f t="shared" si="45"/>
        <v>TP</v>
      </c>
      <c r="B57" s="71">
        <f t="shared" si="46"/>
        <v>5</v>
      </c>
      <c r="C57" s="37" t="s">
        <v>46</v>
      </c>
      <c r="D57" s="439" t="s">
        <v>37</v>
      </c>
      <c r="E57" s="38">
        <v>16075</v>
      </c>
      <c r="F57" s="38">
        <v>1107185105</v>
      </c>
      <c r="G57" s="46">
        <f t="shared" si="39"/>
        <v>0</v>
      </c>
      <c r="H57" s="46">
        <f t="shared" si="40"/>
        <v>0</v>
      </c>
      <c r="I57" s="46">
        <f t="shared" si="41"/>
        <v>0</v>
      </c>
      <c r="J57" s="46">
        <f t="shared" si="42"/>
        <v>0</v>
      </c>
      <c r="K57" s="38">
        <f t="shared" si="43"/>
        <v>16075</v>
      </c>
      <c r="L57" s="38">
        <f t="shared" si="44"/>
        <v>1107185105</v>
      </c>
      <c r="M57" s="472"/>
      <c r="N57" s="70"/>
      <c r="O57" s="70"/>
      <c r="P57" s="70"/>
      <c r="Q57" s="70"/>
      <c r="R57" s="70"/>
      <c r="S57" s="70"/>
      <c r="T57" s="70"/>
    </row>
    <row r="58" spans="1:20" ht="18.75" customHeight="1">
      <c r="A58" s="40" t="str">
        <f t="shared" si="45"/>
        <v>TP</v>
      </c>
      <c r="B58" s="71">
        <f t="shared" si="46"/>
        <v>6</v>
      </c>
      <c r="C58" s="37" t="s">
        <v>132</v>
      </c>
      <c r="D58" s="439" t="s">
        <v>37</v>
      </c>
      <c r="E58" s="38">
        <v>0</v>
      </c>
      <c r="F58" s="38">
        <v>0</v>
      </c>
      <c r="G58" s="46">
        <f t="shared" si="39"/>
        <v>7100</v>
      </c>
      <c r="H58" s="46">
        <f t="shared" si="40"/>
        <v>0</v>
      </c>
      <c r="I58" s="46">
        <f t="shared" si="41"/>
        <v>7100</v>
      </c>
      <c r="J58" s="46">
        <f t="shared" si="42"/>
        <v>0</v>
      </c>
      <c r="K58" s="38">
        <f>E58+G58-I58</f>
        <v>0</v>
      </c>
      <c r="L58" s="38">
        <f>F58+H58-J58</f>
        <v>0</v>
      </c>
      <c r="M58" s="437" t="str">
        <f t="shared" ref="M58:M70" si="47">IF(N62&lt;&gt;"","TP","")</f>
        <v>TP</v>
      </c>
      <c r="N58" s="473" t="s">
        <v>324</v>
      </c>
      <c r="P58" s="70"/>
      <c r="Q58" s="70"/>
      <c r="R58" s="70"/>
      <c r="S58" s="70"/>
      <c r="T58" s="70"/>
    </row>
    <row r="59" spans="1:20" ht="19.5" customHeight="1">
      <c r="A59" s="40" t="str">
        <f>IF(B58&lt;&gt;"","TP","")</f>
        <v>TP</v>
      </c>
      <c r="B59" s="71">
        <f t="shared" si="46"/>
        <v>7</v>
      </c>
      <c r="C59" s="37" t="s">
        <v>265</v>
      </c>
      <c r="D59" s="439" t="s">
        <v>37</v>
      </c>
      <c r="E59" s="38">
        <v>0</v>
      </c>
      <c r="F59" s="38">
        <v>0</v>
      </c>
      <c r="G59" s="46">
        <f t="shared" si="39"/>
        <v>12000</v>
      </c>
      <c r="H59" s="46">
        <f t="shared" si="40"/>
        <v>0</v>
      </c>
      <c r="I59" s="46">
        <f t="shared" si="41"/>
        <v>12000</v>
      </c>
      <c r="J59" s="46">
        <f t="shared" si="42"/>
        <v>0</v>
      </c>
      <c r="K59" s="38">
        <f>E59+G59-I59</f>
        <v>0</v>
      </c>
      <c r="L59" s="38">
        <f>F59+H59-J59</f>
        <v>0</v>
      </c>
      <c r="M59" s="437" t="str">
        <f t="shared" si="47"/>
        <v>TP</v>
      </c>
      <c r="N59" s="41" t="s">
        <v>274</v>
      </c>
      <c r="P59" s="70"/>
      <c r="Q59" s="70"/>
      <c r="R59" s="70"/>
      <c r="S59" s="70"/>
    </row>
    <row r="60" spans="1:20" ht="19.5" customHeight="1">
      <c r="A60" s="40" t="str">
        <f>IF(B59&lt;&gt;"","TP","")</f>
        <v>TP</v>
      </c>
      <c r="B60" s="71">
        <f t="shared" si="46"/>
        <v>8</v>
      </c>
      <c r="C60" s="37" t="s">
        <v>308</v>
      </c>
      <c r="D60" s="439" t="s">
        <v>37</v>
      </c>
      <c r="E60" s="38">
        <v>0</v>
      </c>
      <c r="F60" s="38">
        <v>0</v>
      </c>
      <c r="G60" s="46">
        <f t="shared" si="39"/>
        <v>4800</v>
      </c>
      <c r="H60" s="46">
        <f t="shared" si="40"/>
        <v>0</v>
      </c>
      <c r="I60" s="46">
        <f t="shared" si="41"/>
        <v>4800</v>
      </c>
      <c r="J60" s="46">
        <f t="shared" si="42"/>
        <v>0</v>
      </c>
      <c r="K60" s="38">
        <f t="shared" si="43"/>
        <v>0</v>
      </c>
      <c r="L60" s="38">
        <f t="shared" si="44"/>
        <v>0</v>
      </c>
      <c r="M60" s="437" t="str">
        <f t="shared" si="47"/>
        <v>TP</v>
      </c>
      <c r="N60" s="37" t="s">
        <v>127</v>
      </c>
      <c r="Q60" s="438"/>
      <c r="R60" s="438"/>
      <c r="S60" s="438"/>
    </row>
    <row r="61" spans="1:20" ht="19.5" customHeight="1">
      <c r="A61" s="40" t="str">
        <f t="shared" si="45"/>
        <v>TP</v>
      </c>
      <c r="B61" s="71" t="str">
        <f t="shared" si="46"/>
        <v/>
      </c>
      <c r="C61" s="37"/>
      <c r="D61" s="439"/>
      <c r="E61" s="38">
        <v>0</v>
      </c>
      <c r="F61" s="38">
        <v>0</v>
      </c>
      <c r="G61" s="46">
        <f t="shared" si="39"/>
        <v>0</v>
      </c>
      <c r="H61" s="46">
        <f t="shared" si="40"/>
        <v>0</v>
      </c>
      <c r="I61" s="46">
        <f t="shared" si="41"/>
        <v>0</v>
      </c>
      <c r="J61" s="46">
        <f t="shared" si="42"/>
        <v>0</v>
      </c>
      <c r="K61" s="38">
        <f t="shared" si="43"/>
        <v>0</v>
      </c>
      <c r="L61" s="38">
        <f t="shared" si="44"/>
        <v>0</v>
      </c>
      <c r="M61" s="437" t="str">
        <f t="shared" si="47"/>
        <v>TP</v>
      </c>
      <c r="N61" s="37" t="s">
        <v>128</v>
      </c>
      <c r="Q61" s="41" t="s">
        <v>100</v>
      </c>
      <c r="R61" s="41"/>
      <c r="S61" s="439">
        <v>4.5</v>
      </c>
    </row>
    <row r="62" spans="1:20" ht="19.5" customHeight="1">
      <c r="A62" s="40" t="str">
        <f t="shared" si="45"/>
        <v/>
      </c>
      <c r="B62" s="71" t="str">
        <f t="shared" si="46"/>
        <v/>
      </c>
      <c r="C62" s="37"/>
      <c r="D62" s="439"/>
      <c r="E62" s="38">
        <v>0</v>
      </c>
      <c r="F62" s="38">
        <v>0</v>
      </c>
      <c r="G62" s="46">
        <f t="shared" si="39"/>
        <v>0</v>
      </c>
      <c r="H62" s="46">
        <f t="shared" si="40"/>
        <v>0</v>
      </c>
      <c r="I62" s="46">
        <f t="shared" si="41"/>
        <v>0</v>
      </c>
      <c r="J62" s="46">
        <f t="shared" si="42"/>
        <v>0</v>
      </c>
      <c r="K62" s="38">
        <f t="shared" si="43"/>
        <v>0</v>
      </c>
      <c r="L62" s="38">
        <f t="shared" si="44"/>
        <v>0</v>
      </c>
      <c r="M62" s="437" t="str">
        <f t="shared" si="47"/>
        <v>TP</v>
      </c>
      <c r="N62" s="37" t="s">
        <v>129</v>
      </c>
      <c r="Q62" s="37" t="s">
        <v>91</v>
      </c>
      <c r="R62" s="41"/>
      <c r="S62" s="439">
        <v>5</v>
      </c>
    </row>
    <row r="63" spans="1:20" ht="20.25" customHeight="1">
      <c r="A63" s="40" t="str">
        <f t="shared" si="45"/>
        <v/>
      </c>
      <c r="B63" s="71" t="str">
        <f t="shared" si="46"/>
        <v/>
      </c>
      <c r="C63" s="37"/>
      <c r="D63" s="439"/>
      <c r="E63" s="38">
        <v>0</v>
      </c>
      <c r="F63" s="38">
        <v>0</v>
      </c>
      <c r="G63" s="46">
        <f t="shared" si="39"/>
        <v>0</v>
      </c>
      <c r="H63" s="46">
        <f t="shared" si="40"/>
        <v>0</v>
      </c>
      <c r="I63" s="46">
        <f t="shared" si="41"/>
        <v>0</v>
      </c>
      <c r="J63" s="46">
        <f t="shared" si="42"/>
        <v>0</v>
      </c>
      <c r="K63" s="38">
        <f t="shared" si="43"/>
        <v>0</v>
      </c>
      <c r="L63" s="38">
        <f t="shared" si="44"/>
        <v>0</v>
      </c>
      <c r="M63" s="437" t="str">
        <f t="shared" si="47"/>
        <v>TP</v>
      </c>
      <c r="N63" s="37" t="s">
        <v>130</v>
      </c>
      <c r="Q63" s="37" t="s">
        <v>92</v>
      </c>
      <c r="R63" s="41"/>
      <c r="S63" s="439">
        <v>5</v>
      </c>
    </row>
    <row r="64" spans="1:20" ht="20.25" customHeight="1">
      <c r="A64" s="40" t="str">
        <f t="shared" si="45"/>
        <v/>
      </c>
      <c r="B64" s="71" t="str">
        <f t="shared" si="46"/>
        <v/>
      </c>
      <c r="C64" s="37"/>
      <c r="D64" s="439"/>
      <c r="E64" s="38">
        <v>0</v>
      </c>
      <c r="F64" s="38">
        <v>0</v>
      </c>
      <c r="G64" s="46">
        <f t="shared" si="39"/>
        <v>0</v>
      </c>
      <c r="H64" s="46">
        <f t="shared" si="40"/>
        <v>0</v>
      </c>
      <c r="I64" s="46">
        <f t="shared" si="41"/>
        <v>0</v>
      </c>
      <c r="J64" s="46">
        <f t="shared" si="42"/>
        <v>0</v>
      </c>
      <c r="K64" s="38">
        <f t="shared" si="43"/>
        <v>0</v>
      </c>
      <c r="L64" s="38">
        <f t="shared" si="44"/>
        <v>0</v>
      </c>
      <c r="M64" s="437" t="str">
        <f t="shared" si="47"/>
        <v>TP</v>
      </c>
      <c r="N64" s="37" t="s">
        <v>131</v>
      </c>
      <c r="Q64" s="37" t="s">
        <v>93</v>
      </c>
      <c r="R64" s="41"/>
      <c r="S64" s="439">
        <v>5</v>
      </c>
    </row>
    <row r="65" spans="1:19" ht="20.25" customHeight="1">
      <c r="A65" s="40" t="str">
        <f t="shared" si="45"/>
        <v/>
      </c>
      <c r="B65" s="71" t="str">
        <f t="shared" si="46"/>
        <v/>
      </c>
      <c r="C65" s="37"/>
      <c r="D65" s="439"/>
      <c r="E65" s="38">
        <v>0</v>
      </c>
      <c r="F65" s="38">
        <v>0</v>
      </c>
      <c r="G65" s="46">
        <f t="shared" si="39"/>
        <v>0</v>
      </c>
      <c r="H65" s="46">
        <f t="shared" si="40"/>
        <v>0</v>
      </c>
      <c r="I65" s="46">
        <f t="shared" si="41"/>
        <v>0</v>
      </c>
      <c r="J65" s="46">
        <f t="shared" si="42"/>
        <v>0</v>
      </c>
      <c r="K65" s="38">
        <f t="shared" si="43"/>
        <v>0</v>
      </c>
      <c r="L65" s="38">
        <f t="shared" si="44"/>
        <v>0</v>
      </c>
      <c r="M65" s="437" t="str">
        <f t="shared" si="47"/>
        <v>TP</v>
      </c>
      <c r="N65" s="37" t="s">
        <v>133</v>
      </c>
      <c r="Q65" s="37" t="s">
        <v>46</v>
      </c>
      <c r="R65" s="37"/>
      <c r="S65" s="440"/>
    </row>
    <row r="66" spans="1:19" ht="20.25" customHeight="1">
      <c r="A66" s="40" t="str">
        <f t="shared" si="45"/>
        <v/>
      </c>
      <c r="B66" s="71" t="str">
        <f>IF(C66&lt;&gt;"",#REF!+1,"")</f>
        <v/>
      </c>
      <c r="C66" s="48"/>
      <c r="D66" s="52"/>
      <c r="E66" s="38"/>
      <c r="F66" s="38"/>
      <c r="G66" s="49"/>
      <c r="H66" s="49"/>
      <c r="I66" s="49"/>
      <c r="J66" s="49"/>
      <c r="K66" s="49"/>
      <c r="L66" s="49"/>
      <c r="M66" s="437" t="str">
        <f t="shared" si="47"/>
        <v>TP</v>
      </c>
      <c r="N66" s="37" t="s">
        <v>312</v>
      </c>
      <c r="Q66" s="37" t="s">
        <v>84</v>
      </c>
      <c r="R66" s="37"/>
      <c r="S66" s="440">
        <v>8</v>
      </c>
    </row>
    <row r="67" spans="1:19" ht="20.25" customHeight="1">
      <c r="A67" s="40" t="str">
        <f t="shared" si="45"/>
        <v/>
      </c>
      <c r="B67" s="470"/>
      <c r="C67" s="39" t="s">
        <v>59</v>
      </c>
      <c r="D67" s="45"/>
      <c r="E67" s="36">
        <f t="shared" ref="E67:L67" si="48">SUM(E53:E66)</f>
        <v>73584</v>
      </c>
      <c r="F67" s="36">
        <f t="shared" si="48"/>
        <v>9386323824</v>
      </c>
      <c r="G67" s="36">
        <f t="shared" si="48"/>
        <v>23900</v>
      </c>
      <c r="H67" s="36">
        <f t="shared" si="48"/>
        <v>0</v>
      </c>
      <c r="I67" s="36">
        <f t="shared" si="48"/>
        <v>23900</v>
      </c>
      <c r="J67" s="36">
        <f t="shared" si="48"/>
        <v>0</v>
      </c>
      <c r="K67" s="36">
        <f t="shared" si="48"/>
        <v>73584</v>
      </c>
      <c r="L67" s="36">
        <f t="shared" si="48"/>
        <v>9386323824</v>
      </c>
      <c r="M67" s="437" t="str">
        <f t="shared" si="47"/>
        <v>TP</v>
      </c>
      <c r="N67" s="76" t="s">
        <v>268</v>
      </c>
      <c r="Q67" s="37" t="s">
        <v>273</v>
      </c>
      <c r="R67" s="37"/>
      <c r="S67" s="440">
        <v>9</v>
      </c>
    </row>
    <row r="68" spans="1:19" ht="20.25" customHeight="1">
      <c r="A68" s="40" t="str">
        <f>IF(B68&lt;&gt;"","TP","")</f>
        <v/>
      </c>
      <c r="B68" s="64"/>
      <c r="C68" s="64"/>
      <c r="D68" s="65"/>
      <c r="E68" s="66"/>
      <c r="F68" s="66"/>
      <c r="G68" s="66"/>
      <c r="H68" s="66"/>
      <c r="I68" s="66"/>
      <c r="J68" s="66"/>
      <c r="K68" s="66"/>
      <c r="L68" s="66"/>
      <c r="M68" s="437" t="str">
        <f t="shared" si="47"/>
        <v>TP</v>
      </c>
      <c r="N68" s="76" t="s">
        <v>269</v>
      </c>
      <c r="Q68" s="37" t="s">
        <v>90</v>
      </c>
      <c r="R68" s="37"/>
      <c r="S68" s="440">
        <v>8</v>
      </c>
    </row>
    <row r="69" spans="1:19" ht="20.25" customHeight="1">
      <c r="M69" s="437" t="str">
        <f t="shared" si="47"/>
        <v>TP</v>
      </c>
      <c r="N69" s="76" t="s">
        <v>271</v>
      </c>
      <c r="Q69" s="37" t="s">
        <v>308</v>
      </c>
      <c r="R69" s="37"/>
      <c r="S69" s="440">
        <v>8</v>
      </c>
    </row>
    <row r="70" spans="1:19" ht="19.5" customHeight="1">
      <c r="M70" s="437" t="str">
        <f t="shared" si="47"/>
        <v>TP</v>
      </c>
      <c r="N70" s="47" t="s">
        <v>272</v>
      </c>
      <c r="Q70" s="37" t="s">
        <v>98</v>
      </c>
      <c r="R70" s="37"/>
      <c r="S70" s="440">
        <v>5</v>
      </c>
    </row>
    <row r="71" spans="1:19" ht="19.5" customHeight="1">
      <c r="C71" s="495"/>
      <c r="D71" s="495"/>
      <c r="E71" s="495"/>
      <c r="F71" s="142"/>
      <c r="G71" s="142"/>
      <c r="H71" s="142"/>
      <c r="I71" s="142"/>
      <c r="J71" s="495" t="s">
        <v>289</v>
      </c>
      <c r="K71" s="495"/>
      <c r="L71" s="495"/>
      <c r="M71" s="437" t="str">
        <f t="shared" ref="M71:M87" si="49">IF(N75&lt;&gt;"","VL","")</f>
        <v>VL</v>
      </c>
      <c r="N71" s="465" t="s">
        <v>325</v>
      </c>
      <c r="Q71" s="37" t="s">
        <v>97</v>
      </c>
      <c r="R71" s="37"/>
      <c r="S71" s="440">
        <v>5</v>
      </c>
    </row>
    <row r="72" spans="1:19" ht="19.5" customHeight="1">
      <c r="C72" s="268" t="s">
        <v>23</v>
      </c>
      <c r="D72" s="268"/>
      <c r="E72" s="268"/>
      <c r="F72" s="495" t="s">
        <v>24</v>
      </c>
      <c r="G72" s="495"/>
      <c r="H72" s="495"/>
      <c r="I72" s="142"/>
      <c r="J72" s="495" t="s">
        <v>25</v>
      </c>
      <c r="K72" s="495"/>
      <c r="L72" s="495"/>
      <c r="M72" s="437" t="str">
        <f t="shared" si="49"/>
        <v>VL</v>
      </c>
      <c r="N72" s="83" t="s">
        <v>114</v>
      </c>
      <c r="Q72" s="37" t="s">
        <v>94</v>
      </c>
      <c r="R72" s="37"/>
      <c r="S72" s="440">
        <v>5</v>
      </c>
    </row>
    <row r="73" spans="1:19" ht="19.5" customHeight="1">
      <c r="C73" s="134" t="s">
        <v>26</v>
      </c>
      <c r="D73" s="134" t="s">
        <v>27</v>
      </c>
      <c r="E73" s="134"/>
      <c r="F73" s="495" t="s">
        <v>26</v>
      </c>
      <c r="G73" s="495"/>
      <c r="H73" s="495"/>
      <c r="I73" s="35"/>
      <c r="J73" s="495" t="s">
        <v>28</v>
      </c>
      <c r="K73" s="495"/>
      <c r="L73" s="495"/>
      <c r="M73" s="437" t="str">
        <f t="shared" si="49"/>
        <v>VL</v>
      </c>
      <c r="N73" s="37" t="s">
        <v>115</v>
      </c>
      <c r="Q73" s="37" t="s">
        <v>96</v>
      </c>
      <c r="R73" s="37"/>
      <c r="S73" s="440">
        <v>4.5</v>
      </c>
    </row>
    <row r="74" spans="1:19" ht="19.5" customHeight="1">
      <c r="M74" s="437" t="str">
        <f t="shared" si="49"/>
        <v>VL</v>
      </c>
      <c r="N74" s="37" t="s">
        <v>117</v>
      </c>
      <c r="Q74" s="37" t="s">
        <v>95</v>
      </c>
      <c r="R74" s="37"/>
      <c r="S74" s="440">
        <v>4.5</v>
      </c>
    </row>
    <row r="75" spans="1:19" ht="19.5" customHeight="1">
      <c r="M75" s="437" t="str">
        <f t="shared" si="49"/>
        <v>VL</v>
      </c>
      <c r="N75" s="37" t="s">
        <v>116</v>
      </c>
      <c r="Q75" s="37" t="s">
        <v>132</v>
      </c>
      <c r="R75" s="37"/>
      <c r="S75" s="440">
        <v>11</v>
      </c>
    </row>
    <row r="76" spans="1:19" ht="19.5" customHeight="1">
      <c r="M76" s="437" t="str">
        <f t="shared" si="49"/>
        <v>VL</v>
      </c>
      <c r="N76" s="37" t="s">
        <v>118</v>
      </c>
      <c r="Q76" s="37" t="s">
        <v>265</v>
      </c>
      <c r="R76" s="37"/>
      <c r="S76" s="440">
        <v>11</v>
      </c>
    </row>
    <row r="77" spans="1:19" ht="19.5" customHeight="1">
      <c r="M77" s="437" t="str">
        <f t="shared" si="49"/>
        <v>VL</v>
      </c>
      <c r="N77" s="37" t="s">
        <v>120</v>
      </c>
      <c r="Q77" s="37" t="s">
        <v>229</v>
      </c>
      <c r="R77" s="37"/>
      <c r="S77" s="440">
        <v>4.4000000000000004</v>
      </c>
    </row>
    <row r="78" spans="1:19" ht="19.5" customHeight="1">
      <c r="M78" s="437" t="str">
        <f t="shared" si="49"/>
        <v>VL</v>
      </c>
      <c r="N78" s="37" t="s">
        <v>119</v>
      </c>
      <c r="Q78" s="37" t="s">
        <v>264</v>
      </c>
      <c r="R78" s="37"/>
      <c r="S78" s="440">
        <v>4.5</v>
      </c>
    </row>
    <row r="79" spans="1:19" ht="19.5" customHeight="1">
      <c r="M79" s="437" t="str">
        <f t="shared" si="49"/>
        <v>VL</v>
      </c>
      <c r="N79" s="76" t="s">
        <v>182</v>
      </c>
    </row>
    <row r="80" spans="1:19" ht="19.5" customHeight="1">
      <c r="M80" s="437" t="str">
        <f t="shared" si="49"/>
        <v>VL</v>
      </c>
      <c r="N80" s="37" t="s">
        <v>266</v>
      </c>
    </row>
    <row r="81" spans="13:14" ht="19.5" customHeight="1">
      <c r="M81" s="437" t="str">
        <f t="shared" si="49"/>
        <v>VL</v>
      </c>
      <c r="N81" s="37" t="s">
        <v>267</v>
      </c>
    </row>
    <row r="82" spans="13:14" ht="19.5" customHeight="1">
      <c r="M82" s="437" t="str">
        <f t="shared" si="49"/>
        <v>VL</v>
      </c>
      <c r="N82" s="76" t="s">
        <v>292</v>
      </c>
    </row>
    <row r="83" spans="13:14" ht="19.5" customHeight="1">
      <c r="M83" s="437" t="str">
        <f t="shared" si="49"/>
        <v/>
      </c>
      <c r="N83" s="37" t="s">
        <v>296</v>
      </c>
    </row>
    <row r="84" spans="13:14" ht="19.5" customHeight="1">
      <c r="M84" s="437" t="str">
        <f t="shared" si="49"/>
        <v/>
      </c>
      <c r="N84" s="76" t="s">
        <v>121</v>
      </c>
    </row>
    <row r="85" spans="13:14" ht="19.5" customHeight="1">
      <c r="M85" s="437" t="str">
        <f t="shared" si="49"/>
        <v/>
      </c>
      <c r="N85" s="76" t="s">
        <v>275</v>
      </c>
    </row>
    <row r="86" spans="13:14" ht="19.5" customHeight="1">
      <c r="M86" s="437" t="str">
        <f t="shared" si="49"/>
        <v/>
      </c>
      <c r="N86" s="76" t="s">
        <v>181</v>
      </c>
    </row>
    <row r="87" spans="13:14" ht="19.5" customHeight="1">
      <c r="M87" s="437" t="str">
        <f t="shared" si="49"/>
        <v/>
      </c>
      <c r="N87" s="41"/>
    </row>
    <row r="88" spans="13:14" ht="19.5" customHeight="1">
      <c r="N88" s="70"/>
    </row>
    <row r="89" spans="13:14">
      <c r="N89" s="70"/>
    </row>
    <row r="90" spans="13:14">
      <c r="N90" s="70"/>
    </row>
    <row r="91" spans="13:14">
      <c r="N91" s="70"/>
    </row>
    <row r="93" spans="13:14">
      <c r="N93" s="70"/>
    </row>
    <row r="94" spans="13:14">
      <c r="N94" s="70"/>
    </row>
    <row r="95" spans="13:14">
      <c r="N95" s="70"/>
    </row>
    <row r="96" spans="13:14">
      <c r="N96" s="70"/>
    </row>
    <row r="97" spans="14:14">
      <c r="N97" s="70"/>
    </row>
    <row r="98" spans="14:14">
      <c r="N98" s="70"/>
    </row>
    <row r="99" spans="14:14">
      <c r="N99" s="70"/>
    </row>
    <row r="100" spans="14:14">
      <c r="N100" s="70"/>
    </row>
    <row r="101" spans="14:14">
      <c r="N101" s="70"/>
    </row>
    <row r="102" spans="14:14">
      <c r="N102" s="70"/>
    </row>
    <row r="103" spans="14:14">
      <c r="N103" s="70"/>
    </row>
    <row r="104" spans="14:14">
      <c r="N104" s="70"/>
    </row>
    <row r="105" spans="14:14">
      <c r="N105" s="70"/>
    </row>
    <row r="106" spans="14:14">
      <c r="N106" s="70"/>
    </row>
    <row r="107" spans="14:14">
      <c r="N107" s="70"/>
    </row>
  </sheetData>
  <autoFilter ref="B11:O11"/>
  <sortState ref="C33:L52">
    <sortCondition ref="C33:C52"/>
  </sortState>
  <mergeCells count="27">
    <mergeCell ref="S8:S10"/>
    <mergeCell ref="F73:H73"/>
    <mergeCell ref="J71:L71"/>
    <mergeCell ref="J72:L72"/>
    <mergeCell ref="J73:L73"/>
    <mergeCell ref="P8:P10"/>
    <mergeCell ref="Q8:Q10"/>
    <mergeCell ref="O8:O10"/>
    <mergeCell ref="N8:N10"/>
    <mergeCell ref="K9:L9"/>
    <mergeCell ref="E8:L8"/>
    <mergeCell ref="C71:E71"/>
    <mergeCell ref="F72:H72"/>
    <mergeCell ref="R8:R9"/>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3">
    <dataValidation type="list" allowBlank="1" showInputMessage="1" showErrorMessage="1" sqref="N82">
      <formula1>IF(RIGHT(K63,2)="NL",DSKH2,DSKH1)</formula1>
    </dataValidation>
    <dataValidation type="list" allowBlank="1" showInputMessage="1" showErrorMessage="1" sqref="N84">
      <formula1>Loai3</formula1>
    </dataValidation>
    <dataValidation type="list" allowBlank="1" showInputMessage="1" showErrorMessage="1" sqref="N85">
      <formula1>IF(RIGHT(#REF!,2)="NL",DSKH2,DSKH1)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1:P36"/>
  <sheetViews>
    <sheetView workbookViewId="0">
      <pane ySplit="36" topLeftCell="A37" activePane="bottomLeft" state="frozen"/>
      <selection pane="bottomLeft" activeCell="L5" sqref="L5"/>
    </sheetView>
  </sheetViews>
  <sheetFormatPr defaultRowHeight="12"/>
  <cols>
    <col min="1" max="1" width="4.7109375" style="150" customWidth="1"/>
    <col min="2" max="2" width="29.7109375" style="150" customWidth="1"/>
    <col min="3" max="3" width="5.7109375" style="150" customWidth="1"/>
    <col min="4" max="4" width="6.7109375" style="150" customWidth="1"/>
    <col min="5" max="5" width="12.7109375" style="150" customWidth="1"/>
    <col min="6" max="6" width="9.85546875" style="150" customWidth="1"/>
    <col min="7" max="7" width="11" style="150" customWidth="1"/>
    <col min="8" max="8" width="14" style="150" customWidth="1"/>
    <col min="9" max="9" width="4.28515625" style="150" customWidth="1"/>
    <col min="10" max="10" width="5.7109375" style="150" customWidth="1"/>
    <col min="11" max="11" width="3.140625" style="150" customWidth="1"/>
    <col min="12" max="12" width="5.7109375" style="150" customWidth="1"/>
    <col min="13" max="13" width="2.7109375" style="150" customWidth="1"/>
    <col min="14" max="14" width="4" style="150" customWidth="1"/>
    <col min="15" max="15" width="3.7109375" style="150" customWidth="1"/>
    <col min="16" max="16384" width="9.140625" style="150"/>
  </cols>
  <sheetData>
    <row r="1" spans="1:16" ht="5.25" customHeight="1"/>
    <row r="2" spans="1:16" ht="12.75" customHeight="1">
      <c r="A2" s="149" t="s">
        <v>63</v>
      </c>
      <c r="G2" s="151" t="str">
        <f>+IF(LEFT($D$7,1)="N","Mẫu số 01 - VT","Mẫu số 02 - VT")</f>
        <v>Mẫu số 01 - VT</v>
      </c>
    </row>
    <row r="3" spans="1:16" ht="12.75" customHeight="1">
      <c r="A3" s="152" t="s">
        <v>103</v>
      </c>
      <c r="G3" s="153" t="s">
        <v>102</v>
      </c>
      <c r="N3" s="151" t="s">
        <v>175</v>
      </c>
      <c r="O3" s="154"/>
    </row>
    <row r="4" spans="1:16" ht="11.25" customHeight="1">
      <c r="G4" s="153" t="s">
        <v>110</v>
      </c>
      <c r="J4" s="182" t="s">
        <v>122</v>
      </c>
      <c r="M4" s="183"/>
      <c r="N4" s="151" t="s">
        <v>176</v>
      </c>
      <c r="O4" s="154"/>
    </row>
    <row r="5" spans="1:16" ht="18" customHeight="1">
      <c r="D5" s="155" t="str">
        <f>+IF(LEFT($L$5,1)="N","PHIẾU NHẬP KHO","PHIẾU XUẤT KHO")</f>
        <v>PHIẾU NHẬP KHO</v>
      </c>
      <c r="J5" s="186">
        <v>1</v>
      </c>
      <c r="K5" s="187"/>
      <c r="L5" s="188" t="s">
        <v>307</v>
      </c>
      <c r="M5" s="189"/>
      <c r="N5" s="190">
        <v>3</v>
      </c>
      <c r="O5" s="154"/>
      <c r="P5" s="154"/>
    </row>
    <row r="6" spans="1:16" s="156" customFormat="1" ht="12" customHeight="1">
      <c r="D6" s="157" t="str">
        <f>IF(ISNA(VLOOKUP("x",DS,4,0)),"","Ngày  " &amp;DAY(VLOOKUP("x",DS,4,0))&amp;"  tháng  " &amp; MONTH(VLOOKUP("x",DS,4,0))&amp;"  năm  "&amp;YEAR(VLOOKUP("x",DS,4,0)))</f>
        <v>Ngày  6  tháng  1  năm  2016</v>
      </c>
      <c r="E6" s="158"/>
      <c r="M6" s="159"/>
      <c r="O6" s="184"/>
    </row>
    <row r="7" spans="1:16" s="156" customFormat="1" ht="12" customHeight="1">
      <c r="C7" s="160" t="str">
        <f xml:space="preserve"> "Số:"</f>
        <v>Số:</v>
      </c>
      <c r="D7" s="161" t="str">
        <f xml:space="preserve"> LEFT($L$5,1)&amp;IF($N$5&gt;=10,$N$5,"0"&amp;$N$5)&amp;"/"&amp;RIGHT($L$5,2)</f>
        <v>N03/VL</v>
      </c>
      <c r="G7" s="156" t="str">
        <f>"Nợ:  "&amp;IF(ISNA(VLOOKUP("x",DS,7,0)),"",VLOOKUP("x",DS,7,0))</f>
        <v>Nợ:  1522</v>
      </c>
      <c r="M7" s="159"/>
      <c r="O7" s="184"/>
    </row>
    <row r="8" spans="1:16" s="156" customFormat="1" ht="12" customHeight="1">
      <c r="D8" s="153"/>
      <c r="G8" s="156" t="str">
        <f>"Có:  "&amp;IF(ISNA(VLOOKUP("x",DS,8,0)),"",VLOOKUP("x",DS,8,0))</f>
        <v>Có:  331</v>
      </c>
      <c r="M8" s="159"/>
      <c r="O8" s="185"/>
    </row>
    <row r="9" spans="1:16" s="156" customFormat="1" ht="12" customHeight="1">
      <c r="A9" s="156" t="str">
        <f>+IF(LEFT($D$7,1)="N","Họ và tên người giao :   ","Họ và tên người nhận hàng :   ")&amp;IF(ISNA(VLOOKUP("x",DS,6,0)),"",VLOOKUP("x",DS,6,0)) &amp;IF(LEFT($D$7,1)="N","","                                         Địa chỉ (bộ phận) :     Sản Xuất ")</f>
        <v>Họ và tên người giao :   Cty TNHH Hóa Chất Thành Phương</v>
      </c>
      <c r="M9" s="159"/>
    </row>
    <row r="10" spans="1:16" s="156" customFormat="1" ht="12" customHeight="1">
      <c r="A10" s="156" t="str">
        <f>+IF(LEFT($D$7,1)="N","Theo……………………………………....…………..số………….…………….……ngày……...tháng…......năm……....","Lý do xuất :                                 Xuất dùng ")</f>
        <v>Theo……………………………………....…………..số………….…………….……ngày……...tháng…......năm……....</v>
      </c>
    </row>
    <row r="11" spans="1:16" s="156" customFormat="1" ht="12" customHeight="1">
      <c r="A11" s="156" t="str">
        <f>+IF(LEFT($D$7,1)="N","của………………………………………………………………………………………………………………………………....","Xuất tại kho (ngăn lô) :            Công ty TNHH Hải Sản An Lạc                      Địa điểm :  Đức Hòa, Long An.")</f>
        <v>của………………………………………………………………………………………………………………………………....</v>
      </c>
    </row>
    <row r="12" spans="1:16" s="156" customFormat="1" ht="12" customHeight="1">
      <c r="A12" s="156" t="str">
        <f>+IF(LEFT("x",1)="N","Nhập tại kho:       Công ty TNHH Hải Sản An Lạc                      Địa điểm:  Đức Hòa, Long An."," ")</f>
        <v/>
      </c>
    </row>
    <row r="13" spans="1:16" s="156" customFormat="1" ht="2.25" customHeight="1"/>
    <row r="14" spans="1:16" s="156" customFormat="1" ht="11.25" customHeight="1">
      <c r="A14" s="496" t="s">
        <v>30</v>
      </c>
      <c r="B14" s="496" t="s">
        <v>104</v>
      </c>
      <c r="C14" s="496" t="s">
        <v>105</v>
      </c>
      <c r="D14" s="496" t="s">
        <v>79</v>
      </c>
      <c r="E14" s="498" t="s">
        <v>11</v>
      </c>
      <c r="F14" s="498"/>
      <c r="G14" s="496" t="s">
        <v>4</v>
      </c>
      <c r="H14" s="496" t="s">
        <v>12</v>
      </c>
    </row>
    <row r="15" spans="1:16" s="156" customFormat="1" ht="19.5" customHeight="1">
      <c r="A15" s="497"/>
      <c r="B15" s="497"/>
      <c r="C15" s="497"/>
      <c r="D15" s="497"/>
      <c r="E15" s="457" t="s">
        <v>106</v>
      </c>
      <c r="F15" s="457" t="str">
        <f>IF(LEFT($D$7,1)="N","Thực nhập","Thực xuất")</f>
        <v>Thực nhập</v>
      </c>
      <c r="G15" s="497"/>
      <c r="H15" s="497"/>
    </row>
    <row r="16" spans="1:16" s="162" customFormat="1" ht="8.25" customHeight="1">
      <c r="A16" s="458" t="s">
        <v>13</v>
      </c>
      <c r="B16" s="458" t="s">
        <v>14</v>
      </c>
      <c r="C16" s="458" t="s">
        <v>15</v>
      </c>
      <c r="D16" s="458" t="s">
        <v>16</v>
      </c>
      <c r="E16" s="458">
        <v>1</v>
      </c>
      <c r="F16" s="458">
        <v>2</v>
      </c>
      <c r="G16" s="458">
        <v>3</v>
      </c>
      <c r="H16" s="458">
        <v>4</v>
      </c>
    </row>
    <row r="17" spans="1:8" s="156" customFormat="1" ht="12" customHeight="1">
      <c r="A17" s="163">
        <f ca="1">IF(B17="","",ROW()-16)</f>
        <v>1</v>
      </c>
      <c r="B17" s="444" t="str">
        <f ca="1">IF(ROWS($1:1)&gt;COUNT(TH),"",OFFSET(TH!F$1,SMALL(TH,ROWS($1:1)),))</f>
        <v xml:space="preserve"> Sorbitol </v>
      </c>
      <c r="C17" s="445"/>
      <c r="D17" s="446" t="str">
        <f ca="1">IF(ISNA(VLOOKUP(B17,NXT!$C$12:$D$66,2,0)),"",VLOOKUP(B17,NXT!$C$12:$D$66,2,0))</f>
        <v>kg</v>
      </c>
      <c r="E17" s="447"/>
      <c r="F17" s="448">
        <f ca="1">IF(LEFT($D$7,1)="N",IF(ROWS($1:1)&gt;COUNT(TH),"",OFFSET(TH!K$1,SMALL(TH,ROWS($1:1)),)),IF(ROWS($1:1)&gt;COUNT(TH),"",OFFSET(TH!M$1,SMALL(TH,ROWS($1:1)),)))</f>
        <v>5400</v>
      </c>
      <c r="G17" s="449">
        <f ca="1">IF(ROWS($1:1)&gt;COUNT(TH),"",OFFSET(TH!J$1,SMALL(TH,ROWS($1:1)),))</f>
        <v>14400</v>
      </c>
      <c r="H17" s="447">
        <f t="shared" ref="H17:H23" ca="1" si="0">IF(F17&lt;&gt;"",ROUND(F17*G17,0),"")</f>
        <v>77760000</v>
      </c>
    </row>
    <row r="18" spans="1:8" s="156" customFormat="1" ht="12" customHeight="1">
      <c r="A18" s="163" t="str">
        <f t="shared" ref="A18:A23" ca="1" si="1">IF(B18="","",A17+1)</f>
        <v/>
      </c>
      <c r="B18" s="444" t="str">
        <f ca="1">IF(ROWS($1:2)&gt;COUNT(TH),"",OFFSET(TH!F$1,SMALL(TH,ROWS($1:2)),))</f>
        <v/>
      </c>
      <c r="C18" s="445"/>
      <c r="D18" s="446" t="str">
        <f ca="1">IF(ISNA(VLOOKUP(B18,NXT!$C$12:$D$66,2,0)),"",VLOOKUP(B18,NXT!$C$12:$D$66,2,0))</f>
        <v/>
      </c>
      <c r="E18" s="447"/>
      <c r="F18" s="448" t="str">
        <f ca="1">IF(LEFT($D$7,1)="N",IF(ROWS($1:2)&gt;COUNT(TH),"",OFFSET(TH!K$1,SMALL(TH,ROWS($1:2)),)),IF(ROWS($1:2)&gt;COUNT(TH),"",OFFSET(TH!M$1,SMALL(TH,ROWS($1:2)),)))</f>
        <v/>
      </c>
      <c r="G18" s="449" t="str">
        <f ca="1">IF(ROWS($1:2)&gt;COUNT(TH),"",OFFSET(TH!J$1,SMALL(TH,ROWS($1:2)),))</f>
        <v/>
      </c>
      <c r="H18" s="447" t="str">
        <f t="shared" ca="1" si="0"/>
        <v/>
      </c>
    </row>
    <row r="19" spans="1:8" s="156" customFormat="1" ht="12" customHeight="1">
      <c r="A19" s="163" t="str">
        <f t="shared" ca="1" si="1"/>
        <v/>
      </c>
      <c r="B19" s="444" t="str">
        <f ca="1">IF(ROWS($1:3)&gt;COUNT(TH),"",OFFSET(TH!F$1,SMALL(TH,ROWS($1:3)),))</f>
        <v/>
      </c>
      <c r="C19" s="445"/>
      <c r="D19" s="446" t="str">
        <f ca="1">IF(ISNA(VLOOKUP(B19,NXT!$C$12:$D$66,2,0)),"",VLOOKUP(B19,NXT!$C$12:$D$66,2,0))</f>
        <v/>
      </c>
      <c r="E19" s="447"/>
      <c r="F19" s="448" t="str">
        <f ca="1">IF(LEFT($D$7,1)="N",IF(ROWS($1:3)&gt;COUNT(TH),"",OFFSET(TH!K$1,SMALL(TH,ROWS($1:3)),)),IF(ROWS($1:3)&gt;COUNT(TH),"",OFFSET(TH!M$1,SMALL(TH,ROWS($1:3)),)))</f>
        <v/>
      </c>
      <c r="G19" s="449" t="str">
        <f ca="1">IF(ROWS($1:3)&gt;COUNT(TH),"",OFFSET(TH!J$1,SMALL(TH,ROWS($1:3)),))</f>
        <v/>
      </c>
      <c r="H19" s="447" t="str">
        <f t="shared" ca="1" si="0"/>
        <v/>
      </c>
    </row>
    <row r="20" spans="1:8" s="156" customFormat="1" ht="12" customHeight="1">
      <c r="A20" s="163" t="str">
        <f t="shared" ca="1" si="1"/>
        <v/>
      </c>
      <c r="B20" s="444" t="str">
        <f ca="1">IF(ROWS($1:4)&gt;COUNT(TH),"",OFFSET(TH!F$1,SMALL(TH,ROWS($1:4)),))</f>
        <v/>
      </c>
      <c r="C20" s="445"/>
      <c r="D20" s="446" t="str">
        <f ca="1">IF(ISNA(VLOOKUP(B20,NXT!$C$12:$D$66,2,0)),"",VLOOKUP(B20,NXT!$C$12:$D$66,2,0))</f>
        <v/>
      </c>
      <c r="E20" s="447"/>
      <c r="F20" s="448" t="str">
        <f ca="1">IF(LEFT($D$7,1)="N",IF(ROWS($1:4)&gt;COUNT(TH),"",OFFSET(TH!K$1,SMALL(TH,ROWS($1:4)),)),IF(ROWS($1:4)&gt;COUNT(TH),"",OFFSET(TH!M$1,SMALL(TH,ROWS($1:4)),)))</f>
        <v/>
      </c>
      <c r="G20" s="449" t="str">
        <f ca="1">IF(ROWS($1:4)&gt;COUNT(TH),"",OFFSET(TH!J$1,SMALL(TH,ROWS($1:4)),))</f>
        <v/>
      </c>
      <c r="H20" s="447" t="str">
        <f t="shared" ca="1" si="0"/>
        <v/>
      </c>
    </row>
    <row r="21" spans="1:8" s="156" customFormat="1" ht="12" customHeight="1">
      <c r="A21" s="163" t="str">
        <f t="shared" ca="1" si="1"/>
        <v/>
      </c>
      <c r="B21" s="444" t="str">
        <f ca="1">IF(ROWS($1:5)&gt;COUNT(TH),"",OFFSET(TH!F$1,SMALL(TH,ROWS($1:5)),))</f>
        <v/>
      </c>
      <c r="C21" s="445"/>
      <c r="D21" s="446" t="str">
        <f ca="1">IF(ISNA(VLOOKUP(B21,NXT!$C$12:$D$66,2,0)),"",VLOOKUP(B21,NXT!$C$12:$D$66,2,0))</f>
        <v/>
      </c>
      <c r="E21" s="447"/>
      <c r="F21" s="448" t="str">
        <f ca="1">IF(LEFT($D$7,1)="N",IF(ROWS($1:5)&gt;COUNT(TH),"",OFFSET(TH!K$1,SMALL(TH,ROWS($1:5)),)),IF(ROWS($1:5)&gt;COUNT(TH),"",OFFSET(TH!M$1,SMALL(TH,ROWS($1:5)),)))</f>
        <v/>
      </c>
      <c r="G21" s="449" t="str">
        <f ca="1">IF(ROWS($1:5)&gt;COUNT(TH),"",OFFSET(TH!J$1,SMALL(TH,ROWS($1:5)),))</f>
        <v/>
      </c>
      <c r="H21" s="447" t="str">
        <f t="shared" ca="1" si="0"/>
        <v/>
      </c>
    </row>
    <row r="22" spans="1:8" s="156" customFormat="1" ht="12" customHeight="1">
      <c r="A22" s="163" t="str">
        <f t="shared" ca="1" si="1"/>
        <v/>
      </c>
      <c r="B22" s="444" t="str">
        <f ca="1">IF(ROWS($1:6)&gt;COUNT(TH),"",OFFSET(TH!F$1,SMALL(TH,ROWS($1:6)),))</f>
        <v/>
      </c>
      <c r="C22" s="445"/>
      <c r="D22" s="446" t="str">
        <f ca="1">IF(ISNA(VLOOKUP(B22,NXT!$C$12:$D$66,2,0)),"",VLOOKUP(B22,NXT!$C$12:$D$66,2,0))</f>
        <v/>
      </c>
      <c r="E22" s="447"/>
      <c r="F22" s="448" t="str">
        <f ca="1">IF(LEFT($D$7,1)="N",IF(ROWS($1:6)&gt;COUNT(TH),"",OFFSET(TH!K$1,SMALL(TH,ROWS($1:6)),)),IF(ROWS($1:6)&gt;COUNT(TH),"",OFFSET(TH!M$1,SMALL(TH,ROWS($1:6)),)))</f>
        <v/>
      </c>
      <c r="G22" s="449" t="str">
        <f ca="1">IF(ROWS($1:6)&gt;COUNT(TH),"",OFFSET(TH!J$1,SMALL(TH,ROWS($1:6)),))</f>
        <v/>
      </c>
      <c r="H22" s="447" t="str">
        <f t="shared" ca="1" si="0"/>
        <v/>
      </c>
    </row>
    <row r="23" spans="1:8" s="156" customFormat="1" ht="12" customHeight="1">
      <c r="A23" s="450" t="str">
        <f t="shared" ca="1" si="1"/>
        <v/>
      </c>
      <c r="B23" s="451" t="str">
        <f ca="1">IF(ROWS($1:7)&gt;COUNT(TH),"",OFFSET(TH!F$1,SMALL(TH,ROWS($1:7)),))</f>
        <v/>
      </c>
      <c r="C23" s="452"/>
      <c r="D23" s="453" t="str">
        <f ca="1">IF(ISNA(VLOOKUP(B23,NXT!$C$12:$D$66,2,0)),"",VLOOKUP(B23,NXT!$C$12:$D$66,2,0))</f>
        <v/>
      </c>
      <c r="E23" s="454"/>
      <c r="F23" s="455" t="str">
        <f ca="1">IF(LEFT($D$7,1)="N",IF(ROWS($1:7)&gt;COUNT(TH),"",OFFSET(TH!K$1,SMALL(TH,ROWS($1:7)),)),IF(ROWS($1:7)&gt;COUNT(TH),"",OFFSET(TH!M$1,SMALL(TH,ROWS($1:7)),)))</f>
        <v/>
      </c>
      <c r="G23" s="456" t="str">
        <f ca="1">IF(ROWS($1:7)&gt;COUNT(TH),"",OFFSET(TH!J$1,SMALL(TH,ROWS($1:7)),))</f>
        <v/>
      </c>
      <c r="H23" s="454" t="str">
        <f t="shared" ca="1" si="0"/>
        <v/>
      </c>
    </row>
    <row r="24" spans="1:8" s="156" customFormat="1" ht="12" customHeight="1">
      <c r="A24" s="498" t="s">
        <v>107</v>
      </c>
      <c r="B24" s="498"/>
      <c r="C24" s="164"/>
      <c r="D24" s="164"/>
      <c r="E24" s="165"/>
      <c r="F24" s="165"/>
      <c r="G24" s="165"/>
      <c r="H24" s="165">
        <f ca="1">SUM(H17:H23)</f>
        <v>77760000</v>
      </c>
    </row>
    <row r="25" spans="1:8" s="156" customFormat="1" ht="3" customHeight="1">
      <c r="A25" s="166"/>
      <c r="B25" s="166"/>
      <c r="C25" s="159"/>
      <c r="D25" s="159"/>
      <c r="E25" s="167"/>
      <c r="F25" s="167"/>
      <c r="G25" s="167"/>
      <c r="H25" s="167"/>
    </row>
    <row r="26" spans="1:8" s="156" customFormat="1" ht="14.25" customHeight="1">
      <c r="A26" s="156" t="str">
        <f ca="1">"Tổng số tiền (viết bằng chữ):  "&amp; [2]!VND(H24, TRUE)</f>
        <v>Tổng số tiền (viết bằng chữ):  Bảy mươi bảy triệu, bảy trăm sáu mươi ngàn đồng</v>
      </c>
    </row>
    <row r="27" spans="1:8" s="156" customFormat="1" ht="14.25" customHeight="1">
      <c r="A27" s="156" t="str">
        <f>"Số chứng từ gốc kèm theo :  "</f>
        <v xml:space="preserve">Số chứng từ gốc kèm theo :  </v>
      </c>
    </row>
    <row r="28" spans="1:8" s="156" customFormat="1" ht="14.25" customHeight="1">
      <c r="F28" s="168" t="str">
        <f>+IF(LEFT($D$7,1)="N","                                                          "&amp;D6,"                                                                                           "&amp;D6)</f>
        <v xml:space="preserve">                                                          Ngày  6  tháng  1  năm  2016</v>
      </c>
    </row>
    <row r="29" spans="1:8" s="170" customFormat="1" ht="14.25" customHeight="1">
      <c r="A29" s="169" t="s">
        <v>108</v>
      </c>
      <c r="C29" s="171"/>
      <c r="E29" s="171"/>
      <c r="F29" s="171" t="str">
        <f>+IF(LEFT($D$7,1)="N","                                                       Kế toán trưởng","                                          Kế toán trưởng                           Giám đốc")</f>
        <v xml:space="preserve">                                                       Kế toán trưởng</v>
      </c>
    </row>
    <row r="30" spans="1:8" s="156" customFormat="1" ht="12.75" customHeight="1">
      <c r="A30" s="161" t="s">
        <v>109</v>
      </c>
      <c r="C30" s="168"/>
      <c r="E30" s="168"/>
      <c r="F30" s="168" t="str">
        <f>+IF(LEFT($D$7,1)="N","                                                     (Ký, họ tên)","                (Ký, họ tên)                ")</f>
        <v xml:space="preserve">                                                     (Ký, họ tên)</v>
      </c>
      <c r="H30" s="161" t="str">
        <f>+IF(LEFT($D$7,1)="N","","  (Ký, họ tên)")</f>
        <v/>
      </c>
    </row>
    <row r="31" spans="1:8" s="156" customFormat="1" ht="12.75" customHeight="1">
      <c r="G31" s="168"/>
    </row>
    <row r="32" spans="1:8" s="156" customFormat="1" ht="11.25" customHeight="1"/>
    <row r="33" spans="1:6" s="156" customFormat="1" ht="11.25" customHeight="1"/>
    <row r="34" spans="1:6" s="156" customFormat="1" ht="11.25" customHeight="1"/>
    <row r="35" spans="1:6" s="156" customFormat="1" ht="11.25" customHeight="1"/>
    <row r="36" spans="1:6" ht="11.25" customHeight="1">
      <c r="A36" s="442" t="s">
        <v>276</v>
      </c>
      <c r="F36" s="443" t="str">
        <f>+IF(LEFT($D$7,1)="N","","                                                                                                    Nguyễn Thiện Duy")</f>
        <v/>
      </c>
    </row>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O499"/>
  <sheetViews>
    <sheetView tabSelected="1" topLeftCell="A2" zoomScale="90" workbookViewId="0">
      <pane ySplit="3" topLeftCell="A5" activePane="bottomLeft" state="frozen"/>
      <selection activeCell="C2" sqref="C2"/>
      <selection pane="bottomLeft" activeCell="P26" sqref="P26"/>
    </sheetView>
  </sheetViews>
  <sheetFormatPr defaultColWidth="23.85546875" defaultRowHeight="15"/>
  <cols>
    <col min="1" max="1" width="5.28515625" style="10" customWidth="1"/>
    <col min="2" max="2" width="4.5703125" style="173" customWidth="1"/>
    <col min="3" max="4" width="5.7109375" style="9" customWidth="1"/>
    <col min="5" max="5" width="9.7109375" style="9" customWidth="1"/>
    <col min="6" max="6" width="26.5703125" style="9" customWidth="1"/>
    <col min="7" max="7" width="41.7109375" style="9" customWidth="1"/>
    <col min="8" max="9" width="6.28515625" style="10" customWidth="1"/>
    <col min="10" max="10" width="8.57031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73">
        <v>2</v>
      </c>
      <c r="C1" s="10">
        <v>3</v>
      </c>
      <c r="D1" s="173">
        <v>4</v>
      </c>
      <c r="E1" s="10">
        <v>5</v>
      </c>
      <c r="F1" s="173">
        <v>6</v>
      </c>
      <c r="G1" s="10">
        <v>7</v>
      </c>
      <c r="H1" s="173">
        <v>8</v>
      </c>
      <c r="I1" s="10">
        <v>9</v>
      </c>
      <c r="J1" s="173">
        <v>10</v>
      </c>
      <c r="K1" s="10">
        <v>11</v>
      </c>
      <c r="L1" s="10"/>
      <c r="M1" s="173">
        <v>12</v>
      </c>
      <c r="N1" s="10">
        <v>13</v>
      </c>
      <c r="O1" s="173">
        <v>14</v>
      </c>
    </row>
    <row r="2" spans="1:15" ht="21" customHeight="1">
      <c r="A2" s="500" t="s">
        <v>122</v>
      </c>
      <c r="B2" s="503" t="s">
        <v>1</v>
      </c>
      <c r="C2" s="504"/>
      <c r="D2" s="504"/>
      <c r="E2" s="505"/>
      <c r="F2" s="501" t="s">
        <v>2</v>
      </c>
      <c r="G2" s="501" t="s">
        <v>111</v>
      </c>
      <c r="H2" s="499" t="s">
        <v>112</v>
      </c>
      <c r="I2" s="499" t="s">
        <v>113</v>
      </c>
      <c r="J2" s="499" t="s">
        <v>4</v>
      </c>
      <c r="K2" s="500" t="s">
        <v>5</v>
      </c>
      <c r="L2" s="500"/>
      <c r="M2" s="500" t="s">
        <v>6</v>
      </c>
      <c r="N2" s="500"/>
      <c r="O2" s="499" t="s">
        <v>8</v>
      </c>
    </row>
    <row r="3" spans="1:15" ht="21" customHeight="1">
      <c r="A3" s="500"/>
      <c r="B3" s="506" t="s">
        <v>9</v>
      </c>
      <c r="C3" s="507"/>
      <c r="D3" s="508"/>
      <c r="E3" s="179" t="s">
        <v>10</v>
      </c>
      <c r="F3" s="502"/>
      <c r="G3" s="502"/>
      <c r="H3" s="499"/>
      <c r="I3" s="499"/>
      <c r="J3" s="499"/>
      <c r="K3" s="177" t="s">
        <v>53</v>
      </c>
      <c r="L3" s="177" t="s">
        <v>89</v>
      </c>
      <c r="M3" s="177" t="s">
        <v>53</v>
      </c>
      <c r="N3" s="177" t="s">
        <v>89</v>
      </c>
      <c r="O3" s="499"/>
    </row>
    <row r="4" spans="1:15" s="10" customFormat="1">
      <c r="A4" s="12"/>
      <c r="B4" s="174"/>
      <c r="C4" s="12" t="s">
        <v>13</v>
      </c>
      <c r="D4" s="13"/>
      <c r="E4" s="13" t="s">
        <v>14</v>
      </c>
      <c r="F4" s="13"/>
      <c r="G4" s="13"/>
      <c r="H4" s="13"/>
      <c r="I4" s="12" t="s">
        <v>16</v>
      </c>
      <c r="J4" s="12">
        <v>1</v>
      </c>
      <c r="K4" s="12">
        <v>2</v>
      </c>
      <c r="L4" s="12"/>
      <c r="M4" s="12">
        <v>4</v>
      </c>
      <c r="N4" s="12"/>
      <c r="O4" s="12"/>
    </row>
    <row r="5" spans="1:15">
      <c r="A5" s="24">
        <f t="shared" ref="A5" si="0">IF(E5&lt;&gt;"",MONTH(E5),"")</f>
        <v>1</v>
      </c>
      <c r="B5" s="175" t="str">
        <f>IF(AND(MONTH(E5)='IN-NX'!$J$5,'IN-NX'!$D$7=(D5&amp;"/"&amp;C5)),"x","")</f>
        <v/>
      </c>
      <c r="C5" s="172" t="s">
        <v>177</v>
      </c>
      <c r="D5" s="172" t="s">
        <v>291</v>
      </c>
      <c r="E5" s="69">
        <v>42374</v>
      </c>
      <c r="F5" s="61" t="s">
        <v>40</v>
      </c>
      <c r="G5" s="76" t="s">
        <v>292</v>
      </c>
      <c r="H5" s="176" t="s">
        <v>293</v>
      </c>
      <c r="I5" s="56" t="s">
        <v>294</v>
      </c>
      <c r="J5" s="15">
        <v>13571.429</v>
      </c>
      <c r="K5" s="15">
        <v>1000</v>
      </c>
      <c r="L5" s="15">
        <f t="shared" ref="L5" si="1">ROUND(J5*K5,0)</f>
        <v>13571429</v>
      </c>
      <c r="M5" s="15"/>
      <c r="N5" s="15">
        <f t="shared" ref="N5" si="2">ROUND(J5*M5,0)</f>
        <v>0</v>
      </c>
      <c r="O5" s="15" t="str">
        <f>IF(AND(A5='BANG KE NL'!$M$11,TH!C5="NL",LEFT(D5,1)="N"),"x","")</f>
        <v/>
      </c>
    </row>
    <row r="6" spans="1:15">
      <c r="A6" s="24">
        <f t="shared" ref="A6" si="3">IF(E6&lt;&gt;"",MONTH(E6),"")</f>
        <v>1</v>
      </c>
      <c r="B6" s="175" t="str">
        <f>IF(AND(MONTH(E6)='IN-NX'!$J$5,'IN-NX'!$D$7=(D6&amp;"/"&amp;C6)),"x","")</f>
        <v/>
      </c>
      <c r="C6" s="172" t="s">
        <v>177</v>
      </c>
      <c r="D6" s="172" t="s">
        <v>295</v>
      </c>
      <c r="E6" s="69">
        <v>42374</v>
      </c>
      <c r="F6" s="61" t="s">
        <v>51</v>
      </c>
      <c r="G6" s="37" t="s">
        <v>296</v>
      </c>
      <c r="H6" s="176" t="s">
        <v>293</v>
      </c>
      <c r="I6" s="56" t="s">
        <v>294</v>
      </c>
      <c r="J6" s="15">
        <v>33000</v>
      </c>
      <c r="K6" s="15">
        <v>1000</v>
      </c>
      <c r="L6" s="15">
        <f t="shared" ref="L6" si="4">ROUND(J6*K6,0)</f>
        <v>33000000</v>
      </c>
      <c r="M6" s="15"/>
      <c r="N6" s="15">
        <f t="shared" ref="N6" si="5">ROUND(J6*M6,0)</f>
        <v>0</v>
      </c>
      <c r="O6" s="15" t="str">
        <f>IF(AND(A6='BANG KE NL'!$M$11,TH!C6="NL",LEFT(D6,1)="N"),"x","")</f>
        <v/>
      </c>
    </row>
    <row r="7" spans="1:15">
      <c r="A7" s="24">
        <f t="shared" ref="A7" si="6">IF(E7&lt;&gt;"",MONTH(E7),"")</f>
        <v>1</v>
      </c>
      <c r="B7" s="175" t="str">
        <f>IF(AND(MONTH(E7)='IN-NX'!$J$5,'IN-NX'!$D$7=(D7&amp;"/"&amp;C7)),"x","")</f>
        <v>x</v>
      </c>
      <c r="C7" s="172" t="s">
        <v>177</v>
      </c>
      <c r="D7" s="172" t="s">
        <v>302</v>
      </c>
      <c r="E7" s="69">
        <v>42375</v>
      </c>
      <c r="F7" s="61" t="s">
        <v>88</v>
      </c>
      <c r="G7" s="37" t="s">
        <v>267</v>
      </c>
      <c r="H7" s="176" t="s">
        <v>293</v>
      </c>
      <c r="I7" s="56" t="s">
        <v>294</v>
      </c>
      <c r="J7" s="15">
        <v>14400</v>
      </c>
      <c r="K7" s="15">
        <v>5400</v>
      </c>
      <c r="L7" s="15">
        <f t="shared" ref="L7" si="7">ROUND(J7*K7,0)</f>
        <v>77760000</v>
      </c>
      <c r="M7" s="15"/>
      <c r="N7" s="15">
        <f t="shared" ref="N7" si="8">ROUND(J7*M7,0)</f>
        <v>0</v>
      </c>
      <c r="O7" s="15" t="str">
        <f>IF(AND(A7='BANG KE NL'!$M$11,TH!C7="NL",LEFT(D7,1)="N"),"x","")</f>
        <v/>
      </c>
    </row>
    <row r="8" spans="1:15">
      <c r="A8" s="24">
        <f t="shared" ref="A8" si="9">IF(E8&lt;&gt;"",MONTH(E8),"")</f>
        <v>1</v>
      </c>
      <c r="B8" s="175" t="str">
        <f>IF(AND(MONTH(E8)='IN-NX'!$J$5,'IN-NX'!$D$7=(D8&amp;"/"&amp;C8)),"x","")</f>
        <v/>
      </c>
      <c r="C8" s="172" t="s">
        <v>177</v>
      </c>
      <c r="D8" s="172" t="s">
        <v>303</v>
      </c>
      <c r="E8" s="69">
        <v>42383</v>
      </c>
      <c r="F8" s="61" t="s">
        <v>297</v>
      </c>
      <c r="G8" s="37" t="s">
        <v>119</v>
      </c>
      <c r="H8" s="176" t="s">
        <v>293</v>
      </c>
      <c r="I8" s="56" t="s">
        <v>294</v>
      </c>
      <c r="J8" s="15">
        <v>12000</v>
      </c>
      <c r="K8" s="15">
        <v>1150</v>
      </c>
      <c r="L8" s="15">
        <f t="shared" ref="L8" si="10">ROUND(J8*K8,0)</f>
        <v>13800000</v>
      </c>
      <c r="M8" s="15"/>
      <c r="N8" s="15">
        <f t="shared" ref="N8" si="11">ROUND(J8*M8,0)</f>
        <v>0</v>
      </c>
      <c r="O8" s="15" t="str">
        <f>IF(AND(A8='BANG KE NL'!$M$11,TH!C8="NL",LEFT(D8,1)="N"),"x","")</f>
        <v/>
      </c>
    </row>
    <row r="9" spans="1:15">
      <c r="A9" s="24">
        <f t="shared" ref="A9:A12" si="12">IF(E9&lt;&gt;"",MONTH(E9),"")</f>
        <v>1</v>
      </c>
      <c r="B9" s="175" t="str">
        <f>IF(AND(MONTH(E9)='IN-NX'!$J$5,'IN-NX'!$D$7=(D9&amp;"/"&amp;C9)),"x","")</f>
        <v/>
      </c>
      <c r="C9" s="172" t="s">
        <v>177</v>
      </c>
      <c r="D9" s="172" t="s">
        <v>303</v>
      </c>
      <c r="E9" s="69">
        <v>42383</v>
      </c>
      <c r="F9" s="61" t="s">
        <v>298</v>
      </c>
      <c r="G9" s="37" t="s">
        <v>119</v>
      </c>
      <c r="H9" s="176" t="s">
        <v>293</v>
      </c>
      <c r="I9" s="56" t="s">
        <v>294</v>
      </c>
      <c r="J9" s="15">
        <v>9500</v>
      </c>
      <c r="K9" s="15">
        <v>150</v>
      </c>
      <c r="L9" s="15">
        <f t="shared" ref="L9:L12" si="13">ROUND(J9*K9,0)</f>
        <v>1425000</v>
      </c>
      <c r="M9" s="15"/>
      <c r="N9" s="15">
        <f t="shared" ref="N9:N12" si="14">ROUND(J9*M9,0)</f>
        <v>0</v>
      </c>
      <c r="O9" s="15" t="str">
        <f>IF(AND(A9='BANG KE NL'!$M$11,TH!C9="NL",LEFT(D9,1)="N"),"x","")</f>
        <v/>
      </c>
    </row>
    <row r="10" spans="1:15">
      <c r="A10" s="24">
        <f t="shared" si="12"/>
        <v>1</v>
      </c>
      <c r="B10" s="175" t="str">
        <f>IF(AND(MONTH(E10)='IN-NX'!$J$5,'IN-NX'!$D$7=(D10&amp;"/"&amp;C10)),"x","")</f>
        <v/>
      </c>
      <c r="C10" s="172" t="s">
        <v>177</v>
      </c>
      <c r="D10" s="172" t="s">
        <v>303</v>
      </c>
      <c r="E10" s="69">
        <v>42383</v>
      </c>
      <c r="F10" s="61" t="s">
        <v>299</v>
      </c>
      <c r="G10" s="37" t="s">
        <v>119</v>
      </c>
      <c r="H10" s="176" t="s">
        <v>293</v>
      </c>
      <c r="I10" s="56" t="s">
        <v>294</v>
      </c>
      <c r="J10" s="15">
        <v>17000</v>
      </c>
      <c r="K10" s="15">
        <v>400</v>
      </c>
      <c r="L10" s="15">
        <f t="shared" si="13"/>
        <v>6800000</v>
      </c>
      <c r="M10" s="15"/>
      <c r="N10" s="15">
        <f t="shared" si="14"/>
        <v>0</v>
      </c>
      <c r="O10" s="15" t="str">
        <f>IF(AND(A10='BANG KE NL'!$M$11,TH!C10="NL",LEFT(D10,1)="N"),"x","")</f>
        <v/>
      </c>
    </row>
    <row r="11" spans="1:15">
      <c r="A11" s="24">
        <f t="shared" si="12"/>
        <v>1</v>
      </c>
      <c r="B11" s="175" t="str">
        <f>IF(AND(MONTH(E11)='IN-NX'!$J$5,'IN-NX'!$D$7=(D11&amp;"/"&amp;C11)),"x","")</f>
        <v/>
      </c>
      <c r="C11" s="172" t="s">
        <v>177</v>
      </c>
      <c r="D11" s="172" t="s">
        <v>303</v>
      </c>
      <c r="E11" s="69">
        <v>42383</v>
      </c>
      <c r="F11" s="61" t="s">
        <v>300</v>
      </c>
      <c r="G11" s="37" t="s">
        <v>119</v>
      </c>
      <c r="H11" s="176" t="s">
        <v>293</v>
      </c>
      <c r="I11" s="56" t="s">
        <v>294</v>
      </c>
      <c r="J11" s="15">
        <v>2500</v>
      </c>
      <c r="K11" s="15">
        <v>400</v>
      </c>
      <c r="L11" s="15">
        <f t="shared" si="13"/>
        <v>1000000</v>
      </c>
      <c r="M11" s="15"/>
      <c r="N11" s="15">
        <f t="shared" si="14"/>
        <v>0</v>
      </c>
      <c r="O11" s="15" t="str">
        <f>IF(AND(A11='BANG KE NL'!$M$11,TH!C11="NL",LEFT(D11,1)="N"),"x","")</f>
        <v/>
      </c>
    </row>
    <row r="12" spans="1:15">
      <c r="A12" s="24">
        <f t="shared" si="12"/>
        <v>1</v>
      </c>
      <c r="B12" s="175" t="str">
        <f>IF(AND(MONTH(E12)='IN-NX'!$J$5,'IN-NX'!$D$7=(D12&amp;"/"&amp;C12)),"x","")</f>
        <v/>
      </c>
      <c r="C12" s="172" t="s">
        <v>177</v>
      </c>
      <c r="D12" s="172" t="s">
        <v>303</v>
      </c>
      <c r="E12" s="69">
        <v>42383</v>
      </c>
      <c r="F12" s="61" t="s">
        <v>301</v>
      </c>
      <c r="G12" s="37" t="s">
        <v>119</v>
      </c>
      <c r="H12" s="176" t="s">
        <v>293</v>
      </c>
      <c r="I12" s="56" t="s">
        <v>294</v>
      </c>
      <c r="J12" s="15">
        <v>18300</v>
      </c>
      <c r="K12" s="15">
        <v>620</v>
      </c>
      <c r="L12" s="15">
        <f t="shared" si="13"/>
        <v>11346000</v>
      </c>
      <c r="M12" s="15"/>
      <c r="N12" s="15">
        <f t="shared" si="14"/>
        <v>0</v>
      </c>
      <c r="O12" s="15" t="str">
        <f>IF(AND(A12='BANG KE NL'!$M$11,TH!C12="NL",LEFT(D12,1)="N"),"x","")</f>
        <v/>
      </c>
    </row>
    <row r="13" spans="1:15">
      <c r="A13" s="24">
        <f t="shared" ref="A13:A33" si="15">IF(E13&lt;&gt;"",MONTH(E13),"")</f>
        <v>1</v>
      </c>
      <c r="B13" s="175" t="str">
        <f>IF(AND(MONTH(E13)='IN-NX'!$J$5,'IN-NX'!$D$7=(D13&amp;"/"&amp;C13)),"x","")</f>
        <v/>
      </c>
      <c r="C13" s="172" t="s">
        <v>177</v>
      </c>
      <c r="D13" s="172" t="s">
        <v>304</v>
      </c>
      <c r="E13" s="69">
        <v>42387</v>
      </c>
      <c r="F13" s="61" t="s">
        <v>40</v>
      </c>
      <c r="G13" s="76" t="s">
        <v>292</v>
      </c>
      <c r="H13" s="176" t="s">
        <v>293</v>
      </c>
      <c r="I13" s="56" t="s">
        <v>294</v>
      </c>
      <c r="J13" s="15">
        <v>14523.81</v>
      </c>
      <c r="K13" s="15">
        <v>1000</v>
      </c>
      <c r="L13" s="15">
        <f t="shared" ref="L13" si="16">ROUND(J13*K13,0)</f>
        <v>14523810</v>
      </c>
      <c r="M13" s="15"/>
      <c r="N13" s="15">
        <f t="shared" ref="N13" si="17">ROUND(J13*M13,0)</f>
        <v>0</v>
      </c>
      <c r="O13" s="15" t="str">
        <f>IF(AND(A13='BANG KE NL'!$M$11,TH!C13="NL",LEFT(D13,1)="N"),"x","")</f>
        <v/>
      </c>
    </row>
    <row r="14" spans="1:15">
      <c r="A14" s="24">
        <f t="shared" si="15"/>
        <v>1</v>
      </c>
      <c r="B14" s="175" t="str">
        <f>IF(AND(MONTH(E14)='IN-NX'!$J$5,'IN-NX'!$D$7=(D14&amp;"/"&amp;C14)),"x","")</f>
        <v/>
      </c>
      <c r="C14" s="172" t="s">
        <v>177</v>
      </c>
      <c r="D14" s="172" t="s">
        <v>306</v>
      </c>
      <c r="E14" s="69">
        <v>42391</v>
      </c>
      <c r="F14" s="61" t="s">
        <v>305</v>
      </c>
      <c r="G14" s="37" t="s">
        <v>117</v>
      </c>
      <c r="H14" s="176" t="s">
        <v>293</v>
      </c>
      <c r="I14" s="56" t="s">
        <v>294</v>
      </c>
      <c r="J14" s="15">
        <v>14000</v>
      </c>
      <c r="K14" s="15">
        <v>2500</v>
      </c>
      <c r="L14" s="15">
        <f t="shared" ref="L14" si="18">ROUND(J14*K14,0)</f>
        <v>35000000</v>
      </c>
      <c r="M14" s="15"/>
      <c r="N14" s="15">
        <f t="shared" ref="N14" si="19">ROUND(J14*M14,0)</f>
        <v>0</v>
      </c>
      <c r="O14" s="15" t="str">
        <f>IF(AND(A14='BANG KE NL'!$M$11,TH!C14="NL",LEFT(D14,1)="N"),"x","")</f>
        <v/>
      </c>
    </row>
    <row r="15" spans="1:15">
      <c r="A15" s="24">
        <f t="shared" ref="A15:A26" si="20">IF(E15&lt;&gt;"",MONTH(E15),"")</f>
        <v>1</v>
      </c>
      <c r="B15" s="175" t="str">
        <f>IF(AND(MONTH(E15)='IN-NX'!$J$5,'IN-NX'!$D$7=(D15&amp;"/"&amp;C15)),"x","")</f>
        <v/>
      </c>
      <c r="C15" s="172" t="s">
        <v>177</v>
      </c>
      <c r="D15" s="172" t="s">
        <v>314</v>
      </c>
      <c r="E15" s="69">
        <v>42371</v>
      </c>
      <c r="F15" s="61" t="s">
        <v>39</v>
      </c>
      <c r="G15" s="61" t="s">
        <v>181</v>
      </c>
      <c r="H15" s="176" t="s">
        <v>311</v>
      </c>
      <c r="I15" s="56" t="s">
        <v>293</v>
      </c>
      <c r="J15" s="15">
        <v>35444.444444444445</v>
      </c>
      <c r="K15" s="15"/>
      <c r="L15" s="15">
        <f t="shared" ref="L15:L26" si="21">ROUND(J15*K15,0)</f>
        <v>0</v>
      </c>
      <c r="M15" s="15">
        <v>100</v>
      </c>
      <c r="N15" s="15">
        <f t="shared" ref="N15:N26" si="22">ROUND(J15*M15,0)</f>
        <v>3544444</v>
      </c>
      <c r="O15" s="15" t="str">
        <f>IF(AND(A15='BANG KE NL'!$M$11,TH!C15="NL",LEFT(D15,1)="N"),"x","")</f>
        <v/>
      </c>
    </row>
    <row r="16" spans="1:15">
      <c r="A16" s="24">
        <f t="shared" si="20"/>
        <v>1</v>
      </c>
      <c r="B16" s="175" t="str">
        <f>IF(AND(MONTH(E16)='IN-NX'!$J$5,'IN-NX'!$D$7=(D16&amp;"/"&amp;C16)),"x","")</f>
        <v/>
      </c>
      <c r="C16" s="172" t="s">
        <v>177</v>
      </c>
      <c r="D16" s="172" t="s">
        <v>314</v>
      </c>
      <c r="E16" s="69">
        <v>42371</v>
      </c>
      <c r="F16" s="61" t="s">
        <v>47</v>
      </c>
      <c r="G16" s="61" t="s">
        <v>181</v>
      </c>
      <c r="H16" s="176" t="s">
        <v>311</v>
      </c>
      <c r="I16" s="56" t="s">
        <v>293</v>
      </c>
      <c r="J16" s="15">
        <v>46741.2</v>
      </c>
      <c r="K16" s="15"/>
      <c r="L16" s="15">
        <f t="shared" si="21"/>
        <v>0</v>
      </c>
      <c r="M16" s="15">
        <v>20</v>
      </c>
      <c r="N16" s="15">
        <f t="shared" si="22"/>
        <v>934824</v>
      </c>
      <c r="O16" s="15" t="str">
        <f>IF(AND(A16='BANG KE NL'!$M$11,TH!C16="NL",LEFT(D16,1)="N"),"x","")</f>
        <v/>
      </c>
    </row>
    <row r="17" spans="1:15">
      <c r="A17" s="24">
        <f t="shared" si="20"/>
        <v>1</v>
      </c>
      <c r="B17" s="175" t="str">
        <f>IF(AND(MONTH(E17)='IN-NX'!$J$5,'IN-NX'!$D$7=(D17&amp;"/"&amp;C17)),"x","")</f>
        <v/>
      </c>
      <c r="C17" s="172" t="s">
        <v>177</v>
      </c>
      <c r="D17" s="172" t="s">
        <v>314</v>
      </c>
      <c r="E17" s="69">
        <v>42371</v>
      </c>
      <c r="F17" s="61" t="s">
        <v>40</v>
      </c>
      <c r="G17" s="61" t="s">
        <v>181</v>
      </c>
      <c r="H17" s="176" t="s">
        <v>311</v>
      </c>
      <c r="I17" s="56" t="s">
        <v>293</v>
      </c>
      <c r="J17" s="15">
        <v>11666.673333333334</v>
      </c>
      <c r="K17" s="15"/>
      <c r="L17" s="15">
        <f t="shared" si="21"/>
        <v>0</v>
      </c>
      <c r="M17" s="15">
        <v>150</v>
      </c>
      <c r="N17" s="15">
        <f t="shared" si="22"/>
        <v>1750001</v>
      </c>
      <c r="O17" s="15" t="str">
        <f>IF(AND(A17='BANG KE NL'!$M$11,TH!C17="NL",LEFT(D17,1)="N"),"x","")</f>
        <v/>
      </c>
    </row>
    <row r="18" spans="1:15">
      <c r="A18" s="24">
        <f t="shared" si="20"/>
        <v>1</v>
      </c>
      <c r="B18" s="175" t="str">
        <f>IF(AND(MONTH(E18)='IN-NX'!$J$5,'IN-NX'!$D$7=(D18&amp;"/"&amp;C18)),"x","")</f>
        <v/>
      </c>
      <c r="C18" s="172" t="s">
        <v>177</v>
      </c>
      <c r="D18" s="172" t="s">
        <v>315</v>
      </c>
      <c r="E18" s="69">
        <v>42376</v>
      </c>
      <c r="F18" s="61" t="s">
        <v>55</v>
      </c>
      <c r="G18" s="61" t="s">
        <v>181</v>
      </c>
      <c r="H18" s="176" t="s">
        <v>311</v>
      </c>
      <c r="I18" s="56" t="s">
        <v>293</v>
      </c>
      <c r="J18" s="15">
        <v>21979.791919191921</v>
      </c>
      <c r="K18" s="15"/>
      <c r="L18" s="15">
        <f t="shared" si="21"/>
        <v>0</v>
      </c>
      <c r="M18" s="15">
        <v>100</v>
      </c>
      <c r="N18" s="15">
        <f t="shared" si="22"/>
        <v>2197979</v>
      </c>
      <c r="O18" s="15" t="str">
        <f>IF(AND(A18='BANG KE NL'!$M$11,TH!C18="NL",LEFT(D18,1)="N"),"x","")</f>
        <v/>
      </c>
    </row>
    <row r="19" spans="1:15">
      <c r="A19" s="24">
        <f t="shared" si="20"/>
        <v>1</v>
      </c>
      <c r="B19" s="175" t="str">
        <f>IF(AND(MONTH(E19)='IN-NX'!$J$5,'IN-NX'!$D$7=(D19&amp;"/"&amp;C19)),"x","")</f>
        <v/>
      </c>
      <c r="C19" s="172" t="s">
        <v>177</v>
      </c>
      <c r="D19" s="172" t="s">
        <v>315</v>
      </c>
      <c r="E19" s="69">
        <v>42376</v>
      </c>
      <c r="F19" s="61" t="s">
        <v>88</v>
      </c>
      <c r="G19" s="61" t="s">
        <v>181</v>
      </c>
      <c r="H19" s="176" t="s">
        <v>311</v>
      </c>
      <c r="I19" s="56" t="s">
        <v>293</v>
      </c>
      <c r="J19" s="15">
        <v>14899.999259259259</v>
      </c>
      <c r="K19" s="15"/>
      <c r="L19" s="15">
        <f t="shared" si="21"/>
        <v>0</v>
      </c>
      <c r="M19" s="15">
        <v>810</v>
      </c>
      <c r="N19" s="15">
        <f t="shared" si="22"/>
        <v>12068999</v>
      </c>
      <c r="O19" s="15" t="str">
        <f>IF(AND(A19='BANG KE NL'!$M$11,TH!C19="NL",LEFT(D19,1)="N"),"x","")</f>
        <v/>
      </c>
    </row>
    <row r="20" spans="1:15">
      <c r="A20" s="24">
        <f t="shared" si="20"/>
        <v>1</v>
      </c>
      <c r="B20" s="175" t="str">
        <f>IF(AND(MONTH(E20)='IN-NX'!$J$5,'IN-NX'!$D$7=(D20&amp;"/"&amp;C20)),"x","")</f>
        <v/>
      </c>
      <c r="C20" s="172" t="s">
        <v>177</v>
      </c>
      <c r="D20" s="172" t="s">
        <v>316</v>
      </c>
      <c r="E20" s="69">
        <v>42384</v>
      </c>
      <c r="F20" s="61" t="s">
        <v>38</v>
      </c>
      <c r="G20" s="61" t="s">
        <v>181</v>
      </c>
      <c r="H20" s="176" t="s">
        <v>311</v>
      </c>
      <c r="I20" s="56" t="s">
        <v>293</v>
      </c>
      <c r="J20" s="15">
        <v>8500</v>
      </c>
      <c r="K20" s="15"/>
      <c r="L20" s="15">
        <f t="shared" si="21"/>
        <v>0</v>
      </c>
      <c r="M20" s="15">
        <v>200</v>
      </c>
      <c r="N20" s="15">
        <f t="shared" si="22"/>
        <v>1700000</v>
      </c>
      <c r="O20" s="15" t="str">
        <f>IF(AND(A20='BANG KE NL'!$M$11,TH!C20="NL",LEFT(D20,1)="N"),"x","")</f>
        <v/>
      </c>
    </row>
    <row r="21" spans="1:15">
      <c r="A21" s="24">
        <f t="shared" si="20"/>
        <v>1</v>
      </c>
      <c r="B21" s="175" t="str">
        <f>IF(AND(MONTH(E21)='IN-NX'!$J$5,'IN-NX'!$D$7=(D21&amp;"/"&amp;C21)),"x","")</f>
        <v/>
      </c>
      <c r="C21" s="172" t="s">
        <v>177</v>
      </c>
      <c r="D21" s="172" t="s">
        <v>316</v>
      </c>
      <c r="E21" s="69">
        <v>42384</v>
      </c>
      <c r="F21" s="61" t="s">
        <v>51</v>
      </c>
      <c r="G21" s="61" t="s">
        <v>181</v>
      </c>
      <c r="H21" s="176" t="s">
        <v>311</v>
      </c>
      <c r="I21" s="56" t="s">
        <v>293</v>
      </c>
      <c r="J21" s="15">
        <v>323.05155766077667</v>
      </c>
      <c r="K21" s="15"/>
      <c r="L21" s="15">
        <f t="shared" si="21"/>
        <v>0</v>
      </c>
      <c r="M21" s="15">
        <v>1000</v>
      </c>
      <c r="N21" s="15">
        <f t="shared" si="22"/>
        <v>323052</v>
      </c>
      <c r="O21" s="15" t="str">
        <f>IF(AND(A21='BANG KE NL'!$M$11,TH!C21="NL",LEFT(D21,1)="N"),"x","")</f>
        <v/>
      </c>
    </row>
    <row r="22" spans="1:15">
      <c r="A22" s="24">
        <f t="shared" si="20"/>
        <v>1</v>
      </c>
      <c r="B22" s="175" t="str">
        <f>IF(AND(MONTH(E22)='IN-NX'!$J$5,'IN-NX'!$D$7=(D22&amp;"/"&amp;C22)),"x","")</f>
        <v/>
      </c>
      <c r="C22" s="172" t="s">
        <v>177</v>
      </c>
      <c r="D22" s="172" t="s">
        <v>317</v>
      </c>
      <c r="E22" s="69">
        <v>42388</v>
      </c>
      <c r="F22" s="61" t="s">
        <v>299</v>
      </c>
      <c r="G22" s="61" t="s">
        <v>181</v>
      </c>
      <c r="H22" s="176" t="s">
        <v>311</v>
      </c>
      <c r="I22" s="56" t="s">
        <v>293</v>
      </c>
      <c r="J22" s="15">
        <v>17000</v>
      </c>
      <c r="K22" s="15"/>
      <c r="L22" s="15">
        <f t="shared" si="21"/>
        <v>0</v>
      </c>
      <c r="M22" s="15">
        <v>400</v>
      </c>
      <c r="N22" s="15">
        <f t="shared" si="22"/>
        <v>6800000</v>
      </c>
      <c r="O22" s="15" t="str">
        <f>IF(AND(A22='BANG KE NL'!$M$11,TH!C22="NL",LEFT(D22,1)="N"),"x","")</f>
        <v/>
      </c>
    </row>
    <row r="23" spans="1:15">
      <c r="A23" s="24">
        <f t="shared" si="20"/>
        <v>1</v>
      </c>
      <c r="B23" s="175" t="str">
        <f>IF(AND(MONTH(E23)='IN-NX'!$J$5,'IN-NX'!$D$7=(D23&amp;"/"&amp;C23)),"x","")</f>
        <v/>
      </c>
      <c r="C23" s="172" t="s">
        <v>177</v>
      </c>
      <c r="D23" s="172" t="s">
        <v>317</v>
      </c>
      <c r="E23" s="69">
        <v>42388</v>
      </c>
      <c r="F23" s="61" t="s">
        <v>300</v>
      </c>
      <c r="G23" s="61" t="s">
        <v>181</v>
      </c>
      <c r="H23" s="176" t="s">
        <v>311</v>
      </c>
      <c r="I23" s="56" t="s">
        <v>293</v>
      </c>
      <c r="J23" s="15">
        <v>2500</v>
      </c>
      <c r="K23" s="15"/>
      <c r="L23" s="15">
        <f t="shared" si="21"/>
        <v>0</v>
      </c>
      <c r="M23" s="15">
        <v>400</v>
      </c>
      <c r="N23" s="15">
        <f t="shared" si="22"/>
        <v>1000000</v>
      </c>
      <c r="O23" s="15" t="str">
        <f>IF(AND(A23='BANG KE NL'!$M$11,TH!C23="NL",LEFT(D23,1)="N"),"x","")</f>
        <v/>
      </c>
    </row>
    <row r="24" spans="1:15">
      <c r="A24" s="24">
        <f t="shared" si="20"/>
        <v>1</v>
      </c>
      <c r="B24" s="175" t="str">
        <f>IF(AND(MONTH(E24)='IN-NX'!$J$5,'IN-NX'!$D$7=(D24&amp;"/"&amp;C24)),"x","")</f>
        <v/>
      </c>
      <c r="C24" s="172" t="s">
        <v>177</v>
      </c>
      <c r="D24" s="172" t="s">
        <v>318</v>
      </c>
      <c r="E24" s="69">
        <v>42391</v>
      </c>
      <c r="F24" s="61" t="s">
        <v>301</v>
      </c>
      <c r="G24" s="61" t="s">
        <v>181</v>
      </c>
      <c r="H24" s="176" t="s">
        <v>311</v>
      </c>
      <c r="I24" s="56" t="s">
        <v>293</v>
      </c>
      <c r="J24" s="15">
        <v>18300</v>
      </c>
      <c r="K24" s="15"/>
      <c r="L24" s="15">
        <f t="shared" si="21"/>
        <v>0</v>
      </c>
      <c r="M24" s="15">
        <v>620</v>
      </c>
      <c r="N24" s="15">
        <f t="shared" si="22"/>
        <v>11346000</v>
      </c>
      <c r="O24" s="15" t="str">
        <f>IF(AND(A24='BANG KE NL'!$M$11,TH!C24="NL",LEFT(D24,1)="N"),"x","")</f>
        <v/>
      </c>
    </row>
    <row r="25" spans="1:15">
      <c r="A25" s="24">
        <f t="shared" si="20"/>
        <v>1</v>
      </c>
      <c r="B25" s="175" t="str">
        <f>IF(AND(MONTH(E25)='IN-NX'!$J$5,'IN-NX'!$D$7=(D25&amp;"/"&amp;C25)),"x","")</f>
        <v/>
      </c>
      <c r="C25" s="172" t="s">
        <v>177</v>
      </c>
      <c r="D25" s="172" t="s">
        <v>319</v>
      </c>
      <c r="E25" s="69">
        <v>42398</v>
      </c>
      <c r="F25" s="61" t="s">
        <v>297</v>
      </c>
      <c r="G25" s="61" t="s">
        <v>181</v>
      </c>
      <c r="H25" s="176" t="s">
        <v>311</v>
      </c>
      <c r="I25" s="56" t="s">
        <v>293</v>
      </c>
      <c r="J25" s="15">
        <v>12000</v>
      </c>
      <c r="K25" s="15"/>
      <c r="L25" s="15">
        <f t="shared" si="21"/>
        <v>0</v>
      </c>
      <c r="M25" s="15">
        <v>1150</v>
      </c>
      <c r="N25" s="15">
        <f t="shared" si="22"/>
        <v>13800000</v>
      </c>
      <c r="O25" s="15" t="str">
        <f>IF(AND(A25='BANG KE NL'!$M$11,TH!C25="NL",LEFT(D25,1)="N"),"x","")</f>
        <v/>
      </c>
    </row>
    <row r="26" spans="1:15">
      <c r="A26" s="24">
        <f t="shared" si="20"/>
        <v>1</v>
      </c>
      <c r="B26" s="175" t="str">
        <f>IF(AND(MONTH(E26)='IN-NX'!$J$5,'IN-NX'!$D$7=(D26&amp;"/"&amp;C26)),"x","")</f>
        <v/>
      </c>
      <c r="C26" s="172" t="s">
        <v>177</v>
      </c>
      <c r="D26" s="172" t="s">
        <v>319</v>
      </c>
      <c r="E26" s="69">
        <v>42398</v>
      </c>
      <c r="F26" s="61" t="s">
        <v>298</v>
      </c>
      <c r="G26" s="61" t="s">
        <v>181</v>
      </c>
      <c r="H26" s="176" t="s">
        <v>311</v>
      </c>
      <c r="I26" s="56" t="s">
        <v>293</v>
      </c>
      <c r="J26" s="15">
        <v>9500</v>
      </c>
      <c r="K26" s="15"/>
      <c r="L26" s="15">
        <f t="shared" si="21"/>
        <v>0</v>
      </c>
      <c r="M26" s="15">
        <v>150</v>
      </c>
      <c r="N26" s="15">
        <f t="shared" si="22"/>
        <v>1425000</v>
      </c>
      <c r="O26" s="15" t="str">
        <f>IF(AND(A26='BANG KE NL'!$M$11,TH!C26="NL",LEFT(D26,1)="N"),"x","")</f>
        <v/>
      </c>
    </row>
    <row r="27" spans="1:15" s="277" customFormat="1">
      <c r="A27" s="24">
        <f t="shared" si="15"/>
        <v>1</v>
      </c>
      <c r="B27" s="175" t="str">
        <f>IF(AND(MONTH(E27)='IN-NX'!$J$5,'IN-NX'!$D$7=(D27&amp;"/"&amp;C27)),"x","")</f>
        <v/>
      </c>
      <c r="C27" s="270" t="s">
        <v>309</v>
      </c>
      <c r="D27" s="270" t="s">
        <v>291</v>
      </c>
      <c r="E27" s="271">
        <v>42389</v>
      </c>
      <c r="F27" s="272" t="s">
        <v>132</v>
      </c>
      <c r="G27" s="272" t="s">
        <v>127</v>
      </c>
      <c r="H27" s="464" t="s">
        <v>310</v>
      </c>
      <c r="I27" s="275" t="s">
        <v>311</v>
      </c>
      <c r="J27" s="276"/>
      <c r="K27" s="276">
        <v>7100</v>
      </c>
      <c r="L27" s="276">
        <f t="shared" ref="L27:L68" si="23">ROUND(J27*K27,0)</f>
        <v>0</v>
      </c>
      <c r="M27" s="276"/>
      <c r="N27" s="276">
        <f t="shared" ref="N27:N68" si="24">ROUND(J27*M27,0)</f>
        <v>0</v>
      </c>
      <c r="O27" s="15" t="str">
        <f>IF(AND(A27='BANG KE NL'!$M$11,TH!C27="NL",LEFT(D27,1)="N"),"x","")</f>
        <v/>
      </c>
    </row>
    <row r="28" spans="1:15" s="277" customFormat="1">
      <c r="A28" s="24">
        <f t="shared" si="15"/>
        <v>1</v>
      </c>
      <c r="B28" s="175" t="str">
        <f>IF(AND(MONTH(E28)='IN-NX'!$J$5,'IN-NX'!$D$7=(D28&amp;"/"&amp;C28)),"x","")</f>
        <v/>
      </c>
      <c r="C28" s="270" t="s">
        <v>309</v>
      </c>
      <c r="D28" s="270" t="s">
        <v>295</v>
      </c>
      <c r="E28" s="271">
        <v>42393</v>
      </c>
      <c r="F28" s="272" t="s">
        <v>308</v>
      </c>
      <c r="G28" s="272" t="s">
        <v>127</v>
      </c>
      <c r="H28" s="464" t="s">
        <v>310</v>
      </c>
      <c r="I28" s="275" t="s">
        <v>311</v>
      </c>
      <c r="J28" s="276"/>
      <c r="K28" s="276">
        <v>4800</v>
      </c>
      <c r="L28" s="276">
        <f t="shared" si="23"/>
        <v>0</v>
      </c>
      <c r="M28" s="276"/>
      <c r="N28" s="276">
        <f t="shared" si="24"/>
        <v>0</v>
      </c>
      <c r="O28" s="15" t="str">
        <f>IF(AND(A28='BANG KE NL'!$M$11,TH!C28="NL",LEFT(D28,1)="N"),"x","")</f>
        <v/>
      </c>
    </row>
    <row r="29" spans="1:15" s="277" customFormat="1">
      <c r="A29" s="24">
        <f t="shared" si="15"/>
        <v>1</v>
      </c>
      <c r="B29" s="175" t="str">
        <f>IF(AND(MONTH(E29)='IN-NX'!$J$5,'IN-NX'!$D$7=(D29&amp;"/"&amp;C29)),"x","")</f>
        <v/>
      </c>
      <c r="C29" s="270" t="s">
        <v>309</v>
      </c>
      <c r="D29" s="270" t="s">
        <v>302</v>
      </c>
      <c r="E29" s="271">
        <v>42400</v>
      </c>
      <c r="F29" s="272" t="s">
        <v>265</v>
      </c>
      <c r="G29" s="272" t="s">
        <v>127</v>
      </c>
      <c r="H29" s="464" t="s">
        <v>310</v>
      </c>
      <c r="I29" s="275" t="s">
        <v>311</v>
      </c>
      <c r="J29" s="276"/>
      <c r="K29" s="276">
        <v>12000</v>
      </c>
      <c r="L29" s="276">
        <f t="shared" si="23"/>
        <v>0</v>
      </c>
      <c r="M29" s="276"/>
      <c r="N29" s="276">
        <f t="shared" si="24"/>
        <v>0</v>
      </c>
      <c r="O29" s="15" t="str">
        <f>IF(AND(A29='BANG KE NL'!$M$11,TH!C29="NL",LEFT(D29,1)="N"),"x","")</f>
        <v/>
      </c>
    </row>
    <row r="30" spans="1:15" s="277" customFormat="1">
      <c r="A30" s="24">
        <f t="shared" si="15"/>
        <v>1</v>
      </c>
      <c r="B30" s="175" t="str">
        <f>IF(AND(MONTH(E30)='IN-NX'!$J$5,'IN-NX'!$D$7=(D30&amp;"/"&amp;C30)),"x","")</f>
        <v/>
      </c>
      <c r="C30" s="270" t="s">
        <v>309</v>
      </c>
      <c r="D30" s="270" t="s">
        <v>314</v>
      </c>
      <c r="E30" s="271">
        <v>42395</v>
      </c>
      <c r="F30" s="272" t="s">
        <v>132</v>
      </c>
      <c r="G30" s="272" t="s">
        <v>133</v>
      </c>
      <c r="H30" s="464" t="s">
        <v>313</v>
      </c>
      <c r="I30" s="275" t="s">
        <v>310</v>
      </c>
      <c r="J30" s="276"/>
      <c r="K30" s="276"/>
      <c r="L30" s="276">
        <f t="shared" si="23"/>
        <v>0</v>
      </c>
      <c r="M30" s="276">
        <v>7100</v>
      </c>
      <c r="N30" s="276">
        <f t="shared" si="24"/>
        <v>0</v>
      </c>
      <c r="O30" s="15" t="str">
        <f>IF(AND(A30='BANG KE NL'!$M$11,TH!C30="NL",LEFT(D30,1)="N"),"x","")</f>
        <v/>
      </c>
    </row>
    <row r="31" spans="1:15" s="277" customFormat="1">
      <c r="A31" s="24">
        <f t="shared" si="15"/>
        <v>1</v>
      </c>
      <c r="B31" s="175" t="str">
        <f>IF(AND(MONTH(E31)='IN-NX'!$J$5,'IN-NX'!$D$7=(D31&amp;"/"&amp;C31)),"x","")</f>
        <v/>
      </c>
      <c r="C31" s="270" t="s">
        <v>309</v>
      </c>
      <c r="D31" s="270" t="s">
        <v>315</v>
      </c>
      <c r="E31" s="271">
        <v>42395</v>
      </c>
      <c r="F31" s="272" t="s">
        <v>308</v>
      </c>
      <c r="G31" s="272" t="s">
        <v>312</v>
      </c>
      <c r="H31" s="464" t="s">
        <v>313</v>
      </c>
      <c r="I31" s="275" t="s">
        <v>310</v>
      </c>
      <c r="J31" s="276"/>
      <c r="K31" s="276"/>
      <c r="L31" s="276">
        <f t="shared" si="23"/>
        <v>0</v>
      </c>
      <c r="M31" s="276">
        <v>4800</v>
      </c>
      <c r="N31" s="276">
        <f t="shared" si="24"/>
        <v>0</v>
      </c>
      <c r="O31" s="15" t="str">
        <f>IF(AND(A31='BANG KE NL'!$M$11,TH!C31="NL",LEFT(D31,1)="N"),"x","")</f>
        <v/>
      </c>
    </row>
    <row r="32" spans="1:15" s="277" customFormat="1">
      <c r="A32" s="24">
        <f t="shared" si="15"/>
        <v>2</v>
      </c>
      <c r="B32" s="175" t="str">
        <f>IF(AND(MONTH(E32)='IN-NX'!$J$5,'IN-NX'!$D$7=(D32&amp;"/"&amp;C32)),"x","")</f>
        <v/>
      </c>
      <c r="C32" s="270" t="s">
        <v>309</v>
      </c>
      <c r="D32" s="270" t="s">
        <v>314</v>
      </c>
      <c r="E32" s="271">
        <v>42402</v>
      </c>
      <c r="F32" s="272" t="s">
        <v>265</v>
      </c>
      <c r="G32" s="272" t="s">
        <v>269</v>
      </c>
      <c r="H32" s="464" t="s">
        <v>313</v>
      </c>
      <c r="I32" s="275" t="s">
        <v>310</v>
      </c>
      <c r="J32" s="276"/>
      <c r="K32" s="276"/>
      <c r="L32" s="276">
        <f>ROUND(J32*K32,0)</f>
        <v>0</v>
      </c>
      <c r="M32" s="276">
        <v>12000</v>
      </c>
      <c r="N32" s="276">
        <f>ROUND(J32*M32,0)</f>
        <v>0</v>
      </c>
      <c r="O32" s="15" t="str">
        <f>IF(AND(A32='BANG KE NL'!$M$11,TH!C32="NL",LEFT(D32,1)="N"),"x","")</f>
        <v/>
      </c>
    </row>
    <row r="33" spans="1:15" s="277" customFormat="1">
      <c r="A33" s="24">
        <f t="shared" si="15"/>
        <v>2</v>
      </c>
      <c r="B33" s="175" t="str">
        <f>IF(AND(MONTH(E33)='IN-NX'!$J$5,'IN-NX'!$D$7=(D33&amp;"/"&amp;C33)),"x","")</f>
        <v/>
      </c>
      <c r="C33" s="270" t="s">
        <v>309</v>
      </c>
      <c r="D33" s="270" t="s">
        <v>291</v>
      </c>
      <c r="E33" s="271">
        <v>42429</v>
      </c>
      <c r="F33" s="272" t="s">
        <v>265</v>
      </c>
      <c r="G33" s="272" t="s">
        <v>274</v>
      </c>
      <c r="H33" s="464" t="s">
        <v>310</v>
      </c>
      <c r="I33" s="275" t="s">
        <v>311</v>
      </c>
      <c r="J33" s="276"/>
      <c r="K33" s="276">
        <v>8000</v>
      </c>
      <c r="L33" s="276">
        <f t="shared" si="23"/>
        <v>0</v>
      </c>
      <c r="M33" s="276"/>
      <c r="N33" s="276">
        <f t="shared" si="24"/>
        <v>0</v>
      </c>
      <c r="O33" s="15" t="str">
        <f>IF(AND(A33='BANG KE NL'!$M$11,TH!C33="NL",LEFT(D33,1)="N"),"x","")</f>
        <v/>
      </c>
    </row>
    <row r="34" spans="1:15">
      <c r="A34" s="24">
        <f t="shared" ref="A34:A68" si="25">IF(E34&lt;&gt;"",MONTH(E34),"")</f>
        <v>1</v>
      </c>
      <c r="B34" s="175" t="str">
        <f>IF(AND(MONTH(E34)='IN-NX'!$J$5,'IN-NX'!$D$7=(D34&amp;"/"&amp;C34)),"x","")</f>
        <v/>
      </c>
      <c r="C34" s="172" t="s">
        <v>178</v>
      </c>
      <c r="D34" s="172"/>
      <c r="E34" s="69">
        <v>42371</v>
      </c>
      <c r="F34" s="61" t="s">
        <v>57</v>
      </c>
      <c r="G34" s="61" t="s">
        <v>181</v>
      </c>
      <c r="H34" s="176" t="s">
        <v>311</v>
      </c>
      <c r="I34" s="56" t="s">
        <v>320</v>
      </c>
      <c r="J34" s="15">
        <v>18500</v>
      </c>
      <c r="K34" s="15"/>
      <c r="L34" s="15">
        <f t="shared" si="23"/>
        <v>0</v>
      </c>
      <c r="M34" s="15">
        <v>38400</v>
      </c>
      <c r="N34" s="15">
        <f t="shared" si="24"/>
        <v>710400000</v>
      </c>
      <c r="O34" s="15" t="str">
        <f>IF(AND(A34='BANG KE NL'!$M$11,TH!C34="NL",LEFT(D34,1)="N"),"x","")</f>
        <v/>
      </c>
    </row>
    <row r="35" spans="1:15">
      <c r="A35" s="24">
        <f t="shared" si="25"/>
        <v>1</v>
      </c>
      <c r="B35" s="175" t="str">
        <f>IF(AND(MONTH(E35)='IN-NX'!$J$5,'IN-NX'!$D$7=(D35&amp;"/"&amp;C35)),"x","")</f>
        <v/>
      </c>
      <c r="C35" s="172" t="s">
        <v>178</v>
      </c>
      <c r="D35" s="172"/>
      <c r="E35" s="69">
        <v>42374</v>
      </c>
      <c r="F35" s="61" t="s">
        <v>52</v>
      </c>
      <c r="G35" s="61" t="s">
        <v>181</v>
      </c>
      <c r="H35" s="176" t="s">
        <v>311</v>
      </c>
      <c r="I35" s="56" t="s">
        <v>320</v>
      </c>
      <c r="J35" s="15">
        <v>14500</v>
      </c>
      <c r="K35" s="15"/>
      <c r="L35" s="15">
        <f t="shared" si="23"/>
        <v>0</v>
      </c>
      <c r="M35" s="15">
        <v>26500</v>
      </c>
      <c r="N35" s="15">
        <f t="shared" si="24"/>
        <v>384250000</v>
      </c>
      <c r="O35" s="15" t="str">
        <f>IF(AND(A35='BANG KE NL'!$M$11,TH!C35="NL",LEFT(D35,1)="N"),"x","")</f>
        <v/>
      </c>
    </row>
    <row r="36" spans="1:15">
      <c r="A36" s="24">
        <f t="shared" si="25"/>
        <v>1</v>
      </c>
      <c r="B36" s="175" t="str">
        <f>IF(AND(MONTH(E36)='IN-NX'!$J$5,'IN-NX'!$D$7=(D36&amp;"/"&amp;C36)),"x","")</f>
        <v/>
      </c>
      <c r="C36" s="172" t="s">
        <v>178</v>
      </c>
      <c r="D36" s="172"/>
      <c r="E36" s="69">
        <v>42384</v>
      </c>
      <c r="F36" s="61" t="s">
        <v>52</v>
      </c>
      <c r="G36" s="61" t="s">
        <v>181</v>
      </c>
      <c r="H36" s="176" t="s">
        <v>311</v>
      </c>
      <c r="I36" s="56" t="s">
        <v>320</v>
      </c>
      <c r="J36" s="15">
        <v>14500</v>
      </c>
      <c r="K36" s="15"/>
      <c r="L36" s="15">
        <f t="shared" si="23"/>
        <v>0</v>
      </c>
      <c r="M36" s="15">
        <v>26500</v>
      </c>
      <c r="N36" s="15">
        <f t="shared" si="24"/>
        <v>384250000</v>
      </c>
      <c r="O36" s="15" t="str">
        <f>IF(AND(A36='BANG KE NL'!$M$11,TH!C36="NL",LEFT(D36,1)="N"),"x","")</f>
        <v/>
      </c>
    </row>
    <row r="37" spans="1:15">
      <c r="A37" s="24">
        <f t="shared" si="25"/>
        <v>1</v>
      </c>
      <c r="B37" s="175" t="str">
        <f>IF(AND(MONTH(E37)='IN-NX'!$J$5,'IN-NX'!$D$7=(D37&amp;"/"&amp;C37)),"x","")</f>
        <v/>
      </c>
      <c r="C37" s="172" t="s">
        <v>178</v>
      </c>
      <c r="D37" s="172"/>
      <c r="E37" s="69">
        <v>42390</v>
      </c>
      <c r="F37" s="61" t="s">
        <v>52</v>
      </c>
      <c r="G37" s="61" t="s">
        <v>181</v>
      </c>
      <c r="H37" s="176" t="s">
        <v>311</v>
      </c>
      <c r="I37" s="56" t="s">
        <v>320</v>
      </c>
      <c r="J37" s="15">
        <v>14500</v>
      </c>
      <c r="K37" s="15"/>
      <c r="L37" s="15">
        <f t="shared" si="23"/>
        <v>0</v>
      </c>
      <c r="M37" s="15">
        <v>26500</v>
      </c>
      <c r="N37" s="15">
        <f t="shared" si="24"/>
        <v>384250000</v>
      </c>
      <c r="O37" s="15" t="str">
        <f>IF(AND(A37='BANG KE NL'!$M$11,TH!C37="NL",LEFT(D37,1)="N"),"x","")</f>
        <v/>
      </c>
    </row>
    <row r="38" spans="1:15">
      <c r="A38" s="24">
        <f t="shared" si="25"/>
        <v>1</v>
      </c>
      <c r="B38" s="175" t="str">
        <f>IF(AND(MONTH(E38)='IN-NX'!$J$5,'IN-NX'!$D$7=(D38&amp;"/"&amp;C38)),"x","")</f>
        <v/>
      </c>
      <c r="C38" s="172" t="s">
        <v>178</v>
      </c>
      <c r="D38" s="172"/>
      <c r="E38" s="69">
        <v>42394</v>
      </c>
      <c r="F38" s="61" t="s">
        <v>52</v>
      </c>
      <c r="G38" s="61" t="s">
        <v>181</v>
      </c>
      <c r="H38" s="176" t="s">
        <v>311</v>
      </c>
      <c r="I38" s="56" t="s">
        <v>320</v>
      </c>
      <c r="J38" s="15">
        <v>14500</v>
      </c>
      <c r="K38" s="15"/>
      <c r="L38" s="15">
        <f t="shared" si="23"/>
        <v>0</v>
      </c>
      <c r="M38" s="15">
        <v>26500</v>
      </c>
      <c r="N38" s="15">
        <f t="shared" si="24"/>
        <v>384250000</v>
      </c>
      <c r="O38" s="15" t="str">
        <f>IF(AND(A38='BANG KE NL'!$M$11,TH!C38="NL",LEFT(D38,1)="N"),"x","")</f>
        <v/>
      </c>
    </row>
    <row r="39" spans="1:15">
      <c r="A39" s="24" t="str">
        <f t="shared" si="25"/>
        <v/>
      </c>
      <c r="B39" s="175" t="str">
        <f>IF(AND(MONTH(E39)='IN-NX'!$J$5,'IN-NX'!$D$7=(D39&amp;"/"&amp;C39)),"x","")</f>
        <v/>
      </c>
      <c r="C39" s="172" t="s">
        <v>178</v>
      </c>
      <c r="D39" s="172"/>
      <c r="E39" s="69"/>
      <c r="F39" s="61" t="s">
        <v>52</v>
      </c>
      <c r="G39" s="61" t="s">
        <v>181</v>
      </c>
      <c r="H39" s="176" t="s">
        <v>311</v>
      </c>
      <c r="I39" s="56" t="s">
        <v>320</v>
      </c>
      <c r="J39" s="15">
        <v>14500</v>
      </c>
      <c r="K39" s="15"/>
      <c r="L39" s="15">
        <f t="shared" si="23"/>
        <v>0</v>
      </c>
      <c r="M39" s="15">
        <v>26000</v>
      </c>
      <c r="N39" s="15">
        <f t="shared" si="24"/>
        <v>377000000</v>
      </c>
      <c r="O39" s="15" t="str">
        <f>IF(AND(A39='BANG KE NL'!$M$11,TH!C39="NL",LEFT(D39,1)="N"),"x","")</f>
        <v/>
      </c>
    </row>
    <row r="40" spans="1:15">
      <c r="A40" s="24" t="str">
        <f t="shared" si="25"/>
        <v/>
      </c>
      <c r="B40" s="175" t="str">
        <f>IF(AND(MONTH(E40)='IN-NX'!$J$5,'IN-NX'!$D$7=(D40&amp;"/"&amp;C40)),"x","")</f>
        <v/>
      </c>
      <c r="C40" s="172" t="s">
        <v>178</v>
      </c>
      <c r="D40" s="172"/>
      <c r="E40" s="69"/>
      <c r="F40" s="61" t="s">
        <v>52</v>
      </c>
      <c r="G40" s="61"/>
      <c r="H40" s="176"/>
      <c r="I40" s="56"/>
      <c r="J40" s="15">
        <v>16000</v>
      </c>
      <c r="K40" s="15"/>
      <c r="L40" s="15">
        <f t="shared" si="23"/>
        <v>0</v>
      </c>
      <c r="M40" s="15"/>
      <c r="N40" s="15">
        <f t="shared" si="24"/>
        <v>0</v>
      </c>
      <c r="O40" s="15" t="str">
        <f>IF(AND(A40='BANG KE NL'!$M$11,TH!C40="NL",LEFT(D40,1)="N"),"x","")</f>
        <v/>
      </c>
    </row>
    <row r="41" spans="1:15">
      <c r="A41" s="24" t="str">
        <f t="shared" si="25"/>
        <v/>
      </c>
      <c r="B41" s="175" t="str">
        <f>IF(AND(MONTH(E41)='IN-NX'!$J$5,'IN-NX'!$D$7=(D41&amp;"/"&amp;C41)),"x","")</f>
        <v/>
      </c>
      <c r="C41" s="172" t="s">
        <v>178</v>
      </c>
      <c r="D41" s="172"/>
      <c r="E41" s="69"/>
      <c r="F41" s="61" t="s">
        <v>52</v>
      </c>
      <c r="G41" s="61"/>
      <c r="H41" s="176"/>
      <c r="I41" s="56"/>
      <c r="J41" s="15">
        <v>16000</v>
      </c>
      <c r="K41" s="15"/>
      <c r="L41" s="15">
        <f t="shared" si="23"/>
        <v>0</v>
      </c>
      <c r="M41" s="15"/>
      <c r="N41" s="15">
        <f t="shared" si="24"/>
        <v>0</v>
      </c>
      <c r="O41" s="15" t="str">
        <f>IF(AND(A41='BANG KE NL'!$M$11,TH!C41="NL",LEFT(D41,1)="N"),"x","")</f>
        <v/>
      </c>
    </row>
    <row r="42" spans="1:15">
      <c r="A42" s="24" t="str">
        <f t="shared" si="25"/>
        <v/>
      </c>
      <c r="B42" s="175" t="str">
        <f>IF(AND(MONTH(E42)='IN-NX'!$J$5,'IN-NX'!$D$7=(D42&amp;"/"&amp;C42)),"x","")</f>
        <v/>
      </c>
      <c r="C42" s="172"/>
      <c r="D42" s="172"/>
      <c r="E42" s="69"/>
      <c r="F42" s="61" t="s">
        <v>52</v>
      </c>
      <c r="G42" s="61"/>
      <c r="H42" s="176"/>
      <c r="I42" s="56"/>
      <c r="J42" s="15">
        <v>16000</v>
      </c>
      <c r="K42" s="15"/>
      <c r="L42" s="15">
        <f t="shared" si="23"/>
        <v>0</v>
      </c>
      <c r="M42" s="15"/>
      <c r="N42" s="15">
        <f t="shared" si="24"/>
        <v>0</v>
      </c>
      <c r="O42" s="15" t="str">
        <f>IF(AND(A42='BANG KE NL'!$M$11,TH!C42="NL",LEFT(D42,1)="N"),"x","")</f>
        <v/>
      </c>
    </row>
    <row r="43" spans="1:15">
      <c r="A43" s="24" t="str">
        <f t="shared" si="25"/>
        <v/>
      </c>
      <c r="B43" s="175" t="str">
        <f>IF(AND(MONTH(E43)='IN-NX'!$J$5,'IN-NX'!$D$7=(D43&amp;"/"&amp;C43)),"x","")</f>
        <v/>
      </c>
      <c r="C43" s="172"/>
      <c r="D43" s="172"/>
      <c r="E43" s="69"/>
      <c r="F43" s="61" t="s">
        <v>52</v>
      </c>
      <c r="G43" s="19"/>
      <c r="H43" s="176"/>
      <c r="I43" s="56"/>
      <c r="J43" s="15">
        <v>16000</v>
      </c>
      <c r="K43" s="15"/>
      <c r="L43" s="15">
        <f t="shared" si="23"/>
        <v>0</v>
      </c>
      <c r="M43" s="15"/>
      <c r="N43" s="15">
        <f t="shared" si="24"/>
        <v>0</v>
      </c>
      <c r="O43" s="15" t="str">
        <f>IF(AND(A43='BANG KE NL'!$M$11,TH!C43="NL",LEFT(D43,1)="N"),"x","")</f>
        <v/>
      </c>
    </row>
    <row r="44" spans="1:15">
      <c r="A44" s="24" t="str">
        <f t="shared" si="25"/>
        <v/>
      </c>
      <c r="B44" s="175" t="str">
        <f>IF(AND(MONTH(E44)='IN-NX'!$J$5,'IN-NX'!$D$7=(D44&amp;"/"&amp;C44)),"x","")</f>
        <v/>
      </c>
      <c r="C44" s="172"/>
      <c r="D44" s="172"/>
      <c r="E44" s="69"/>
      <c r="F44" s="61" t="s">
        <v>52</v>
      </c>
      <c r="G44" s="19"/>
      <c r="H44" s="176"/>
      <c r="I44" s="56"/>
      <c r="J44" s="15">
        <v>16000</v>
      </c>
      <c r="K44" s="15"/>
      <c r="L44" s="15">
        <f t="shared" si="23"/>
        <v>0</v>
      </c>
      <c r="M44" s="15"/>
      <c r="N44" s="15">
        <f t="shared" si="24"/>
        <v>0</v>
      </c>
      <c r="O44" s="15" t="str">
        <f>IF(AND(A44='BANG KE NL'!$M$11,TH!C44="NL",LEFT(D44,1)="N"),"x","")</f>
        <v/>
      </c>
    </row>
    <row r="45" spans="1:15">
      <c r="A45" s="24" t="str">
        <f t="shared" si="25"/>
        <v/>
      </c>
      <c r="B45" s="175" t="str">
        <f>IF(AND(MONTH(E45)='IN-NX'!$J$5,'IN-NX'!$D$7=(D45&amp;"/"&amp;C45)),"x","")</f>
        <v/>
      </c>
      <c r="C45" s="172"/>
      <c r="D45" s="172"/>
      <c r="E45" s="69"/>
      <c r="F45" s="61" t="s">
        <v>52</v>
      </c>
      <c r="G45" s="19"/>
      <c r="H45" s="176"/>
      <c r="I45" s="56"/>
      <c r="J45" s="15">
        <v>16000</v>
      </c>
      <c r="K45" s="15"/>
      <c r="L45" s="15">
        <f t="shared" si="23"/>
        <v>0</v>
      </c>
      <c r="M45" s="15"/>
      <c r="N45" s="15">
        <f t="shared" si="24"/>
        <v>0</v>
      </c>
      <c r="O45" s="15" t="str">
        <f>IF(AND(A45='BANG KE NL'!$M$11,TH!C45="NL",LEFT(D45,1)="N"),"x","")</f>
        <v/>
      </c>
    </row>
    <row r="46" spans="1:15">
      <c r="A46" s="24" t="str">
        <f t="shared" si="25"/>
        <v/>
      </c>
      <c r="B46" s="175" t="str">
        <f>IF(AND(MONTH(E46)='IN-NX'!$J$5,'IN-NX'!$D$7=(D46&amp;"/"&amp;C46)),"x","")</f>
        <v/>
      </c>
      <c r="C46" s="172"/>
      <c r="D46" s="172"/>
      <c r="E46" s="69"/>
      <c r="F46" s="61" t="s">
        <v>52</v>
      </c>
      <c r="G46" s="19"/>
      <c r="H46" s="176"/>
      <c r="I46" s="56"/>
      <c r="J46" s="15">
        <v>16000</v>
      </c>
      <c r="K46" s="15"/>
      <c r="L46" s="15">
        <f t="shared" si="23"/>
        <v>0</v>
      </c>
      <c r="M46" s="15"/>
      <c r="N46" s="15">
        <f t="shared" si="24"/>
        <v>0</v>
      </c>
      <c r="O46" s="15" t="str">
        <f>IF(AND(A46='BANG KE NL'!$M$11,TH!C46="NL",LEFT(D46,1)="N"),"x","")</f>
        <v/>
      </c>
    </row>
    <row r="47" spans="1:15">
      <c r="A47" s="24" t="str">
        <f t="shared" si="25"/>
        <v/>
      </c>
      <c r="B47" s="175" t="str">
        <f>IF(AND(MONTH(E47)='IN-NX'!$J$5,'IN-NX'!$D$7=(D47&amp;"/"&amp;C47)),"x","")</f>
        <v/>
      </c>
      <c r="C47" s="172"/>
      <c r="D47" s="172"/>
      <c r="E47" s="69"/>
      <c r="F47" s="61"/>
      <c r="G47" s="19"/>
      <c r="H47" s="176"/>
      <c r="I47" s="56"/>
      <c r="J47" s="67"/>
      <c r="K47" s="67"/>
      <c r="L47" s="15">
        <f t="shared" si="23"/>
        <v>0</v>
      </c>
      <c r="M47" s="15"/>
      <c r="N47" s="15">
        <f t="shared" si="24"/>
        <v>0</v>
      </c>
      <c r="O47" s="15" t="str">
        <f>IF(AND(A47='BANG KE NL'!$M$11,TH!C47="NL",LEFT(D47,1)="N"),"x","")</f>
        <v/>
      </c>
    </row>
    <row r="48" spans="1:15">
      <c r="A48" s="24" t="str">
        <f t="shared" si="25"/>
        <v/>
      </c>
      <c r="B48" s="175" t="str">
        <f>IF(AND(MONTH(E48)='IN-NX'!$J$5,'IN-NX'!$D$7=(D48&amp;"/"&amp;C48)),"x","")</f>
        <v/>
      </c>
      <c r="C48" s="172"/>
      <c r="D48" s="172"/>
      <c r="E48" s="69"/>
      <c r="F48" s="61"/>
      <c r="G48" s="19"/>
      <c r="H48" s="176"/>
      <c r="I48" s="56"/>
      <c r="J48" s="15"/>
      <c r="K48" s="15"/>
      <c r="L48" s="15">
        <f t="shared" si="23"/>
        <v>0</v>
      </c>
      <c r="M48" s="15"/>
      <c r="N48" s="15">
        <f t="shared" si="24"/>
        <v>0</v>
      </c>
      <c r="O48" s="15" t="str">
        <f>IF(AND(A48='BANG KE NL'!$M$11,TH!C48="NL",LEFT(D48,1)="N"),"x","")</f>
        <v/>
      </c>
    </row>
    <row r="49" spans="1:15">
      <c r="A49" s="24" t="str">
        <f t="shared" si="25"/>
        <v/>
      </c>
      <c r="B49" s="175" t="str">
        <f>IF(AND(MONTH(E49)='IN-NX'!$J$5,'IN-NX'!$D$7=(D49&amp;"/"&amp;C49)),"x","")</f>
        <v/>
      </c>
      <c r="C49" s="172"/>
      <c r="D49" s="172"/>
      <c r="E49" s="69"/>
      <c r="F49" s="61"/>
      <c r="G49" s="19"/>
      <c r="H49" s="176"/>
      <c r="I49" s="56"/>
      <c r="J49" s="67"/>
      <c r="K49" s="67"/>
      <c r="L49" s="15">
        <f t="shared" si="23"/>
        <v>0</v>
      </c>
      <c r="M49" s="15"/>
      <c r="N49" s="15">
        <f t="shared" si="24"/>
        <v>0</v>
      </c>
      <c r="O49" s="15" t="str">
        <f>IF(AND(A49='BANG KE NL'!$M$11,TH!C49="NL",LEFT(D49,1)="N"),"x","")</f>
        <v/>
      </c>
    </row>
    <row r="50" spans="1:15">
      <c r="A50" s="24" t="str">
        <f t="shared" si="25"/>
        <v/>
      </c>
      <c r="B50" s="175" t="str">
        <f>IF(AND(MONTH(E50)='IN-NX'!$J$5,'IN-NX'!$D$7=(D50&amp;"/"&amp;C50)),"x","")</f>
        <v/>
      </c>
      <c r="C50" s="172"/>
      <c r="D50" s="172"/>
      <c r="E50" s="69"/>
      <c r="F50" s="61"/>
      <c r="G50" s="19"/>
      <c r="H50" s="176"/>
      <c r="I50" s="56"/>
      <c r="J50" s="15"/>
      <c r="K50" s="15"/>
      <c r="L50" s="15">
        <f t="shared" si="23"/>
        <v>0</v>
      </c>
      <c r="M50" s="15"/>
      <c r="N50" s="15">
        <f t="shared" si="24"/>
        <v>0</v>
      </c>
      <c r="O50" s="15" t="str">
        <f>IF(AND(A50='BANG KE NL'!$M$11,TH!C50="NL",LEFT(D50,1)="N"),"x","")</f>
        <v/>
      </c>
    </row>
    <row r="51" spans="1:15">
      <c r="A51" s="24" t="str">
        <f t="shared" si="25"/>
        <v/>
      </c>
      <c r="B51" s="175" t="str">
        <f>IF(AND(MONTH(E51)='IN-NX'!$J$5,'IN-NX'!$D$7=(D51&amp;"/"&amp;C51)),"x","")</f>
        <v/>
      </c>
      <c r="C51" s="172"/>
      <c r="D51" s="172"/>
      <c r="E51" s="69"/>
      <c r="F51" s="61"/>
      <c r="G51" s="61"/>
      <c r="H51" s="176"/>
      <c r="I51" s="56"/>
      <c r="J51" s="15"/>
      <c r="K51" s="15"/>
      <c r="L51" s="15">
        <f t="shared" si="23"/>
        <v>0</v>
      </c>
      <c r="M51" s="15"/>
      <c r="N51" s="15">
        <f t="shared" si="24"/>
        <v>0</v>
      </c>
      <c r="O51" s="15" t="str">
        <f>IF(AND(A51='BANG KE NL'!$M$11,TH!C51="NL",LEFT(D51,1)="N"),"x","")</f>
        <v/>
      </c>
    </row>
    <row r="52" spans="1:15">
      <c r="A52" s="24" t="str">
        <f t="shared" si="25"/>
        <v/>
      </c>
      <c r="B52" s="175" t="str">
        <f>IF(AND(MONTH(E52)='IN-NX'!$J$5,'IN-NX'!$D$7=(D52&amp;"/"&amp;C52)),"x","")</f>
        <v/>
      </c>
      <c r="C52" s="172"/>
      <c r="D52" s="172"/>
      <c r="E52" s="69"/>
      <c r="F52" s="61"/>
      <c r="G52" s="19"/>
      <c r="H52" s="176"/>
      <c r="I52" s="56"/>
      <c r="J52" s="15"/>
      <c r="K52" s="15"/>
      <c r="L52" s="15">
        <f t="shared" si="23"/>
        <v>0</v>
      </c>
      <c r="M52" s="15"/>
      <c r="N52" s="15">
        <f t="shared" si="24"/>
        <v>0</v>
      </c>
      <c r="O52" s="15" t="str">
        <f>IF(AND(A52='BANG KE NL'!$M$11,TH!C52="NL",LEFT(D52,1)="N"),"x","")</f>
        <v/>
      </c>
    </row>
    <row r="53" spans="1:15">
      <c r="A53" s="24" t="str">
        <f t="shared" si="25"/>
        <v/>
      </c>
      <c r="B53" s="175" t="str">
        <f>IF(AND(MONTH(E53)='IN-NX'!$J$5,'IN-NX'!$D$7=(D53&amp;"/"&amp;C53)),"x","")</f>
        <v/>
      </c>
      <c r="C53" s="172"/>
      <c r="D53" s="172"/>
      <c r="E53" s="69"/>
      <c r="F53" s="61"/>
      <c r="G53" s="19"/>
      <c r="H53" s="176"/>
      <c r="I53" s="56"/>
      <c r="J53" s="15"/>
      <c r="K53" s="15"/>
      <c r="L53" s="15">
        <f t="shared" si="23"/>
        <v>0</v>
      </c>
      <c r="M53" s="15"/>
      <c r="N53" s="15">
        <f t="shared" si="24"/>
        <v>0</v>
      </c>
      <c r="O53" s="15" t="str">
        <f>IF(AND(A53='BANG KE NL'!$M$11,TH!C53="NL",LEFT(D53,1)="N"),"x","")</f>
        <v/>
      </c>
    </row>
    <row r="54" spans="1:15">
      <c r="A54" s="24" t="str">
        <f t="shared" si="25"/>
        <v/>
      </c>
      <c r="B54" s="175" t="str">
        <f>IF(AND(MONTH(E54)='IN-NX'!$J$5,'IN-NX'!$D$7=(D54&amp;"/"&amp;C54)),"x","")</f>
        <v/>
      </c>
      <c r="C54" s="172"/>
      <c r="D54" s="172"/>
      <c r="E54" s="69"/>
      <c r="F54" s="61"/>
      <c r="G54" s="19"/>
      <c r="H54" s="176"/>
      <c r="I54" s="56"/>
      <c r="J54" s="15"/>
      <c r="K54" s="15"/>
      <c r="L54" s="15">
        <f t="shared" si="23"/>
        <v>0</v>
      </c>
      <c r="M54" s="15"/>
      <c r="N54" s="15">
        <f t="shared" si="24"/>
        <v>0</v>
      </c>
      <c r="O54" s="15" t="str">
        <f>IF(AND(A54='BANG KE NL'!$M$11,TH!C54="NL",LEFT(D54,1)="N"),"x","")</f>
        <v/>
      </c>
    </row>
    <row r="55" spans="1:15">
      <c r="A55" s="24" t="str">
        <f t="shared" si="25"/>
        <v/>
      </c>
      <c r="B55" s="175" t="str">
        <f>IF(AND(MONTH(E55)='IN-NX'!$J$5,'IN-NX'!$D$7=(D55&amp;"/"&amp;C55)),"x","")</f>
        <v/>
      </c>
      <c r="C55" s="172"/>
      <c r="D55" s="172"/>
      <c r="E55" s="69"/>
      <c r="F55" s="61"/>
      <c r="G55" s="19"/>
      <c r="H55" s="176"/>
      <c r="I55" s="56"/>
      <c r="J55" s="15"/>
      <c r="K55" s="15"/>
      <c r="L55" s="15">
        <f t="shared" si="23"/>
        <v>0</v>
      </c>
      <c r="M55" s="15"/>
      <c r="N55" s="15">
        <f t="shared" si="24"/>
        <v>0</v>
      </c>
      <c r="O55" s="15" t="str">
        <f>IF(AND(A55='BANG KE NL'!$M$11,TH!C55="NL",LEFT(D55,1)="N"),"x","")</f>
        <v/>
      </c>
    </row>
    <row r="56" spans="1:15">
      <c r="A56" s="24" t="str">
        <f t="shared" si="25"/>
        <v/>
      </c>
      <c r="B56" s="175" t="str">
        <f>IF(AND(MONTH(E56)='IN-NX'!$J$5,'IN-NX'!$D$7=(D56&amp;"/"&amp;C56)),"x","")</f>
        <v/>
      </c>
      <c r="C56" s="172"/>
      <c r="D56" s="172"/>
      <c r="E56" s="69"/>
      <c r="F56" s="61"/>
      <c r="G56" s="61"/>
      <c r="H56" s="176"/>
      <c r="I56" s="56"/>
      <c r="J56" s="15"/>
      <c r="K56" s="15"/>
      <c r="L56" s="15">
        <f t="shared" si="23"/>
        <v>0</v>
      </c>
      <c r="M56" s="15"/>
      <c r="N56" s="15">
        <f t="shared" si="24"/>
        <v>0</v>
      </c>
      <c r="O56" s="15" t="str">
        <f>IF(AND(A56='BANG KE NL'!$M$11,TH!C56="NL",LEFT(D56,1)="N"),"x","")</f>
        <v/>
      </c>
    </row>
    <row r="57" spans="1:15">
      <c r="A57" s="24" t="str">
        <f t="shared" si="25"/>
        <v/>
      </c>
      <c r="B57" s="175" t="str">
        <f>IF(AND(MONTH(E57)='IN-NX'!$J$5,'IN-NX'!$D$7=(D57&amp;"/"&amp;C57)),"x","")</f>
        <v/>
      </c>
      <c r="C57" s="172"/>
      <c r="D57" s="172"/>
      <c r="E57" s="69"/>
      <c r="F57" s="61"/>
      <c r="G57" s="61"/>
      <c r="H57" s="176"/>
      <c r="I57" s="56"/>
      <c r="J57" s="15"/>
      <c r="K57" s="15"/>
      <c r="L57" s="15">
        <f t="shared" si="23"/>
        <v>0</v>
      </c>
      <c r="M57" s="15"/>
      <c r="N57" s="15">
        <f t="shared" si="24"/>
        <v>0</v>
      </c>
      <c r="O57" s="15" t="str">
        <f>IF(AND(A57='BANG KE NL'!$M$11,TH!C57="NL",LEFT(D57,1)="N"),"x","")</f>
        <v/>
      </c>
    </row>
    <row r="58" spans="1:15">
      <c r="A58" s="24" t="str">
        <f t="shared" si="25"/>
        <v/>
      </c>
      <c r="B58" s="175" t="str">
        <f>IF(AND(MONTH(E58)='IN-NX'!$J$5,'IN-NX'!$D$7=(D58&amp;"/"&amp;C58)),"x","")</f>
        <v/>
      </c>
      <c r="C58" s="172"/>
      <c r="D58" s="172"/>
      <c r="E58" s="69"/>
      <c r="F58" s="61"/>
      <c r="G58" s="61"/>
      <c r="H58" s="176"/>
      <c r="I58" s="56"/>
      <c r="J58" s="15"/>
      <c r="K58" s="15"/>
      <c r="L58" s="15">
        <f t="shared" si="23"/>
        <v>0</v>
      </c>
      <c r="M58" s="15"/>
      <c r="N58" s="15">
        <f t="shared" si="24"/>
        <v>0</v>
      </c>
      <c r="O58" s="15" t="str">
        <f>IF(AND(A58='BANG KE NL'!$M$11,TH!C58="NL",LEFT(D58,1)="N"),"x","")</f>
        <v/>
      </c>
    </row>
    <row r="59" spans="1:15">
      <c r="A59" s="24" t="str">
        <f t="shared" si="25"/>
        <v/>
      </c>
      <c r="B59" s="175" t="str">
        <f>IF(AND(MONTH(E59)='IN-NX'!$J$5,'IN-NX'!$D$7=(D59&amp;"/"&amp;C59)),"x","")</f>
        <v/>
      </c>
      <c r="C59" s="172"/>
      <c r="D59" s="172"/>
      <c r="E59" s="69"/>
      <c r="F59" s="61"/>
      <c r="G59" s="61"/>
      <c r="H59" s="176"/>
      <c r="I59" s="56"/>
      <c r="J59" s="15"/>
      <c r="K59" s="15"/>
      <c r="L59" s="15">
        <f t="shared" si="23"/>
        <v>0</v>
      </c>
      <c r="M59" s="15"/>
      <c r="N59" s="15">
        <f t="shared" si="24"/>
        <v>0</v>
      </c>
      <c r="O59" s="15" t="str">
        <f>IF(AND(A59='BANG KE NL'!$M$11,TH!C59="NL",LEFT(D59,1)="N"),"x","")</f>
        <v/>
      </c>
    </row>
    <row r="60" spans="1:15">
      <c r="A60" s="24" t="str">
        <f t="shared" si="25"/>
        <v/>
      </c>
      <c r="B60" s="175" t="str">
        <f>IF(AND(MONTH(E60)='IN-NX'!$J$5,'IN-NX'!$D$7=(D60&amp;"/"&amp;C60)),"x","")</f>
        <v/>
      </c>
      <c r="C60" s="172"/>
      <c r="D60" s="172"/>
      <c r="E60" s="69"/>
      <c r="F60" s="61"/>
      <c r="G60" s="61"/>
      <c r="H60" s="176"/>
      <c r="I60" s="56"/>
      <c r="J60" s="15"/>
      <c r="K60" s="15"/>
      <c r="L60" s="15">
        <f t="shared" si="23"/>
        <v>0</v>
      </c>
      <c r="M60" s="15"/>
      <c r="N60" s="15">
        <f t="shared" si="24"/>
        <v>0</v>
      </c>
      <c r="O60" s="15" t="str">
        <f>IF(AND(A60='BANG KE NL'!$M$11,TH!C60="NL",LEFT(D60,1)="N"),"x","")</f>
        <v/>
      </c>
    </row>
    <row r="61" spans="1:15">
      <c r="A61" s="24" t="str">
        <f t="shared" si="25"/>
        <v/>
      </c>
      <c r="B61" s="175" t="str">
        <f>IF(AND(MONTH(E61)='IN-NX'!$J$5,'IN-NX'!$D$7=(D61&amp;"/"&amp;C61)),"x","")</f>
        <v/>
      </c>
      <c r="C61" s="172"/>
      <c r="D61" s="172"/>
      <c r="E61" s="69"/>
      <c r="F61" s="61"/>
      <c r="G61" s="19"/>
      <c r="H61" s="197"/>
      <c r="I61" s="56"/>
      <c r="J61" s="15"/>
      <c r="K61" s="15"/>
      <c r="L61" s="15">
        <f t="shared" si="23"/>
        <v>0</v>
      </c>
      <c r="M61" s="15"/>
      <c r="N61" s="15">
        <f t="shared" si="24"/>
        <v>0</v>
      </c>
      <c r="O61" s="15" t="str">
        <f>IF(AND(A61='BANG KE NL'!$M$11,TH!C61="NL",LEFT(D61,1)="N"),"x","")</f>
        <v/>
      </c>
    </row>
    <row r="62" spans="1:15">
      <c r="A62" s="24" t="str">
        <f t="shared" si="25"/>
        <v/>
      </c>
      <c r="B62" s="175" t="str">
        <f>IF(AND(MONTH(E62)='IN-NX'!$J$5,'IN-NX'!$D$7=(D62&amp;"/"&amp;C62)),"x","")</f>
        <v/>
      </c>
      <c r="C62" s="172"/>
      <c r="D62" s="172"/>
      <c r="E62" s="69"/>
      <c r="F62" s="61"/>
      <c r="G62" s="19"/>
      <c r="H62" s="197"/>
      <c r="I62" s="56"/>
      <c r="J62" s="15"/>
      <c r="K62" s="15"/>
      <c r="L62" s="15">
        <f t="shared" si="23"/>
        <v>0</v>
      </c>
      <c r="M62" s="15"/>
      <c r="N62" s="15">
        <f t="shared" si="24"/>
        <v>0</v>
      </c>
      <c r="O62" s="15" t="str">
        <f>IF(AND(A62='BANG KE NL'!$M$11,TH!C62="NL",LEFT(D62,1)="N"),"x","")</f>
        <v/>
      </c>
    </row>
    <row r="63" spans="1:15">
      <c r="A63" s="24" t="str">
        <f t="shared" si="25"/>
        <v/>
      </c>
      <c r="B63" s="175" t="str">
        <f>IF(AND(MONTH(E63)='IN-NX'!$J$5,'IN-NX'!$D$7=(D63&amp;"/"&amp;C63)),"x","")</f>
        <v/>
      </c>
      <c r="C63" s="172"/>
      <c r="D63" s="172"/>
      <c r="E63" s="69"/>
      <c r="F63" s="61"/>
      <c r="G63" s="19"/>
      <c r="H63" s="197"/>
      <c r="I63" s="56"/>
      <c r="J63" s="15"/>
      <c r="K63" s="15"/>
      <c r="L63" s="15">
        <f t="shared" si="23"/>
        <v>0</v>
      </c>
      <c r="M63" s="15"/>
      <c r="N63" s="15">
        <f t="shared" si="24"/>
        <v>0</v>
      </c>
      <c r="O63" s="15" t="str">
        <f>IF(AND(A63='BANG KE NL'!$M$11,TH!C63="NL",LEFT(D63,1)="N"),"x","")</f>
        <v/>
      </c>
    </row>
    <row r="64" spans="1:15">
      <c r="A64" s="24" t="str">
        <f t="shared" si="25"/>
        <v/>
      </c>
      <c r="B64" s="175" t="str">
        <f>IF(AND(MONTH(E64)='IN-NX'!$J$5,'IN-NX'!$D$7=(D64&amp;"/"&amp;C64)),"x","")</f>
        <v/>
      </c>
      <c r="C64" s="172"/>
      <c r="D64" s="172"/>
      <c r="E64" s="69"/>
      <c r="F64" s="61"/>
      <c r="G64" s="19"/>
      <c r="H64" s="197"/>
      <c r="I64" s="56"/>
      <c r="J64" s="15"/>
      <c r="K64" s="15"/>
      <c r="L64" s="15">
        <f t="shared" si="23"/>
        <v>0</v>
      </c>
      <c r="M64" s="15"/>
      <c r="N64" s="15">
        <f t="shared" si="24"/>
        <v>0</v>
      </c>
      <c r="O64" s="15" t="str">
        <f>IF(AND(A64='BANG KE NL'!$M$11,TH!C64="NL",LEFT(D64,1)="N"),"x","")</f>
        <v/>
      </c>
    </row>
    <row r="65" spans="1:15">
      <c r="A65" s="24" t="str">
        <f t="shared" si="25"/>
        <v/>
      </c>
      <c r="B65" s="175" t="str">
        <f>IF(AND(MONTH(E65)='IN-NX'!$J$5,'IN-NX'!$D$7=(D65&amp;"/"&amp;C65)),"x","")</f>
        <v/>
      </c>
      <c r="C65" s="172"/>
      <c r="D65" s="172"/>
      <c r="E65" s="69"/>
      <c r="F65" s="61"/>
      <c r="G65" s="19"/>
      <c r="H65" s="197"/>
      <c r="I65" s="56"/>
      <c r="J65" s="15"/>
      <c r="K65" s="15"/>
      <c r="L65" s="15">
        <f t="shared" si="23"/>
        <v>0</v>
      </c>
      <c r="M65" s="15"/>
      <c r="N65" s="15">
        <f t="shared" si="24"/>
        <v>0</v>
      </c>
      <c r="O65" s="15" t="str">
        <f>IF(AND(A65='BANG KE NL'!$M$11,TH!C65="NL",LEFT(D65,1)="N"),"x","")</f>
        <v/>
      </c>
    </row>
    <row r="66" spans="1:15">
      <c r="A66" s="24" t="str">
        <f t="shared" si="25"/>
        <v/>
      </c>
      <c r="B66" s="175" t="str">
        <f>IF(AND(MONTH(E66)='IN-NX'!$J$5,'IN-NX'!$D$7=(D66&amp;"/"&amp;C66)),"x","")</f>
        <v/>
      </c>
      <c r="C66" s="172"/>
      <c r="D66" s="172"/>
      <c r="E66" s="69"/>
      <c r="F66" s="61"/>
      <c r="G66" s="19"/>
      <c r="H66" s="197"/>
      <c r="I66" s="56"/>
      <c r="J66" s="15"/>
      <c r="K66" s="15"/>
      <c r="L66" s="15">
        <f t="shared" si="23"/>
        <v>0</v>
      </c>
      <c r="M66" s="15"/>
      <c r="N66" s="15">
        <f t="shared" si="24"/>
        <v>0</v>
      </c>
      <c r="O66" s="15" t="str">
        <f>IF(AND(A66='BANG KE NL'!$M$11,TH!C66="NL",LEFT(D66,1)="N"),"x","")</f>
        <v/>
      </c>
    </row>
    <row r="67" spans="1:15">
      <c r="A67" s="24" t="str">
        <f t="shared" si="25"/>
        <v/>
      </c>
      <c r="B67" s="175" t="str">
        <f>IF(AND(MONTH(E67)='IN-NX'!$J$5,'IN-NX'!$D$7=(D67&amp;"/"&amp;C67)),"x","")</f>
        <v/>
      </c>
      <c r="C67" s="172"/>
      <c r="D67" s="172"/>
      <c r="E67" s="69"/>
      <c r="F67" s="61"/>
      <c r="G67" s="19"/>
      <c r="H67" s="197"/>
      <c r="I67" s="56"/>
      <c r="J67" s="15"/>
      <c r="K67" s="15"/>
      <c r="L67" s="15">
        <f t="shared" si="23"/>
        <v>0</v>
      </c>
      <c r="M67" s="15"/>
      <c r="N67" s="15">
        <f t="shared" si="24"/>
        <v>0</v>
      </c>
      <c r="O67" s="15" t="str">
        <f>IF(AND(A67='BANG KE NL'!$M$11,TH!C67="NL",LEFT(D67,1)="N"),"x","")</f>
        <v/>
      </c>
    </row>
    <row r="68" spans="1:15">
      <c r="A68" s="24" t="str">
        <f t="shared" si="25"/>
        <v/>
      </c>
      <c r="B68" s="175" t="str">
        <f>IF(AND(MONTH(E68)='IN-NX'!$J$5,'IN-NX'!$D$7=(D68&amp;"/"&amp;C68)),"x","")</f>
        <v/>
      </c>
      <c r="C68" s="172"/>
      <c r="D68" s="172"/>
      <c r="E68" s="69"/>
      <c r="F68" s="61"/>
      <c r="G68" s="19"/>
      <c r="H68" s="197"/>
      <c r="I68" s="56"/>
      <c r="J68" s="15"/>
      <c r="K68" s="15"/>
      <c r="L68" s="15">
        <f t="shared" si="23"/>
        <v>0</v>
      </c>
      <c r="M68" s="15"/>
      <c r="N68" s="15">
        <f t="shared" si="24"/>
        <v>0</v>
      </c>
      <c r="O68" s="15" t="str">
        <f>IF(AND(A68='BANG KE NL'!$M$11,TH!C68="NL",LEFT(D68,1)="N"),"x","")</f>
        <v/>
      </c>
    </row>
    <row r="69" spans="1:15">
      <c r="A69" s="24" t="str">
        <f t="shared" ref="A69:A132" si="26">IF(E69&lt;&gt;"",MONTH(E69),"")</f>
        <v/>
      </c>
      <c r="B69" s="175" t="str">
        <f>IF(AND(MONTH(E69)='IN-NX'!$J$5,'IN-NX'!$D$7=(D69&amp;"/"&amp;C69)),"x","")</f>
        <v/>
      </c>
      <c r="C69" s="172"/>
      <c r="D69" s="172"/>
      <c r="E69" s="69"/>
      <c r="F69" s="61"/>
      <c r="G69" s="19"/>
      <c r="H69" s="197"/>
      <c r="I69" s="56"/>
      <c r="J69" s="15"/>
      <c r="K69" s="15"/>
      <c r="L69" s="15">
        <f t="shared" ref="L69:L132" si="27">ROUND(J69*K69,0)</f>
        <v>0</v>
      </c>
      <c r="M69" s="15"/>
      <c r="N69" s="15">
        <f t="shared" ref="N69:N132" si="28">ROUND(J69*M69,0)</f>
        <v>0</v>
      </c>
      <c r="O69" s="15" t="str">
        <f>IF(AND(A69='BANG KE NL'!$M$11,TH!C69="NL",LEFT(D69,1)="N"),"x","")</f>
        <v/>
      </c>
    </row>
    <row r="70" spans="1:15">
      <c r="A70" s="24" t="str">
        <f t="shared" si="26"/>
        <v/>
      </c>
      <c r="B70" s="175" t="str">
        <f>IF(AND(MONTH(E70)='IN-NX'!$J$5,'IN-NX'!$D$7=(D70&amp;"/"&amp;C70)),"x","")</f>
        <v/>
      </c>
      <c r="C70" s="172"/>
      <c r="D70" s="172"/>
      <c r="E70" s="69"/>
      <c r="F70" s="61"/>
      <c r="G70" s="19"/>
      <c r="H70" s="197"/>
      <c r="I70" s="56"/>
      <c r="J70" s="15"/>
      <c r="K70" s="15"/>
      <c r="L70" s="15">
        <f t="shared" si="27"/>
        <v>0</v>
      </c>
      <c r="M70" s="15"/>
      <c r="N70" s="15">
        <f t="shared" si="28"/>
        <v>0</v>
      </c>
      <c r="O70" s="15" t="str">
        <f>IF(AND(A70='BANG KE NL'!$M$11,TH!C70="NL",LEFT(D70,1)="N"),"x","")</f>
        <v/>
      </c>
    </row>
    <row r="71" spans="1:15">
      <c r="A71" s="24" t="str">
        <f t="shared" si="26"/>
        <v/>
      </c>
      <c r="B71" s="175" t="str">
        <f>IF(AND(MONTH(E71)='IN-NX'!$J$5,'IN-NX'!$D$7=(D71&amp;"/"&amp;C71)),"x","")</f>
        <v/>
      </c>
      <c r="C71" s="172"/>
      <c r="D71" s="172"/>
      <c r="E71" s="69"/>
      <c r="F71" s="61"/>
      <c r="G71" s="19"/>
      <c r="H71" s="197"/>
      <c r="I71" s="56"/>
      <c r="J71" s="15"/>
      <c r="K71" s="15"/>
      <c r="L71" s="15">
        <f t="shared" si="27"/>
        <v>0</v>
      </c>
      <c r="M71" s="15"/>
      <c r="N71" s="15">
        <f t="shared" si="28"/>
        <v>0</v>
      </c>
      <c r="O71" s="15" t="str">
        <f>IF(AND(A71='BANG KE NL'!$M$11,TH!C71="NL",LEFT(D71,1)="N"),"x","")</f>
        <v/>
      </c>
    </row>
    <row r="72" spans="1:15">
      <c r="A72" s="24" t="str">
        <f t="shared" si="26"/>
        <v/>
      </c>
      <c r="B72" s="175" t="str">
        <f>IF(AND(MONTH(E72)='IN-NX'!$J$5,'IN-NX'!$D$7=(D72&amp;"/"&amp;C72)),"x","")</f>
        <v/>
      </c>
      <c r="C72" s="172"/>
      <c r="D72" s="172"/>
      <c r="E72" s="69"/>
      <c r="F72" s="61"/>
      <c r="G72" s="19"/>
      <c r="H72" s="197"/>
      <c r="I72" s="56"/>
      <c r="J72" s="15"/>
      <c r="K72" s="15"/>
      <c r="L72" s="15">
        <f t="shared" si="27"/>
        <v>0</v>
      </c>
      <c r="M72" s="15"/>
      <c r="N72" s="15">
        <f t="shared" si="28"/>
        <v>0</v>
      </c>
      <c r="O72" s="15" t="str">
        <f>IF(AND(A72='BANG KE NL'!$M$11,TH!C72="NL",LEFT(D72,1)="N"),"x","")</f>
        <v/>
      </c>
    </row>
    <row r="73" spans="1:15">
      <c r="A73" s="24" t="str">
        <f t="shared" si="26"/>
        <v/>
      </c>
      <c r="B73" s="175" t="str">
        <f>IF(AND(MONTH(E73)='IN-NX'!$J$5,'IN-NX'!$D$7=(D73&amp;"/"&amp;C73)),"x","")</f>
        <v/>
      </c>
      <c r="C73" s="172"/>
      <c r="D73" s="172"/>
      <c r="E73" s="69"/>
      <c r="F73" s="61"/>
      <c r="G73" s="19"/>
      <c r="H73" s="197"/>
      <c r="I73" s="56"/>
      <c r="J73" s="15"/>
      <c r="K73" s="15"/>
      <c r="L73" s="15">
        <f t="shared" si="27"/>
        <v>0</v>
      </c>
      <c r="M73" s="15"/>
      <c r="N73" s="15">
        <f t="shared" si="28"/>
        <v>0</v>
      </c>
      <c r="O73" s="15" t="str">
        <f>IF(AND(A73='BANG KE NL'!$M$11,TH!C73="NL",LEFT(D73,1)="N"),"x","")</f>
        <v/>
      </c>
    </row>
    <row r="74" spans="1:15">
      <c r="A74" s="24" t="str">
        <f t="shared" si="26"/>
        <v/>
      </c>
      <c r="B74" s="175" t="str">
        <f>IF(AND(MONTH(E74)='IN-NX'!$J$5,'IN-NX'!$D$7=(D74&amp;"/"&amp;C74)),"x","")</f>
        <v/>
      </c>
      <c r="C74" s="172"/>
      <c r="D74" s="172"/>
      <c r="E74" s="69"/>
      <c r="F74" s="61"/>
      <c r="G74" s="19"/>
      <c r="H74" s="197"/>
      <c r="I74" s="56"/>
      <c r="J74" s="15"/>
      <c r="K74" s="15"/>
      <c r="L74" s="15">
        <f t="shared" si="27"/>
        <v>0</v>
      </c>
      <c r="M74" s="15"/>
      <c r="N74" s="15">
        <f t="shared" si="28"/>
        <v>0</v>
      </c>
      <c r="O74" s="15" t="str">
        <f>IF(AND(A74='BANG KE NL'!$M$11,TH!C74="NL",LEFT(D74,1)="N"),"x","")</f>
        <v/>
      </c>
    </row>
    <row r="75" spans="1:15">
      <c r="A75" s="24" t="str">
        <f t="shared" si="26"/>
        <v/>
      </c>
      <c r="B75" s="175" t="str">
        <f>IF(AND(MONTH(E75)='IN-NX'!$J$5,'IN-NX'!$D$7=(D75&amp;"/"&amp;C75)),"x","")</f>
        <v/>
      </c>
      <c r="C75" s="172"/>
      <c r="D75" s="172"/>
      <c r="E75" s="69"/>
      <c r="F75" s="61"/>
      <c r="G75" s="19"/>
      <c r="H75" s="197"/>
      <c r="I75" s="56"/>
      <c r="J75" s="15"/>
      <c r="K75" s="15"/>
      <c r="L75" s="15">
        <f t="shared" si="27"/>
        <v>0</v>
      </c>
      <c r="M75" s="15"/>
      <c r="N75" s="15">
        <f t="shared" si="28"/>
        <v>0</v>
      </c>
      <c r="O75" s="15" t="str">
        <f>IF(AND(A75='BANG KE NL'!$M$11,TH!C75="NL",LEFT(D75,1)="N"),"x","")</f>
        <v/>
      </c>
    </row>
    <row r="76" spans="1:15">
      <c r="A76" s="24" t="str">
        <f t="shared" si="26"/>
        <v/>
      </c>
      <c r="B76" s="175" t="str">
        <f>IF(AND(MONTH(E76)='IN-NX'!$J$5,'IN-NX'!$D$7=(D76&amp;"/"&amp;C76)),"x","")</f>
        <v/>
      </c>
      <c r="C76" s="172"/>
      <c r="D76" s="172"/>
      <c r="E76" s="69"/>
      <c r="F76" s="61"/>
      <c r="G76" s="19"/>
      <c r="H76" s="197"/>
      <c r="I76" s="56"/>
      <c r="J76" s="15"/>
      <c r="K76" s="15"/>
      <c r="L76" s="15">
        <f t="shared" si="27"/>
        <v>0</v>
      </c>
      <c r="M76" s="15"/>
      <c r="N76" s="15">
        <f t="shared" si="28"/>
        <v>0</v>
      </c>
      <c r="O76" s="15" t="str">
        <f>IF(AND(A76='BANG KE NL'!$M$11,TH!C76="NL",LEFT(D76,1)="N"),"x","")</f>
        <v/>
      </c>
    </row>
    <row r="77" spans="1:15">
      <c r="A77" s="24" t="str">
        <f t="shared" si="26"/>
        <v/>
      </c>
      <c r="B77" s="175" t="str">
        <f>IF(AND(MONTH(E77)='IN-NX'!$J$5,'IN-NX'!$D$7=(D77&amp;"/"&amp;C77)),"x","")</f>
        <v/>
      </c>
      <c r="C77" s="172"/>
      <c r="D77" s="172"/>
      <c r="E77" s="69"/>
      <c r="F77" s="61"/>
      <c r="G77" s="19"/>
      <c r="H77" s="197"/>
      <c r="I77" s="56"/>
      <c r="J77" s="15"/>
      <c r="K77" s="15"/>
      <c r="L77" s="15">
        <f t="shared" si="27"/>
        <v>0</v>
      </c>
      <c r="M77" s="15"/>
      <c r="N77" s="15">
        <f t="shared" si="28"/>
        <v>0</v>
      </c>
      <c r="O77" s="15" t="str">
        <f>IF(AND(A77='BANG KE NL'!$M$11,TH!C77="NL",LEFT(D77,1)="N"),"x","")</f>
        <v/>
      </c>
    </row>
    <row r="78" spans="1:15">
      <c r="A78" s="24" t="str">
        <f t="shared" si="26"/>
        <v/>
      </c>
      <c r="B78" s="175" t="str">
        <f>IF(AND(MONTH(E78)='IN-NX'!$J$5,'IN-NX'!$D$7=(D78&amp;"/"&amp;C78)),"x","")</f>
        <v/>
      </c>
      <c r="C78" s="172"/>
      <c r="D78" s="172"/>
      <c r="E78" s="69"/>
      <c r="F78" s="61"/>
      <c r="G78" s="19"/>
      <c r="H78" s="197"/>
      <c r="I78" s="56"/>
      <c r="J78" s="15"/>
      <c r="K78" s="15"/>
      <c r="L78" s="15">
        <f t="shared" si="27"/>
        <v>0</v>
      </c>
      <c r="M78" s="15"/>
      <c r="N78" s="15">
        <f t="shared" si="28"/>
        <v>0</v>
      </c>
      <c r="O78" s="15" t="str">
        <f>IF(AND(A78='BANG KE NL'!$M$11,TH!C78="NL",LEFT(D78,1)="N"),"x","")</f>
        <v/>
      </c>
    </row>
    <row r="79" spans="1:15">
      <c r="A79" s="24" t="str">
        <f t="shared" si="26"/>
        <v/>
      </c>
      <c r="B79" s="175" t="str">
        <f>IF(AND(MONTH(E79)='IN-NX'!$J$5,'IN-NX'!$D$7=(D79&amp;"/"&amp;C79)),"x","")</f>
        <v/>
      </c>
      <c r="C79" s="172"/>
      <c r="D79" s="172"/>
      <c r="E79" s="69"/>
      <c r="F79" s="61"/>
      <c r="G79" s="19"/>
      <c r="H79" s="197"/>
      <c r="I79" s="56"/>
      <c r="J79" s="15"/>
      <c r="K79" s="15"/>
      <c r="L79" s="15">
        <f t="shared" si="27"/>
        <v>0</v>
      </c>
      <c r="M79" s="15"/>
      <c r="N79" s="15">
        <f t="shared" si="28"/>
        <v>0</v>
      </c>
      <c r="O79" s="15" t="str">
        <f>IF(AND(A79='BANG KE NL'!$M$11,TH!C79="NL",LEFT(D79,1)="N"),"x","")</f>
        <v/>
      </c>
    </row>
    <row r="80" spans="1:15">
      <c r="A80" s="24" t="str">
        <f t="shared" si="26"/>
        <v/>
      </c>
      <c r="B80" s="175" t="str">
        <f>IF(AND(MONTH(E80)='IN-NX'!$J$5,'IN-NX'!$D$7=(D80&amp;"/"&amp;C80)),"x","")</f>
        <v/>
      </c>
      <c r="C80" s="172"/>
      <c r="D80" s="172"/>
      <c r="E80" s="69"/>
      <c r="F80" s="61"/>
      <c r="G80" s="19"/>
      <c r="H80" s="197"/>
      <c r="I80" s="56"/>
      <c r="J80" s="15"/>
      <c r="K80" s="15"/>
      <c r="L80" s="15">
        <f t="shared" si="27"/>
        <v>0</v>
      </c>
      <c r="M80" s="15"/>
      <c r="N80" s="15">
        <f t="shared" si="28"/>
        <v>0</v>
      </c>
      <c r="O80" s="15" t="str">
        <f>IF(AND(A80='BANG KE NL'!$M$11,TH!C80="NL",LEFT(D80,1)="N"),"x","")</f>
        <v/>
      </c>
    </row>
    <row r="81" spans="1:15">
      <c r="A81" s="24" t="str">
        <f t="shared" si="26"/>
        <v/>
      </c>
      <c r="B81" s="175" t="str">
        <f>IF(AND(MONTH(E81)='IN-NX'!$J$5,'IN-NX'!$D$7=(D81&amp;"/"&amp;C81)),"x","")</f>
        <v/>
      </c>
      <c r="C81" s="172"/>
      <c r="D81" s="172"/>
      <c r="E81" s="69"/>
      <c r="F81" s="61"/>
      <c r="G81" s="19"/>
      <c r="H81" s="197"/>
      <c r="I81" s="56"/>
      <c r="J81" s="15"/>
      <c r="K81" s="15"/>
      <c r="L81" s="15">
        <f t="shared" si="27"/>
        <v>0</v>
      </c>
      <c r="M81" s="15"/>
      <c r="N81" s="15">
        <f t="shared" si="28"/>
        <v>0</v>
      </c>
      <c r="O81" s="15" t="str">
        <f>IF(AND(A81='BANG KE NL'!$M$11,TH!C81="NL",LEFT(D81,1)="N"),"x","")</f>
        <v/>
      </c>
    </row>
    <row r="82" spans="1:15">
      <c r="A82" s="24" t="str">
        <f t="shared" si="26"/>
        <v/>
      </c>
      <c r="B82" s="175" t="str">
        <f>IF(AND(MONTH(E82)='IN-NX'!$J$5,'IN-NX'!$D$7=(D82&amp;"/"&amp;C82)),"x","")</f>
        <v/>
      </c>
      <c r="C82" s="172"/>
      <c r="D82" s="172"/>
      <c r="E82" s="69"/>
      <c r="F82" s="61"/>
      <c r="G82" s="19"/>
      <c r="H82" s="197"/>
      <c r="I82" s="56"/>
      <c r="J82" s="15"/>
      <c r="K82" s="15"/>
      <c r="L82" s="15">
        <f t="shared" si="27"/>
        <v>0</v>
      </c>
      <c r="M82" s="15"/>
      <c r="N82" s="15">
        <f t="shared" si="28"/>
        <v>0</v>
      </c>
      <c r="O82" s="15" t="str">
        <f>IF(AND(A82='BANG KE NL'!$M$11,TH!C82="NL",LEFT(D82,1)="N"),"x","")</f>
        <v/>
      </c>
    </row>
    <row r="83" spans="1:15">
      <c r="A83" s="24" t="str">
        <f t="shared" si="26"/>
        <v/>
      </c>
      <c r="B83" s="175" t="str">
        <f>IF(AND(MONTH(E83)='IN-NX'!$J$5,'IN-NX'!$D$7=(D83&amp;"/"&amp;C83)),"x","")</f>
        <v/>
      </c>
      <c r="C83" s="172"/>
      <c r="D83" s="172"/>
      <c r="E83" s="69"/>
      <c r="F83" s="61"/>
      <c r="G83" s="19"/>
      <c r="H83" s="197"/>
      <c r="I83" s="56"/>
      <c r="J83" s="15"/>
      <c r="K83" s="15"/>
      <c r="L83" s="15">
        <f t="shared" si="27"/>
        <v>0</v>
      </c>
      <c r="M83" s="15"/>
      <c r="N83" s="15">
        <f t="shared" si="28"/>
        <v>0</v>
      </c>
      <c r="O83" s="15" t="str">
        <f>IF(AND(A83='BANG KE NL'!$M$11,TH!C83="NL",LEFT(D83,1)="N"),"x","")</f>
        <v/>
      </c>
    </row>
    <row r="84" spans="1:15">
      <c r="A84" s="24" t="str">
        <f t="shared" si="26"/>
        <v/>
      </c>
      <c r="B84" s="175" t="str">
        <f>IF(AND(MONTH(E84)='IN-NX'!$J$5,'IN-NX'!$D$7=(D84&amp;"/"&amp;C84)),"x","")</f>
        <v/>
      </c>
      <c r="C84" s="172"/>
      <c r="D84" s="172"/>
      <c r="E84" s="69"/>
      <c r="F84" s="61"/>
      <c r="G84" s="19"/>
      <c r="H84" s="197"/>
      <c r="I84" s="56"/>
      <c r="J84" s="15"/>
      <c r="K84" s="15"/>
      <c r="L84" s="15">
        <f t="shared" si="27"/>
        <v>0</v>
      </c>
      <c r="M84" s="15"/>
      <c r="N84" s="15">
        <f t="shared" si="28"/>
        <v>0</v>
      </c>
      <c r="O84" s="15" t="str">
        <f>IF(AND(A84='BANG KE NL'!$M$11,TH!C84="NL",LEFT(D84,1)="N"),"x","")</f>
        <v/>
      </c>
    </row>
    <row r="85" spans="1:15">
      <c r="A85" s="24" t="str">
        <f t="shared" si="26"/>
        <v/>
      </c>
      <c r="B85" s="175" t="str">
        <f>IF(AND(MONTH(E85)='IN-NX'!$J$5,'IN-NX'!$D$7=(D85&amp;"/"&amp;C85)),"x","")</f>
        <v/>
      </c>
      <c r="C85" s="172"/>
      <c r="D85" s="172"/>
      <c r="E85" s="69"/>
      <c r="F85" s="61"/>
      <c r="G85" s="19"/>
      <c r="H85" s="197"/>
      <c r="I85" s="56"/>
      <c r="J85" s="15"/>
      <c r="K85" s="15"/>
      <c r="L85" s="15">
        <f t="shared" si="27"/>
        <v>0</v>
      </c>
      <c r="M85" s="15"/>
      <c r="N85" s="15">
        <f t="shared" si="28"/>
        <v>0</v>
      </c>
      <c r="O85" s="15" t="str">
        <f>IF(AND(A85='BANG KE NL'!$M$11,TH!C85="NL",LEFT(D85,1)="N"),"x","")</f>
        <v/>
      </c>
    </row>
    <row r="86" spans="1:15">
      <c r="A86" s="24" t="str">
        <f t="shared" si="26"/>
        <v/>
      </c>
      <c r="B86" s="175" t="str">
        <f>IF(AND(MONTH(E86)='IN-NX'!$J$5,'IN-NX'!$D$7=(D86&amp;"/"&amp;C86)),"x","")</f>
        <v/>
      </c>
      <c r="C86" s="172"/>
      <c r="D86" s="172"/>
      <c r="E86" s="69"/>
      <c r="F86" s="61"/>
      <c r="G86" s="19"/>
      <c r="H86" s="197"/>
      <c r="I86" s="56"/>
      <c r="J86" s="15"/>
      <c r="K86" s="15"/>
      <c r="L86" s="15">
        <f t="shared" si="27"/>
        <v>0</v>
      </c>
      <c r="M86" s="15"/>
      <c r="N86" s="15">
        <f t="shared" si="28"/>
        <v>0</v>
      </c>
      <c r="O86" s="15" t="str">
        <f>IF(AND(A86='BANG KE NL'!$M$11,TH!C86="NL",LEFT(D86,1)="N"),"x","")</f>
        <v/>
      </c>
    </row>
    <row r="87" spans="1:15">
      <c r="A87" s="24" t="str">
        <f t="shared" si="26"/>
        <v/>
      </c>
      <c r="B87" s="175" t="str">
        <f>IF(AND(MONTH(E87)='IN-NX'!$J$5,'IN-NX'!$D$7=(D87&amp;"/"&amp;C87)),"x","")</f>
        <v/>
      </c>
      <c r="C87" s="172"/>
      <c r="D87" s="172"/>
      <c r="E87" s="69"/>
      <c r="F87" s="61"/>
      <c r="G87" s="19"/>
      <c r="H87" s="197"/>
      <c r="I87" s="56"/>
      <c r="J87" s="15"/>
      <c r="K87" s="15"/>
      <c r="L87" s="15">
        <f t="shared" si="27"/>
        <v>0</v>
      </c>
      <c r="M87" s="15"/>
      <c r="N87" s="15">
        <f t="shared" si="28"/>
        <v>0</v>
      </c>
      <c r="O87" s="15" t="str">
        <f>IF(AND(A87='BANG KE NL'!$M$11,TH!C87="NL",LEFT(D87,1)="N"),"x","")</f>
        <v/>
      </c>
    </row>
    <row r="88" spans="1:15">
      <c r="A88" s="24" t="str">
        <f t="shared" si="26"/>
        <v/>
      </c>
      <c r="B88" s="175" t="str">
        <f>IF(AND(MONTH(E88)='IN-NX'!$J$5,'IN-NX'!$D$7=(D88&amp;"/"&amp;C88)),"x","")</f>
        <v/>
      </c>
      <c r="C88" s="172"/>
      <c r="D88" s="172"/>
      <c r="E88" s="69"/>
      <c r="F88" s="61"/>
      <c r="G88" s="19"/>
      <c r="H88" s="197"/>
      <c r="I88" s="56"/>
      <c r="J88" s="15"/>
      <c r="K88" s="15"/>
      <c r="L88" s="15">
        <f t="shared" si="27"/>
        <v>0</v>
      </c>
      <c r="M88" s="15"/>
      <c r="N88" s="15">
        <f t="shared" si="28"/>
        <v>0</v>
      </c>
      <c r="O88" s="15" t="str">
        <f>IF(AND(A88='BANG KE NL'!$M$11,TH!C88="NL",LEFT(D88,1)="N"),"x","")</f>
        <v/>
      </c>
    </row>
    <row r="89" spans="1:15">
      <c r="A89" s="24" t="str">
        <f t="shared" si="26"/>
        <v/>
      </c>
      <c r="B89" s="175" t="str">
        <f>IF(AND(MONTH(E89)='IN-NX'!$J$5,'IN-NX'!$D$7=(D89&amp;"/"&amp;C89)),"x","")</f>
        <v/>
      </c>
      <c r="C89" s="172"/>
      <c r="D89" s="172"/>
      <c r="E89" s="69"/>
      <c r="F89" s="61"/>
      <c r="G89" s="19"/>
      <c r="H89" s="197"/>
      <c r="I89" s="56"/>
      <c r="J89" s="15"/>
      <c r="K89" s="15"/>
      <c r="L89" s="15">
        <f t="shared" si="27"/>
        <v>0</v>
      </c>
      <c r="M89" s="15"/>
      <c r="N89" s="15">
        <f t="shared" si="28"/>
        <v>0</v>
      </c>
      <c r="O89" s="15" t="str">
        <f>IF(AND(A89='BANG KE NL'!$M$11,TH!C89="NL",LEFT(D89,1)="N"),"x","")</f>
        <v/>
      </c>
    </row>
    <row r="90" spans="1:15">
      <c r="A90" s="24" t="str">
        <f t="shared" si="26"/>
        <v/>
      </c>
      <c r="B90" s="175" t="str">
        <f>IF(AND(MONTH(E90)='IN-NX'!$J$5,'IN-NX'!$D$7=(D90&amp;"/"&amp;C90)),"x","")</f>
        <v/>
      </c>
      <c r="C90" s="172"/>
      <c r="D90" s="172"/>
      <c r="E90" s="69"/>
      <c r="F90" s="61"/>
      <c r="G90" s="19"/>
      <c r="H90" s="197"/>
      <c r="I90" s="56"/>
      <c r="J90" s="15"/>
      <c r="K90" s="15"/>
      <c r="L90" s="15">
        <f t="shared" si="27"/>
        <v>0</v>
      </c>
      <c r="M90" s="15"/>
      <c r="N90" s="15">
        <f t="shared" si="28"/>
        <v>0</v>
      </c>
      <c r="O90" s="15" t="str">
        <f>IF(AND(A90='BANG KE NL'!$M$11,TH!C90="NL",LEFT(D90,1)="N"),"x","")</f>
        <v/>
      </c>
    </row>
    <row r="91" spans="1:15">
      <c r="A91" s="24" t="str">
        <f t="shared" si="26"/>
        <v/>
      </c>
      <c r="B91" s="175" t="str">
        <f>IF(AND(MONTH(E91)='IN-NX'!$J$5,'IN-NX'!$D$7=(D91&amp;"/"&amp;C91)),"x","")</f>
        <v/>
      </c>
      <c r="C91" s="172"/>
      <c r="D91" s="172"/>
      <c r="E91" s="69"/>
      <c r="F91" s="61"/>
      <c r="G91" s="19"/>
      <c r="H91" s="197"/>
      <c r="I91" s="56"/>
      <c r="J91" s="15"/>
      <c r="K91" s="15"/>
      <c r="L91" s="15">
        <f t="shared" si="27"/>
        <v>0</v>
      </c>
      <c r="M91" s="15"/>
      <c r="N91" s="15">
        <f t="shared" si="28"/>
        <v>0</v>
      </c>
      <c r="O91" s="15" t="str">
        <f>IF(AND(A91='BANG KE NL'!$M$11,TH!C91="NL",LEFT(D91,1)="N"),"x","")</f>
        <v/>
      </c>
    </row>
    <row r="92" spans="1:15">
      <c r="A92" s="24" t="str">
        <f t="shared" si="26"/>
        <v/>
      </c>
      <c r="B92" s="175" t="str">
        <f>IF(AND(MONTH(E92)='IN-NX'!$J$5,'IN-NX'!$D$7=(D92&amp;"/"&amp;C92)),"x","")</f>
        <v/>
      </c>
      <c r="C92" s="172"/>
      <c r="D92" s="172"/>
      <c r="E92" s="69"/>
      <c r="F92" s="61"/>
      <c r="G92" s="19"/>
      <c r="H92" s="197"/>
      <c r="I92" s="56"/>
      <c r="J92" s="15"/>
      <c r="K92" s="15"/>
      <c r="L92" s="15">
        <f t="shared" si="27"/>
        <v>0</v>
      </c>
      <c r="M92" s="15"/>
      <c r="N92" s="15">
        <f t="shared" si="28"/>
        <v>0</v>
      </c>
      <c r="O92" s="15" t="str">
        <f>IF(AND(A92='BANG KE NL'!$M$11,TH!C92="NL",LEFT(D92,1)="N"),"x","")</f>
        <v/>
      </c>
    </row>
    <row r="93" spans="1:15">
      <c r="A93" s="24" t="str">
        <f t="shared" si="26"/>
        <v/>
      </c>
      <c r="B93" s="175" t="str">
        <f>IF(AND(MONTH(E93)='IN-NX'!$J$5,'IN-NX'!$D$7=(D93&amp;"/"&amp;C93)),"x","")</f>
        <v/>
      </c>
      <c r="C93" s="172"/>
      <c r="D93" s="172"/>
      <c r="E93" s="69"/>
      <c r="F93" s="61"/>
      <c r="G93" s="19"/>
      <c r="H93" s="197"/>
      <c r="I93" s="56"/>
      <c r="J93" s="15"/>
      <c r="K93" s="15"/>
      <c r="L93" s="15">
        <f t="shared" si="27"/>
        <v>0</v>
      </c>
      <c r="M93" s="15"/>
      <c r="N93" s="15">
        <f t="shared" si="28"/>
        <v>0</v>
      </c>
      <c r="O93" s="15" t="str">
        <f>IF(AND(A93='BANG KE NL'!$M$11,TH!C93="NL",LEFT(D93,1)="N"),"x","")</f>
        <v/>
      </c>
    </row>
    <row r="94" spans="1:15">
      <c r="A94" s="24" t="str">
        <f t="shared" si="26"/>
        <v/>
      </c>
      <c r="B94" s="175" t="str">
        <f>IF(AND(MONTH(E94)='IN-NX'!$J$5,'IN-NX'!$D$7=(D94&amp;"/"&amp;C94)),"x","")</f>
        <v/>
      </c>
      <c r="C94" s="172"/>
      <c r="D94" s="172"/>
      <c r="E94" s="69"/>
      <c r="F94" s="61"/>
      <c r="G94" s="19"/>
      <c r="H94" s="197"/>
      <c r="I94" s="56"/>
      <c r="J94" s="15"/>
      <c r="K94" s="15"/>
      <c r="L94" s="15">
        <f t="shared" si="27"/>
        <v>0</v>
      </c>
      <c r="M94" s="15"/>
      <c r="N94" s="15">
        <f t="shared" si="28"/>
        <v>0</v>
      </c>
      <c r="O94" s="15" t="str">
        <f>IF(AND(A94='BANG KE NL'!$M$11,TH!C94="NL",LEFT(D94,1)="N"),"x","")</f>
        <v/>
      </c>
    </row>
    <row r="95" spans="1:15">
      <c r="A95" s="24" t="str">
        <f t="shared" si="26"/>
        <v/>
      </c>
      <c r="B95" s="175" t="str">
        <f>IF(AND(MONTH(E95)='IN-NX'!$J$5,'IN-NX'!$D$7=(D95&amp;"/"&amp;C95)),"x","")</f>
        <v/>
      </c>
      <c r="C95" s="172"/>
      <c r="D95" s="172"/>
      <c r="E95" s="69"/>
      <c r="F95" s="61"/>
      <c r="G95" s="19"/>
      <c r="H95" s="197"/>
      <c r="I95" s="56"/>
      <c r="J95" s="15"/>
      <c r="K95" s="15"/>
      <c r="L95" s="15">
        <f t="shared" si="27"/>
        <v>0</v>
      </c>
      <c r="M95" s="15"/>
      <c r="N95" s="15">
        <f t="shared" si="28"/>
        <v>0</v>
      </c>
      <c r="O95" s="15" t="str">
        <f>IF(AND(A95='BANG KE NL'!$M$11,TH!C95="NL",LEFT(D95,1)="N"),"x","")</f>
        <v/>
      </c>
    </row>
    <row r="96" spans="1:15">
      <c r="A96" s="24" t="str">
        <f t="shared" si="26"/>
        <v/>
      </c>
      <c r="B96" s="175" t="str">
        <f>IF(AND(MONTH(E96)='IN-NX'!$J$5,'IN-NX'!$D$7=(D96&amp;"/"&amp;C96)),"x","")</f>
        <v/>
      </c>
      <c r="C96" s="172"/>
      <c r="D96" s="172"/>
      <c r="E96" s="69"/>
      <c r="F96" s="61"/>
      <c r="G96" s="19"/>
      <c r="H96" s="197"/>
      <c r="I96" s="56"/>
      <c r="J96" s="15"/>
      <c r="K96" s="15"/>
      <c r="L96" s="15">
        <f t="shared" si="27"/>
        <v>0</v>
      </c>
      <c r="M96" s="15"/>
      <c r="N96" s="15">
        <f t="shared" si="28"/>
        <v>0</v>
      </c>
      <c r="O96" s="15" t="str">
        <f>IF(AND(A96='BANG KE NL'!$M$11,TH!C96="NL",LEFT(D96,1)="N"),"x","")</f>
        <v/>
      </c>
    </row>
    <row r="97" spans="1:15">
      <c r="A97" s="24" t="str">
        <f t="shared" si="26"/>
        <v/>
      </c>
      <c r="B97" s="175" t="str">
        <f>IF(AND(MONTH(E97)='IN-NX'!$J$5,'IN-NX'!$D$7=(D97&amp;"/"&amp;C97)),"x","")</f>
        <v/>
      </c>
      <c r="C97" s="172"/>
      <c r="D97" s="172"/>
      <c r="E97" s="69"/>
      <c r="F97" s="61"/>
      <c r="G97" s="19"/>
      <c r="H97" s="197"/>
      <c r="I97" s="56"/>
      <c r="J97" s="15"/>
      <c r="K97" s="15"/>
      <c r="L97" s="15">
        <f t="shared" si="27"/>
        <v>0</v>
      </c>
      <c r="M97" s="15"/>
      <c r="N97" s="15">
        <f t="shared" si="28"/>
        <v>0</v>
      </c>
      <c r="O97" s="15" t="str">
        <f>IF(AND(A97='BANG KE NL'!$M$11,TH!C97="NL",LEFT(D97,1)="N"),"x","")</f>
        <v/>
      </c>
    </row>
    <row r="98" spans="1:15">
      <c r="A98" s="24" t="str">
        <f t="shared" si="26"/>
        <v/>
      </c>
      <c r="B98" s="175" t="str">
        <f>IF(AND(MONTH(E98)='IN-NX'!$J$5,'IN-NX'!$D$7=(D98&amp;"/"&amp;C98)),"x","")</f>
        <v/>
      </c>
      <c r="C98" s="172"/>
      <c r="D98" s="172"/>
      <c r="E98" s="69"/>
      <c r="F98" s="61"/>
      <c r="G98" s="19"/>
      <c r="H98" s="197"/>
      <c r="I98" s="56"/>
      <c r="J98" s="15"/>
      <c r="K98" s="15"/>
      <c r="L98" s="15">
        <f t="shared" si="27"/>
        <v>0</v>
      </c>
      <c r="M98" s="15"/>
      <c r="N98" s="15">
        <f t="shared" si="28"/>
        <v>0</v>
      </c>
      <c r="O98" s="15" t="str">
        <f>IF(AND(A98='BANG KE NL'!$M$11,TH!C98="NL",LEFT(D98,1)="N"),"x","")</f>
        <v/>
      </c>
    </row>
    <row r="99" spans="1:15">
      <c r="A99" s="24" t="str">
        <f t="shared" si="26"/>
        <v/>
      </c>
      <c r="B99" s="175" t="str">
        <f>IF(AND(MONTH(E99)='IN-NX'!$J$5,'IN-NX'!$D$7=(D99&amp;"/"&amp;C99)),"x","")</f>
        <v/>
      </c>
      <c r="C99" s="172"/>
      <c r="D99" s="172"/>
      <c r="E99" s="69"/>
      <c r="F99" s="61"/>
      <c r="G99" s="19"/>
      <c r="H99" s="197"/>
      <c r="I99" s="56"/>
      <c r="J99" s="15"/>
      <c r="K99" s="15"/>
      <c r="L99" s="15">
        <f t="shared" si="27"/>
        <v>0</v>
      </c>
      <c r="M99" s="15"/>
      <c r="N99" s="15">
        <f t="shared" si="28"/>
        <v>0</v>
      </c>
      <c r="O99" s="15" t="str">
        <f>IF(AND(A99='BANG KE NL'!$M$11,TH!C99="NL",LEFT(D99,1)="N"),"x","")</f>
        <v/>
      </c>
    </row>
    <row r="100" spans="1:15">
      <c r="A100" s="24" t="str">
        <f t="shared" si="26"/>
        <v/>
      </c>
      <c r="B100" s="175" t="str">
        <f>IF(AND(MONTH(E100)='IN-NX'!$J$5,'IN-NX'!$D$7=(D100&amp;"/"&amp;C100)),"x","")</f>
        <v/>
      </c>
      <c r="C100" s="172"/>
      <c r="D100" s="172"/>
      <c r="E100" s="69"/>
      <c r="F100" s="61"/>
      <c r="G100" s="19"/>
      <c r="H100" s="197"/>
      <c r="I100" s="56"/>
      <c r="J100" s="15"/>
      <c r="K100" s="15"/>
      <c r="L100" s="15">
        <f t="shared" si="27"/>
        <v>0</v>
      </c>
      <c r="M100" s="15"/>
      <c r="N100" s="15">
        <f t="shared" si="28"/>
        <v>0</v>
      </c>
      <c r="O100" s="15" t="str">
        <f>IF(AND(A100='BANG KE NL'!$M$11,TH!C100="NL",LEFT(D100,1)="N"),"x","")</f>
        <v/>
      </c>
    </row>
    <row r="101" spans="1:15">
      <c r="A101" s="24" t="str">
        <f t="shared" si="26"/>
        <v/>
      </c>
      <c r="B101" s="175" t="str">
        <f>IF(AND(MONTH(E101)='IN-NX'!$J$5,'IN-NX'!$D$7=(D101&amp;"/"&amp;C101)),"x","")</f>
        <v/>
      </c>
      <c r="C101" s="172"/>
      <c r="D101" s="172"/>
      <c r="E101" s="69"/>
      <c r="F101" s="61"/>
      <c r="G101" s="19"/>
      <c r="H101" s="197"/>
      <c r="I101" s="56"/>
      <c r="J101" s="15"/>
      <c r="K101" s="15"/>
      <c r="L101" s="15">
        <f t="shared" si="27"/>
        <v>0</v>
      </c>
      <c r="M101" s="15"/>
      <c r="N101" s="15">
        <f t="shared" si="28"/>
        <v>0</v>
      </c>
      <c r="O101" s="15" t="str">
        <f>IF(AND(A101='BANG KE NL'!$M$11,TH!C101="NL",LEFT(D101,1)="N"),"x","")</f>
        <v/>
      </c>
    </row>
    <row r="102" spans="1:15">
      <c r="A102" s="24" t="str">
        <f t="shared" si="26"/>
        <v/>
      </c>
      <c r="B102" s="175" t="str">
        <f>IF(AND(MONTH(E102)='IN-NX'!$J$5,'IN-NX'!$D$7=(D102&amp;"/"&amp;C102)),"x","")</f>
        <v/>
      </c>
      <c r="C102" s="172"/>
      <c r="D102" s="172"/>
      <c r="E102" s="69"/>
      <c r="F102" s="61"/>
      <c r="G102" s="19"/>
      <c r="H102" s="201"/>
      <c r="I102" s="199"/>
      <c r="J102" s="15"/>
      <c r="K102" s="15"/>
      <c r="L102" s="15">
        <f t="shared" si="27"/>
        <v>0</v>
      </c>
      <c r="M102" s="15"/>
      <c r="N102" s="15">
        <f t="shared" si="28"/>
        <v>0</v>
      </c>
      <c r="O102" s="15" t="str">
        <f>IF(AND(A102='BANG KE NL'!$M$11,TH!C102="NL",LEFT(D102,1)="N"),"x","")</f>
        <v/>
      </c>
    </row>
    <row r="103" spans="1:15">
      <c r="A103" s="24" t="str">
        <f t="shared" si="26"/>
        <v/>
      </c>
      <c r="B103" s="175" t="str">
        <f>IF(AND(MONTH(E103)='IN-NX'!$J$5,'IN-NX'!$D$7=(D103&amp;"/"&amp;C103)),"x","")</f>
        <v/>
      </c>
      <c r="C103" s="172"/>
      <c r="D103" s="172"/>
      <c r="E103" s="69"/>
      <c r="F103" s="61"/>
      <c r="G103" s="19"/>
      <c r="H103" s="197"/>
      <c r="I103" s="56"/>
      <c r="J103" s="15"/>
      <c r="K103" s="15"/>
      <c r="L103" s="15">
        <f t="shared" si="27"/>
        <v>0</v>
      </c>
      <c r="M103" s="15"/>
      <c r="N103" s="15">
        <f t="shared" si="28"/>
        <v>0</v>
      </c>
      <c r="O103" s="15" t="str">
        <f>IF(AND(A103='BANG KE NL'!$M$11,TH!C103="NL",LEFT(D103,1)="N"),"x","")</f>
        <v/>
      </c>
    </row>
    <row r="104" spans="1:15">
      <c r="A104" s="24" t="str">
        <f t="shared" si="26"/>
        <v/>
      </c>
      <c r="B104" s="175" t="str">
        <f>IF(AND(MONTH(E104)='IN-NX'!$J$5,'IN-NX'!$D$7=(D104&amp;"/"&amp;C104)),"x","")</f>
        <v/>
      </c>
      <c r="C104" s="172"/>
      <c r="D104" s="172"/>
      <c r="E104" s="69"/>
      <c r="F104" s="61"/>
      <c r="G104" s="19"/>
      <c r="H104" s="197"/>
      <c r="I104" s="56"/>
      <c r="J104" s="15"/>
      <c r="K104" s="15"/>
      <c r="L104" s="15">
        <f t="shared" si="27"/>
        <v>0</v>
      </c>
      <c r="M104" s="15"/>
      <c r="N104" s="15">
        <f t="shared" si="28"/>
        <v>0</v>
      </c>
      <c r="O104" s="15" t="str">
        <f>IF(AND(A104='BANG KE NL'!$M$11,TH!C104="NL",LEFT(D104,1)="N"),"x","")</f>
        <v/>
      </c>
    </row>
    <row r="105" spans="1:15">
      <c r="A105" s="24" t="str">
        <f t="shared" si="26"/>
        <v/>
      </c>
      <c r="B105" s="175" t="str">
        <f>IF(AND(MONTH(E105)='IN-NX'!$J$5,'IN-NX'!$D$7=(D105&amp;"/"&amp;C105)),"x","")</f>
        <v/>
      </c>
      <c r="C105" s="172"/>
      <c r="D105" s="172"/>
      <c r="E105" s="69"/>
      <c r="F105" s="61"/>
      <c r="G105" s="19"/>
      <c r="H105" s="197"/>
      <c r="I105" s="56"/>
      <c r="J105" s="15"/>
      <c r="K105" s="15"/>
      <c r="L105" s="15">
        <f t="shared" si="27"/>
        <v>0</v>
      </c>
      <c r="M105" s="15"/>
      <c r="N105" s="15">
        <f t="shared" si="28"/>
        <v>0</v>
      </c>
      <c r="O105" s="15" t="str">
        <f>IF(AND(A105='BANG KE NL'!$M$11,TH!C105="NL",LEFT(D105,1)="N"),"x","")</f>
        <v/>
      </c>
    </row>
    <row r="106" spans="1:15">
      <c r="A106" s="24" t="str">
        <f t="shared" si="26"/>
        <v/>
      </c>
      <c r="B106" s="175" t="str">
        <f>IF(AND(MONTH(E106)='IN-NX'!$J$5,'IN-NX'!$D$7=(D106&amp;"/"&amp;C106)),"x","")</f>
        <v/>
      </c>
      <c r="C106" s="172"/>
      <c r="D106" s="172"/>
      <c r="E106" s="69"/>
      <c r="F106" s="61"/>
      <c r="G106" s="19"/>
      <c r="H106" s="197"/>
      <c r="I106" s="56"/>
      <c r="J106" s="15"/>
      <c r="K106" s="15"/>
      <c r="L106" s="15">
        <f t="shared" si="27"/>
        <v>0</v>
      </c>
      <c r="M106" s="15"/>
      <c r="N106" s="15">
        <f t="shared" si="28"/>
        <v>0</v>
      </c>
      <c r="O106" s="15" t="str">
        <f>IF(AND(A106='BANG KE NL'!$M$11,TH!C106="NL",LEFT(D106,1)="N"),"x","")</f>
        <v/>
      </c>
    </row>
    <row r="107" spans="1:15">
      <c r="A107" s="24" t="str">
        <f t="shared" si="26"/>
        <v/>
      </c>
      <c r="B107" s="175" t="str">
        <f>IF(AND(MONTH(E107)='IN-NX'!$J$5,'IN-NX'!$D$7=(D107&amp;"/"&amp;C107)),"x","")</f>
        <v/>
      </c>
      <c r="C107" s="172"/>
      <c r="D107" s="172"/>
      <c r="E107" s="69"/>
      <c r="F107" s="61"/>
      <c r="G107" s="19"/>
      <c r="H107" s="197"/>
      <c r="I107" s="56"/>
      <c r="J107" s="15"/>
      <c r="K107" s="15"/>
      <c r="L107" s="15">
        <f t="shared" si="27"/>
        <v>0</v>
      </c>
      <c r="M107" s="15"/>
      <c r="N107" s="15">
        <f t="shared" si="28"/>
        <v>0</v>
      </c>
      <c r="O107" s="15" t="str">
        <f>IF(AND(A107='BANG KE NL'!$M$11,TH!C107="NL",LEFT(D107,1)="N"),"x","")</f>
        <v/>
      </c>
    </row>
    <row r="108" spans="1:15">
      <c r="A108" s="24" t="str">
        <f t="shared" si="26"/>
        <v/>
      </c>
      <c r="B108" s="175" t="str">
        <f>IF(AND(MONTH(E108)='IN-NX'!$J$5,'IN-NX'!$D$7=(D108&amp;"/"&amp;C108)),"x","")</f>
        <v/>
      </c>
      <c r="C108" s="172"/>
      <c r="D108" s="172"/>
      <c r="E108" s="69"/>
      <c r="F108" s="61"/>
      <c r="G108" s="19"/>
      <c r="H108" s="197"/>
      <c r="I108" s="56"/>
      <c r="J108" s="15"/>
      <c r="K108" s="15"/>
      <c r="L108" s="15">
        <f t="shared" si="27"/>
        <v>0</v>
      </c>
      <c r="M108" s="15"/>
      <c r="N108" s="15">
        <f t="shared" si="28"/>
        <v>0</v>
      </c>
      <c r="O108" s="15" t="str">
        <f>IF(AND(A108='BANG KE NL'!$M$11,TH!C108="NL",LEFT(D108,1)="N"),"x","")</f>
        <v/>
      </c>
    </row>
    <row r="109" spans="1:15">
      <c r="A109" s="24" t="str">
        <f t="shared" si="26"/>
        <v/>
      </c>
      <c r="B109" s="175" t="str">
        <f>IF(AND(MONTH(E109)='IN-NX'!$J$5,'IN-NX'!$D$7=(D109&amp;"/"&amp;C109)),"x","")</f>
        <v/>
      </c>
      <c r="C109" s="172"/>
      <c r="D109" s="172"/>
      <c r="E109" s="69"/>
      <c r="F109" s="61"/>
      <c r="G109" s="19"/>
      <c r="H109" s="197"/>
      <c r="I109" s="56"/>
      <c r="J109" s="15"/>
      <c r="K109" s="15"/>
      <c r="L109" s="15">
        <f t="shared" si="27"/>
        <v>0</v>
      </c>
      <c r="M109" s="15"/>
      <c r="N109" s="15">
        <f t="shared" si="28"/>
        <v>0</v>
      </c>
      <c r="O109" s="15" t="str">
        <f>IF(AND(A109='BANG KE NL'!$M$11,TH!C109="NL",LEFT(D109,1)="N"),"x","")</f>
        <v/>
      </c>
    </row>
    <row r="110" spans="1:15">
      <c r="A110" s="24" t="str">
        <f t="shared" si="26"/>
        <v/>
      </c>
      <c r="B110" s="175" t="str">
        <f>IF(AND(MONTH(E110)='IN-NX'!$J$5,'IN-NX'!$D$7=(D110&amp;"/"&amp;C110)),"x","")</f>
        <v/>
      </c>
      <c r="C110" s="172"/>
      <c r="D110" s="172"/>
      <c r="E110" s="69"/>
      <c r="F110" s="61"/>
      <c r="G110" s="19"/>
      <c r="H110" s="197"/>
      <c r="I110" s="56"/>
      <c r="J110" s="15"/>
      <c r="K110" s="15"/>
      <c r="L110" s="15">
        <f t="shared" si="27"/>
        <v>0</v>
      </c>
      <c r="M110" s="15"/>
      <c r="N110" s="15">
        <f t="shared" si="28"/>
        <v>0</v>
      </c>
      <c r="O110" s="15" t="str">
        <f>IF(AND(A110='BANG KE NL'!$M$11,TH!C110="NL",LEFT(D110,1)="N"),"x","")</f>
        <v/>
      </c>
    </row>
    <row r="111" spans="1:15">
      <c r="A111" s="24" t="str">
        <f t="shared" si="26"/>
        <v/>
      </c>
      <c r="B111" s="175" t="str">
        <f>IF(AND(MONTH(E111)='IN-NX'!$J$5,'IN-NX'!$D$7=(D111&amp;"/"&amp;C111)),"x","")</f>
        <v/>
      </c>
      <c r="C111" s="172"/>
      <c r="D111" s="172"/>
      <c r="E111" s="69"/>
      <c r="F111" s="61"/>
      <c r="G111" s="19"/>
      <c r="H111" s="197"/>
      <c r="I111" s="56"/>
      <c r="J111" s="15"/>
      <c r="K111" s="15"/>
      <c r="L111" s="15">
        <f t="shared" si="27"/>
        <v>0</v>
      </c>
      <c r="M111" s="15"/>
      <c r="N111" s="15">
        <f t="shared" si="28"/>
        <v>0</v>
      </c>
      <c r="O111" s="15" t="str">
        <f>IF(AND(A111='BANG KE NL'!$M$11,TH!C111="NL",LEFT(D111,1)="N"),"x","")</f>
        <v/>
      </c>
    </row>
    <row r="112" spans="1:15">
      <c r="A112" s="24" t="str">
        <f t="shared" si="26"/>
        <v/>
      </c>
      <c r="B112" s="175" t="str">
        <f>IF(AND(MONTH(E112)='IN-NX'!$J$5,'IN-NX'!$D$7=(D112&amp;"/"&amp;C112)),"x","")</f>
        <v/>
      </c>
      <c r="C112" s="172"/>
      <c r="D112" s="172"/>
      <c r="E112" s="69"/>
      <c r="F112" s="61"/>
      <c r="G112" s="19"/>
      <c r="H112" s="197"/>
      <c r="I112" s="56"/>
      <c r="J112" s="15"/>
      <c r="K112" s="15"/>
      <c r="L112" s="15">
        <f t="shared" si="27"/>
        <v>0</v>
      </c>
      <c r="M112" s="15"/>
      <c r="N112" s="15">
        <f t="shared" si="28"/>
        <v>0</v>
      </c>
      <c r="O112" s="15" t="str">
        <f>IF(AND(A112='BANG KE NL'!$M$11,TH!C112="NL",LEFT(D112,1)="N"),"x","")</f>
        <v/>
      </c>
    </row>
    <row r="113" spans="1:15">
      <c r="A113" s="24" t="str">
        <f t="shared" si="26"/>
        <v/>
      </c>
      <c r="B113" s="175" t="str">
        <f>IF(AND(MONTH(E113)='IN-NX'!$J$5,'IN-NX'!$D$7=(D113&amp;"/"&amp;C113)),"x","")</f>
        <v/>
      </c>
      <c r="C113" s="172"/>
      <c r="D113" s="172"/>
      <c r="E113" s="69"/>
      <c r="F113" s="61"/>
      <c r="G113" s="19"/>
      <c r="H113" s="197"/>
      <c r="I113" s="56"/>
      <c r="J113" s="15"/>
      <c r="K113" s="15"/>
      <c r="L113" s="15">
        <f t="shared" si="27"/>
        <v>0</v>
      </c>
      <c r="M113" s="15"/>
      <c r="N113" s="15">
        <f t="shared" si="28"/>
        <v>0</v>
      </c>
      <c r="O113" s="15" t="str">
        <f>IF(AND(A113='BANG KE NL'!$M$11,TH!C113="NL",LEFT(D113,1)="N"),"x","")</f>
        <v/>
      </c>
    </row>
    <row r="114" spans="1:15">
      <c r="A114" s="24" t="str">
        <f t="shared" si="26"/>
        <v/>
      </c>
      <c r="B114" s="175" t="str">
        <f>IF(AND(MONTH(E114)='IN-NX'!$J$5,'IN-NX'!$D$7=(D114&amp;"/"&amp;C114)),"x","")</f>
        <v/>
      </c>
      <c r="C114" s="172"/>
      <c r="D114" s="172"/>
      <c r="E114" s="69"/>
      <c r="F114" s="61"/>
      <c r="G114" s="19"/>
      <c r="H114" s="197"/>
      <c r="I114" s="56"/>
      <c r="J114" s="15"/>
      <c r="K114" s="15"/>
      <c r="L114" s="15">
        <f t="shared" si="27"/>
        <v>0</v>
      </c>
      <c r="M114" s="15"/>
      <c r="N114" s="15">
        <f t="shared" si="28"/>
        <v>0</v>
      </c>
      <c r="O114" s="15" t="str">
        <f>IF(AND(A114='BANG KE NL'!$M$11,TH!C114="NL",LEFT(D114,1)="N"),"x","")</f>
        <v/>
      </c>
    </row>
    <row r="115" spans="1:15">
      <c r="A115" s="24" t="str">
        <f t="shared" si="26"/>
        <v/>
      </c>
      <c r="B115" s="175" t="str">
        <f>IF(AND(MONTH(E115)='IN-NX'!$J$5,'IN-NX'!$D$7=(D115&amp;"/"&amp;C115)),"x","")</f>
        <v/>
      </c>
      <c r="C115" s="172"/>
      <c r="D115" s="172"/>
      <c r="E115" s="69"/>
      <c r="F115" s="61"/>
      <c r="G115" s="19"/>
      <c r="H115" s="197"/>
      <c r="I115" s="56"/>
      <c r="J115" s="15"/>
      <c r="K115" s="15"/>
      <c r="L115" s="15">
        <f t="shared" si="27"/>
        <v>0</v>
      </c>
      <c r="M115" s="15"/>
      <c r="N115" s="15">
        <f t="shared" si="28"/>
        <v>0</v>
      </c>
      <c r="O115" s="15" t="str">
        <f>IF(AND(A115='BANG KE NL'!$M$11,TH!C115="NL",LEFT(D115,1)="N"),"x","")</f>
        <v/>
      </c>
    </row>
    <row r="116" spans="1:15">
      <c r="A116" s="24" t="str">
        <f t="shared" si="26"/>
        <v/>
      </c>
      <c r="B116" s="175" t="str">
        <f>IF(AND(MONTH(E116)='IN-NX'!$J$5,'IN-NX'!$D$7=(D116&amp;"/"&amp;C116)),"x","")</f>
        <v/>
      </c>
      <c r="C116" s="172"/>
      <c r="D116" s="172"/>
      <c r="E116" s="69"/>
      <c r="F116" s="61"/>
      <c r="G116" s="19"/>
      <c r="H116" s="197"/>
      <c r="I116" s="56"/>
      <c r="J116" s="15"/>
      <c r="K116" s="15"/>
      <c r="L116" s="15">
        <f t="shared" si="27"/>
        <v>0</v>
      </c>
      <c r="M116" s="15"/>
      <c r="N116" s="15">
        <f t="shared" si="28"/>
        <v>0</v>
      </c>
      <c r="O116" s="15" t="str">
        <f>IF(AND(A116='BANG KE NL'!$M$11,TH!C116="NL",LEFT(D116,1)="N"),"x","")</f>
        <v/>
      </c>
    </row>
    <row r="117" spans="1:15">
      <c r="A117" s="24" t="str">
        <f t="shared" si="26"/>
        <v/>
      </c>
      <c r="B117" s="175" t="str">
        <f>IF(AND(MONTH(E117)='IN-NX'!$J$5,'IN-NX'!$D$7=(D117&amp;"/"&amp;C117)),"x","")</f>
        <v/>
      </c>
      <c r="C117" s="172"/>
      <c r="D117" s="172"/>
      <c r="E117" s="69"/>
      <c r="F117" s="61"/>
      <c r="G117" s="19"/>
      <c r="H117" s="197"/>
      <c r="I117" s="56"/>
      <c r="J117" s="15"/>
      <c r="K117" s="15"/>
      <c r="L117" s="15">
        <f t="shared" si="27"/>
        <v>0</v>
      </c>
      <c r="M117" s="15"/>
      <c r="N117" s="15">
        <f t="shared" si="28"/>
        <v>0</v>
      </c>
      <c r="O117" s="15" t="str">
        <f>IF(AND(A117='BANG KE NL'!$M$11,TH!C117="NL",LEFT(D117,1)="N"),"x","")</f>
        <v/>
      </c>
    </row>
    <row r="118" spans="1:15">
      <c r="A118" s="24" t="str">
        <f t="shared" si="26"/>
        <v/>
      </c>
      <c r="B118" s="175" t="str">
        <f>IF(AND(MONTH(E118)='IN-NX'!$J$5,'IN-NX'!$D$7=(D118&amp;"/"&amp;C118)),"x","")</f>
        <v/>
      </c>
      <c r="C118" s="172"/>
      <c r="D118" s="172"/>
      <c r="E118" s="69"/>
      <c r="F118" s="61"/>
      <c r="G118" s="19"/>
      <c r="H118" s="197"/>
      <c r="I118" s="56"/>
      <c r="J118" s="15"/>
      <c r="K118" s="15"/>
      <c r="L118" s="15">
        <f t="shared" si="27"/>
        <v>0</v>
      </c>
      <c r="M118" s="15"/>
      <c r="N118" s="15">
        <f t="shared" si="28"/>
        <v>0</v>
      </c>
      <c r="O118" s="15" t="str">
        <f>IF(AND(A118='BANG KE NL'!$M$11,TH!C118="NL",LEFT(D118,1)="N"),"x","")</f>
        <v/>
      </c>
    </row>
    <row r="119" spans="1:15">
      <c r="A119" s="24" t="str">
        <f t="shared" si="26"/>
        <v/>
      </c>
      <c r="B119" s="175" t="str">
        <f>IF(AND(MONTH(E119)='IN-NX'!$J$5,'IN-NX'!$D$7=(D119&amp;"/"&amp;C119)),"x","")</f>
        <v/>
      </c>
      <c r="C119" s="172"/>
      <c r="D119" s="172"/>
      <c r="E119" s="69"/>
      <c r="F119" s="61"/>
      <c r="G119" s="19"/>
      <c r="H119" s="197"/>
      <c r="I119" s="56"/>
      <c r="J119" s="15"/>
      <c r="K119" s="15"/>
      <c r="L119" s="15">
        <f t="shared" si="27"/>
        <v>0</v>
      </c>
      <c r="M119" s="15"/>
      <c r="N119" s="15">
        <f t="shared" si="28"/>
        <v>0</v>
      </c>
      <c r="O119" s="15" t="str">
        <f>IF(AND(A119='BANG KE NL'!$M$11,TH!C119="NL",LEFT(D119,1)="N"),"x","")</f>
        <v/>
      </c>
    </row>
    <row r="120" spans="1:15">
      <c r="A120" s="24" t="str">
        <f t="shared" si="26"/>
        <v/>
      </c>
      <c r="B120" s="175" t="str">
        <f>IF(AND(MONTH(E120)='IN-NX'!$J$5,'IN-NX'!$D$7=(D120&amp;"/"&amp;C120)),"x","")</f>
        <v/>
      </c>
      <c r="C120" s="172"/>
      <c r="D120" s="172"/>
      <c r="E120" s="69"/>
      <c r="F120" s="61"/>
      <c r="G120" s="19"/>
      <c r="H120" s="197"/>
      <c r="I120" s="56"/>
      <c r="J120" s="15"/>
      <c r="K120" s="15"/>
      <c r="L120" s="15">
        <f t="shared" si="27"/>
        <v>0</v>
      </c>
      <c r="M120" s="15"/>
      <c r="N120" s="15">
        <f t="shared" si="28"/>
        <v>0</v>
      </c>
      <c r="O120" s="15" t="str">
        <f>IF(AND(A120='BANG KE NL'!$M$11,TH!C120="NL",LEFT(D120,1)="N"),"x","")</f>
        <v/>
      </c>
    </row>
    <row r="121" spans="1:15">
      <c r="A121" s="24" t="str">
        <f t="shared" si="26"/>
        <v/>
      </c>
      <c r="B121" s="175" t="str">
        <f>IF(AND(MONTH(E121)='IN-NX'!$J$5,'IN-NX'!$D$7=(D121&amp;"/"&amp;C121)),"x","")</f>
        <v/>
      </c>
      <c r="C121" s="172"/>
      <c r="D121" s="172"/>
      <c r="E121" s="69"/>
      <c r="F121" s="61"/>
      <c r="G121" s="19"/>
      <c r="H121" s="197"/>
      <c r="I121" s="56"/>
      <c r="J121" s="15"/>
      <c r="K121" s="15"/>
      <c r="L121" s="15">
        <f t="shared" si="27"/>
        <v>0</v>
      </c>
      <c r="M121" s="15"/>
      <c r="N121" s="15">
        <f t="shared" si="28"/>
        <v>0</v>
      </c>
      <c r="O121" s="15" t="str">
        <f>IF(AND(A121='BANG KE NL'!$M$11,TH!C121="NL",LEFT(D121,1)="N"),"x","")</f>
        <v/>
      </c>
    </row>
    <row r="122" spans="1:15">
      <c r="A122" s="24" t="str">
        <f t="shared" si="26"/>
        <v/>
      </c>
      <c r="B122" s="175" t="str">
        <f>IF(AND(MONTH(E122)='IN-NX'!$J$5,'IN-NX'!$D$7=(D122&amp;"/"&amp;C122)),"x","")</f>
        <v/>
      </c>
      <c r="C122" s="172"/>
      <c r="D122" s="172"/>
      <c r="E122" s="69"/>
      <c r="F122" s="61"/>
      <c r="G122" s="19"/>
      <c r="H122" s="197"/>
      <c r="I122" s="56"/>
      <c r="J122" s="15"/>
      <c r="K122" s="15"/>
      <c r="L122" s="15">
        <f t="shared" si="27"/>
        <v>0</v>
      </c>
      <c r="M122" s="15"/>
      <c r="N122" s="15">
        <f t="shared" si="28"/>
        <v>0</v>
      </c>
      <c r="O122" s="15" t="str">
        <f>IF(AND(A122='BANG KE NL'!$M$11,TH!C122="NL",LEFT(D122,1)="N"),"x","")</f>
        <v/>
      </c>
    </row>
    <row r="123" spans="1:15">
      <c r="A123" s="24" t="str">
        <f t="shared" si="26"/>
        <v/>
      </c>
      <c r="B123" s="175" t="str">
        <f>IF(AND(MONTH(E123)='IN-NX'!$J$5,'IN-NX'!$D$7=(D123&amp;"/"&amp;C123)),"x","")</f>
        <v/>
      </c>
      <c r="C123" s="172"/>
      <c r="D123" s="172"/>
      <c r="E123" s="69"/>
      <c r="F123" s="61"/>
      <c r="G123" s="19"/>
      <c r="H123" s="197"/>
      <c r="I123" s="56"/>
      <c r="J123" s="15"/>
      <c r="K123" s="15"/>
      <c r="L123" s="15">
        <f t="shared" si="27"/>
        <v>0</v>
      </c>
      <c r="M123" s="15"/>
      <c r="N123" s="15">
        <f t="shared" si="28"/>
        <v>0</v>
      </c>
      <c r="O123" s="15" t="str">
        <f>IF(AND(A123='BANG KE NL'!$M$11,TH!C123="NL",LEFT(D123,1)="N"),"x","")</f>
        <v/>
      </c>
    </row>
    <row r="124" spans="1:15" s="196" customFormat="1">
      <c r="A124" s="24" t="str">
        <f t="shared" si="26"/>
        <v/>
      </c>
      <c r="B124" s="175" t="str">
        <f>IF(AND(MONTH(E124)='IN-NX'!$J$5,'IN-NX'!$D$7=(D124&amp;"/"&amp;C124)),"x","")</f>
        <v/>
      </c>
      <c r="C124" s="172"/>
      <c r="D124" s="172"/>
      <c r="E124" s="69"/>
      <c r="F124" s="61"/>
      <c r="G124" s="19"/>
      <c r="H124" s="197"/>
      <c r="I124" s="56"/>
      <c r="J124" s="15"/>
      <c r="K124" s="15"/>
      <c r="L124" s="15">
        <f t="shared" si="27"/>
        <v>0</v>
      </c>
      <c r="M124" s="15"/>
      <c r="N124" s="15">
        <f t="shared" si="28"/>
        <v>0</v>
      </c>
      <c r="O124" s="15" t="str">
        <f>IF(AND(A124='BANG KE NL'!$M$11,TH!C124="NL",LEFT(D124,1)="N"),"x","")</f>
        <v/>
      </c>
    </row>
    <row r="125" spans="1:15" s="196" customFormat="1">
      <c r="A125" s="24" t="str">
        <f t="shared" si="26"/>
        <v/>
      </c>
      <c r="B125" s="175" t="str">
        <f>IF(AND(MONTH(E125)='IN-NX'!$J$5,'IN-NX'!$D$7=(D125&amp;"/"&amp;C125)),"x","")</f>
        <v/>
      </c>
      <c r="C125" s="172"/>
      <c r="D125" s="172"/>
      <c r="E125" s="69"/>
      <c r="F125" s="61"/>
      <c r="G125" s="19"/>
      <c r="H125" s="197"/>
      <c r="I125" s="56"/>
      <c r="J125" s="15"/>
      <c r="K125" s="15"/>
      <c r="L125" s="15">
        <f t="shared" si="27"/>
        <v>0</v>
      </c>
      <c r="M125" s="15"/>
      <c r="N125" s="15">
        <f t="shared" si="28"/>
        <v>0</v>
      </c>
      <c r="O125" s="15" t="str">
        <f>IF(AND(A125='BANG KE NL'!$M$11,TH!C125="NL",LEFT(D125,1)="N"),"x","")</f>
        <v/>
      </c>
    </row>
    <row r="126" spans="1:15" s="196" customFormat="1">
      <c r="A126" s="24" t="str">
        <f t="shared" si="26"/>
        <v/>
      </c>
      <c r="B126" s="175" t="str">
        <f>IF(AND(MONTH(E126)='IN-NX'!$J$5,'IN-NX'!$D$7=(D126&amp;"/"&amp;C126)),"x","")</f>
        <v/>
      </c>
      <c r="C126" s="172"/>
      <c r="D126" s="172"/>
      <c r="E126" s="69"/>
      <c r="F126" s="61"/>
      <c r="G126" s="19"/>
      <c r="H126" s="197"/>
      <c r="I126" s="56"/>
      <c r="J126" s="15"/>
      <c r="K126" s="15"/>
      <c r="L126" s="15">
        <f t="shared" si="27"/>
        <v>0</v>
      </c>
      <c r="M126" s="15"/>
      <c r="N126" s="15">
        <f t="shared" si="28"/>
        <v>0</v>
      </c>
      <c r="O126" s="15" t="str">
        <f>IF(AND(A126='BANG KE NL'!$M$11,TH!C126="NL",LEFT(D126,1)="N"),"x","")</f>
        <v/>
      </c>
    </row>
    <row r="127" spans="1:15" s="196" customFormat="1">
      <c r="A127" s="24" t="str">
        <f t="shared" si="26"/>
        <v/>
      </c>
      <c r="B127" s="175" t="str">
        <f>IF(AND(MONTH(E127)='IN-NX'!$J$5,'IN-NX'!$D$7=(D127&amp;"/"&amp;C127)),"x","")</f>
        <v/>
      </c>
      <c r="C127" s="172"/>
      <c r="D127" s="172"/>
      <c r="E127" s="69"/>
      <c r="F127" s="61"/>
      <c r="G127" s="19"/>
      <c r="H127" s="197"/>
      <c r="I127" s="56"/>
      <c r="J127" s="15"/>
      <c r="K127" s="15"/>
      <c r="L127" s="15">
        <f t="shared" si="27"/>
        <v>0</v>
      </c>
      <c r="M127" s="15"/>
      <c r="N127" s="15">
        <f t="shared" si="28"/>
        <v>0</v>
      </c>
      <c r="O127" s="15" t="str">
        <f>IF(AND(A127='BANG KE NL'!$M$11,TH!C127="NL",LEFT(D127,1)="N"),"x","")</f>
        <v/>
      </c>
    </row>
    <row r="128" spans="1:15" s="196" customFormat="1">
      <c r="A128" s="24" t="str">
        <f t="shared" si="26"/>
        <v/>
      </c>
      <c r="B128" s="175" t="str">
        <f>IF(AND(MONTH(E128)='IN-NX'!$J$5,'IN-NX'!$D$7=(D128&amp;"/"&amp;C128)),"x","")</f>
        <v/>
      </c>
      <c r="C128" s="172"/>
      <c r="D128" s="172"/>
      <c r="E128" s="69"/>
      <c r="F128" s="61"/>
      <c r="G128" s="19"/>
      <c r="H128" s="197"/>
      <c r="I128" s="56"/>
      <c r="J128" s="15"/>
      <c r="K128" s="15"/>
      <c r="L128" s="15">
        <f t="shared" si="27"/>
        <v>0</v>
      </c>
      <c r="M128" s="15"/>
      <c r="N128" s="15">
        <f t="shared" si="28"/>
        <v>0</v>
      </c>
      <c r="O128" s="15" t="str">
        <f>IF(AND(A128='BANG KE NL'!$M$11,TH!C128="NL",LEFT(D128,1)="N"),"x","")</f>
        <v/>
      </c>
    </row>
    <row r="129" spans="1:15" s="196" customFormat="1">
      <c r="A129" s="24" t="str">
        <f t="shared" si="26"/>
        <v/>
      </c>
      <c r="B129" s="175" t="str">
        <f>IF(AND(MONTH(E129)='IN-NX'!$J$5,'IN-NX'!$D$7=(D129&amp;"/"&amp;C129)),"x","")</f>
        <v/>
      </c>
      <c r="C129" s="172"/>
      <c r="D129" s="172"/>
      <c r="E129" s="69"/>
      <c r="F129" s="61"/>
      <c r="G129" s="19"/>
      <c r="H129" s="197"/>
      <c r="I129" s="56"/>
      <c r="J129" s="15"/>
      <c r="K129" s="15"/>
      <c r="L129" s="15">
        <f t="shared" si="27"/>
        <v>0</v>
      </c>
      <c r="M129" s="15"/>
      <c r="N129" s="15">
        <f t="shared" si="28"/>
        <v>0</v>
      </c>
      <c r="O129" s="15" t="str">
        <f>IF(AND(A129='BANG KE NL'!$M$11,TH!C129="NL",LEFT(D129,1)="N"),"x","")</f>
        <v/>
      </c>
    </row>
    <row r="130" spans="1:15" s="196" customFormat="1">
      <c r="A130" s="24" t="str">
        <f t="shared" si="26"/>
        <v/>
      </c>
      <c r="B130" s="175" t="str">
        <f>IF(AND(MONTH(E130)='IN-NX'!$J$5,'IN-NX'!$D$7=(D130&amp;"/"&amp;C130)),"x","")</f>
        <v/>
      </c>
      <c r="C130" s="172"/>
      <c r="D130" s="172"/>
      <c r="E130" s="69"/>
      <c r="F130" s="61"/>
      <c r="G130" s="19"/>
      <c r="H130" s="197"/>
      <c r="I130" s="56"/>
      <c r="J130" s="15"/>
      <c r="K130" s="15"/>
      <c r="L130" s="15">
        <f t="shared" si="27"/>
        <v>0</v>
      </c>
      <c r="M130" s="15"/>
      <c r="N130" s="15">
        <f t="shared" si="28"/>
        <v>0</v>
      </c>
      <c r="O130" s="15" t="str">
        <f>IF(AND(A130='BANG KE NL'!$M$11,TH!C130="NL",LEFT(D130,1)="N"),"x","")</f>
        <v/>
      </c>
    </row>
    <row r="131" spans="1:15" s="196" customFormat="1">
      <c r="A131" s="24" t="str">
        <f t="shared" si="26"/>
        <v/>
      </c>
      <c r="B131" s="175" t="str">
        <f>IF(AND(MONTH(E131)='IN-NX'!$J$5,'IN-NX'!$D$7=(D131&amp;"/"&amp;C131)),"x","")</f>
        <v/>
      </c>
      <c r="C131" s="172"/>
      <c r="D131" s="172"/>
      <c r="E131" s="69"/>
      <c r="F131" s="61"/>
      <c r="G131" s="19"/>
      <c r="H131" s="197"/>
      <c r="I131" s="56"/>
      <c r="J131" s="15"/>
      <c r="K131" s="15"/>
      <c r="L131" s="15">
        <f t="shared" si="27"/>
        <v>0</v>
      </c>
      <c r="M131" s="15"/>
      <c r="N131" s="15">
        <f t="shared" si="28"/>
        <v>0</v>
      </c>
      <c r="O131" s="15" t="str">
        <f>IF(AND(A131='BANG KE NL'!$M$11,TH!C131="NL",LEFT(D131,1)="N"),"x","")</f>
        <v/>
      </c>
    </row>
    <row r="132" spans="1:15" s="196" customFormat="1">
      <c r="A132" s="24" t="str">
        <f t="shared" si="26"/>
        <v/>
      </c>
      <c r="B132" s="175" t="str">
        <f>IF(AND(MONTH(E132)='IN-NX'!$J$5,'IN-NX'!$D$7=(D132&amp;"/"&amp;C132)),"x","")</f>
        <v/>
      </c>
      <c r="C132" s="172"/>
      <c r="D132" s="172"/>
      <c r="E132" s="69"/>
      <c r="F132" s="61"/>
      <c r="G132" s="19"/>
      <c r="H132" s="197"/>
      <c r="I132" s="56"/>
      <c r="J132" s="15"/>
      <c r="K132" s="15"/>
      <c r="L132" s="15">
        <f t="shared" si="27"/>
        <v>0</v>
      </c>
      <c r="M132" s="15"/>
      <c r="N132" s="15">
        <f t="shared" si="28"/>
        <v>0</v>
      </c>
      <c r="O132" s="15" t="str">
        <f>IF(AND(A132='BANG KE NL'!$M$11,TH!C132="NL",LEFT(D132,1)="N"),"x","")</f>
        <v/>
      </c>
    </row>
    <row r="133" spans="1:15" s="196" customFormat="1">
      <c r="A133" s="24" t="str">
        <f t="shared" ref="A133:A196" si="29">IF(E133&lt;&gt;"",MONTH(E133),"")</f>
        <v/>
      </c>
      <c r="B133" s="175" t="str">
        <f>IF(AND(MONTH(E133)='IN-NX'!$J$5,'IN-NX'!$D$7=(D133&amp;"/"&amp;C133)),"x","")</f>
        <v/>
      </c>
      <c r="C133" s="172"/>
      <c r="D133" s="172"/>
      <c r="E133" s="69"/>
      <c r="F133" s="61"/>
      <c r="G133" s="19"/>
      <c r="H133" s="197"/>
      <c r="I133" s="56"/>
      <c r="J133" s="15"/>
      <c r="K133" s="15"/>
      <c r="L133" s="15">
        <f t="shared" ref="L133:L196" si="30">ROUND(J133*K133,0)</f>
        <v>0</v>
      </c>
      <c r="M133" s="15"/>
      <c r="N133" s="15">
        <f t="shared" ref="N133:N196" si="31">ROUND(J133*M133,0)</f>
        <v>0</v>
      </c>
      <c r="O133" s="15" t="str">
        <f>IF(AND(A133='BANG KE NL'!$M$11,TH!C133="NL",LEFT(D133,1)="N"),"x","")</f>
        <v/>
      </c>
    </row>
    <row r="134" spans="1:15" s="196" customFormat="1">
      <c r="A134" s="24" t="str">
        <f t="shared" si="29"/>
        <v/>
      </c>
      <c r="B134" s="175" t="str">
        <f>IF(AND(MONTH(E134)='IN-NX'!$J$5,'IN-NX'!$D$7=(D134&amp;"/"&amp;C134)),"x","")</f>
        <v/>
      </c>
      <c r="C134" s="172"/>
      <c r="D134" s="172"/>
      <c r="E134" s="69"/>
      <c r="F134" s="61"/>
      <c r="G134" s="19"/>
      <c r="H134" s="197"/>
      <c r="I134" s="56"/>
      <c r="J134" s="15"/>
      <c r="K134" s="15"/>
      <c r="L134" s="15">
        <f t="shared" si="30"/>
        <v>0</v>
      </c>
      <c r="M134" s="15"/>
      <c r="N134" s="15">
        <f t="shared" si="31"/>
        <v>0</v>
      </c>
      <c r="O134" s="15" t="str">
        <f>IF(AND(A134='BANG KE NL'!$M$11,TH!C134="NL",LEFT(D134,1)="N"),"x","")</f>
        <v/>
      </c>
    </row>
    <row r="135" spans="1:15" s="196" customFormat="1">
      <c r="A135" s="24" t="str">
        <f t="shared" si="29"/>
        <v/>
      </c>
      <c r="B135" s="175" t="str">
        <f>IF(AND(MONTH(E135)='IN-NX'!$J$5,'IN-NX'!$D$7=(D135&amp;"/"&amp;C135)),"x","")</f>
        <v/>
      </c>
      <c r="C135" s="172"/>
      <c r="D135" s="172"/>
      <c r="E135" s="69"/>
      <c r="F135" s="61"/>
      <c r="G135" s="19"/>
      <c r="H135" s="197"/>
      <c r="I135" s="56"/>
      <c r="J135" s="15"/>
      <c r="K135" s="15"/>
      <c r="L135" s="15">
        <f t="shared" si="30"/>
        <v>0</v>
      </c>
      <c r="M135" s="15"/>
      <c r="N135" s="15">
        <f t="shared" si="31"/>
        <v>0</v>
      </c>
      <c r="O135" s="15" t="str">
        <f>IF(AND(A135='BANG KE NL'!$M$11,TH!C135="NL",LEFT(D135,1)="N"),"x","")</f>
        <v/>
      </c>
    </row>
    <row r="136" spans="1:15" s="196" customFormat="1">
      <c r="A136" s="24" t="str">
        <f t="shared" si="29"/>
        <v/>
      </c>
      <c r="B136" s="175" t="str">
        <f>IF(AND(MONTH(E136)='IN-NX'!$J$5,'IN-NX'!$D$7=(D136&amp;"/"&amp;C136)),"x","")</f>
        <v/>
      </c>
      <c r="C136" s="172"/>
      <c r="D136" s="172"/>
      <c r="E136" s="69"/>
      <c r="F136" s="61"/>
      <c r="G136" s="19"/>
      <c r="H136" s="197"/>
      <c r="I136" s="56"/>
      <c r="J136" s="15"/>
      <c r="K136" s="15"/>
      <c r="L136" s="15">
        <f t="shared" si="30"/>
        <v>0</v>
      </c>
      <c r="M136" s="15"/>
      <c r="N136" s="15">
        <f t="shared" si="31"/>
        <v>0</v>
      </c>
      <c r="O136" s="15" t="str">
        <f>IF(AND(A136='BANG KE NL'!$M$11,TH!C136="NL",LEFT(D136,1)="N"),"x","")</f>
        <v/>
      </c>
    </row>
    <row r="137" spans="1:15" s="196" customFormat="1">
      <c r="A137" s="24" t="str">
        <f t="shared" si="29"/>
        <v/>
      </c>
      <c r="B137" s="175" t="str">
        <f>IF(AND(MONTH(E137)='IN-NX'!$J$5,'IN-NX'!$D$7=(D137&amp;"/"&amp;C137)),"x","")</f>
        <v/>
      </c>
      <c r="C137" s="172"/>
      <c r="D137" s="172"/>
      <c r="E137" s="69"/>
      <c r="F137" s="61"/>
      <c r="G137" s="19"/>
      <c r="H137" s="197"/>
      <c r="I137" s="56"/>
      <c r="J137" s="15"/>
      <c r="K137" s="15"/>
      <c r="L137" s="15">
        <f t="shared" si="30"/>
        <v>0</v>
      </c>
      <c r="M137" s="15"/>
      <c r="N137" s="15">
        <f t="shared" si="31"/>
        <v>0</v>
      </c>
      <c r="O137" s="15" t="str">
        <f>IF(AND(A137='BANG KE NL'!$M$11,TH!C137="NL",LEFT(D137,1)="N"),"x","")</f>
        <v/>
      </c>
    </row>
    <row r="138" spans="1:15" s="196" customFormat="1">
      <c r="A138" s="24" t="str">
        <f t="shared" si="29"/>
        <v/>
      </c>
      <c r="B138" s="175" t="str">
        <f>IF(AND(MONTH(E138)='IN-NX'!$J$5,'IN-NX'!$D$7=(D138&amp;"/"&amp;C138)),"x","")</f>
        <v/>
      </c>
      <c r="C138" s="172"/>
      <c r="D138" s="172"/>
      <c r="E138" s="69"/>
      <c r="F138" s="61"/>
      <c r="G138" s="19"/>
      <c r="H138" s="197"/>
      <c r="I138" s="56"/>
      <c r="J138" s="15"/>
      <c r="K138" s="15"/>
      <c r="L138" s="15">
        <f t="shared" si="30"/>
        <v>0</v>
      </c>
      <c r="M138" s="15"/>
      <c r="N138" s="15">
        <f t="shared" si="31"/>
        <v>0</v>
      </c>
      <c r="O138" s="15" t="str">
        <f>IF(AND(A138='BANG KE NL'!$M$11,TH!C138="NL",LEFT(D138,1)="N"),"x","")</f>
        <v/>
      </c>
    </row>
    <row r="139" spans="1:15" s="196" customFormat="1">
      <c r="A139" s="24" t="str">
        <f t="shared" si="29"/>
        <v/>
      </c>
      <c r="B139" s="175" t="str">
        <f>IF(AND(MONTH(E139)='IN-NX'!$J$5,'IN-NX'!$D$7=(D139&amp;"/"&amp;C139)),"x","")</f>
        <v/>
      </c>
      <c r="C139" s="172"/>
      <c r="D139" s="172"/>
      <c r="E139" s="69"/>
      <c r="F139" s="61"/>
      <c r="G139" s="19"/>
      <c r="H139" s="197"/>
      <c r="I139" s="56"/>
      <c r="J139" s="15"/>
      <c r="K139" s="15"/>
      <c r="L139" s="15">
        <f t="shared" si="30"/>
        <v>0</v>
      </c>
      <c r="M139" s="15"/>
      <c r="N139" s="15">
        <f t="shared" si="31"/>
        <v>0</v>
      </c>
      <c r="O139" s="15" t="str">
        <f>IF(AND(A139='BANG KE NL'!$M$11,TH!C139="NL",LEFT(D139,1)="N"),"x","")</f>
        <v/>
      </c>
    </row>
    <row r="140" spans="1:15" s="196" customFormat="1">
      <c r="A140" s="24" t="str">
        <f t="shared" si="29"/>
        <v/>
      </c>
      <c r="B140" s="175" t="str">
        <f>IF(AND(MONTH(E140)='IN-NX'!$J$5,'IN-NX'!$D$7=(D140&amp;"/"&amp;C140)),"x","")</f>
        <v/>
      </c>
      <c r="C140" s="172"/>
      <c r="D140" s="172"/>
      <c r="E140" s="69"/>
      <c r="F140" s="61"/>
      <c r="G140" s="19"/>
      <c r="H140" s="197"/>
      <c r="I140" s="56"/>
      <c r="J140" s="15"/>
      <c r="K140" s="15"/>
      <c r="L140" s="15">
        <f t="shared" si="30"/>
        <v>0</v>
      </c>
      <c r="M140" s="15"/>
      <c r="N140" s="15">
        <f t="shared" si="31"/>
        <v>0</v>
      </c>
      <c r="O140" s="15" t="str">
        <f>IF(AND(A140='BANG KE NL'!$M$11,TH!C140="NL",LEFT(D140,1)="N"),"x","")</f>
        <v/>
      </c>
    </row>
    <row r="141" spans="1:15" s="196" customFormat="1">
      <c r="A141" s="24" t="str">
        <f t="shared" si="29"/>
        <v/>
      </c>
      <c r="B141" s="175" t="str">
        <f>IF(AND(MONTH(E141)='IN-NX'!$J$5,'IN-NX'!$D$7=(D141&amp;"/"&amp;C141)),"x","")</f>
        <v/>
      </c>
      <c r="C141" s="172"/>
      <c r="D141" s="172"/>
      <c r="E141" s="69"/>
      <c r="F141" s="61"/>
      <c r="G141" s="19"/>
      <c r="H141" s="197"/>
      <c r="I141" s="56"/>
      <c r="J141" s="15"/>
      <c r="K141" s="15"/>
      <c r="L141" s="15">
        <f t="shared" si="30"/>
        <v>0</v>
      </c>
      <c r="M141" s="15"/>
      <c r="N141" s="15">
        <f t="shared" si="31"/>
        <v>0</v>
      </c>
      <c r="O141" s="15" t="str">
        <f>IF(AND(A141='BANG KE NL'!$M$11,TH!C141="NL",LEFT(D141,1)="N"),"x","")</f>
        <v/>
      </c>
    </row>
    <row r="142" spans="1:15" s="196" customFormat="1">
      <c r="A142" s="24" t="str">
        <f t="shared" si="29"/>
        <v/>
      </c>
      <c r="B142" s="175" t="str">
        <f>IF(AND(MONTH(E142)='IN-NX'!$J$5,'IN-NX'!$D$7=(D142&amp;"/"&amp;C142)),"x","")</f>
        <v/>
      </c>
      <c r="C142" s="172"/>
      <c r="D142" s="172"/>
      <c r="E142" s="69"/>
      <c r="F142" s="61"/>
      <c r="G142" s="19"/>
      <c r="H142" s="197"/>
      <c r="I142" s="56"/>
      <c r="J142" s="15"/>
      <c r="K142" s="15"/>
      <c r="L142" s="15">
        <f t="shared" si="30"/>
        <v>0</v>
      </c>
      <c r="M142" s="15"/>
      <c r="N142" s="15">
        <f t="shared" si="31"/>
        <v>0</v>
      </c>
      <c r="O142" s="15" t="str">
        <f>IF(AND(A142='BANG KE NL'!$M$11,TH!C142="NL",LEFT(D142,1)="N"),"x","")</f>
        <v/>
      </c>
    </row>
    <row r="143" spans="1:15" s="196" customFormat="1">
      <c r="A143" s="24" t="str">
        <f t="shared" si="29"/>
        <v/>
      </c>
      <c r="B143" s="175" t="str">
        <f>IF(AND(MONTH(E143)='IN-NX'!$J$5,'IN-NX'!$D$7=(D143&amp;"/"&amp;C143)),"x","")</f>
        <v/>
      </c>
      <c r="C143" s="172"/>
      <c r="D143" s="172"/>
      <c r="E143" s="69"/>
      <c r="F143" s="61"/>
      <c r="G143" s="19"/>
      <c r="H143" s="197"/>
      <c r="I143" s="56"/>
      <c r="J143" s="15"/>
      <c r="K143" s="15"/>
      <c r="L143" s="15">
        <f t="shared" si="30"/>
        <v>0</v>
      </c>
      <c r="M143" s="15"/>
      <c r="N143" s="15">
        <f t="shared" si="31"/>
        <v>0</v>
      </c>
      <c r="O143" s="15" t="str">
        <f>IF(AND(A143='BANG KE NL'!$M$11,TH!C143="NL",LEFT(D143,1)="N"),"x","")</f>
        <v/>
      </c>
    </row>
    <row r="144" spans="1:15" s="196" customFormat="1">
      <c r="A144" s="24" t="str">
        <f t="shared" si="29"/>
        <v/>
      </c>
      <c r="B144" s="175" t="str">
        <f>IF(AND(MONTH(E144)='IN-NX'!$J$5,'IN-NX'!$D$7=(D144&amp;"/"&amp;C144)),"x","")</f>
        <v/>
      </c>
      <c r="C144" s="172"/>
      <c r="D144" s="172"/>
      <c r="E144" s="69"/>
      <c r="F144" s="61"/>
      <c r="G144" s="19"/>
      <c r="H144" s="197"/>
      <c r="I144" s="56"/>
      <c r="J144" s="15"/>
      <c r="K144" s="15"/>
      <c r="L144" s="15">
        <f t="shared" si="30"/>
        <v>0</v>
      </c>
      <c r="M144" s="15"/>
      <c r="N144" s="15">
        <f t="shared" si="31"/>
        <v>0</v>
      </c>
      <c r="O144" s="15" t="str">
        <f>IF(AND(A144='BANG KE NL'!$M$11,TH!C144="NL",LEFT(D144,1)="N"),"x","")</f>
        <v/>
      </c>
    </row>
    <row r="145" spans="1:15" s="196" customFormat="1">
      <c r="A145" s="24" t="str">
        <f t="shared" si="29"/>
        <v/>
      </c>
      <c r="B145" s="175" t="str">
        <f>IF(AND(MONTH(E145)='IN-NX'!$J$5,'IN-NX'!$D$7=(D145&amp;"/"&amp;C145)),"x","")</f>
        <v/>
      </c>
      <c r="C145" s="172"/>
      <c r="D145" s="172"/>
      <c r="E145" s="69"/>
      <c r="F145" s="61"/>
      <c r="G145" s="19"/>
      <c r="H145" s="197"/>
      <c r="I145" s="56"/>
      <c r="J145" s="15"/>
      <c r="K145" s="15"/>
      <c r="L145" s="15">
        <f t="shared" si="30"/>
        <v>0</v>
      </c>
      <c r="M145" s="15"/>
      <c r="N145" s="15">
        <f t="shared" si="31"/>
        <v>0</v>
      </c>
      <c r="O145" s="15" t="str">
        <f>IF(AND(A145='BANG KE NL'!$M$11,TH!C145="NL",LEFT(D145,1)="N"),"x","")</f>
        <v/>
      </c>
    </row>
    <row r="146" spans="1:15" s="196" customFormat="1">
      <c r="A146" s="24" t="str">
        <f t="shared" si="29"/>
        <v/>
      </c>
      <c r="B146" s="175" t="str">
        <f>IF(AND(MONTH(E146)='IN-NX'!$J$5,'IN-NX'!$D$7=(D146&amp;"/"&amp;C146)),"x","")</f>
        <v/>
      </c>
      <c r="C146" s="172"/>
      <c r="D146" s="172"/>
      <c r="E146" s="69"/>
      <c r="F146" s="61"/>
      <c r="G146" s="19"/>
      <c r="H146" s="197"/>
      <c r="I146" s="56"/>
      <c r="J146" s="15"/>
      <c r="K146" s="15"/>
      <c r="L146" s="15">
        <f t="shared" si="30"/>
        <v>0</v>
      </c>
      <c r="M146" s="15"/>
      <c r="N146" s="15">
        <f t="shared" si="31"/>
        <v>0</v>
      </c>
      <c r="O146" s="15" t="str">
        <f>IF(AND(A146='BANG KE NL'!$M$11,TH!C146="NL",LEFT(D146,1)="N"),"x","")</f>
        <v/>
      </c>
    </row>
    <row r="147" spans="1:15" s="196" customFormat="1">
      <c r="A147" s="24" t="str">
        <f t="shared" si="29"/>
        <v/>
      </c>
      <c r="B147" s="175" t="str">
        <f>IF(AND(MONTH(E147)='IN-NX'!$J$5,'IN-NX'!$D$7=(D147&amp;"/"&amp;C147)),"x","")</f>
        <v/>
      </c>
      <c r="C147" s="172"/>
      <c r="D147" s="172"/>
      <c r="E147" s="69"/>
      <c r="F147" s="61"/>
      <c r="G147" s="19"/>
      <c r="H147" s="197"/>
      <c r="I147" s="56"/>
      <c r="J147" s="15"/>
      <c r="K147" s="15"/>
      <c r="L147" s="15">
        <f t="shared" si="30"/>
        <v>0</v>
      </c>
      <c r="M147" s="15"/>
      <c r="N147" s="15">
        <f t="shared" si="31"/>
        <v>0</v>
      </c>
      <c r="O147" s="15" t="str">
        <f>IF(AND(A147='BANG KE NL'!$M$11,TH!C147="NL",LEFT(D147,1)="N"),"x","")</f>
        <v/>
      </c>
    </row>
    <row r="148" spans="1:15" s="196" customFormat="1">
      <c r="A148" s="24" t="str">
        <f t="shared" si="29"/>
        <v/>
      </c>
      <c r="B148" s="175" t="str">
        <f>IF(AND(MONTH(E148)='IN-NX'!$J$5,'IN-NX'!$D$7=(D148&amp;"/"&amp;C148)),"x","")</f>
        <v/>
      </c>
      <c r="C148" s="172"/>
      <c r="D148" s="172"/>
      <c r="E148" s="69"/>
      <c r="F148" s="61"/>
      <c r="G148" s="19"/>
      <c r="H148" s="197"/>
      <c r="I148" s="56"/>
      <c r="J148" s="15"/>
      <c r="K148" s="15"/>
      <c r="L148" s="15">
        <f t="shared" si="30"/>
        <v>0</v>
      </c>
      <c r="M148" s="15"/>
      <c r="N148" s="15">
        <f t="shared" si="31"/>
        <v>0</v>
      </c>
      <c r="O148" s="15" t="str">
        <f>IF(AND(A148='BANG KE NL'!$M$11,TH!C148="NL",LEFT(D148,1)="N"),"x","")</f>
        <v/>
      </c>
    </row>
    <row r="149" spans="1:15" s="196" customFormat="1">
      <c r="A149" s="24" t="str">
        <f t="shared" si="29"/>
        <v/>
      </c>
      <c r="B149" s="175" t="str">
        <f>IF(AND(MONTH(E149)='IN-NX'!$J$5,'IN-NX'!$D$7=(D149&amp;"/"&amp;C149)),"x","")</f>
        <v/>
      </c>
      <c r="C149" s="172"/>
      <c r="D149" s="172"/>
      <c r="E149" s="69"/>
      <c r="F149" s="61"/>
      <c r="G149" s="19"/>
      <c r="H149" s="197"/>
      <c r="I149" s="56"/>
      <c r="J149" s="15"/>
      <c r="K149" s="15"/>
      <c r="L149" s="15">
        <f t="shared" si="30"/>
        <v>0</v>
      </c>
      <c r="M149" s="15"/>
      <c r="N149" s="15">
        <f t="shared" si="31"/>
        <v>0</v>
      </c>
      <c r="O149" s="15" t="str">
        <f>IF(AND(A149='BANG KE NL'!$M$11,TH!C149="NL",LEFT(D149,1)="N"),"x","")</f>
        <v/>
      </c>
    </row>
    <row r="150" spans="1:15" s="196" customFormat="1">
      <c r="A150" s="24" t="str">
        <f t="shared" si="29"/>
        <v/>
      </c>
      <c r="B150" s="175" t="str">
        <f>IF(AND(MONTH(E150)='IN-NX'!$J$5,'IN-NX'!$D$7=(D150&amp;"/"&amp;C150)),"x","")</f>
        <v/>
      </c>
      <c r="C150" s="172"/>
      <c r="D150" s="172"/>
      <c r="E150" s="69"/>
      <c r="F150" s="61"/>
      <c r="G150" s="19"/>
      <c r="H150" s="197"/>
      <c r="I150" s="56"/>
      <c r="J150" s="15"/>
      <c r="K150" s="15"/>
      <c r="L150" s="15">
        <f t="shared" si="30"/>
        <v>0</v>
      </c>
      <c r="M150" s="15"/>
      <c r="N150" s="15">
        <f t="shared" si="31"/>
        <v>0</v>
      </c>
      <c r="O150" s="15" t="str">
        <f>IF(AND(A150='BANG KE NL'!$M$11,TH!C150="NL",LEFT(D150,1)="N"),"x","")</f>
        <v/>
      </c>
    </row>
    <row r="151" spans="1:15" s="196" customFormat="1">
      <c r="A151" s="24" t="str">
        <f t="shared" si="29"/>
        <v/>
      </c>
      <c r="B151" s="175" t="str">
        <f>IF(AND(MONTH(E151)='IN-NX'!$J$5,'IN-NX'!$D$7=(D151&amp;"/"&amp;C151)),"x","")</f>
        <v/>
      </c>
      <c r="C151" s="172"/>
      <c r="D151" s="172"/>
      <c r="E151" s="69"/>
      <c r="F151" s="61"/>
      <c r="G151" s="19"/>
      <c r="H151" s="197"/>
      <c r="I151" s="56"/>
      <c r="J151" s="15"/>
      <c r="K151" s="15"/>
      <c r="L151" s="15">
        <f t="shared" si="30"/>
        <v>0</v>
      </c>
      <c r="M151" s="15"/>
      <c r="N151" s="15">
        <f t="shared" si="31"/>
        <v>0</v>
      </c>
      <c r="O151" s="15" t="str">
        <f>IF(AND(A151='BANG KE NL'!$M$11,TH!C151="NL",LEFT(D151,1)="N"),"x","")</f>
        <v/>
      </c>
    </row>
    <row r="152" spans="1:15" s="196" customFormat="1">
      <c r="A152" s="24" t="str">
        <f t="shared" si="29"/>
        <v/>
      </c>
      <c r="B152" s="175" t="str">
        <f>IF(AND(MONTH(E152)='IN-NX'!$J$5,'IN-NX'!$D$7=(D152&amp;"/"&amp;C152)),"x","")</f>
        <v/>
      </c>
      <c r="C152" s="172"/>
      <c r="D152" s="172"/>
      <c r="E152" s="69"/>
      <c r="F152" s="61"/>
      <c r="G152" s="19"/>
      <c r="H152" s="197"/>
      <c r="I152" s="56"/>
      <c r="J152" s="15"/>
      <c r="K152" s="15"/>
      <c r="L152" s="15">
        <f t="shared" si="30"/>
        <v>0</v>
      </c>
      <c r="M152" s="15"/>
      <c r="N152" s="15">
        <f t="shared" si="31"/>
        <v>0</v>
      </c>
      <c r="O152" s="15" t="str">
        <f>IF(AND(A152='BANG KE NL'!$M$11,TH!C152="NL",LEFT(D152,1)="N"),"x","")</f>
        <v/>
      </c>
    </row>
    <row r="153" spans="1:15" s="196" customFormat="1">
      <c r="A153" s="24" t="str">
        <f t="shared" si="29"/>
        <v/>
      </c>
      <c r="B153" s="175" t="str">
        <f>IF(AND(MONTH(E153)='IN-NX'!$J$5,'IN-NX'!$D$7=(D153&amp;"/"&amp;C153)),"x","")</f>
        <v/>
      </c>
      <c r="C153" s="172"/>
      <c r="D153" s="172"/>
      <c r="E153" s="69"/>
      <c r="F153" s="61"/>
      <c r="G153" s="19"/>
      <c r="H153" s="197"/>
      <c r="I153" s="56"/>
      <c r="J153" s="15"/>
      <c r="K153" s="15"/>
      <c r="L153" s="15">
        <f t="shared" si="30"/>
        <v>0</v>
      </c>
      <c r="M153" s="15"/>
      <c r="N153" s="15">
        <f t="shared" si="31"/>
        <v>0</v>
      </c>
      <c r="O153" s="15" t="str">
        <f>IF(AND(A153='BANG KE NL'!$M$11,TH!C153="NL",LEFT(D153,1)="N"),"x","")</f>
        <v/>
      </c>
    </row>
    <row r="154" spans="1:15" s="196" customFormat="1">
      <c r="A154" s="24" t="str">
        <f t="shared" si="29"/>
        <v/>
      </c>
      <c r="B154" s="175" t="str">
        <f>IF(AND(MONTH(E154)='IN-NX'!$J$5,'IN-NX'!$D$7=(D154&amp;"/"&amp;C154)),"x","")</f>
        <v/>
      </c>
      <c r="C154" s="172"/>
      <c r="D154" s="172"/>
      <c r="E154" s="69"/>
      <c r="F154" s="61"/>
      <c r="G154" s="19"/>
      <c r="H154" s="197"/>
      <c r="I154" s="56"/>
      <c r="J154" s="15"/>
      <c r="K154" s="15"/>
      <c r="L154" s="15">
        <f t="shared" si="30"/>
        <v>0</v>
      </c>
      <c r="M154" s="15"/>
      <c r="N154" s="15">
        <f t="shared" si="31"/>
        <v>0</v>
      </c>
      <c r="O154" s="15" t="str">
        <f>IF(AND(A154='BANG KE NL'!$M$11,TH!C154="NL",LEFT(D154,1)="N"),"x","")</f>
        <v/>
      </c>
    </row>
    <row r="155" spans="1:15" s="196" customFormat="1">
      <c r="A155" s="24" t="str">
        <f t="shared" si="29"/>
        <v/>
      </c>
      <c r="B155" s="175" t="str">
        <f>IF(AND(MONTH(E155)='IN-NX'!$J$5,'IN-NX'!$D$7=(D155&amp;"/"&amp;C155)),"x","")</f>
        <v/>
      </c>
      <c r="C155" s="172"/>
      <c r="D155" s="172"/>
      <c r="E155" s="69"/>
      <c r="F155" s="61"/>
      <c r="G155" s="19"/>
      <c r="H155" s="197"/>
      <c r="I155" s="56"/>
      <c r="J155" s="15"/>
      <c r="K155" s="15"/>
      <c r="L155" s="15">
        <f t="shared" si="30"/>
        <v>0</v>
      </c>
      <c r="M155" s="15"/>
      <c r="N155" s="15">
        <f t="shared" si="31"/>
        <v>0</v>
      </c>
      <c r="O155" s="15" t="str">
        <f>IF(AND(A155='BANG KE NL'!$M$11,TH!C155="NL",LEFT(D155,1)="N"),"x","")</f>
        <v/>
      </c>
    </row>
    <row r="156" spans="1:15" s="196" customFormat="1">
      <c r="A156" s="24" t="str">
        <f t="shared" si="29"/>
        <v/>
      </c>
      <c r="B156" s="175" t="str">
        <f>IF(AND(MONTH(E156)='IN-NX'!$J$5,'IN-NX'!$D$7=(D156&amp;"/"&amp;C156)),"x","")</f>
        <v/>
      </c>
      <c r="C156" s="172"/>
      <c r="D156" s="172"/>
      <c r="E156" s="69"/>
      <c r="F156" s="61"/>
      <c r="G156" s="19"/>
      <c r="H156" s="197"/>
      <c r="I156" s="56"/>
      <c r="J156" s="15"/>
      <c r="K156" s="15"/>
      <c r="L156" s="15">
        <f t="shared" si="30"/>
        <v>0</v>
      </c>
      <c r="M156" s="15"/>
      <c r="N156" s="15">
        <f t="shared" si="31"/>
        <v>0</v>
      </c>
      <c r="O156" s="15" t="str">
        <f>IF(AND(A156='BANG KE NL'!$M$11,TH!C156="NL",LEFT(D156,1)="N"),"x","")</f>
        <v/>
      </c>
    </row>
    <row r="157" spans="1:15">
      <c r="A157" s="24" t="str">
        <f t="shared" si="29"/>
        <v/>
      </c>
      <c r="B157" s="175" t="str">
        <f>IF(AND(MONTH(E157)='IN-NX'!$J$5,'IN-NX'!$D$7=(D157&amp;"/"&amp;C157)),"x","")</f>
        <v/>
      </c>
      <c r="C157" s="172"/>
      <c r="D157" s="172"/>
      <c r="E157" s="69"/>
      <c r="F157" s="61"/>
      <c r="G157" s="19"/>
      <c r="H157" s="197"/>
      <c r="I157" s="56"/>
      <c r="J157" s="15"/>
      <c r="K157" s="15"/>
      <c r="L157" s="15">
        <f t="shared" si="30"/>
        <v>0</v>
      </c>
      <c r="M157" s="15"/>
      <c r="N157" s="15">
        <f t="shared" si="31"/>
        <v>0</v>
      </c>
      <c r="O157" s="15" t="str">
        <f>IF(AND(A157='BANG KE NL'!$M$11,TH!C157="NL",LEFT(D157,1)="N"),"x","")</f>
        <v/>
      </c>
    </row>
    <row r="158" spans="1:15">
      <c r="A158" s="24" t="str">
        <f t="shared" si="29"/>
        <v/>
      </c>
      <c r="B158" s="175" t="str">
        <f>IF(AND(MONTH(E158)='IN-NX'!$J$5,'IN-NX'!$D$7=(D158&amp;"/"&amp;C158)),"x","")</f>
        <v/>
      </c>
      <c r="C158" s="172"/>
      <c r="D158" s="172"/>
      <c r="E158" s="69"/>
      <c r="F158" s="61"/>
      <c r="G158" s="19"/>
      <c r="H158" s="197"/>
      <c r="I158" s="56"/>
      <c r="J158" s="15"/>
      <c r="K158" s="15"/>
      <c r="L158" s="15">
        <f t="shared" si="30"/>
        <v>0</v>
      </c>
      <c r="M158" s="15"/>
      <c r="N158" s="15">
        <f t="shared" si="31"/>
        <v>0</v>
      </c>
      <c r="O158" s="15" t="str">
        <f>IF(AND(A158='BANG KE NL'!$M$11,TH!C158="NL",LEFT(D158,1)="N"),"x","")</f>
        <v/>
      </c>
    </row>
    <row r="159" spans="1:15">
      <c r="A159" s="24" t="str">
        <f t="shared" si="29"/>
        <v/>
      </c>
      <c r="B159" s="175" t="str">
        <f>IF(AND(MONTH(E159)='IN-NX'!$J$5,'IN-NX'!$D$7=(D159&amp;"/"&amp;C159)),"x","")</f>
        <v/>
      </c>
      <c r="C159" s="172"/>
      <c r="D159" s="172"/>
      <c r="E159" s="69"/>
      <c r="F159" s="61"/>
      <c r="G159" s="19"/>
      <c r="H159" s="197"/>
      <c r="I159" s="56"/>
      <c r="J159" s="15"/>
      <c r="K159" s="15"/>
      <c r="L159" s="15">
        <f t="shared" si="30"/>
        <v>0</v>
      </c>
      <c r="M159" s="15"/>
      <c r="N159" s="15">
        <f t="shared" si="31"/>
        <v>0</v>
      </c>
      <c r="O159" s="15" t="str">
        <f>IF(AND(A159='BANG KE NL'!$M$11,TH!C159="NL",LEFT(D159,1)="N"),"x","")</f>
        <v/>
      </c>
    </row>
    <row r="160" spans="1:15">
      <c r="A160" s="24" t="str">
        <f t="shared" si="29"/>
        <v/>
      </c>
      <c r="B160" s="175" t="str">
        <f>IF(AND(MONTH(E160)='IN-NX'!$J$5,'IN-NX'!$D$7=(D160&amp;"/"&amp;C160)),"x","")</f>
        <v/>
      </c>
      <c r="C160" s="172"/>
      <c r="D160" s="172"/>
      <c r="E160" s="69"/>
      <c r="F160" s="61"/>
      <c r="G160" s="19"/>
      <c r="H160" s="197"/>
      <c r="I160" s="56"/>
      <c r="J160" s="15"/>
      <c r="K160" s="15"/>
      <c r="L160" s="15">
        <f t="shared" si="30"/>
        <v>0</v>
      </c>
      <c r="M160" s="15"/>
      <c r="N160" s="15">
        <f t="shared" si="31"/>
        <v>0</v>
      </c>
      <c r="O160" s="15" t="str">
        <f>IF(AND(A160='BANG KE NL'!$M$11,TH!C160="NL",LEFT(D160,1)="N"),"x","")</f>
        <v/>
      </c>
    </row>
    <row r="161" spans="1:15">
      <c r="A161" s="24" t="str">
        <f t="shared" si="29"/>
        <v/>
      </c>
      <c r="B161" s="175" t="str">
        <f>IF(AND(MONTH(E161)='IN-NX'!$J$5,'IN-NX'!$D$7=(D161&amp;"/"&amp;C161)),"x","")</f>
        <v/>
      </c>
      <c r="C161" s="172"/>
      <c r="D161" s="172"/>
      <c r="E161" s="69"/>
      <c r="F161" s="61"/>
      <c r="G161" s="19"/>
      <c r="H161" s="197"/>
      <c r="I161" s="56"/>
      <c r="J161" s="15"/>
      <c r="K161" s="15"/>
      <c r="L161" s="15">
        <f t="shared" si="30"/>
        <v>0</v>
      </c>
      <c r="M161" s="15"/>
      <c r="N161" s="15">
        <f t="shared" si="31"/>
        <v>0</v>
      </c>
      <c r="O161" s="15" t="str">
        <f>IF(AND(A161='BANG KE NL'!$M$11,TH!C161="NL",LEFT(D161,1)="N"),"x","")</f>
        <v/>
      </c>
    </row>
    <row r="162" spans="1:15">
      <c r="A162" s="24" t="str">
        <f t="shared" si="29"/>
        <v/>
      </c>
      <c r="B162" s="175" t="str">
        <f>IF(AND(MONTH(E162)='IN-NX'!$J$5,'IN-NX'!$D$7=(D162&amp;"/"&amp;C162)),"x","")</f>
        <v/>
      </c>
      <c r="C162" s="172"/>
      <c r="D162" s="172"/>
      <c r="E162" s="69"/>
      <c r="F162" s="61"/>
      <c r="G162" s="19"/>
      <c r="H162" s="197"/>
      <c r="I162" s="56"/>
      <c r="J162" s="15"/>
      <c r="K162" s="15"/>
      <c r="L162" s="15">
        <f t="shared" si="30"/>
        <v>0</v>
      </c>
      <c r="M162" s="15"/>
      <c r="N162" s="15">
        <f t="shared" si="31"/>
        <v>0</v>
      </c>
      <c r="O162" s="15" t="str">
        <f>IF(AND(A162='BANG KE NL'!$M$11,TH!C162="NL",LEFT(D162,1)="N"),"x","")</f>
        <v/>
      </c>
    </row>
    <row r="163" spans="1:15">
      <c r="A163" s="24" t="str">
        <f t="shared" si="29"/>
        <v/>
      </c>
      <c r="B163" s="175" t="str">
        <f>IF(AND(MONTH(E163)='IN-NX'!$J$5,'IN-NX'!$D$7=(D163&amp;"/"&amp;C163)),"x","")</f>
        <v/>
      </c>
      <c r="C163" s="172"/>
      <c r="D163" s="172"/>
      <c r="E163" s="69"/>
      <c r="F163" s="61"/>
      <c r="G163" s="19"/>
      <c r="H163" s="197"/>
      <c r="I163" s="56"/>
      <c r="J163" s="15"/>
      <c r="K163" s="15"/>
      <c r="L163" s="15">
        <f t="shared" si="30"/>
        <v>0</v>
      </c>
      <c r="M163" s="15"/>
      <c r="N163" s="15">
        <f t="shared" si="31"/>
        <v>0</v>
      </c>
      <c r="O163" s="15" t="str">
        <f>IF(AND(A163='BANG KE NL'!$M$11,TH!C163="NL",LEFT(D163,1)="N"),"x","")</f>
        <v/>
      </c>
    </row>
    <row r="164" spans="1:15">
      <c r="A164" s="24" t="str">
        <f t="shared" si="29"/>
        <v/>
      </c>
      <c r="B164" s="175" t="str">
        <f>IF(AND(MONTH(E164)='IN-NX'!$J$5,'IN-NX'!$D$7=(D164&amp;"/"&amp;C164)),"x","")</f>
        <v/>
      </c>
      <c r="C164" s="172"/>
      <c r="D164" s="172"/>
      <c r="E164" s="69"/>
      <c r="F164" s="61"/>
      <c r="G164" s="19"/>
      <c r="H164" s="197"/>
      <c r="I164" s="56"/>
      <c r="J164" s="15"/>
      <c r="K164" s="15"/>
      <c r="L164" s="15">
        <f t="shared" si="30"/>
        <v>0</v>
      </c>
      <c r="M164" s="15"/>
      <c r="N164" s="15">
        <f t="shared" si="31"/>
        <v>0</v>
      </c>
      <c r="O164" s="15" t="str">
        <f>IF(AND(A164='BANG KE NL'!$M$11,TH!C164="NL",LEFT(D164,1)="N"),"x","")</f>
        <v/>
      </c>
    </row>
    <row r="165" spans="1:15">
      <c r="A165" s="24" t="str">
        <f t="shared" si="29"/>
        <v/>
      </c>
      <c r="B165" s="175" t="str">
        <f>IF(AND(MONTH(E165)='IN-NX'!$J$5,'IN-NX'!$D$7=(D165&amp;"/"&amp;C165)),"x","")</f>
        <v/>
      </c>
      <c r="C165" s="172"/>
      <c r="D165" s="172"/>
      <c r="E165" s="69"/>
      <c r="F165" s="61"/>
      <c r="G165" s="19"/>
      <c r="H165" s="197"/>
      <c r="I165" s="56"/>
      <c r="J165" s="15"/>
      <c r="K165" s="15"/>
      <c r="L165" s="15">
        <f t="shared" si="30"/>
        <v>0</v>
      </c>
      <c r="M165" s="15"/>
      <c r="N165" s="15">
        <f t="shared" si="31"/>
        <v>0</v>
      </c>
      <c r="O165" s="15" t="str">
        <f>IF(AND(A165='BANG KE NL'!$M$11,TH!C165="NL",LEFT(D165,1)="N"),"x","")</f>
        <v/>
      </c>
    </row>
    <row r="166" spans="1:15">
      <c r="A166" s="24" t="str">
        <f t="shared" si="29"/>
        <v/>
      </c>
      <c r="B166" s="175" t="str">
        <f>IF(AND(MONTH(E166)='IN-NX'!$J$5,'IN-NX'!$D$7=(D166&amp;"/"&amp;C166)),"x","")</f>
        <v/>
      </c>
      <c r="C166" s="172"/>
      <c r="D166" s="172"/>
      <c r="E166" s="69"/>
      <c r="F166" s="61"/>
      <c r="G166" s="19"/>
      <c r="H166" s="197"/>
      <c r="I166" s="56"/>
      <c r="J166" s="15"/>
      <c r="K166" s="15"/>
      <c r="L166" s="15">
        <f t="shared" si="30"/>
        <v>0</v>
      </c>
      <c r="M166" s="15"/>
      <c r="N166" s="15">
        <f t="shared" si="31"/>
        <v>0</v>
      </c>
      <c r="O166" s="15" t="str">
        <f>IF(AND(A166='BANG KE NL'!$M$11,TH!C166="NL",LEFT(D166,1)="N"),"x","")</f>
        <v/>
      </c>
    </row>
    <row r="167" spans="1:15">
      <c r="A167" s="24" t="str">
        <f t="shared" si="29"/>
        <v/>
      </c>
      <c r="B167" s="175" t="str">
        <f>IF(AND(MONTH(E167)='IN-NX'!$J$5,'IN-NX'!$D$7=(D167&amp;"/"&amp;C167)),"x","")</f>
        <v/>
      </c>
      <c r="C167" s="172"/>
      <c r="D167" s="172"/>
      <c r="E167" s="69"/>
      <c r="F167" s="61"/>
      <c r="G167" s="19"/>
      <c r="H167" s="197"/>
      <c r="I167" s="56"/>
      <c r="J167" s="15"/>
      <c r="K167" s="15"/>
      <c r="L167" s="15">
        <f t="shared" si="30"/>
        <v>0</v>
      </c>
      <c r="M167" s="15"/>
      <c r="N167" s="15">
        <f t="shared" si="31"/>
        <v>0</v>
      </c>
      <c r="O167" s="15" t="str">
        <f>IF(AND(A167='BANG KE NL'!$M$11,TH!C167="NL",LEFT(D167,1)="N"),"x","")</f>
        <v/>
      </c>
    </row>
    <row r="168" spans="1:15">
      <c r="A168" s="24" t="str">
        <f t="shared" si="29"/>
        <v/>
      </c>
      <c r="B168" s="175" t="str">
        <f>IF(AND(MONTH(E168)='IN-NX'!$J$5,'IN-NX'!$D$7=(D168&amp;"/"&amp;C168)),"x","")</f>
        <v/>
      </c>
      <c r="C168" s="172"/>
      <c r="D168" s="172"/>
      <c r="E168" s="69"/>
      <c r="F168" s="61"/>
      <c r="G168" s="19"/>
      <c r="H168" s="197"/>
      <c r="I168" s="56"/>
      <c r="J168" s="15"/>
      <c r="K168" s="15"/>
      <c r="L168" s="15">
        <f t="shared" si="30"/>
        <v>0</v>
      </c>
      <c r="M168" s="15"/>
      <c r="N168" s="15">
        <f t="shared" si="31"/>
        <v>0</v>
      </c>
      <c r="O168" s="15" t="str">
        <f>IF(AND(A168='BANG KE NL'!$M$11,TH!C168="NL",LEFT(D168,1)="N"),"x","")</f>
        <v/>
      </c>
    </row>
    <row r="169" spans="1:15">
      <c r="A169" s="24" t="str">
        <f t="shared" si="29"/>
        <v/>
      </c>
      <c r="B169" s="175" t="str">
        <f>IF(AND(MONTH(E169)='IN-NX'!$J$5,'IN-NX'!$D$7=(D169&amp;"/"&amp;C169)),"x","")</f>
        <v/>
      </c>
      <c r="C169" s="172"/>
      <c r="D169" s="172"/>
      <c r="E169" s="69"/>
      <c r="F169" s="61"/>
      <c r="G169" s="19"/>
      <c r="H169" s="197"/>
      <c r="I169" s="56"/>
      <c r="J169" s="15"/>
      <c r="K169" s="15"/>
      <c r="L169" s="15">
        <f t="shared" si="30"/>
        <v>0</v>
      </c>
      <c r="M169" s="15"/>
      <c r="N169" s="15">
        <f t="shared" si="31"/>
        <v>0</v>
      </c>
      <c r="O169" s="15" t="str">
        <f>IF(AND(A169='BANG KE NL'!$M$11,TH!C169="NL",LEFT(D169,1)="N"),"x","")</f>
        <v/>
      </c>
    </row>
    <row r="170" spans="1:15">
      <c r="A170" s="24" t="str">
        <f t="shared" si="29"/>
        <v/>
      </c>
      <c r="B170" s="175" t="str">
        <f>IF(AND(MONTH(E170)='IN-NX'!$J$5,'IN-NX'!$D$7=(D170&amp;"/"&amp;C170)),"x","")</f>
        <v/>
      </c>
      <c r="C170" s="172"/>
      <c r="D170" s="172"/>
      <c r="E170" s="69"/>
      <c r="F170" s="61"/>
      <c r="G170" s="19"/>
      <c r="H170" s="197"/>
      <c r="I170" s="56"/>
      <c r="J170" s="15"/>
      <c r="K170" s="15"/>
      <c r="L170" s="15">
        <f t="shared" si="30"/>
        <v>0</v>
      </c>
      <c r="M170" s="15"/>
      <c r="N170" s="15">
        <f t="shared" si="31"/>
        <v>0</v>
      </c>
      <c r="O170" s="15" t="str">
        <f>IF(AND(A170='BANG KE NL'!$M$11,TH!C170="NL",LEFT(D170,1)="N"),"x","")</f>
        <v/>
      </c>
    </row>
    <row r="171" spans="1:15">
      <c r="A171" s="24" t="str">
        <f t="shared" si="29"/>
        <v/>
      </c>
      <c r="B171" s="175" t="str">
        <f>IF(AND(MONTH(E171)='IN-NX'!$J$5,'IN-NX'!$D$7=(D171&amp;"/"&amp;C171)),"x","")</f>
        <v/>
      </c>
      <c r="C171" s="172"/>
      <c r="D171" s="172"/>
      <c r="E171" s="69"/>
      <c r="F171" s="61"/>
      <c r="G171" s="19"/>
      <c r="H171" s="197"/>
      <c r="I171" s="56"/>
      <c r="J171" s="15"/>
      <c r="K171" s="15"/>
      <c r="L171" s="15">
        <f t="shared" si="30"/>
        <v>0</v>
      </c>
      <c r="M171" s="15"/>
      <c r="N171" s="15">
        <f t="shared" si="31"/>
        <v>0</v>
      </c>
      <c r="O171" s="15" t="str">
        <f>IF(AND(A171='BANG KE NL'!$M$11,TH!C171="NL",LEFT(D171,1)="N"),"x","")</f>
        <v/>
      </c>
    </row>
    <row r="172" spans="1:15">
      <c r="A172" s="24" t="str">
        <f t="shared" si="29"/>
        <v/>
      </c>
      <c r="B172" s="175" t="str">
        <f>IF(AND(MONTH(E172)='IN-NX'!$J$5,'IN-NX'!$D$7=(D172&amp;"/"&amp;C172)),"x","")</f>
        <v/>
      </c>
      <c r="C172" s="172"/>
      <c r="D172" s="172"/>
      <c r="E172" s="69"/>
      <c r="F172" s="61"/>
      <c r="G172" s="19"/>
      <c r="H172" s="197"/>
      <c r="I172" s="56"/>
      <c r="J172" s="15"/>
      <c r="K172" s="15"/>
      <c r="L172" s="15">
        <f t="shared" si="30"/>
        <v>0</v>
      </c>
      <c r="M172" s="15"/>
      <c r="N172" s="15">
        <f t="shared" si="31"/>
        <v>0</v>
      </c>
      <c r="O172" s="15" t="str">
        <f>IF(AND(A172='BANG KE NL'!$M$11,TH!C172="NL",LEFT(D172,1)="N"),"x","")</f>
        <v/>
      </c>
    </row>
    <row r="173" spans="1:15">
      <c r="A173" s="24" t="str">
        <f t="shared" si="29"/>
        <v/>
      </c>
      <c r="B173" s="175" t="str">
        <f>IF(AND(MONTH(E173)='IN-NX'!$J$5,'IN-NX'!$D$7=(D173&amp;"/"&amp;C173)),"x","")</f>
        <v/>
      </c>
      <c r="C173" s="172"/>
      <c r="D173" s="172"/>
      <c r="E173" s="69"/>
      <c r="F173" s="61"/>
      <c r="G173" s="19"/>
      <c r="H173" s="197"/>
      <c r="I173" s="56"/>
      <c r="J173" s="15"/>
      <c r="K173" s="15"/>
      <c r="L173" s="15">
        <f t="shared" si="30"/>
        <v>0</v>
      </c>
      <c r="M173" s="15"/>
      <c r="N173" s="15">
        <f t="shared" si="31"/>
        <v>0</v>
      </c>
      <c r="O173" s="15" t="str">
        <f>IF(AND(A173='BANG KE NL'!$M$11,TH!C173="NL",LEFT(D173,1)="N"),"x","")</f>
        <v/>
      </c>
    </row>
    <row r="174" spans="1:15">
      <c r="A174" s="24" t="str">
        <f t="shared" si="29"/>
        <v/>
      </c>
      <c r="B174" s="175" t="str">
        <f>IF(AND(MONTH(E174)='IN-NX'!$J$5,'IN-NX'!$D$7=(D174&amp;"/"&amp;C174)),"x","")</f>
        <v/>
      </c>
      <c r="C174" s="172"/>
      <c r="D174" s="172"/>
      <c r="E174" s="69"/>
      <c r="F174" s="61"/>
      <c r="G174" s="19"/>
      <c r="H174" s="197"/>
      <c r="I174" s="56"/>
      <c r="J174" s="15"/>
      <c r="K174" s="15"/>
      <c r="L174" s="15">
        <f t="shared" si="30"/>
        <v>0</v>
      </c>
      <c r="M174" s="15"/>
      <c r="N174" s="15">
        <f t="shared" si="31"/>
        <v>0</v>
      </c>
      <c r="O174" s="15" t="str">
        <f>IF(AND(A174='BANG KE NL'!$M$11,TH!C174="NL",LEFT(D174,1)="N"),"x","")</f>
        <v/>
      </c>
    </row>
    <row r="175" spans="1:15">
      <c r="A175" s="24" t="str">
        <f t="shared" si="29"/>
        <v/>
      </c>
      <c r="B175" s="175" t="str">
        <f>IF(AND(MONTH(E175)='IN-NX'!$J$5,'IN-NX'!$D$7=(D175&amp;"/"&amp;C175)),"x","")</f>
        <v/>
      </c>
      <c r="C175" s="172"/>
      <c r="D175" s="172"/>
      <c r="E175" s="69"/>
      <c r="F175" s="61"/>
      <c r="G175" s="19"/>
      <c r="H175" s="197"/>
      <c r="I175" s="56"/>
      <c r="J175" s="15"/>
      <c r="K175" s="15"/>
      <c r="L175" s="15">
        <f t="shared" si="30"/>
        <v>0</v>
      </c>
      <c r="M175" s="15"/>
      <c r="N175" s="15">
        <f t="shared" si="31"/>
        <v>0</v>
      </c>
      <c r="O175" s="15" t="str">
        <f>IF(AND(A175='BANG KE NL'!$M$11,TH!C175="NL",LEFT(D175,1)="N"),"x","")</f>
        <v/>
      </c>
    </row>
    <row r="176" spans="1:15">
      <c r="A176" s="24" t="str">
        <f t="shared" si="29"/>
        <v/>
      </c>
      <c r="B176" s="175" t="str">
        <f>IF(AND(MONTH(E176)='IN-NX'!$J$5,'IN-NX'!$D$7=(D176&amp;"/"&amp;C176)),"x","")</f>
        <v/>
      </c>
      <c r="C176" s="172"/>
      <c r="D176" s="172"/>
      <c r="E176" s="69"/>
      <c r="F176" s="61"/>
      <c r="G176" s="19"/>
      <c r="H176" s="197"/>
      <c r="I176" s="56"/>
      <c r="J176" s="15"/>
      <c r="K176" s="15"/>
      <c r="L176" s="15">
        <f t="shared" si="30"/>
        <v>0</v>
      </c>
      <c r="M176" s="15"/>
      <c r="N176" s="15">
        <f t="shared" si="31"/>
        <v>0</v>
      </c>
      <c r="O176" s="15" t="str">
        <f>IF(AND(A176='BANG KE NL'!$M$11,TH!C176="NL",LEFT(D176,1)="N"),"x","")</f>
        <v/>
      </c>
    </row>
    <row r="177" spans="1:15">
      <c r="A177" s="24" t="str">
        <f t="shared" si="29"/>
        <v/>
      </c>
      <c r="B177" s="175" t="str">
        <f>IF(AND(MONTH(E177)='IN-NX'!$J$5,'IN-NX'!$D$7=(D177&amp;"/"&amp;C177)),"x","")</f>
        <v/>
      </c>
      <c r="C177" s="172"/>
      <c r="D177" s="172"/>
      <c r="E177" s="69"/>
      <c r="F177" s="61"/>
      <c r="G177" s="19"/>
      <c r="H177" s="197"/>
      <c r="I177" s="56"/>
      <c r="J177" s="15"/>
      <c r="K177" s="15"/>
      <c r="L177" s="15">
        <f t="shared" si="30"/>
        <v>0</v>
      </c>
      <c r="M177" s="15"/>
      <c r="N177" s="15">
        <f t="shared" si="31"/>
        <v>0</v>
      </c>
      <c r="O177" s="15" t="str">
        <f>IF(AND(A177='BANG KE NL'!$M$11,TH!C177="NL",LEFT(D177,1)="N"),"x","")</f>
        <v/>
      </c>
    </row>
    <row r="178" spans="1:15">
      <c r="A178" s="24" t="str">
        <f t="shared" si="29"/>
        <v/>
      </c>
      <c r="B178" s="175" t="str">
        <f>IF(AND(MONTH(E178)='IN-NX'!$J$5,'IN-NX'!$D$7=(D178&amp;"/"&amp;C178)),"x","")</f>
        <v/>
      </c>
      <c r="C178" s="172"/>
      <c r="D178" s="172"/>
      <c r="E178" s="69"/>
      <c r="F178" s="61"/>
      <c r="G178" s="19"/>
      <c r="H178" s="197"/>
      <c r="I178" s="56"/>
      <c r="J178" s="15"/>
      <c r="K178" s="15"/>
      <c r="L178" s="15">
        <f t="shared" si="30"/>
        <v>0</v>
      </c>
      <c r="M178" s="15"/>
      <c r="N178" s="15">
        <f t="shared" si="31"/>
        <v>0</v>
      </c>
      <c r="O178" s="15" t="str">
        <f>IF(AND(A178='BANG KE NL'!$M$11,TH!C178="NL",LEFT(D178,1)="N"),"x","")</f>
        <v/>
      </c>
    </row>
    <row r="179" spans="1:15">
      <c r="A179" s="24" t="str">
        <f t="shared" si="29"/>
        <v/>
      </c>
      <c r="B179" s="175" t="str">
        <f>IF(AND(MONTH(E179)='IN-NX'!$J$5,'IN-NX'!$D$7=(D179&amp;"/"&amp;C179)),"x","")</f>
        <v/>
      </c>
      <c r="C179" s="172"/>
      <c r="D179" s="172"/>
      <c r="E179" s="69"/>
      <c r="F179" s="61"/>
      <c r="G179" s="19"/>
      <c r="H179" s="197"/>
      <c r="I179" s="56"/>
      <c r="J179" s="15"/>
      <c r="K179" s="15"/>
      <c r="L179" s="15">
        <f t="shared" si="30"/>
        <v>0</v>
      </c>
      <c r="M179" s="15"/>
      <c r="N179" s="15">
        <f t="shared" si="31"/>
        <v>0</v>
      </c>
      <c r="O179" s="15" t="str">
        <f>IF(AND(A179='BANG KE NL'!$M$11,TH!C179="NL",LEFT(D179,1)="N"),"x","")</f>
        <v/>
      </c>
    </row>
    <row r="180" spans="1:15">
      <c r="A180" s="24" t="str">
        <f t="shared" si="29"/>
        <v/>
      </c>
      <c r="B180" s="175" t="str">
        <f>IF(AND(MONTH(E180)='IN-NX'!$J$5,'IN-NX'!$D$7=(D180&amp;"/"&amp;C180)),"x","")</f>
        <v/>
      </c>
      <c r="C180" s="172"/>
      <c r="D180" s="172"/>
      <c r="E180" s="69"/>
      <c r="F180" s="61"/>
      <c r="G180" s="19"/>
      <c r="H180" s="197"/>
      <c r="I180" s="56"/>
      <c r="J180" s="15"/>
      <c r="K180" s="15"/>
      <c r="L180" s="15">
        <f t="shared" si="30"/>
        <v>0</v>
      </c>
      <c r="M180" s="15"/>
      <c r="N180" s="15">
        <f t="shared" si="31"/>
        <v>0</v>
      </c>
      <c r="O180" s="15" t="str">
        <f>IF(AND(A180='BANG KE NL'!$M$11,TH!C180="NL",LEFT(D180,1)="N"),"x","")</f>
        <v/>
      </c>
    </row>
    <row r="181" spans="1:15">
      <c r="A181" s="24" t="str">
        <f t="shared" si="29"/>
        <v/>
      </c>
      <c r="B181" s="175" t="str">
        <f>IF(AND(MONTH(E181)='IN-NX'!$J$5,'IN-NX'!$D$7=(D181&amp;"/"&amp;C181)),"x","")</f>
        <v/>
      </c>
      <c r="C181" s="172"/>
      <c r="D181" s="172"/>
      <c r="E181" s="69"/>
      <c r="F181" s="61"/>
      <c r="G181" s="19"/>
      <c r="H181" s="197"/>
      <c r="I181" s="56"/>
      <c r="J181" s="15"/>
      <c r="K181" s="15"/>
      <c r="L181" s="15">
        <f t="shared" si="30"/>
        <v>0</v>
      </c>
      <c r="M181" s="15"/>
      <c r="N181" s="15">
        <f t="shared" si="31"/>
        <v>0</v>
      </c>
      <c r="O181" s="15" t="str">
        <f>IF(AND(A181='BANG KE NL'!$M$11,TH!C181="NL",LEFT(D181,1)="N"),"x","")</f>
        <v/>
      </c>
    </row>
    <row r="182" spans="1:15">
      <c r="A182" s="24" t="str">
        <f t="shared" si="29"/>
        <v/>
      </c>
      <c r="B182" s="175" t="str">
        <f>IF(AND(MONTH(E182)='IN-NX'!$J$5,'IN-NX'!$D$7=(D182&amp;"/"&amp;C182)),"x","")</f>
        <v/>
      </c>
      <c r="C182" s="172"/>
      <c r="D182" s="172"/>
      <c r="E182" s="69"/>
      <c r="F182" s="61"/>
      <c r="G182" s="19"/>
      <c r="H182" s="197"/>
      <c r="I182" s="56"/>
      <c r="J182" s="15"/>
      <c r="K182" s="15"/>
      <c r="L182" s="15">
        <f t="shared" si="30"/>
        <v>0</v>
      </c>
      <c r="M182" s="15"/>
      <c r="N182" s="15">
        <f t="shared" si="31"/>
        <v>0</v>
      </c>
      <c r="O182" s="15" t="str">
        <f>IF(AND(A182='BANG KE NL'!$M$11,TH!C182="NL",LEFT(D182,1)="N"),"x","")</f>
        <v/>
      </c>
    </row>
    <row r="183" spans="1:15">
      <c r="A183" s="24" t="str">
        <f t="shared" si="29"/>
        <v/>
      </c>
      <c r="B183" s="175" t="str">
        <f>IF(AND(MONTH(E183)='IN-NX'!$J$5,'IN-NX'!$D$7=(D183&amp;"/"&amp;C183)),"x","")</f>
        <v/>
      </c>
      <c r="C183" s="172"/>
      <c r="D183" s="172"/>
      <c r="E183" s="69"/>
      <c r="F183" s="61"/>
      <c r="G183" s="19"/>
      <c r="H183" s="197"/>
      <c r="I183" s="56"/>
      <c r="J183" s="15"/>
      <c r="K183" s="15"/>
      <c r="L183" s="15">
        <f t="shared" si="30"/>
        <v>0</v>
      </c>
      <c r="M183" s="15"/>
      <c r="N183" s="15">
        <f t="shared" si="31"/>
        <v>0</v>
      </c>
      <c r="O183" s="15" t="str">
        <f>IF(AND(A183='BANG KE NL'!$M$11,TH!C183="NL",LEFT(D183,1)="N"),"x","")</f>
        <v/>
      </c>
    </row>
    <row r="184" spans="1:15">
      <c r="A184" s="24" t="str">
        <f t="shared" si="29"/>
        <v/>
      </c>
      <c r="B184" s="175" t="str">
        <f>IF(AND(MONTH(E184)='IN-NX'!$J$5,'IN-NX'!$D$7=(D184&amp;"/"&amp;C184)),"x","")</f>
        <v/>
      </c>
      <c r="C184" s="172"/>
      <c r="D184" s="172"/>
      <c r="E184" s="69"/>
      <c r="F184" s="61"/>
      <c r="G184" s="19"/>
      <c r="H184" s="197"/>
      <c r="I184" s="56"/>
      <c r="J184" s="15"/>
      <c r="K184" s="15"/>
      <c r="L184" s="15">
        <f t="shared" si="30"/>
        <v>0</v>
      </c>
      <c r="M184" s="15"/>
      <c r="N184" s="15">
        <f t="shared" si="31"/>
        <v>0</v>
      </c>
      <c r="O184" s="15" t="str">
        <f>IF(AND(A184='BANG KE NL'!$M$11,TH!C184="NL",LEFT(D184,1)="N"),"x","")</f>
        <v/>
      </c>
    </row>
    <row r="185" spans="1:15">
      <c r="A185" s="24" t="str">
        <f t="shared" si="29"/>
        <v/>
      </c>
      <c r="B185" s="175" t="str">
        <f>IF(AND(MONTH(E185)='IN-NX'!$J$5,'IN-NX'!$D$7=(D185&amp;"/"&amp;C185)),"x","")</f>
        <v/>
      </c>
      <c r="C185" s="172"/>
      <c r="D185" s="172"/>
      <c r="E185" s="69"/>
      <c r="F185" s="61"/>
      <c r="G185" s="19"/>
      <c r="H185" s="197"/>
      <c r="I185" s="56"/>
      <c r="J185" s="15"/>
      <c r="K185" s="15"/>
      <c r="L185" s="15">
        <f t="shared" si="30"/>
        <v>0</v>
      </c>
      <c r="M185" s="15"/>
      <c r="N185" s="15">
        <f t="shared" si="31"/>
        <v>0</v>
      </c>
      <c r="O185" s="15" t="str">
        <f>IF(AND(A185='BANG KE NL'!$M$11,TH!C185="NL",LEFT(D185,1)="N"),"x","")</f>
        <v/>
      </c>
    </row>
    <row r="186" spans="1:15">
      <c r="A186" s="24" t="str">
        <f t="shared" si="29"/>
        <v/>
      </c>
      <c r="B186" s="175" t="str">
        <f>IF(AND(MONTH(E186)='IN-NX'!$J$5,'IN-NX'!$D$7=(D186&amp;"/"&amp;C186)),"x","")</f>
        <v/>
      </c>
      <c r="C186" s="172"/>
      <c r="D186" s="172"/>
      <c r="E186" s="69"/>
      <c r="F186" s="61"/>
      <c r="G186" s="19"/>
      <c r="H186" s="197"/>
      <c r="I186" s="56"/>
      <c r="J186" s="15"/>
      <c r="K186" s="15"/>
      <c r="L186" s="15">
        <f t="shared" si="30"/>
        <v>0</v>
      </c>
      <c r="M186" s="15"/>
      <c r="N186" s="15">
        <f t="shared" si="31"/>
        <v>0</v>
      </c>
      <c r="O186" s="15" t="str">
        <f>IF(AND(A186='BANG KE NL'!$M$11,TH!C211="NL",LEFT(D186,1)="N"),"x","")</f>
        <v/>
      </c>
    </row>
    <row r="187" spans="1:15">
      <c r="A187" s="24" t="str">
        <f t="shared" si="29"/>
        <v/>
      </c>
      <c r="B187" s="175" t="str">
        <f>IF(AND(MONTH(E187)='IN-NX'!$J$5,'IN-NX'!$D$7=(D187&amp;"/"&amp;C187)),"x","")</f>
        <v/>
      </c>
      <c r="C187" s="172"/>
      <c r="D187" s="172"/>
      <c r="E187" s="69"/>
      <c r="F187" s="61"/>
      <c r="G187" s="19"/>
      <c r="H187" s="197"/>
      <c r="I187" s="56"/>
      <c r="J187" s="15"/>
      <c r="K187" s="15"/>
      <c r="L187" s="15">
        <f t="shared" si="30"/>
        <v>0</v>
      </c>
      <c r="M187" s="15"/>
      <c r="N187" s="15">
        <f t="shared" si="31"/>
        <v>0</v>
      </c>
      <c r="O187" s="15" t="str">
        <f>IF(AND(A187='BANG KE NL'!$M$11,TH!C212="NL",LEFT(D187,1)="N"),"x","")</f>
        <v/>
      </c>
    </row>
    <row r="188" spans="1:15">
      <c r="A188" s="24" t="str">
        <f t="shared" si="29"/>
        <v/>
      </c>
      <c r="B188" s="175" t="str">
        <f>IF(AND(MONTH(E188)='IN-NX'!$J$5,'IN-NX'!$D$7=(D188&amp;"/"&amp;C188)),"x","")</f>
        <v/>
      </c>
      <c r="C188" s="172"/>
      <c r="D188" s="172"/>
      <c r="E188" s="69"/>
      <c r="F188" s="61"/>
      <c r="G188" s="19"/>
      <c r="H188" s="197"/>
      <c r="I188" s="56"/>
      <c r="J188" s="15"/>
      <c r="K188" s="15"/>
      <c r="L188" s="15">
        <f t="shared" si="30"/>
        <v>0</v>
      </c>
      <c r="M188" s="15"/>
      <c r="N188" s="15">
        <f t="shared" si="31"/>
        <v>0</v>
      </c>
      <c r="O188" s="15" t="str">
        <f>IF(AND(A188='BANG KE NL'!$M$11,TH!C213="NL",LEFT(D188,1)="N"),"x","")</f>
        <v/>
      </c>
    </row>
    <row r="189" spans="1:15">
      <c r="A189" s="24" t="str">
        <f t="shared" si="29"/>
        <v/>
      </c>
      <c r="B189" s="175" t="str">
        <f>IF(AND(MONTH(E189)='IN-NX'!$J$5,'IN-NX'!$D$7=(D189&amp;"/"&amp;C189)),"x","")</f>
        <v/>
      </c>
      <c r="C189" s="172"/>
      <c r="D189" s="172"/>
      <c r="E189" s="69"/>
      <c r="F189" s="61"/>
      <c r="G189" s="19"/>
      <c r="H189" s="197"/>
      <c r="I189" s="56"/>
      <c r="J189" s="15"/>
      <c r="K189" s="15"/>
      <c r="L189" s="15">
        <f t="shared" si="30"/>
        <v>0</v>
      </c>
      <c r="M189" s="15"/>
      <c r="N189" s="15">
        <f t="shared" si="31"/>
        <v>0</v>
      </c>
      <c r="O189" s="15" t="str">
        <f>IF(AND(A189='BANG KE NL'!$M$11,TH!C186="NL",LEFT(D189,1)="N"),"x","")</f>
        <v/>
      </c>
    </row>
    <row r="190" spans="1:15">
      <c r="A190" s="24" t="str">
        <f t="shared" si="29"/>
        <v/>
      </c>
      <c r="B190" s="175" t="str">
        <f>IF(AND(MONTH(E190)='IN-NX'!$J$5,'IN-NX'!$D$7=(D190&amp;"/"&amp;C190)),"x","")</f>
        <v/>
      </c>
      <c r="C190" s="172"/>
      <c r="D190" s="172"/>
      <c r="E190" s="69"/>
      <c r="F190" s="61"/>
      <c r="G190" s="19"/>
      <c r="H190" s="197"/>
      <c r="I190" s="56"/>
      <c r="J190" s="15"/>
      <c r="K190" s="15"/>
      <c r="L190" s="15">
        <f t="shared" si="30"/>
        <v>0</v>
      </c>
      <c r="M190" s="15"/>
      <c r="N190" s="15">
        <f t="shared" si="31"/>
        <v>0</v>
      </c>
      <c r="O190" s="15" t="str">
        <f>IF(AND(A190='BANG KE NL'!$M$11,TH!C187="NL",LEFT(D190,1)="N"),"x","")</f>
        <v/>
      </c>
    </row>
    <row r="191" spans="1:15">
      <c r="A191" s="24" t="str">
        <f t="shared" si="29"/>
        <v/>
      </c>
      <c r="B191" s="175" t="str">
        <f>IF(AND(MONTH(E191)='IN-NX'!$J$5,'IN-NX'!$D$7=(D191&amp;"/"&amp;C191)),"x","")</f>
        <v/>
      </c>
      <c r="C191" s="172"/>
      <c r="D191" s="172"/>
      <c r="E191" s="69"/>
      <c r="F191" s="61"/>
      <c r="G191" s="19"/>
      <c r="H191" s="197"/>
      <c r="I191" s="56"/>
      <c r="J191" s="15"/>
      <c r="K191" s="15"/>
      <c r="L191" s="15">
        <f t="shared" si="30"/>
        <v>0</v>
      </c>
      <c r="M191" s="15"/>
      <c r="N191" s="15">
        <f t="shared" si="31"/>
        <v>0</v>
      </c>
      <c r="O191" s="15" t="str">
        <f>IF(AND(A191='BANG KE NL'!$M$11,TH!C188="NL",LEFT(D191,1)="N"),"x","")</f>
        <v/>
      </c>
    </row>
    <row r="192" spans="1:15">
      <c r="A192" s="24" t="str">
        <f t="shared" si="29"/>
        <v/>
      </c>
      <c r="B192" s="175" t="str">
        <f>IF(AND(MONTH(E192)='IN-NX'!$J$5,'IN-NX'!$D$7=(D192&amp;"/"&amp;C192)),"x","")</f>
        <v/>
      </c>
      <c r="C192" s="172"/>
      <c r="D192" s="172"/>
      <c r="E192" s="69"/>
      <c r="F192" s="61"/>
      <c r="G192" s="19"/>
      <c r="H192" s="197"/>
      <c r="I192" s="56"/>
      <c r="J192" s="15"/>
      <c r="K192" s="15"/>
      <c r="L192" s="15">
        <f t="shared" si="30"/>
        <v>0</v>
      </c>
      <c r="M192" s="15"/>
      <c r="N192" s="15">
        <f t="shared" si="31"/>
        <v>0</v>
      </c>
      <c r="O192" s="15" t="str">
        <f>IF(AND(A192='BANG KE NL'!$M$11,TH!C189="NL",LEFT(D192,1)="N"),"x","")</f>
        <v/>
      </c>
    </row>
    <row r="193" spans="1:15">
      <c r="A193" s="24" t="str">
        <f t="shared" si="29"/>
        <v/>
      </c>
      <c r="B193" s="175" t="str">
        <f>IF(AND(MONTH(E193)='IN-NX'!$J$5,'IN-NX'!$D$7=(D193&amp;"/"&amp;C193)),"x","")</f>
        <v/>
      </c>
      <c r="C193" s="172"/>
      <c r="D193" s="172"/>
      <c r="E193" s="69"/>
      <c r="F193" s="61"/>
      <c r="G193" s="19"/>
      <c r="H193" s="197"/>
      <c r="I193" s="56"/>
      <c r="J193" s="15"/>
      <c r="K193" s="15"/>
      <c r="L193" s="15">
        <f t="shared" si="30"/>
        <v>0</v>
      </c>
      <c r="M193" s="15"/>
      <c r="N193" s="15">
        <f t="shared" si="31"/>
        <v>0</v>
      </c>
      <c r="O193" s="15" t="str">
        <f>IF(AND(A193='BANG KE NL'!$M$11,TH!C214="NL",LEFT(D193,1)="N"),"x","")</f>
        <v/>
      </c>
    </row>
    <row r="194" spans="1:15">
      <c r="A194" s="24" t="str">
        <f t="shared" si="29"/>
        <v/>
      </c>
      <c r="B194" s="175" t="str">
        <f>IF(AND(MONTH(E194)='IN-NX'!$J$5,'IN-NX'!$D$7=(D194&amp;"/"&amp;C194)),"x","")</f>
        <v/>
      </c>
      <c r="C194" s="172"/>
      <c r="D194" s="172"/>
      <c r="E194" s="69"/>
      <c r="F194" s="61"/>
      <c r="G194" s="19"/>
      <c r="H194" s="197"/>
      <c r="I194" s="56"/>
      <c r="J194" s="15"/>
      <c r="K194" s="15"/>
      <c r="L194" s="15">
        <f t="shared" si="30"/>
        <v>0</v>
      </c>
      <c r="M194" s="15"/>
      <c r="N194" s="15">
        <f t="shared" si="31"/>
        <v>0</v>
      </c>
      <c r="O194" s="15" t="str">
        <f>IF(AND(A194='BANG KE NL'!$M$11,TH!C215="NL",LEFT(D194,1)="N"),"x","")</f>
        <v/>
      </c>
    </row>
    <row r="195" spans="1:15">
      <c r="A195" s="24" t="str">
        <f t="shared" si="29"/>
        <v/>
      </c>
      <c r="B195" s="175" t="str">
        <f>IF(AND(MONTH(E195)='IN-NX'!$J$5,'IN-NX'!$D$7=(D195&amp;"/"&amp;C195)),"x","")</f>
        <v/>
      </c>
      <c r="C195" s="172"/>
      <c r="D195" s="172"/>
      <c r="E195" s="69"/>
      <c r="F195" s="61"/>
      <c r="G195" s="19"/>
      <c r="H195" s="197"/>
      <c r="I195" s="56"/>
      <c r="J195" s="15"/>
      <c r="K195" s="15"/>
      <c r="L195" s="15">
        <f t="shared" si="30"/>
        <v>0</v>
      </c>
      <c r="M195" s="15"/>
      <c r="N195" s="15">
        <f t="shared" si="31"/>
        <v>0</v>
      </c>
      <c r="O195" s="15" t="str">
        <f>IF(AND(A195='BANG KE NL'!$M$11,TH!C190="NL",LEFT(D195,1)="N"),"x","")</f>
        <v/>
      </c>
    </row>
    <row r="196" spans="1:15">
      <c r="A196" s="24" t="str">
        <f t="shared" si="29"/>
        <v/>
      </c>
      <c r="B196" s="175" t="str">
        <f>IF(AND(MONTH(E196)='IN-NX'!$J$5,'IN-NX'!$D$7=(D196&amp;"/"&amp;C196)),"x","")</f>
        <v/>
      </c>
      <c r="C196" s="172"/>
      <c r="D196" s="172"/>
      <c r="E196" s="69"/>
      <c r="F196" s="61"/>
      <c r="G196" s="19"/>
      <c r="H196" s="197"/>
      <c r="I196" s="56"/>
      <c r="J196" s="15"/>
      <c r="K196" s="15"/>
      <c r="L196" s="15">
        <f t="shared" si="30"/>
        <v>0</v>
      </c>
      <c r="M196" s="15"/>
      <c r="N196" s="15">
        <f t="shared" si="31"/>
        <v>0</v>
      </c>
      <c r="O196" s="15" t="str">
        <f>IF(AND(A196='BANG KE NL'!$M$11,TH!C191="NL",LEFT(D196,1)="N"),"x","")</f>
        <v/>
      </c>
    </row>
    <row r="197" spans="1:15">
      <c r="A197" s="24" t="str">
        <f t="shared" ref="A197:A260" si="32">IF(E197&lt;&gt;"",MONTH(E197),"")</f>
        <v/>
      </c>
      <c r="B197" s="175" t="str">
        <f>IF(AND(MONTH(E197)='IN-NX'!$J$5,'IN-NX'!$D$7=(D197&amp;"/"&amp;C197)),"x","")</f>
        <v/>
      </c>
      <c r="C197" s="172"/>
      <c r="D197" s="172"/>
      <c r="E197" s="69"/>
      <c r="F197" s="61"/>
      <c r="G197" s="19"/>
      <c r="H197" s="197"/>
      <c r="I197" s="56"/>
      <c r="J197" s="15"/>
      <c r="K197" s="15"/>
      <c r="L197" s="15">
        <f t="shared" ref="L197:L260" si="33">ROUND(J197*K197,0)</f>
        <v>0</v>
      </c>
      <c r="M197" s="15"/>
      <c r="N197" s="15">
        <f t="shared" ref="N197:N260" si="34">ROUND(J197*M197,0)</f>
        <v>0</v>
      </c>
      <c r="O197" s="15" t="str">
        <f>IF(AND(A197='BANG KE NL'!$M$11,TH!C192="NL",LEFT(D197,1)="N"),"x","")</f>
        <v/>
      </c>
    </row>
    <row r="198" spans="1:15">
      <c r="A198" s="24" t="str">
        <f t="shared" si="32"/>
        <v/>
      </c>
      <c r="B198" s="175" t="str">
        <f>IF(AND(MONTH(E198)='IN-NX'!$J$5,'IN-NX'!$D$7=(D198&amp;"/"&amp;C198)),"x","")</f>
        <v/>
      </c>
      <c r="C198" s="172"/>
      <c r="D198" s="172"/>
      <c r="E198" s="69"/>
      <c r="F198" s="61"/>
      <c r="G198" s="19"/>
      <c r="H198" s="197"/>
      <c r="I198" s="56"/>
      <c r="J198" s="15"/>
      <c r="K198" s="15"/>
      <c r="L198" s="15">
        <f t="shared" si="33"/>
        <v>0</v>
      </c>
      <c r="M198" s="15"/>
      <c r="N198" s="15">
        <f t="shared" si="34"/>
        <v>0</v>
      </c>
      <c r="O198" s="15" t="str">
        <f>IF(AND(A198='BANG KE NL'!$M$11,TH!C193="NL",LEFT(D198,1)="N"),"x","")</f>
        <v/>
      </c>
    </row>
    <row r="199" spans="1:15">
      <c r="A199" s="24" t="str">
        <f t="shared" si="32"/>
        <v/>
      </c>
      <c r="B199" s="175" t="str">
        <f>IF(AND(MONTH(E199)='IN-NX'!$J$5,'IN-NX'!$D$7=(D199&amp;"/"&amp;C199)),"x","")</f>
        <v/>
      </c>
      <c r="C199" s="172"/>
      <c r="D199" s="172"/>
      <c r="E199" s="69"/>
      <c r="F199" s="61"/>
      <c r="G199" s="19"/>
      <c r="H199" s="197"/>
      <c r="I199" s="56"/>
      <c r="J199" s="15"/>
      <c r="K199" s="15"/>
      <c r="L199" s="15">
        <f t="shared" si="33"/>
        <v>0</v>
      </c>
      <c r="M199" s="15"/>
      <c r="N199" s="15">
        <f t="shared" si="34"/>
        <v>0</v>
      </c>
      <c r="O199" s="15" t="str">
        <f>IF(AND(A199='BANG KE NL'!$M$11,TH!C216="NL",LEFT(D199,1)="N"),"x","")</f>
        <v/>
      </c>
    </row>
    <row r="200" spans="1:15">
      <c r="A200" s="24" t="str">
        <f t="shared" si="32"/>
        <v/>
      </c>
      <c r="B200" s="175" t="str">
        <f>IF(AND(MONTH(E200)='IN-NX'!$J$5,'IN-NX'!$D$7=(D200&amp;"/"&amp;C200)),"x","")</f>
        <v/>
      </c>
      <c r="C200" s="172"/>
      <c r="D200" s="172"/>
      <c r="E200" s="69"/>
      <c r="F200" s="61"/>
      <c r="G200" s="19"/>
      <c r="H200" s="197"/>
      <c r="I200" s="56"/>
      <c r="J200" s="15"/>
      <c r="K200" s="15"/>
      <c r="L200" s="15">
        <f t="shared" si="33"/>
        <v>0</v>
      </c>
      <c r="M200" s="15"/>
      <c r="N200" s="15">
        <f t="shared" si="34"/>
        <v>0</v>
      </c>
      <c r="O200" s="15" t="str">
        <f>IF(AND(A200='BANG KE NL'!$M$11,TH!C217="NL",LEFT(D200,1)="N"),"x","")</f>
        <v/>
      </c>
    </row>
    <row r="201" spans="1:15">
      <c r="A201" s="24" t="str">
        <f t="shared" si="32"/>
        <v/>
      </c>
      <c r="B201" s="175" t="str">
        <f>IF(AND(MONTH(E201)='IN-NX'!$J$5,'IN-NX'!$D$7=(D201&amp;"/"&amp;C201)),"x","")</f>
        <v/>
      </c>
      <c r="C201" s="172"/>
      <c r="D201" s="172"/>
      <c r="E201" s="69"/>
      <c r="F201" s="61"/>
      <c r="G201" s="19"/>
      <c r="H201" s="197"/>
      <c r="I201" s="56"/>
      <c r="J201" s="15"/>
      <c r="K201" s="15"/>
      <c r="L201" s="15">
        <f t="shared" si="33"/>
        <v>0</v>
      </c>
      <c r="M201" s="15"/>
      <c r="N201" s="15">
        <f t="shared" si="34"/>
        <v>0</v>
      </c>
      <c r="O201" s="15" t="str">
        <f>IF(AND(A201='BANG KE NL'!$M$11,TH!C218="NL",LEFT(D201,1)="N"),"x","")</f>
        <v/>
      </c>
    </row>
    <row r="202" spans="1:15">
      <c r="A202" s="24" t="str">
        <f t="shared" si="32"/>
        <v/>
      </c>
      <c r="B202" s="175" t="str">
        <f>IF(AND(MONTH(E202)='IN-NX'!$J$5,'IN-NX'!$D$7=(D202&amp;"/"&amp;C202)),"x","")</f>
        <v/>
      </c>
      <c r="C202" s="172"/>
      <c r="D202" s="172"/>
      <c r="E202" s="69"/>
      <c r="F202" s="61"/>
      <c r="G202" s="19"/>
      <c r="H202" s="197"/>
      <c r="I202" s="56"/>
      <c r="J202" s="15"/>
      <c r="K202" s="15"/>
      <c r="L202" s="15">
        <f t="shared" si="33"/>
        <v>0</v>
      </c>
      <c r="M202" s="15"/>
      <c r="N202" s="15">
        <f t="shared" si="34"/>
        <v>0</v>
      </c>
      <c r="O202" s="15" t="str">
        <f>IF(AND(A202='BANG KE NL'!$M$11,TH!C194="NL",LEFT(D202,1)="N"),"x","")</f>
        <v/>
      </c>
    </row>
    <row r="203" spans="1:15">
      <c r="A203" s="24" t="str">
        <f t="shared" si="32"/>
        <v/>
      </c>
      <c r="B203" s="175" t="str">
        <f>IF(AND(MONTH(E203)='IN-NX'!$J$5,'IN-NX'!$D$7=(D203&amp;"/"&amp;C203)),"x","")</f>
        <v/>
      </c>
      <c r="C203" s="172"/>
      <c r="D203" s="172"/>
      <c r="E203" s="69"/>
      <c r="F203" s="61"/>
      <c r="G203" s="19"/>
      <c r="H203" s="197"/>
      <c r="I203" s="56"/>
      <c r="J203" s="15"/>
      <c r="K203" s="15"/>
      <c r="L203" s="15">
        <f t="shared" si="33"/>
        <v>0</v>
      </c>
      <c r="M203" s="15"/>
      <c r="N203" s="15">
        <f t="shared" si="34"/>
        <v>0</v>
      </c>
      <c r="O203" s="15" t="str">
        <f>IF(AND(A203='BANG KE NL'!$M$11,TH!C195="NL",LEFT(D203,1)="N"),"x","")</f>
        <v/>
      </c>
    </row>
    <row r="204" spans="1:15">
      <c r="A204" s="24" t="str">
        <f t="shared" si="32"/>
        <v/>
      </c>
      <c r="B204" s="175" t="str">
        <f>IF(AND(MONTH(E204)='IN-NX'!$J$5,'IN-NX'!$D$7=(D204&amp;"/"&amp;C204)),"x","")</f>
        <v/>
      </c>
      <c r="C204" s="172"/>
      <c r="D204" s="172"/>
      <c r="E204" s="69"/>
      <c r="F204" s="61"/>
      <c r="G204" s="19"/>
      <c r="H204" s="197"/>
      <c r="I204" s="56"/>
      <c r="J204" s="15"/>
      <c r="K204" s="15"/>
      <c r="L204" s="15">
        <f t="shared" si="33"/>
        <v>0</v>
      </c>
      <c r="M204" s="15"/>
      <c r="N204" s="15">
        <f t="shared" si="34"/>
        <v>0</v>
      </c>
      <c r="O204" s="15" t="str">
        <f>IF(AND(A204='BANG KE NL'!$M$11,TH!C196="NL",LEFT(D204,1)="N"),"x","")</f>
        <v/>
      </c>
    </row>
    <row r="205" spans="1:15">
      <c r="A205" s="24" t="str">
        <f t="shared" si="32"/>
        <v/>
      </c>
      <c r="B205" s="175" t="str">
        <f>IF(AND(MONTH(E205)='IN-NX'!$J$5,'IN-NX'!$D$7=(D205&amp;"/"&amp;C205)),"x","")</f>
        <v/>
      </c>
      <c r="C205" s="172"/>
      <c r="D205" s="172"/>
      <c r="E205" s="69"/>
      <c r="F205" s="61"/>
      <c r="G205" s="19"/>
      <c r="H205" s="197"/>
      <c r="I205" s="56"/>
      <c r="J205" s="15"/>
      <c r="K205" s="15"/>
      <c r="L205" s="15">
        <f t="shared" si="33"/>
        <v>0</v>
      </c>
      <c r="M205" s="15"/>
      <c r="N205" s="15">
        <f t="shared" si="34"/>
        <v>0</v>
      </c>
      <c r="O205" s="15" t="str">
        <f>IF(AND(A205='BANG KE NL'!$M$11,TH!C197="NL",LEFT(D205,1)="N"),"x","")</f>
        <v/>
      </c>
    </row>
    <row r="206" spans="1:15">
      <c r="A206" s="24" t="str">
        <f t="shared" si="32"/>
        <v/>
      </c>
      <c r="B206" s="175" t="str">
        <f>IF(AND(MONTH(E206)='IN-NX'!$J$5,'IN-NX'!$D$7=(D206&amp;"/"&amp;C206)),"x","")</f>
        <v/>
      </c>
      <c r="C206" s="172"/>
      <c r="D206" s="172"/>
      <c r="E206" s="69"/>
      <c r="F206" s="61"/>
      <c r="G206" s="19"/>
      <c r="H206" s="197"/>
      <c r="I206" s="56"/>
      <c r="J206" s="15"/>
      <c r="K206" s="15"/>
      <c r="L206" s="15">
        <f t="shared" si="33"/>
        <v>0</v>
      </c>
      <c r="M206" s="15"/>
      <c r="N206" s="15">
        <f t="shared" si="34"/>
        <v>0</v>
      </c>
      <c r="O206" s="15" t="str">
        <f>IF(AND(A206='BANG KE NL'!$M$11,TH!C198="NL",LEFT(D206,1)="N"),"x","")</f>
        <v/>
      </c>
    </row>
    <row r="207" spans="1:15">
      <c r="A207" s="24" t="str">
        <f t="shared" si="32"/>
        <v/>
      </c>
      <c r="B207" s="175" t="str">
        <f>IF(AND(MONTH(E207)='IN-NX'!$J$5,'IN-NX'!$D$7=(D207&amp;"/"&amp;C207)),"x","")</f>
        <v/>
      </c>
      <c r="C207" s="172"/>
      <c r="D207" s="172"/>
      <c r="E207" s="69"/>
      <c r="F207" s="61"/>
      <c r="G207" s="19"/>
      <c r="H207" s="197"/>
      <c r="I207" s="56"/>
      <c r="J207" s="15"/>
      <c r="K207" s="15"/>
      <c r="L207" s="15">
        <f t="shared" si="33"/>
        <v>0</v>
      </c>
      <c r="M207" s="15"/>
      <c r="N207" s="15">
        <f t="shared" si="34"/>
        <v>0</v>
      </c>
      <c r="O207" s="15" t="str">
        <f>IF(AND(A207='BANG KE NL'!$M$11,TH!C199="NL",LEFT(D207,1)="N"),"x","")</f>
        <v/>
      </c>
    </row>
    <row r="208" spans="1:15">
      <c r="A208" s="24" t="str">
        <f t="shared" si="32"/>
        <v/>
      </c>
      <c r="B208" s="175" t="str">
        <f>IF(AND(MONTH(E208)='IN-NX'!$J$5,'IN-NX'!$D$7=(D208&amp;"/"&amp;C208)),"x","")</f>
        <v/>
      </c>
      <c r="C208" s="172"/>
      <c r="D208" s="172"/>
      <c r="E208" s="69"/>
      <c r="F208" s="61"/>
      <c r="G208" s="19"/>
      <c r="H208" s="197"/>
      <c r="I208" s="56"/>
      <c r="J208" s="15"/>
      <c r="K208" s="15"/>
      <c r="L208" s="15">
        <f t="shared" si="33"/>
        <v>0</v>
      </c>
      <c r="M208" s="15"/>
      <c r="N208" s="15">
        <f t="shared" si="34"/>
        <v>0</v>
      </c>
      <c r="O208" s="15" t="str">
        <f>IF(AND(A208='BANG KE NL'!$M$11,TH!C200="NL",LEFT(D208,1)="N"),"x","")</f>
        <v/>
      </c>
    </row>
    <row r="209" spans="1:15">
      <c r="A209" s="24" t="str">
        <f t="shared" si="32"/>
        <v/>
      </c>
      <c r="B209" s="175" t="str">
        <f>IF(AND(MONTH(E209)='IN-NX'!$J$5,'IN-NX'!$D$7=(D209&amp;"/"&amp;C209)),"x","")</f>
        <v/>
      </c>
      <c r="C209" s="172"/>
      <c r="D209" s="172"/>
      <c r="E209" s="69"/>
      <c r="F209" s="61"/>
      <c r="G209" s="19"/>
      <c r="H209" s="197"/>
      <c r="I209" s="56"/>
      <c r="J209" s="15"/>
      <c r="K209" s="15"/>
      <c r="L209" s="15">
        <f t="shared" si="33"/>
        <v>0</v>
      </c>
      <c r="M209" s="15"/>
      <c r="N209" s="15">
        <f t="shared" si="34"/>
        <v>0</v>
      </c>
      <c r="O209" s="15" t="str">
        <f>IF(AND(A209='BANG KE NL'!$M$11,TH!C201="NL",LEFT(D209,1)="N"),"x","")</f>
        <v/>
      </c>
    </row>
    <row r="210" spans="1:15">
      <c r="A210" s="24" t="str">
        <f t="shared" si="32"/>
        <v/>
      </c>
      <c r="B210" s="175" t="str">
        <f>IF(AND(MONTH(E210)='IN-NX'!$J$5,'IN-NX'!$D$7=(D210&amp;"/"&amp;C210)),"x","")</f>
        <v/>
      </c>
      <c r="C210" s="172"/>
      <c r="D210" s="172"/>
      <c r="E210" s="69"/>
      <c r="F210" s="61"/>
      <c r="G210" s="19"/>
      <c r="H210" s="197"/>
      <c r="I210" s="56"/>
      <c r="J210" s="15"/>
      <c r="K210" s="15"/>
      <c r="L210" s="15">
        <f t="shared" si="33"/>
        <v>0</v>
      </c>
      <c r="M210" s="15"/>
      <c r="N210" s="15">
        <f t="shared" si="34"/>
        <v>0</v>
      </c>
      <c r="O210" s="15" t="str">
        <f>IF(AND(A210='BANG KE NL'!$M$11,TH!C230="NL",LEFT(D210,1)="N"),"x","")</f>
        <v/>
      </c>
    </row>
    <row r="211" spans="1:15">
      <c r="A211" s="24" t="str">
        <f t="shared" si="32"/>
        <v/>
      </c>
      <c r="B211" s="175" t="str">
        <f>IF(AND(MONTH(E211)='IN-NX'!$J$5,'IN-NX'!$D$7=(D211&amp;"/"&amp;C211)),"x","")</f>
        <v/>
      </c>
      <c r="C211" s="172"/>
      <c r="D211" s="172"/>
      <c r="E211" s="69"/>
      <c r="F211" s="61"/>
      <c r="G211" s="19"/>
      <c r="H211" s="197"/>
      <c r="I211" s="56"/>
      <c r="J211" s="15"/>
      <c r="K211" s="15"/>
      <c r="L211" s="15">
        <f t="shared" si="33"/>
        <v>0</v>
      </c>
      <c r="M211" s="15"/>
      <c r="N211" s="15">
        <f t="shared" si="34"/>
        <v>0</v>
      </c>
      <c r="O211" s="15" t="str">
        <f>IF(AND(A211='BANG KE NL'!$M$11,TH!C231="NL",LEFT(D211,1)="N"),"x","")</f>
        <v/>
      </c>
    </row>
    <row r="212" spans="1:15">
      <c r="A212" s="24" t="str">
        <f t="shared" si="32"/>
        <v/>
      </c>
      <c r="B212" s="175" t="str">
        <f>IF(AND(MONTH(E212)='IN-NX'!$J$5,'IN-NX'!$D$7=(D212&amp;"/"&amp;C212)),"x","")</f>
        <v/>
      </c>
      <c r="C212" s="172"/>
      <c r="D212" s="172"/>
      <c r="E212" s="69"/>
      <c r="F212" s="61"/>
      <c r="G212" s="19"/>
      <c r="H212" s="197"/>
      <c r="I212" s="56"/>
      <c r="J212" s="15"/>
      <c r="K212" s="15"/>
      <c r="L212" s="15">
        <f t="shared" si="33"/>
        <v>0</v>
      </c>
      <c r="M212" s="15"/>
      <c r="N212" s="15">
        <f t="shared" si="34"/>
        <v>0</v>
      </c>
      <c r="O212" s="15" t="str">
        <f>IF(AND(A212='BANG KE NL'!$M$11,TH!C232="NL",LEFT(D212,1)="N"),"x","")</f>
        <v/>
      </c>
    </row>
    <row r="213" spans="1:15">
      <c r="A213" s="24" t="str">
        <f t="shared" si="32"/>
        <v/>
      </c>
      <c r="B213" s="175" t="str">
        <f>IF(AND(MONTH(E213)='IN-NX'!$J$5,'IN-NX'!$D$7=(D213&amp;"/"&amp;C213)),"x","")</f>
        <v/>
      </c>
      <c r="C213" s="172"/>
      <c r="D213" s="172"/>
      <c r="E213" s="69"/>
      <c r="F213" s="61"/>
      <c r="G213" s="19"/>
      <c r="H213" s="197"/>
      <c r="I213" s="56"/>
      <c r="J213" s="15"/>
      <c r="K213" s="15"/>
      <c r="L213" s="15">
        <f t="shared" si="33"/>
        <v>0</v>
      </c>
      <c r="M213" s="15"/>
      <c r="N213" s="15">
        <f t="shared" si="34"/>
        <v>0</v>
      </c>
      <c r="O213" s="15" t="str">
        <f>IF(AND(A213='BANG KE NL'!$M$11,TH!C202="NL",LEFT(D213,1)="N"),"x","")</f>
        <v/>
      </c>
    </row>
    <row r="214" spans="1:15">
      <c r="A214" s="24" t="str">
        <f t="shared" si="32"/>
        <v/>
      </c>
      <c r="B214" s="175" t="str">
        <f>IF(AND(MONTH(E214)='IN-NX'!$J$5,'IN-NX'!$D$7=(D214&amp;"/"&amp;C214)),"x","")</f>
        <v/>
      </c>
      <c r="C214" s="172"/>
      <c r="D214" s="172"/>
      <c r="E214" s="69"/>
      <c r="F214" s="61"/>
      <c r="G214" s="19"/>
      <c r="H214" s="197"/>
      <c r="I214" s="56"/>
      <c r="J214" s="15"/>
      <c r="K214" s="15"/>
      <c r="L214" s="15">
        <f t="shared" si="33"/>
        <v>0</v>
      </c>
      <c r="M214" s="15"/>
      <c r="N214" s="15">
        <f t="shared" si="34"/>
        <v>0</v>
      </c>
      <c r="O214" s="15" t="str">
        <f>IF(AND(A214='BANG KE NL'!$M$11,TH!C203="NL",LEFT(D214,1)="N"),"x","")</f>
        <v/>
      </c>
    </row>
    <row r="215" spans="1:15">
      <c r="A215" s="24" t="str">
        <f t="shared" si="32"/>
        <v/>
      </c>
      <c r="B215" s="175" t="str">
        <f>IF(AND(MONTH(E215)='IN-NX'!$J$5,'IN-NX'!$D$7=(D215&amp;"/"&amp;C215)),"x","")</f>
        <v/>
      </c>
      <c r="C215" s="172"/>
      <c r="D215" s="172"/>
      <c r="E215" s="69"/>
      <c r="F215" s="61"/>
      <c r="G215" s="19"/>
      <c r="H215" s="197"/>
      <c r="I215" s="56"/>
      <c r="J215" s="15"/>
      <c r="K215" s="15"/>
      <c r="L215" s="15">
        <f t="shared" si="33"/>
        <v>0</v>
      </c>
      <c r="M215" s="15"/>
      <c r="N215" s="15">
        <f t="shared" si="34"/>
        <v>0</v>
      </c>
      <c r="O215" s="15" t="str">
        <f>IF(AND(A215='BANG KE NL'!$M$11,TH!C204="NL",LEFT(D215,1)="N"),"x","")</f>
        <v/>
      </c>
    </row>
    <row r="216" spans="1:15">
      <c r="A216" s="24" t="str">
        <f t="shared" si="32"/>
        <v/>
      </c>
      <c r="B216" s="175" t="str">
        <f>IF(AND(MONTH(E216)='IN-NX'!$J$5,'IN-NX'!$D$7=(D216&amp;"/"&amp;C216)),"x","")</f>
        <v/>
      </c>
      <c r="C216" s="172"/>
      <c r="D216" s="172"/>
      <c r="E216" s="69"/>
      <c r="F216" s="61"/>
      <c r="G216" s="19"/>
      <c r="H216" s="197"/>
      <c r="I216" s="56"/>
      <c r="J216" s="15"/>
      <c r="K216" s="15"/>
      <c r="L216" s="15">
        <f t="shared" si="33"/>
        <v>0</v>
      </c>
      <c r="M216" s="15"/>
      <c r="N216" s="15">
        <f t="shared" si="34"/>
        <v>0</v>
      </c>
      <c r="O216" s="15" t="str">
        <f>IF(AND(A216='BANG KE NL'!$M$11,TH!C205="NL",LEFT(D216,1)="N"),"x","")</f>
        <v/>
      </c>
    </row>
    <row r="217" spans="1:15">
      <c r="A217" s="24" t="str">
        <f t="shared" si="32"/>
        <v/>
      </c>
      <c r="B217" s="175" t="str">
        <f>IF(AND(MONTH(E217)='IN-NX'!$J$5,'IN-NX'!$D$7=(D217&amp;"/"&amp;C217)),"x","")</f>
        <v/>
      </c>
      <c r="C217" s="172"/>
      <c r="D217" s="172"/>
      <c r="E217" s="69"/>
      <c r="F217" s="61"/>
      <c r="G217" s="19"/>
      <c r="H217" s="197"/>
      <c r="I217" s="56"/>
      <c r="J217" s="15"/>
      <c r="K217" s="15"/>
      <c r="L217" s="15">
        <f t="shared" si="33"/>
        <v>0</v>
      </c>
      <c r="M217" s="15"/>
      <c r="N217" s="15">
        <f t="shared" si="34"/>
        <v>0</v>
      </c>
      <c r="O217" s="15" t="str">
        <f>IF(AND(A217='BANG KE NL'!$M$11,TH!C222="NL",LEFT(D217,1)="N"),"x","")</f>
        <v/>
      </c>
    </row>
    <row r="218" spans="1:15">
      <c r="A218" s="24" t="str">
        <f t="shared" si="32"/>
        <v/>
      </c>
      <c r="B218" s="175" t="str">
        <f>IF(AND(MONTH(E218)='IN-NX'!$J$5,'IN-NX'!$D$7=(D218&amp;"/"&amp;C218)),"x","")</f>
        <v/>
      </c>
      <c r="C218" s="172"/>
      <c r="D218" s="172"/>
      <c r="E218" s="69"/>
      <c r="F218" s="61"/>
      <c r="G218" s="19"/>
      <c r="H218" s="197"/>
      <c r="I218" s="56"/>
      <c r="J218" s="15"/>
      <c r="K218" s="15"/>
      <c r="L218" s="15">
        <f t="shared" si="33"/>
        <v>0</v>
      </c>
      <c r="M218" s="15"/>
      <c r="N218" s="15">
        <f t="shared" si="34"/>
        <v>0</v>
      </c>
      <c r="O218" s="15" t="str">
        <f>IF(AND(A218='BANG KE NL'!$M$11,TH!C223="NL",LEFT(D218,1)="N"),"x","")</f>
        <v/>
      </c>
    </row>
    <row r="219" spans="1:15">
      <c r="A219" s="24" t="str">
        <f t="shared" si="32"/>
        <v/>
      </c>
      <c r="B219" s="175" t="str">
        <f>IF(AND(MONTH(E219)='IN-NX'!$J$5,'IN-NX'!$D$7=(D219&amp;"/"&amp;C219)),"x","")</f>
        <v/>
      </c>
      <c r="C219" s="172"/>
      <c r="D219" s="172"/>
      <c r="E219" s="69"/>
      <c r="F219" s="61"/>
      <c r="G219" s="19"/>
      <c r="H219" s="197"/>
      <c r="I219" s="56"/>
      <c r="J219" s="15"/>
      <c r="K219" s="15"/>
      <c r="L219" s="15">
        <f t="shared" si="33"/>
        <v>0</v>
      </c>
      <c r="M219" s="15"/>
      <c r="N219" s="15">
        <f t="shared" si="34"/>
        <v>0</v>
      </c>
      <c r="O219" s="15" t="str">
        <f>IF(AND(A219='BANG KE NL'!$M$11,TH!C224="NL",LEFT(D219,1)="N"),"x","")</f>
        <v/>
      </c>
    </row>
    <row r="220" spans="1:15">
      <c r="A220" s="24" t="str">
        <f t="shared" si="32"/>
        <v/>
      </c>
      <c r="B220" s="175" t="str">
        <f>IF(AND(MONTH(E220)='IN-NX'!$J$5,'IN-NX'!$D$7=(D220&amp;"/"&amp;C220)),"x","")</f>
        <v/>
      </c>
      <c r="C220" s="172"/>
      <c r="D220" s="172"/>
      <c r="E220" s="69"/>
      <c r="F220" s="61"/>
      <c r="G220" s="19"/>
      <c r="H220" s="197"/>
      <c r="I220" s="56"/>
      <c r="J220" s="15"/>
      <c r="K220" s="15"/>
      <c r="L220" s="15">
        <f t="shared" si="33"/>
        <v>0</v>
      </c>
      <c r="M220" s="15"/>
      <c r="N220" s="15">
        <f t="shared" si="34"/>
        <v>0</v>
      </c>
      <c r="O220" s="15" t="str">
        <f>IF(AND(A220='BANG KE NL'!$M$11,TH!C225="NL",LEFT(D220,1)="N"),"x","")</f>
        <v/>
      </c>
    </row>
    <row r="221" spans="1:15">
      <c r="A221" s="24" t="str">
        <f t="shared" si="32"/>
        <v/>
      </c>
      <c r="B221" s="175" t="str">
        <f>IF(AND(MONTH(E221)='IN-NX'!$J$5,'IN-NX'!$D$7=(D221&amp;"/"&amp;C221)),"x","")</f>
        <v/>
      </c>
      <c r="C221" s="172"/>
      <c r="D221" s="172"/>
      <c r="E221" s="69"/>
      <c r="F221" s="61"/>
      <c r="G221" s="19"/>
      <c r="H221" s="197"/>
      <c r="I221" s="56"/>
      <c r="J221" s="15"/>
      <c r="K221" s="15"/>
      <c r="L221" s="15">
        <f t="shared" si="33"/>
        <v>0</v>
      </c>
      <c r="M221" s="15"/>
      <c r="N221" s="15">
        <f t="shared" si="34"/>
        <v>0</v>
      </c>
      <c r="O221" s="15" t="str">
        <f>IF(AND(A221='BANG KE NL'!$M$11,TH!C226="NL",LEFT(D221,1)="N"),"x","")</f>
        <v/>
      </c>
    </row>
    <row r="222" spans="1:15">
      <c r="A222" s="24" t="str">
        <f t="shared" si="32"/>
        <v/>
      </c>
      <c r="B222" s="175" t="str">
        <f>IF(AND(MONTH(E222)='IN-NX'!$J$5,'IN-NX'!$D$7=(D222&amp;"/"&amp;C222)),"x","")</f>
        <v/>
      </c>
      <c r="C222" s="172"/>
      <c r="D222" s="172"/>
      <c r="E222" s="69"/>
      <c r="F222" s="61"/>
      <c r="G222" s="19"/>
      <c r="H222" s="197"/>
      <c r="I222" s="56"/>
      <c r="J222" s="15"/>
      <c r="K222" s="15"/>
      <c r="L222" s="15">
        <f t="shared" si="33"/>
        <v>0</v>
      </c>
      <c r="M222" s="15"/>
      <c r="N222" s="15">
        <f t="shared" si="34"/>
        <v>0</v>
      </c>
      <c r="O222" s="15" t="str">
        <f>IF(AND(A222='BANG KE NL'!$M$11,TH!C227="NL",LEFT(D222,1)="N"),"x","")</f>
        <v/>
      </c>
    </row>
    <row r="223" spans="1:15">
      <c r="A223" s="24" t="str">
        <f t="shared" si="32"/>
        <v/>
      </c>
      <c r="B223" s="175" t="str">
        <f>IF(AND(MONTH(E223)='IN-NX'!$J$5,'IN-NX'!$D$7=(D223&amp;"/"&amp;C223)),"x","")</f>
        <v/>
      </c>
      <c r="C223" s="172"/>
      <c r="D223" s="172"/>
      <c r="E223" s="69"/>
      <c r="F223" s="61"/>
      <c r="G223" s="19"/>
      <c r="H223" s="197"/>
      <c r="I223" s="56"/>
      <c r="J223" s="15"/>
      <c r="K223" s="15"/>
      <c r="L223" s="15">
        <f t="shared" si="33"/>
        <v>0</v>
      </c>
      <c r="M223" s="15"/>
      <c r="N223" s="15">
        <f t="shared" si="34"/>
        <v>0</v>
      </c>
      <c r="O223" s="15" t="str">
        <f>IF(AND(A223='BANG KE NL'!$M$11,TH!C219="NL",LEFT(D223,1)="N"),"x","")</f>
        <v/>
      </c>
    </row>
    <row r="224" spans="1:15">
      <c r="A224" s="24" t="str">
        <f t="shared" si="32"/>
        <v/>
      </c>
      <c r="B224" s="175" t="str">
        <f>IF(AND(MONTH(E224)='IN-NX'!$J$5,'IN-NX'!$D$7=(D224&amp;"/"&amp;C224)),"x","")</f>
        <v/>
      </c>
      <c r="C224" s="172"/>
      <c r="D224" s="172"/>
      <c r="E224" s="69"/>
      <c r="F224" s="61"/>
      <c r="G224" s="19"/>
      <c r="H224" s="197"/>
      <c r="I224" s="56"/>
      <c r="J224" s="15"/>
      <c r="K224" s="15"/>
      <c r="L224" s="15">
        <f t="shared" si="33"/>
        <v>0</v>
      </c>
      <c r="M224" s="15"/>
      <c r="N224" s="15">
        <f t="shared" si="34"/>
        <v>0</v>
      </c>
      <c r="O224" s="15" t="str">
        <f>IF(AND(A224='BANG KE NL'!$M$11,TH!C206="NL",LEFT(D224,1)="N"),"x","")</f>
        <v/>
      </c>
    </row>
    <row r="225" spans="1:15">
      <c r="A225" s="24" t="str">
        <f t="shared" si="32"/>
        <v/>
      </c>
      <c r="B225" s="175" t="str">
        <f>IF(AND(MONTH(E225)='IN-NX'!$J$5,'IN-NX'!$D$7=(D225&amp;"/"&amp;C225)),"x","")</f>
        <v/>
      </c>
      <c r="C225" s="172"/>
      <c r="D225" s="172"/>
      <c r="E225" s="69"/>
      <c r="F225" s="61"/>
      <c r="G225" s="19"/>
      <c r="H225" s="197"/>
      <c r="I225" s="56"/>
      <c r="J225" s="15"/>
      <c r="K225" s="15"/>
      <c r="L225" s="15">
        <f t="shared" si="33"/>
        <v>0</v>
      </c>
      <c r="M225" s="15"/>
      <c r="N225" s="15">
        <f t="shared" si="34"/>
        <v>0</v>
      </c>
      <c r="O225" s="15" t="str">
        <f>IF(AND(A225='BANG KE NL'!$M$11,TH!C220="NL",LEFT(D225,1)="N"),"x","")</f>
        <v/>
      </c>
    </row>
    <row r="226" spans="1:15">
      <c r="A226" s="24" t="str">
        <f t="shared" si="32"/>
        <v/>
      </c>
      <c r="B226" s="175" t="str">
        <f>IF(AND(MONTH(E226)='IN-NX'!$J$5,'IN-NX'!$D$7=(D226&amp;"/"&amp;C226)),"x","")</f>
        <v/>
      </c>
      <c r="C226" s="172"/>
      <c r="D226" s="172"/>
      <c r="E226" s="69"/>
      <c r="F226" s="61"/>
      <c r="G226" s="19"/>
      <c r="H226" s="197"/>
      <c r="I226" s="56"/>
      <c r="J226" s="15"/>
      <c r="K226" s="15"/>
      <c r="L226" s="15">
        <f t="shared" si="33"/>
        <v>0</v>
      </c>
      <c r="M226" s="15"/>
      <c r="N226" s="15">
        <f t="shared" si="34"/>
        <v>0</v>
      </c>
      <c r="O226" s="15" t="str">
        <f>IF(AND(A226='BANG KE NL'!$M$11,TH!C207="NL",LEFT(D226,1)="N"),"x","")</f>
        <v/>
      </c>
    </row>
    <row r="227" spans="1:15">
      <c r="A227" s="24" t="str">
        <f t="shared" si="32"/>
        <v/>
      </c>
      <c r="B227" s="175" t="str">
        <f>IF(AND(MONTH(E227)='IN-NX'!$J$5,'IN-NX'!$D$7=(D227&amp;"/"&amp;C227)),"x","")</f>
        <v/>
      </c>
      <c r="C227" s="172"/>
      <c r="D227" s="172"/>
      <c r="E227" s="69"/>
      <c r="F227" s="61"/>
      <c r="G227" s="19"/>
      <c r="H227" s="197"/>
      <c r="I227" s="56"/>
      <c r="J227" s="15"/>
      <c r="K227" s="15"/>
      <c r="L227" s="15">
        <f t="shared" si="33"/>
        <v>0</v>
      </c>
      <c r="M227" s="15"/>
      <c r="N227" s="15">
        <f t="shared" si="34"/>
        <v>0</v>
      </c>
      <c r="O227" s="15" t="str">
        <f>IF(AND(A227='BANG KE NL'!$M$11,TH!C221="NL",LEFT(D227,1)="N"),"x","")</f>
        <v/>
      </c>
    </row>
    <row r="228" spans="1:15">
      <c r="A228" s="24" t="str">
        <f t="shared" si="32"/>
        <v/>
      </c>
      <c r="B228" s="175" t="str">
        <f>IF(AND(MONTH(E228)='IN-NX'!$J$5,'IN-NX'!$D$7=(D228&amp;"/"&amp;C228)),"x","")</f>
        <v/>
      </c>
      <c r="C228" s="172"/>
      <c r="D228" s="172"/>
      <c r="E228" s="69"/>
      <c r="F228" s="61"/>
      <c r="G228" s="19"/>
      <c r="H228" s="197"/>
      <c r="I228" s="56"/>
      <c r="J228" s="15"/>
      <c r="K228" s="15"/>
      <c r="L228" s="15">
        <f t="shared" si="33"/>
        <v>0</v>
      </c>
      <c r="M228" s="15"/>
      <c r="N228" s="15">
        <f t="shared" si="34"/>
        <v>0</v>
      </c>
      <c r="O228" s="15" t="str">
        <f>IF(AND(A228='BANG KE NL'!$M$11,TH!C208="NL",LEFT(D228,1)="N"),"x","")</f>
        <v/>
      </c>
    </row>
    <row r="229" spans="1:15">
      <c r="A229" s="24" t="str">
        <f t="shared" si="32"/>
        <v/>
      </c>
      <c r="B229" s="175" t="str">
        <f>IF(AND(MONTH(E229)='IN-NX'!$J$5,'IN-NX'!$D$7=(D229&amp;"/"&amp;C229)),"x","")</f>
        <v/>
      </c>
      <c r="C229" s="172"/>
      <c r="D229" s="172"/>
      <c r="E229" s="69"/>
      <c r="F229" s="61"/>
      <c r="G229" s="19"/>
      <c r="H229" s="197"/>
      <c r="I229" s="56"/>
      <c r="J229" s="15"/>
      <c r="K229" s="15"/>
      <c r="L229" s="15">
        <f t="shared" si="33"/>
        <v>0</v>
      </c>
      <c r="M229" s="15"/>
      <c r="N229" s="15">
        <f t="shared" si="34"/>
        <v>0</v>
      </c>
      <c r="O229" s="15" t="str">
        <f>IF(AND(A229='BANG KE NL'!$M$11,TH!C209="NL",LEFT(D229,1)="N"),"x","")</f>
        <v/>
      </c>
    </row>
    <row r="230" spans="1:15">
      <c r="A230" s="24" t="str">
        <f t="shared" si="32"/>
        <v/>
      </c>
      <c r="B230" s="175" t="str">
        <f>IF(AND(MONTH(E230)='IN-NX'!$J$5,'IN-NX'!$D$7=(D230&amp;"/"&amp;C230)),"x","")</f>
        <v/>
      </c>
      <c r="C230" s="172"/>
      <c r="D230" s="172"/>
      <c r="E230" s="69"/>
      <c r="F230" s="61"/>
      <c r="G230" s="19"/>
      <c r="H230" s="197"/>
      <c r="I230" s="56"/>
      <c r="J230" s="15"/>
      <c r="K230" s="15"/>
      <c r="L230" s="15">
        <f t="shared" si="33"/>
        <v>0</v>
      </c>
      <c r="M230" s="15"/>
      <c r="N230" s="15">
        <f t="shared" si="34"/>
        <v>0</v>
      </c>
      <c r="O230" s="15" t="str">
        <f>IF(AND(A230='BANG KE NL'!$M$11,TH!C233="NL",LEFT(D230,1)="N"),"x","")</f>
        <v/>
      </c>
    </row>
    <row r="231" spans="1:15">
      <c r="A231" s="24" t="str">
        <f t="shared" si="32"/>
        <v/>
      </c>
      <c r="B231" s="175" t="str">
        <f>IF(AND(MONTH(E231)='IN-NX'!$J$5,'IN-NX'!$D$7=(D231&amp;"/"&amp;C231)),"x","")</f>
        <v/>
      </c>
      <c r="C231" s="172"/>
      <c r="D231" s="172"/>
      <c r="E231" s="69"/>
      <c r="F231" s="61"/>
      <c r="G231" s="19"/>
      <c r="H231" s="197"/>
      <c r="I231" s="56"/>
      <c r="J231" s="15"/>
      <c r="K231" s="15"/>
      <c r="L231" s="15">
        <f t="shared" si="33"/>
        <v>0</v>
      </c>
      <c r="M231" s="15"/>
      <c r="N231" s="15">
        <f t="shared" si="34"/>
        <v>0</v>
      </c>
      <c r="O231" s="15" t="str">
        <f>IF(AND(A231='BANG KE NL'!$M$11,TH!C210="NL",LEFT(D231,1)="N"),"x","")</f>
        <v/>
      </c>
    </row>
    <row r="232" spans="1:15">
      <c r="A232" s="24" t="str">
        <f t="shared" si="32"/>
        <v/>
      </c>
      <c r="B232" s="175" t="str">
        <f>IF(AND(MONTH(E232)='IN-NX'!$J$5,'IN-NX'!$D$7=(D232&amp;"/"&amp;C232)),"x","")</f>
        <v/>
      </c>
      <c r="C232" s="172"/>
      <c r="D232" s="172"/>
      <c r="E232" s="69"/>
      <c r="F232" s="61"/>
      <c r="G232" s="19"/>
      <c r="H232" s="197"/>
      <c r="I232" s="56"/>
      <c r="J232" s="15"/>
      <c r="K232" s="15"/>
      <c r="L232" s="15">
        <f t="shared" si="33"/>
        <v>0</v>
      </c>
      <c r="M232" s="15"/>
      <c r="N232" s="15">
        <f t="shared" si="34"/>
        <v>0</v>
      </c>
      <c r="O232" s="15" t="str">
        <f>IF(AND(A232='BANG KE NL'!$M$11,TH!C228="NL",LEFT(D232,1)="N"),"x","")</f>
        <v/>
      </c>
    </row>
    <row r="233" spans="1:15">
      <c r="A233" s="24" t="str">
        <f t="shared" si="32"/>
        <v/>
      </c>
      <c r="B233" s="175" t="str">
        <f>IF(AND(MONTH(E233)='IN-NX'!$J$5,'IN-NX'!$D$7=(D233&amp;"/"&amp;C233)),"x","")</f>
        <v/>
      </c>
      <c r="C233" s="172"/>
      <c r="D233" s="172"/>
      <c r="E233" s="69"/>
      <c r="F233" s="61"/>
      <c r="G233" s="19"/>
      <c r="H233" s="197"/>
      <c r="I233" s="56"/>
      <c r="J233" s="15"/>
      <c r="K233" s="15"/>
      <c r="L233" s="15">
        <f t="shared" si="33"/>
        <v>0</v>
      </c>
      <c r="M233" s="15"/>
      <c r="N233" s="15">
        <f t="shared" si="34"/>
        <v>0</v>
      </c>
      <c r="O233" s="15" t="str">
        <f>IF(AND(A233='BANG KE NL'!$M$11,TH!C229="NL",LEFT(D233,1)="N"),"x","")</f>
        <v/>
      </c>
    </row>
    <row r="234" spans="1:15">
      <c r="A234" s="24" t="str">
        <f t="shared" si="32"/>
        <v/>
      </c>
      <c r="B234" s="175" t="str">
        <f>IF(AND(MONTH(E234)='IN-NX'!$J$5,'IN-NX'!$D$7=(D234&amp;"/"&amp;C234)),"x","")</f>
        <v/>
      </c>
      <c r="C234" s="172"/>
      <c r="D234" s="172"/>
      <c r="E234" s="69"/>
      <c r="F234" s="61"/>
      <c r="G234" s="19"/>
      <c r="H234" s="197"/>
      <c r="I234" s="56"/>
      <c r="J234" s="15"/>
      <c r="K234" s="15"/>
      <c r="L234" s="15">
        <f t="shared" si="33"/>
        <v>0</v>
      </c>
      <c r="M234" s="15"/>
      <c r="N234" s="15">
        <f t="shared" si="34"/>
        <v>0</v>
      </c>
      <c r="O234" s="15" t="str">
        <f>IF(AND(A234='BANG KE NL'!$M$11,TH!C234="NL",LEFT(D234,1)="N"),"x","")</f>
        <v/>
      </c>
    </row>
    <row r="235" spans="1:15">
      <c r="A235" s="24" t="str">
        <f t="shared" si="32"/>
        <v/>
      </c>
      <c r="B235" s="175" t="str">
        <f>IF(AND(MONTH(E235)='IN-NX'!$J$5,'IN-NX'!$D$7=(D235&amp;"/"&amp;C235)),"x","")</f>
        <v/>
      </c>
      <c r="C235" s="172"/>
      <c r="D235" s="172"/>
      <c r="E235" s="69"/>
      <c r="F235" s="61"/>
      <c r="G235" s="19"/>
      <c r="H235" s="197"/>
      <c r="I235" s="56"/>
      <c r="J235" s="15"/>
      <c r="K235" s="15"/>
      <c r="L235" s="15">
        <f t="shared" si="33"/>
        <v>0</v>
      </c>
      <c r="M235" s="15"/>
      <c r="N235" s="15">
        <f t="shared" si="34"/>
        <v>0</v>
      </c>
      <c r="O235" s="15" t="str">
        <f>IF(AND(A235='BANG KE NL'!$M$11,TH!C235="NL",LEFT(D235,1)="N"),"x","")</f>
        <v/>
      </c>
    </row>
    <row r="236" spans="1:15">
      <c r="A236" s="24" t="str">
        <f t="shared" si="32"/>
        <v/>
      </c>
      <c r="B236" s="175" t="str">
        <f>IF(AND(MONTH(E236)='IN-NX'!$J$5,'IN-NX'!$D$7=(D236&amp;"/"&amp;C236)),"x","")</f>
        <v/>
      </c>
      <c r="C236" s="172"/>
      <c r="D236" s="172"/>
      <c r="E236" s="69"/>
      <c r="F236" s="61"/>
      <c r="G236" s="19"/>
      <c r="H236" s="197"/>
      <c r="I236" s="56"/>
      <c r="J236" s="15"/>
      <c r="K236" s="15"/>
      <c r="L236" s="15">
        <f t="shared" si="33"/>
        <v>0</v>
      </c>
      <c r="M236" s="15"/>
      <c r="N236" s="15">
        <f t="shared" si="34"/>
        <v>0</v>
      </c>
      <c r="O236" s="15" t="str">
        <f>IF(AND(A236='BANG KE NL'!$M$11,TH!C236="NL",LEFT(D236,1)="N"),"x","")</f>
        <v/>
      </c>
    </row>
    <row r="237" spans="1:15">
      <c r="A237" s="24" t="str">
        <f t="shared" si="32"/>
        <v/>
      </c>
      <c r="B237" s="175" t="str">
        <f>IF(AND(MONTH(E237)='IN-NX'!$J$5,'IN-NX'!$D$7=(D237&amp;"/"&amp;C237)),"x","")</f>
        <v/>
      </c>
      <c r="C237" s="172"/>
      <c r="D237" s="172"/>
      <c r="E237" s="69"/>
      <c r="F237" s="61"/>
      <c r="G237" s="19"/>
      <c r="H237" s="197"/>
      <c r="I237" s="56"/>
      <c r="J237" s="15"/>
      <c r="K237" s="15"/>
      <c r="L237" s="15">
        <f t="shared" si="33"/>
        <v>0</v>
      </c>
      <c r="M237" s="15"/>
      <c r="N237" s="15">
        <f t="shared" si="34"/>
        <v>0</v>
      </c>
      <c r="O237" s="15" t="str">
        <f>IF(AND(A237='BANG KE NL'!$M$11,TH!C237="NL",LEFT(D237,1)="N"),"x","")</f>
        <v/>
      </c>
    </row>
    <row r="238" spans="1:15">
      <c r="A238" s="24" t="str">
        <f t="shared" si="32"/>
        <v/>
      </c>
      <c r="B238" s="175" t="str">
        <f>IF(AND(MONTH(E238)='IN-NX'!$J$5,'IN-NX'!$D$7=(D238&amp;"/"&amp;C238)),"x","")</f>
        <v/>
      </c>
      <c r="C238" s="172"/>
      <c r="D238" s="172"/>
      <c r="E238" s="69"/>
      <c r="F238" s="61"/>
      <c r="G238" s="19"/>
      <c r="H238" s="197"/>
      <c r="I238" s="56"/>
      <c r="J238" s="15"/>
      <c r="K238" s="15"/>
      <c r="L238" s="15">
        <f t="shared" si="33"/>
        <v>0</v>
      </c>
      <c r="M238" s="15"/>
      <c r="N238" s="15">
        <f t="shared" si="34"/>
        <v>0</v>
      </c>
      <c r="O238" s="15" t="str">
        <f>IF(AND(A238='BANG KE NL'!$M$11,TH!C238="NL",LEFT(D238,1)="N"),"x","")</f>
        <v/>
      </c>
    </row>
    <row r="239" spans="1:15">
      <c r="A239" s="24" t="str">
        <f t="shared" si="32"/>
        <v/>
      </c>
      <c r="B239" s="175" t="str">
        <f>IF(AND(MONTH(E239)='IN-NX'!$J$5,'IN-NX'!$D$7=(D239&amp;"/"&amp;C239)),"x","")</f>
        <v/>
      </c>
      <c r="C239" s="172"/>
      <c r="D239" s="172"/>
      <c r="E239" s="69"/>
      <c r="F239" s="61"/>
      <c r="G239" s="19"/>
      <c r="H239" s="197"/>
      <c r="I239" s="56"/>
      <c r="J239" s="15"/>
      <c r="K239" s="15"/>
      <c r="L239" s="15">
        <f t="shared" si="33"/>
        <v>0</v>
      </c>
      <c r="M239" s="15"/>
      <c r="N239" s="15">
        <f t="shared" si="34"/>
        <v>0</v>
      </c>
      <c r="O239" s="15" t="str">
        <f>IF(AND(A239='BANG KE NL'!$M$11,TH!C239="NL",LEFT(D239,1)="N"),"x","")</f>
        <v/>
      </c>
    </row>
    <row r="240" spans="1:15">
      <c r="A240" s="24" t="str">
        <f t="shared" si="32"/>
        <v/>
      </c>
      <c r="B240" s="175" t="str">
        <f>IF(AND(MONTH(E240)='IN-NX'!$J$5,'IN-NX'!$D$7=(D240&amp;"/"&amp;C240)),"x","")</f>
        <v/>
      </c>
      <c r="C240" s="172"/>
      <c r="D240" s="172"/>
      <c r="E240" s="69"/>
      <c r="F240" s="61"/>
      <c r="G240" s="19"/>
      <c r="H240" s="197"/>
      <c r="I240" s="56"/>
      <c r="J240" s="15"/>
      <c r="K240" s="15"/>
      <c r="L240" s="15">
        <f t="shared" si="33"/>
        <v>0</v>
      </c>
      <c r="M240" s="15"/>
      <c r="N240" s="15">
        <f t="shared" si="34"/>
        <v>0</v>
      </c>
      <c r="O240" s="15" t="str">
        <f>IF(AND(A240='BANG KE NL'!$M$11,TH!C240="NL",LEFT(D240,1)="N"),"x","")</f>
        <v/>
      </c>
    </row>
    <row r="241" spans="1:15">
      <c r="A241" s="24" t="str">
        <f t="shared" si="32"/>
        <v/>
      </c>
      <c r="B241" s="175" t="str">
        <f>IF(AND(MONTH(E241)='IN-NX'!$J$5,'IN-NX'!$D$7=(D241&amp;"/"&amp;C241)),"x","")</f>
        <v/>
      </c>
      <c r="C241" s="172"/>
      <c r="D241" s="172"/>
      <c r="E241" s="69"/>
      <c r="F241" s="61"/>
      <c r="G241" s="19"/>
      <c r="H241" s="197"/>
      <c r="I241" s="56"/>
      <c r="J241" s="15"/>
      <c r="K241" s="15"/>
      <c r="L241" s="15">
        <f t="shared" si="33"/>
        <v>0</v>
      </c>
      <c r="M241" s="15"/>
      <c r="N241" s="15">
        <f t="shared" si="34"/>
        <v>0</v>
      </c>
      <c r="O241" s="15" t="str">
        <f>IF(AND(A241='BANG KE NL'!$M$11,TH!C241="NL",LEFT(D241,1)="N"),"x","")</f>
        <v/>
      </c>
    </row>
    <row r="242" spans="1:15">
      <c r="A242" s="24" t="str">
        <f t="shared" si="32"/>
        <v/>
      </c>
      <c r="B242" s="175" t="str">
        <f>IF(AND(MONTH(E242)='IN-NX'!$J$5,'IN-NX'!$D$7=(D242&amp;"/"&amp;C242)),"x","")</f>
        <v/>
      </c>
      <c r="C242" s="172"/>
      <c r="D242" s="172"/>
      <c r="E242" s="69"/>
      <c r="F242" s="61"/>
      <c r="G242" s="19"/>
      <c r="H242" s="197"/>
      <c r="I242" s="56"/>
      <c r="J242" s="15"/>
      <c r="K242" s="15"/>
      <c r="L242" s="15">
        <f t="shared" si="33"/>
        <v>0</v>
      </c>
      <c r="M242" s="15"/>
      <c r="N242" s="15">
        <f t="shared" si="34"/>
        <v>0</v>
      </c>
      <c r="O242" s="15" t="str">
        <f>IF(AND(A242='BANG KE NL'!$M$11,TH!C242="NL",LEFT(D242,1)="N"),"x","")</f>
        <v/>
      </c>
    </row>
    <row r="243" spans="1:15">
      <c r="A243" s="24" t="str">
        <f t="shared" si="32"/>
        <v/>
      </c>
      <c r="B243" s="175" t="str">
        <f>IF(AND(MONTH(E243)='IN-NX'!$J$5,'IN-NX'!$D$7=(D243&amp;"/"&amp;C243)),"x","")</f>
        <v/>
      </c>
      <c r="C243" s="172"/>
      <c r="D243" s="172"/>
      <c r="E243" s="69"/>
      <c r="F243" s="61"/>
      <c r="G243" s="19"/>
      <c r="H243" s="197"/>
      <c r="I243" s="197"/>
      <c r="J243" s="15"/>
      <c r="K243" s="15"/>
      <c r="L243" s="15">
        <f t="shared" si="33"/>
        <v>0</v>
      </c>
      <c r="M243" s="15"/>
      <c r="N243" s="15">
        <f t="shared" si="34"/>
        <v>0</v>
      </c>
      <c r="O243" s="15" t="str">
        <f>IF(AND(A243='BANG KE NL'!$M$11,TH!C243="NL",LEFT(D243,1)="N"),"x","")</f>
        <v/>
      </c>
    </row>
    <row r="244" spans="1:15">
      <c r="A244" s="24" t="str">
        <f t="shared" si="32"/>
        <v/>
      </c>
      <c r="B244" s="175" t="str">
        <f>IF(AND(MONTH(E244)='IN-NX'!$J$5,'IN-NX'!$D$7=(D244&amp;"/"&amp;C244)),"x","")</f>
        <v/>
      </c>
      <c r="C244" s="172"/>
      <c r="D244" s="172"/>
      <c r="E244" s="69"/>
      <c r="F244" s="61"/>
      <c r="G244" s="19"/>
      <c r="H244" s="197"/>
      <c r="I244" s="197"/>
      <c r="J244" s="15"/>
      <c r="K244" s="15"/>
      <c r="L244" s="15">
        <f t="shared" si="33"/>
        <v>0</v>
      </c>
      <c r="M244" s="15"/>
      <c r="N244" s="15">
        <f t="shared" si="34"/>
        <v>0</v>
      </c>
      <c r="O244" s="15" t="str">
        <f>IF(AND(A244='BANG KE NL'!$M$11,TH!C244="NL",LEFT(D244,1)="N"),"x","")</f>
        <v/>
      </c>
    </row>
    <row r="245" spans="1:15">
      <c r="A245" s="24" t="str">
        <f t="shared" si="32"/>
        <v/>
      </c>
      <c r="B245" s="175" t="str">
        <f>IF(AND(MONTH(E245)='IN-NX'!$J$5,'IN-NX'!$D$7=(D245&amp;"/"&amp;C245)),"x","")</f>
        <v/>
      </c>
      <c r="C245" s="172"/>
      <c r="D245" s="172"/>
      <c r="E245" s="69"/>
      <c r="F245" s="61"/>
      <c r="G245" s="19"/>
      <c r="H245" s="197"/>
      <c r="I245" s="197"/>
      <c r="J245" s="15"/>
      <c r="K245" s="15"/>
      <c r="L245" s="15">
        <f t="shared" si="33"/>
        <v>0</v>
      </c>
      <c r="M245" s="15"/>
      <c r="N245" s="15">
        <f t="shared" si="34"/>
        <v>0</v>
      </c>
      <c r="O245" s="15" t="str">
        <f>IF(AND(A245='BANG KE NL'!$M$11,TH!C245="NL",LEFT(D245,1)="N"),"x","")</f>
        <v/>
      </c>
    </row>
    <row r="246" spans="1:15">
      <c r="A246" s="24" t="str">
        <f t="shared" si="32"/>
        <v/>
      </c>
      <c r="B246" s="175" t="str">
        <f>IF(AND(MONTH(E246)='IN-NX'!$J$5,'IN-NX'!$D$7=(D246&amp;"/"&amp;C246)),"x","")</f>
        <v/>
      </c>
      <c r="C246" s="172"/>
      <c r="D246" s="172"/>
      <c r="E246" s="69"/>
      <c r="F246" s="61"/>
      <c r="G246" s="19"/>
      <c r="H246" s="197"/>
      <c r="I246" s="56"/>
      <c r="J246" s="15"/>
      <c r="K246" s="15"/>
      <c r="L246" s="15">
        <f t="shared" si="33"/>
        <v>0</v>
      </c>
      <c r="M246" s="15"/>
      <c r="N246" s="15">
        <f t="shared" si="34"/>
        <v>0</v>
      </c>
      <c r="O246" s="15" t="str">
        <f>IF(AND(A246='BANG KE NL'!$M$11,TH!C246="NL",LEFT(D246,1)="N"),"x","")</f>
        <v/>
      </c>
    </row>
    <row r="247" spans="1:15">
      <c r="A247" s="24" t="str">
        <f t="shared" si="32"/>
        <v/>
      </c>
      <c r="B247" s="175" t="str">
        <f>IF(AND(MONTH(E247)='IN-NX'!$J$5,'IN-NX'!$D$7=(D247&amp;"/"&amp;C247)),"x","")</f>
        <v/>
      </c>
      <c r="C247" s="172"/>
      <c r="D247" s="172"/>
      <c r="E247" s="69"/>
      <c r="F247" s="61"/>
      <c r="G247" s="19"/>
      <c r="H247" s="197"/>
      <c r="I247" s="56"/>
      <c r="J247" s="15"/>
      <c r="K247" s="15"/>
      <c r="L247" s="15">
        <f t="shared" si="33"/>
        <v>0</v>
      </c>
      <c r="M247" s="15"/>
      <c r="N247" s="15">
        <f t="shared" si="34"/>
        <v>0</v>
      </c>
      <c r="O247" s="15" t="str">
        <f>IF(AND(A247='BANG KE NL'!$M$11,TH!C247="NL",LEFT(D247,1)="N"),"x","")</f>
        <v/>
      </c>
    </row>
    <row r="248" spans="1:15">
      <c r="A248" s="24" t="str">
        <f t="shared" si="32"/>
        <v/>
      </c>
      <c r="B248" s="175" t="str">
        <f>IF(AND(MONTH(E248)='IN-NX'!$J$5,'IN-NX'!$D$7=(D248&amp;"/"&amp;C248)),"x","")</f>
        <v/>
      </c>
      <c r="C248" s="172"/>
      <c r="D248" s="172"/>
      <c r="E248" s="69"/>
      <c r="F248" s="61"/>
      <c r="G248" s="19"/>
      <c r="H248" s="197"/>
      <c r="I248" s="56"/>
      <c r="J248" s="15"/>
      <c r="K248" s="15"/>
      <c r="L248" s="15">
        <f t="shared" si="33"/>
        <v>0</v>
      </c>
      <c r="M248" s="15"/>
      <c r="N248" s="15">
        <f t="shared" si="34"/>
        <v>0</v>
      </c>
      <c r="O248" s="15" t="str">
        <f>IF(AND(A248='BANG KE NL'!$M$11,TH!C248="NL",LEFT(D248,1)="N"),"x","")</f>
        <v/>
      </c>
    </row>
    <row r="249" spans="1:15">
      <c r="A249" s="24" t="str">
        <f t="shared" si="32"/>
        <v/>
      </c>
      <c r="B249" s="175" t="str">
        <f>IF(AND(MONTH(E249)='IN-NX'!$J$5,'IN-NX'!$D$7=(D249&amp;"/"&amp;C249)),"x","")</f>
        <v/>
      </c>
      <c r="C249" s="172"/>
      <c r="D249" s="172"/>
      <c r="E249" s="69"/>
      <c r="F249" s="61"/>
      <c r="G249" s="19"/>
      <c r="H249" s="197"/>
      <c r="I249" s="56"/>
      <c r="J249" s="15"/>
      <c r="K249" s="15"/>
      <c r="L249" s="15">
        <f t="shared" si="33"/>
        <v>0</v>
      </c>
      <c r="M249" s="15"/>
      <c r="N249" s="15">
        <f t="shared" si="34"/>
        <v>0</v>
      </c>
      <c r="O249" s="15" t="str">
        <f>IF(AND(A249='BANG KE NL'!$M$11,TH!C249="NL",LEFT(D249,1)="N"),"x","")</f>
        <v/>
      </c>
    </row>
    <row r="250" spans="1:15">
      <c r="A250" s="24" t="str">
        <f t="shared" si="32"/>
        <v/>
      </c>
      <c r="B250" s="175" t="str">
        <f>IF(AND(MONTH(E250)='IN-NX'!$J$5,'IN-NX'!$D$7=(D250&amp;"/"&amp;C250)),"x","")</f>
        <v/>
      </c>
      <c r="C250" s="172"/>
      <c r="D250" s="172"/>
      <c r="E250" s="69"/>
      <c r="F250" s="61"/>
      <c r="G250" s="19"/>
      <c r="H250" s="197"/>
      <c r="I250" s="56"/>
      <c r="J250" s="15"/>
      <c r="K250" s="15"/>
      <c r="L250" s="15">
        <f t="shared" si="33"/>
        <v>0</v>
      </c>
      <c r="M250" s="15"/>
      <c r="N250" s="15">
        <f t="shared" si="34"/>
        <v>0</v>
      </c>
      <c r="O250" s="15" t="str">
        <f>IF(AND(A250='BANG KE NL'!$M$11,TH!C250="NL",LEFT(D250,1)="N"),"x","")</f>
        <v/>
      </c>
    </row>
    <row r="251" spans="1:15">
      <c r="A251" s="24" t="str">
        <f t="shared" si="32"/>
        <v/>
      </c>
      <c r="B251" s="175" t="str">
        <f>IF(AND(MONTH(E251)='IN-NX'!$J$5,'IN-NX'!$D$7=(D251&amp;"/"&amp;C251)),"x","")</f>
        <v/>
      </c>
      <c r="C251" s="172"/>
      <c r="D251" s="172"/>
      <c r="E251" s="69"/>
      <c r="F251" s="61"/>
      <c r="G251" s="19"/>
      <c r="H251" s="197"/>
      <c r="I251" s="56"/>
      <c r="J251" s="15"/>
      <c r="K251" s="15"/>
      <c r="L251" s="15">
        <f t="shared" si="33"/>
        <v>0</v>
      </c>
      <c r="M251" s="15"/>
      <c r="N251" s="15">
        <f t="shared" si="34"/>
        <v>0</v>
      </c>
      <c r="O251" s="15" t="str">
        <f>IF(AND(A251='BANG KE NL'!$M$11,TH!C251="NL",LEFT(D251,1)="N"),"x","")</f>
        <v/>
      </c>
    </row>
    <row r="252" spans="1:15">
      <c r="A252" s="24" t="str">
        <f t="shared" si="32"/>
        <v/>
      </c>
      <c r="B252" s="175" t="str">
        <f>IF(AND(MONTH(E252)='IN-NX'!$J$5,'IN-NX'!$D$7=(D252&amp;"/"&amp;C252)),"x","")</f>
        <v/>
      </c>
      <c r="C252" s="172"/>
      <c r="D252" s="172"/>
      <c r="E252" s="69"/>
      <c r="F252" s="61"/>
      <c r="G252" s="19"/>
      <c r="H252" s="197"/>
      <c r="I252" s="56"/>
      <c r="J252" s="15"/>
      <c r="K252" s="15"/>
      <c r="L252" s="15">
        <f t="shared" si="33"/>
        <v>0</v>
      </c>
      <c r="M252" s="15"/>
      <c r="N252" s="15">
        <f t="shared" si="34"/>
        <v>0</v>
      </c>
      <c r="O252" s="15" t="str">
        <f>IF(AND(A252='BANG KE NL'!$M$11,TH!C252="NL",LEFT(D252,1)="N"),"x","")</f>
        <v/>
      </c>
    </row>
    <row r="253" spans="1:15">
      <c r="A253" s="24" t="str">
        <f t="shared" si="32"/>
        <v/>
      </c>
      <c r="B253" s="175" t="str">
        <f>IF(AND(MONTH(E253)='IN-NX'!$J$5,'IN-NX'!$D$7=(D253&amp;"/"&amp;C253)),"x","")</f>
        <v/>
      </c>
      <c r="C253" s="172"/>
      <c r="D253" s="172"/>
      <c r="E253" s="69"/>
      <c r="F253" s="61"/>
      <c r="G253" s="19"/>
      <c r="H253" s="197"/>
      <c r="I253" s="56"/>
      <c r="J253" s="15"/>
      <c r="K253" s="15"/>
      <c r="L253" s="15">
        <f t="shared" si="33"/>
        <v>0</v>
      </c>
      <c r="M253" s="15"/>
      <c r="N253" s="15">
        <f t="shared" si="34"/>
        <v>0</v>
      </c>
      <c r="O253" s="15" t="str">
        <f>IF(AND(A253='BANG KE NL'!$M$11,TH!C253="NL",LEFT(D253,1)="N"),"x","")</f>
        <v/>
      </c>
    </row>
    <row r="254" spans="1:15">
      <c r="A254" s="24" t="str">
        <f t="shared" si="32"/>
        <v/>
      </c>
      <c r="B254" s="175" t="str">
        <f>IF(AND(MONTH(E254)='IN-NX'!$J$5,'IN-NX'!$D$7=(D254&amp;"/"&amp;C254)),"x","")</f>
        <v/>
      </c>
      <c r="C254" s="172"/>
      <c r="D254" s="172"/>
      <c r="E254" s="69"/>
      <c r="F254" s="61"/>
      <c r="G254" s="19"/>
      <c r="H254" s="197"/>
      <c r="I254" s="197"/>
      <c r="J254" s="15"/>
      <c r="K254" s="15"/>
      <c r="L254" s="15">
        <f t="shared" si="33"/>
        <v>0</v>
      </c>
      <c r="M254" s="15"/>
      <c r="N254" s="15">
        <f t="shared" si="34"/>
        <v>0</v>
      </c>
      <c r="O254" s="15" t="str">
        <f>IF(AND(A254='BANG KE NL'!$M$11,TH!C254="NL",LEFT(D254,1)="N"),"x","")</f>
        <v/>
      </c>
    </row>
    <row r="255" spans="1:15">
      <c r="A255" s="24" t="str">
        <f t="shared" si="32"/>
        <v/>
      </c>
      <c r="B255" s="175" t="str">
        <f>IF(AND(MONTH(E255)='IN-NX'!$J$5,'IN-NX'!$D$7=(D255&amp;"/"&amp;C255)),"x","")</f>
        <v/>
      </c>
      <c r="C255" s="172"/>
      <c r="D255" s="172"/>
      <c r="E255" s="69"/>
      <c r="F255" s="61"/>
      <c r="G255" s="19"/>
      <c r="H255" s="197"/>
      <c r="I255" s="197"/>
      <c r="J255" s="15"/>
      <c r="K255" s="15"/>
      <c r="L255" s="15">
        <f t="shared" si="33"/>
        <v>0</v>
      </c>
      <c r="M255" s="15"/>
      <c r="N255" s="15">
        <f t="shared" si="34"/>
        <v>0</v>
      </c>
      <c r="O255" s="15" t="str">
        <f>IF(AND(A255='BANG KE NL'!$M$11,TH!C255="NL",LEFT(D255,1)="N"),"x","")</f>
        <v/>
      </c>
    </row>
    <row r="256" spans="1:15">
      <c r="A256" s="24" t="str">
        <f t="shared" si="32"/>
        <v/>
      </c>
      <c r="B256" s="175" t="str">
        <f>IF(AND(MONTH(E256)='IN-NX'!$J$5,'IN-NX'!$D$7=(D256&amp;"/"&amp;C256)),"x","")</f>
        <v/>
      </c>
      <c r="C256" s="172"/>
      <c r="D256" s="172"/>
      <c r="E256" s="69"/>
      <c r="F256" s="61"/>
      <c r="G256" s="19"/>
      <c r="H256" s="197"/>
      <c r="I256" s="56"/>
      <c r="J256" s="15"/>
      <c r="K256" s="15"/>
      <c r="L256" s="15">
        <f t="shared" si="33"/>
        <v>0</v>
      </c>
      <c r="M256" s="15"/>
      <c r="N256" s="15">
        <f t="shared" si="34"/>
        <v>0</v>
      </c>
      <c r="O256" s="15" t="str">
        <f>IF(AND(A256='BANG KE NL'!$M$11,TH!C256="NL",LEFT(D256,1)="N"),"x","")</f>
        <v/>
      </c>
    </row>
    <row r="257" spans="1:15">
      <c r="A257" s="24" t="str">
        <f t="shared" si="32"/>
        <v/>
      </c>
      <c r="B257" s="175" t="str">
        <f>IF(AND(MONTH(E257)='IN-NX'!$J$5,'IN-NX'!$D$7=(D257&amp;"/"&amp;C257)),"x","")</f>
        <v/>
      </c>
      <c r="C257" s="172"/>
      <c r="D257" s="172"/>
      <c r="E257" s="69"/>
      <c r="F257" s="61"/>
      <c r="G257" s="19"/>
      <c r="H257" s="197"/>
      <c r="I257" s="56"/>
      <c r="J257" s="15"/>
      <c r="K257" s="15"/>
      <c r="L257" s="15">
        <f t="shared" si="33"/>
        <v>0</v>
      </c>
      <c r="M257" s="15"/>
      <c r="N257" s="15">
        <f t="shared" si="34"/>
        <v>0</v>
      </c>
      <c r="O257" s="15" t="str">
        <f>IF(AND(A257='BANG KE NL'!$M$11,TH!C257="NL",LEFT(D257,1)="N"),"x","")</f>
        <v/>
      </c>
    </row>
    <row r="258" spans="1:15">
      <c r="A258" s="24" t="str">
        <f t="shared" si="32"/>
        <v/>
      </c>
      <c r="B258" s="175" t="str">
        <f>IF(AND(MONTH(E258)='IN-NX'!$J$5,'IN-NX'!$D$7=(D258&amp;"/"&amp;C258)),"x","")</f>
        <v/>
      </c>
      <c r="C258" s="172"/>
      <c r="D258" s="172"/>
      <c r="E258" s="69"/>
      <c r="F258" s="61"/>
      <c r="G258" s="19"/>
      <c r="H258" s="197"/>
      <c r="I258" s="56"/>
      <c r="J258" s="15"/>
      <c r="K258" s="15"/>
      <c r="L258" s="15">
        <f t="shared" si="33"/>
        <v>0</v>
      </c>
      <c r="M258" s="15"/>
      <c r="N258" s="15">
        <f t="shared" si="34"/>
        <v>0</v>
      </c>
      <c r="O258" s="15" t="str">
        <f>IF(AND(A258='BANG KE NL'!$M$11,TH!C258="NL",LEFT(D258,1)="N"),"x","")</f>
        <v/>
      </c>
    </row>
    <row r="259" spans="1:15">
      <c r="A259" s="24" t="str">
        <f t="shared" si="32"/>
        <v/>
      </c>
      <c r="B259" s="175" t="str">
        <f>IF(AND(MONTH(E259)='IN-NX'!$J$5,'IN-NX'!$D$7=(D259&amp;"/"&amp;C259)),"x","")</f>
        <v/>
      </c>
      <c r="C259" s="172"/>
      <c r="D259" s="172"/>
      <c r="E259" s="69"/>
      <c r="F259" s="61"/>
      <c r="G259" s="19"/>
      <c r="H259" s="197"/>
      <c r="I259" s="197"/>
      <c r="J259" s="15"/>
      <c r="K259" s="15"/>
      <c r="L259" s="15">
        <f t="shared" si="33"/>
        <v>0</v>
      </c>
      <c r="M259" s="15"/>
      <c r="N259" s="15">
        <f t="shared" si="34"/>
        <v>0</v>
      </c>
      <c r="O259" s="15" t="str">
        <f>IF(AND(A259='BANG KE NL'!$M$11,TH!C259="NL",LEFT(D259,1)="N"),"x","")</f>
        <v/>
      </c>
    </row>
    <row r="260" spans="1:15">
      <c r="A260" s="24" t="str">
        <f t="shared" si="32"/>
        <v/>
      </c>
      <c r="B260" s="175" t="str">
        <f>IF(AND(MONTH(E260)='IN-NX'!$J$5,'IN-NX'!$D$7=(D260&amp;"/"&amp;C260)),"x","")</f>
        <v/>
      </c>
      <c r="C260" s="172"/>
      <c r="D260" s="172"/>
      <c r="E260" s="69"/>
      <c r="F260" s="61"/>
      <c r="G260" s="19"/>
      <c r="H260" s="197"/>
      <c r="I260" s="56"/>
      <c r="J260" s="15"/>
      <c r="K260" s="15"/>
      <c r="L260" s="15">
        <f t="shared" si="33"/>
        <v>0</v>
      </c>
      <c r="M260" s="15"/>
      <c r="N260" s="15">
        <f t="shared" si="34"/>
        <v>0</v>
      </c>
      <c r="O260" s="15" t="str">
        <f>IF(AND(A260='BANG KE NL'!$M$11,TH!C260="NL",LEFT(D260,1)="N"),"x","")</f>
        <v/>
      </c>
    </row>
    <row r="261" spans="1:15">
      <c r="A261" s="24" t="str">
        <f t="shared" ref="A261:A428" si="35">IF(E261&lt;&gt;"",MONTH(E261),"")</f>
        <v/>
      </c>
      <c r="B261" s="175" t="str">
        <f>IF(AND(MONTH(E261)='IN-NX'!$J$5,'IN-NX'!$D$7=(D261&amp;"/"&amp;C261)),"x","")</f>
        <v/>
      </c>
      <c r="C261" s="172"/>
      <c r="D261" s="172"/>
      <c r="E261" s="69"/>
      <c r="F261" s="61"/>
      <c r="G261" s="19"/>
      <c r="H261" s="197"/>
      <c r="I261" s="56"/>
      <c r="J261" s="15"/>
      <c r="K261" s="15"/>
      <c r="L261" s="15">
        <f t="shared" ref="L261:L324" si="36">ROUND(J261*K261,0)</f>
        <v>0</v>
      </c>
      <c r="M261" s="15"/>
      <c r="N261" s="15">
        <f t="shared" ref="N261:N324" si="37">ROUND(J261*M261,0)</f>
        <v>0</v>
      </c>
      <c r="O261" s="15" t="str">
        <f>IF(AND(A261='BANG KE NL'!$M$11,TH!C261="NL",LEFT(D261,1)="N"),"x","")</f>
        <v/>
      </c>
    </row>
    <row r="262" spans="1:15">
      <c r="A262" s="24" t="str">
        <f t="shared" si="35"/>
        <v/>
      </c>
      <c r="B262" s="175" t="str">
        <f>IF(AND(MONTH(E262)='IN-NX'!$J$5,'IN-NX'!$D$7=(D262&amp;"/"&amp;C262)),"x","")</f>
        <v/>
      </c>
      <c r="C262" s="172"/>
      <c r="D262" s="172"/>
      <c r="E262" s="69"/>
      <c r="F262" s="61"/>
      <c r="G262" s="19"/>
      <c r="H262" s="197"/>
      <c r="I262" s="56"/>
      <c r="J262" s="15"/>
      <c r="K262" s="15"/>
      <c r="L262" s="15">
        <f t="shared" si="36"/>
        <v>0</v>
      </c>
      <c r="M262" s="15"/>
      <c r="N262" s="15">
        <f t="shared" si="37"/>
        <v>0</v>
      </c>
      <c r="O262" s="15" t="str">
        <f>IF(AND(A262='BANG KE NL'!$M$11,TH!C262="NL",LEFT(D262,1)="N"),"x","")</f>
        <v/>
      </c>
    </row>
    <row r="263" spans="1:15">
      <c r="A263" s="24" t="str">
        <f t="shared" si="35"/>
        <v/>
      </c>
      <c r="B263" s="175" t="str">
        <f>IF(AND(MONTH(E263)='IN-NX'!$J$5,'IN-NX'!$D$7=(D263&amp;"/"&amp;C263)),"x","")</f>
        <v/>
      </c>
      <c r="C263" s="172"/>
      <c r="D263" s="172"/>
      <c r="E263" s="69"/>
      <c r="F263" s="61"/>
      <c r="G263" s="19"/>
      <c r="H263" s="197"/>
      <c r="I263" s="56"/>
      <c r="J263" s="15"/>
      <c r="K263" s="15"/>
      <c r="L263" s="15">
        <f t="shared" si="36"/>
        <v>0</v>
      </c>
      <c r="M263" s="15"/>
      <c r="N263" s="15">
        <f t="shared" si="37"/>
        <v>0</v>
      </c>
      <c r="O263" s="15" t="str">
        <f>IF(AND(A263='BANG KE NL'!$M$11,TH!C263="NL",LEFT(D263,1)="N"),"x","")</f>
        <v/>
      </c>
    </row>
    <row r="264" spans="1:15">
      <c r="A264" s="24" t="str">
        <f t="shared" si="35"/>
        <v/>
      </c>
      <c r="B264" s="175" t="str">
        <f>IF(AND(MONTH(E264)='IN-NX'!$J$5,'IN-NX'!$D$7=(D264&amp;"/"&amp;C264)),"x","")</f>
        <v/>
      </c>
      <c r="C264" s="172"/>
      <c r="D264" s="172"/>
      <c r="E264" s="69"/>
      <c r="F264" s="61"/>
      <c r="G264" s="19"/>
      <c r="H264" s="197"/>
      <c r="I264" s="56"/>
      <c r="J264" s="15"/>
      <c r="K264" s="15"/>
      <c r="L264" s="15">
        <f t="shared" si="36"/>
        <v>0</v>
      </c>
      <c r="M264" s="15"/>
      <c r="N264" s="15">
        <f t="shared" si="37"/>
        <v>0</v>
      </c>
      <c r="O264" s="15" t="str">
        <f>IF(AND(A264='BANG KE NL'!$M$11,TH!C264="NL",LEFT(D264,1)="N"),"x","")</f>
        <v/>
      </c>
    </row>
    <row r="265" spans="1:15">
      <c r="A265" s="24" t="str">
        <f t="shared" si="35"/>
        <v/>
      </c>
      <c r="B265" s="175" t="str">
        <f>IF(AND(MONTH(E265)='IN-NX'!$J$5,'IN-NX'!$D$7=(D265&amp;"/"&amp;C265)),"x","")</f>
        <v/>
      </c>
      <c r="C265" s="172"/>
      <c r="D265" s="172"/>
      <c r="E265" s="69"/>
      <c r="F265" s="61"/>
      <c r="G265" s="19"/>
      <c r="H265" s="197"/>
      <c r="I265" s="56"/>
      <c r="J265" s="15"/>
      <c r="K265" s="15"/>
      <c r="L265" s="15">
        <f t="shared" si="36"/>
        <v>0</v>
      </c>
      <c r="M265" s="15"/>
      <c r="N265" s="15">
        <f t="shared" si="37"/>
        <v>0</v>
      </c>
      <c r="O265" s="15" t="str">
        <f>IF(AND(A265='BANG KE NL'!$M$11,TH!C265="NL",LEFT(D265,1)="N"),"x","")</f>
        <v/>
      </c>
    </row>
    <row r="266" spans="1:15">
      <c r="A266" s="24" t="str">
        <f t="shared" si="35"/>
        <v/>
      </c>
      <c r="B266" s="175" t="str">
        <f>IF(AND(MONTH(E266)='IN-NX'!$J$5,'IN-NX'!$D$7=(D266&amp;"/"&amp;C266)),"x","")</f>
        <v/>
      </c>
      <c r="C266" s="172"/>
      <c r="D266" s="172"/>
      <c r="E266" s="69"/>
      <c r="F266" s="61"/>
      <c r="G266" s="19"/>
      <c r="H266" s="197"/>
      <c r="I266" s="56"/>
      <c r="J266" s="15"/>
      <c r="K266" s="15"/>
      <c r="L266" s="15">
        <f t="shared" si="36"/>
        <v>0</v>
      </c>
      <c r="M266" s="15"/>
      <c r="N266" s="15">
        <f t="shared" si="37"/>
        <v>0</v>
      </c>
      <c r="O266" s="15" t="str">
        <f>IF(AND(A266='BANG KE NL'!$M$11,TH!C266="NL",LEFT(D266,1)="N"),"x","")</f>
        <v/>
      </c>
    </row>
    <row r="267" spans="1:15">
      <c r="A267" s="24" t="str">
        <f t="shared" si="35"/>
        <v/>
      </c>
      <c r="B267" s="175" t="str">
        <f>IF(AND(MONTH(E267)='IN-NX'!$J$5,'IN-NX'!$D$7=(D267&amp;"/"&amp;C267)),"x","")</f>
        <v/>
      </c>
      <c r="C267" s="172"/>
      <c r="D267" s="172"/>
      <c r="E267" s="69"/>
      <c r="F267" s="61"/>
      <c r="G267" s="19"/>
      <c r="H267" s="197"/>
      <c r="I267" s="56"/>
      <c r="J267" s="15"/>
      <c r="K267" s="15"/>
      <c r="L267" s="15">
        <f t="shared" si="36"/>
        <v>0</v>
      </c>
      <c r="M267" s="15"/>
      <c r="N267" s="15">
        <f t="shared" si="37"/>
        <v>0</v>
      </c>
      <c r="O267" s="15" t="str">
        <f>IF(AND(A267='BANG KE NL'!$M$11,TH!C267="NL",LEFT(D267,1)="N"),"x","")</f>
        <v/>
      </c>
    </row>
    <row r="268" spans="1:15">
      <c r="A268" s="24" t="str">
        <f t="shared" si="35"/>
        <v/>
      </c>
      <c r="B268" s="175" t="str">
        <f>IF(AND(MONTH(E268)='IN-NX'!$J$5,'IN-NX'!$D$7=(D268&amp;"/"&amp;C268)),"x","")</f>
        <v/>
      </c>
      <c r="C268" s="172"/>
      <c r="D268" s="172"/>
      <c r="E268" s="69"/>
      <c r="F268" s="61"/>
      <c r="G268" s="19"/>
      <c r="H268" s="197"/>
      <c r="I268" s="56"/>
      <c r="J268" s="15"/>
      <c r="K268" s="15"/>
      <c r="L268" s="15">
        <f t="shared" si="36"/>
        <v>0</v>
      </c>
      <c r="M268" s="15"/>
      <c r="N268" s="15">
        <f t="shared" si="37"/>
        <v>0</v>
      </c>
      <c r="O268" s="15" t="str">
        <f>IF(AND(A268='BANG KE NL'!$M$11,TH!C268="NL",LEFT(D268,1)="N"),"x","")</f>
        <v/>
      </c>
    </row>
    <row r="269" spans="1:15">
      <c r="A269" s="24" t="str">
        <f t="shared" si="35"/>
        <v/>
      </c>
      <c r="B269" s="175" t="str">
        <f>IF(AND(MONTH(E269)='IN-NX'!$J$5,'IN-NX'!$D$7=(D269&amp;"/"&amp;C269)),"x","")</f>
        <v/>
      </c>
      <c r="C269" s="172"/>
      <c r="D269" s="172"/>
      <c r="E269" s="69"/>
      <c r="F269" s="61"/>
      <c r="G269" s="19"/>
      <c r="H269" s="197"/>
      <c r="I269" s="56"/>
      <c r="J269" s="15"/>
      <c r="K269" s="15"/>
      <c r="L269" s="15">
        <f t="shared" si="36"/>
        <v>0</v>
      </c>
      <c r="M269" s="15"/>
      <c r="N269" s="15">
        <f t="shared" si="37"/>
        <v>0</v>
      </c>
      <c r="O269" s="15" t="str">
        <f>IF(AND(A269='BANG KE NL'!$M$11,TH!C269="NL",LEFT(D269,1)="N"),"x","")</f>
        <v/>
      </c>
    </row>
    <row r="270" spans="1:15">
      <c r="A270" s="24" t="str">
        <f t="shared" si="35"/>
        <v/>
      </c>
      <c r="B270" s="175" t="str">
        <f>IF(AND(MONTH(E270)='IN-NX'!$J$5,'IN-NX'!$D$7=(D270&amp;"/"&amp;C270)),"x","")</f>
        <v/>
      </c>
      <c r="C270" s="172"/>
      <c r="D270" s="172"/>
      <c r="E270" s="69"/>
      <c r="F270" s="61"/>
      <c r="G270" s="19"/>
      <c r="H270" s="197"/>
      <c r="I270" s="56"/>
      <c r="J270" s="15"/>
      <c r="K270" s="15"/>
      <c r="L270" s="15">
        <f t="shared" si="36"/>
        <v>0</v>
      </c>
      <c r="M270" s="15"/>
      <c r="N270" s="15">
        <f t="shared" si="37"/>
        <v>0</v>
      </c>
      <c r="O270" s="15" t="str">
        <f>IF(AND(A270='BANG KE NL'!$M$11,TH!C270="NL",LEFT(D270,1)="N"),"x","")</f>
        <v/>
      </c>
    </row>
    <row r="271" spans="1:15">
      <c r="A271" s="24" t="str">
        <f t="shared" si="35"/>
        <v/>
      </c>
      <c r="B271" s="175" t="str">
        <f>IF(AND(MONTH(E271)='IN-NX'!$J$5,'IN-NX'!$D$7=(D271&amp;"/"&amp;C271)),"x","")</f>
        <v/>
      </c>
      <c r="C271" s="172"/>
      <c r="D271" s="172"/>
      <c r="E271" s="69"/>
      <c r="F271" s="61"/>
      <c r="G271" s="19"/>
      <c r="H271" s="197"/>
      <c r="I271" s="56"/>
      <c r="J271" s="15"/>
      <c r="K271" s="15"/>
      <c r="L271" s="15">
        <f t="shared" si="36"/>
        <v>0</v>
      </c>
      <c r="M271" s="15"/>
      <c r="N271" s="15">
        <f t="shared" si="37"/>
        <v>0</v>
      </c>
      <c r="O271" s="15" t="str">
        <f>IF(AND(A271='BANG KE NL'!$M$11,TH!C271="NL",LEFT(D271,1)="N"),"x","")</f>
        <v/>
      </c>
    </row>
    <row r="272" spans="1:15">
      <c r="A272" s="24" t="str">
        <f t="shared" si="35"/>
        <v/>
      </c>
      <c r="B272" s="175" t="str">
        <f>IF(AND(MONTH(E272)='IN-NX'!$J$5,'IN-NX'!$D$7=(D272&amp;"/"&amp;C272)),"x","")</f>
        <v/>
      </c>
      <c r="C272" s="172"/>
      <c r="D272" s="172"/>
      <c r="E272" s="69"/>
      <c r="F272" s="61"/>
      <c r="G272" s="19"/>
      <c r="H272" s="197"/>
      <c r="I272" s="56"/>
      <c r="J272" s="15"/>
      <c r="K272" s="15"/>
      <c r="L272" s="15">
        <f t="shared" si="36"/>
        <v>0</v>
      </c>
      <c r="M272" s="15"/>
      <c r="N272" s="15">
        <f t="shared" si="37"/>
        <v>0</v>
      </c>
      <c r="O272" s="15" t="str">
        <f>IF(AND(A272='BANG KE NL'!$M$11,TH!C272="NL",LEFT(D272,1)="N"),"x","")</f>
        <v/>
      </c>
    </row>
    <row r="273" spans="1:15">
      <c r="A273" s="24" t="str">
        <f t="shared" si="35"/>
        <v/>
      </c>
      <c r="B273" s="175" t="str">
        <f>IF(AND(MONTH(E273)='IN-NX'!$J$5,'IN-NX'!$D$7=(D273&amp;"/"&amp;C273)),"x","")</f>
        <v/>
      </c>
      <c r="C273" s="172"/>
      <c r="D273" s="172"/>
      <c r="E273" s="69"/>
      <c r="F273" s="61"/>
      <c r="G273" s="19"/>
      <c r="H273" s="197"/>
      <c r="I273" s="56"/>
      <c r="J273" s="15"/>
      <c r="K273" s="15"/>
      <c r="L273" s="15">
        <f t="shared" si="36"/>
        <v>0</v>
      </c>
      <c r="M273" s="15"/>
      <c r="N273" s="15">
        <f t="shared" si="37"/>
        <v>0</v>
      </c>
      <c r="O273" s="15" t="str">
        <f>IF(AND(A273='BANG KE NL'!$M$11,TH!C273="NL",LEFT(D273,1)="N"),"x","")</f>
        <v/>
      </c>
    </row>
    <row r="274" spans="1:15">
      <c r="A274" s="24" t="str">
        <f t="shared" si="35"/>
        <v/>
      </c>
      <c r="B274" s="175" t="str">
        <f>IF(AND(MONTH(E274)='IN-NX'!$J$5,'IN-NX'!$D$7=(D274&amp;"/"&amp;C274)),"x","")</f>
        <v/>
      </c>
      <c r="C274" s="172"/>
      <c r="D274" s="172"/>
      <c r="E274" s="69"/>
      <c r="F274" s="61"/>
      <c r="G274" s="19"/>
      <c r="H274" s="197"/>
      <c r="I274" s="56"/>
      <c r="J274" s="15"/>
      <c r="K274" s="15"/>
      <c r="L274" s="15">
        <f t="shared" si="36"/>
        <v>0</v>
      </c>
      <c r="M274" s="15"/>
      <c r="N274" s="15">
        <f t="shared" si="37"/>
        <v>0</v>
      </c>
      <c r="O274" s="15" t="str">
        <f>IF(AND(A274='BANG KE NL'!$M$11,TH!C274="NL",LEFT(D274,1)="N"),"x","")</f>
        <v/>
      </c>
    </row>
    <row r="275" spans="1:15">
      <c r="A275" s="24" t="str">
        <f t="shared" si="35"/>
        <v/>
      </c>
      <c r="B275" s="175" t="str">
        <f>IF(AND(MONTH(E275)='IN-NX'!$J$5,'IN-NX'!$D$7=(D275&amp;"/"&amp;C275)),"x","")</f>
        <v/>
      </c>
      <c r="C275" s="172"/>
      <c r="D275" s="172"/>
      <c r="E275" s="69"/>
      <c r="F275" s="61"/>
      <c r="G275" s="19"/>
      <c r="H275" s="197"/>
      <c r="I275" s="56"/>
      <c r="J275" s="15"/>
      <c r="K275" s="15"/>
      <c r="L275" s="15">
        <f t="shared" si="36"/>
        <v>0</v>
      </c>
      <c r="M275" s="15"/>
      <c r="N275" s="15">
        <f t="shared" si="37"/>
        <v>0</v>
      </c>
      <c r="O275" s="15" t="str">
        <f>IF(AND(A275='BANG KE NL'!$M$11,TH!C275="NL",LEFT(D275,1)="N"),"x","")</f>
        <v/>
      </c>
    </row>
    <row r="276" spans="1:15">
      <c r="A276" s="24" t="str">
        <f t="shared" si="35"/>
        <v/>
      </c>
      <c r="B276" s="175" t="str">
        <f>IF(AND(MONTH(E276)='IN-NX'!$J$5,'IN-NX'!$D$7=(D276&amp;"/"&amp;C276)),"x","")</f>
        <v/>
      </c>
      <c r="C276" s="172"/>
      <c r="D276" s="172"/>
      <c r="E276" s="69"/>
      <c r="F276" s="61"/>
      <c r="G276" s="19"/>
      <c r="H276" s="197"/>
      <c r="I276" s="56"/>
      <c r="J276" s="15"/>
      <c r="K276" s="15"/>
      <c r="L276" s="15">
        <f t="shared" si="36"/>
        <v>0</v>
      </c>
      <c r="M276" s="15"/>
      <c r="N276" s="15">
        <f t="shared" si="37"/>
        <v>0</v>
      </c>
      <c r="O276" s="15" t="str">
        <f>IF(AND(A276='BANG KE NL'!$M$11,TH!C276="NL",LEFT(D276,1)="N"),"x","")</f>
        <v/>
      </c>
    </row>
    <row r="277" spans="1:15">
      <c r="A277" s="24" t="str">
        <f t="shared" si="35"/>
        <v/>
      </c>
      <c r="B277" s="175" t="str">
        <f>IF(AND(MONTH(E277)='IN-NX'!$J$5,'IN-NX'!$D$7=(D277&amp;"/"&amp;C277)),"x","")</f>
        <v/>
      </c>
      <c r="C277" s="172"/>
      <c r="D277" s="172"/>
      <c r="E277" s="69"/>
      <c r="F277" s="61"/>
      <c r="G277" s="19"/>
      <c r="H277" s="197"/>
      <c r="I277" s="56"/>
      <c r="J277" s="15"/>
      <c r="K277" s="15"/>
      <c r="L277" s="15">
        <f t="shared" si="36"/>
        <v>0</v>
      </c>
      <c r="M277" s="15"/>
      <c r="N277" s="15">
        <f t="shared" si="37"/>
        <v>0</v>
      </c>
      <c r="O277" s="15" t="str">
        <f>IF(AND(A277='BANG KE NL'!$M$11,TH!C277="NL",LEFT(D277,1)="N"),"x","")</f>
        <v/>
      </c>
    </row>
    <row r="278" spans="1:15">
      <c r="A278" s="24" t="str">
        <f t="shared" si="35"/>
        <v/>
      </c>
      <c r="B278" s="175" t="str">
        <f>IF(AND(MONTH(E278)='IN-NX'!$J$5,'IN-NX'!$D$7=(D278&amp;"/"&amp;C278)),"x","")</f>
        <v/>
      </c>
      <c r="C278" s="172"/>
      <c r="D278" s="172"/>
      <c r="E278" s="69"/>
      <c r="F278" s="61"/>
      <c r="G278" s="19"/>
      <c r="H278" s="197"/>
      <c r="I278" s="56"/>
      <c r="J278" s="15"/>
      <c r="K278" s="15"/>
      <c r="L278" s="15">
        <f t="shared" si="36"/>
        <v>0</v>
      </c>
      <c r="M278" s="15"/>
      <c r="N278" s="15">
        <f t="shared" si="37"/>
        <v>0</v>
      </c>
      <c r="O278" s="15" t="str">
        <f>IF(AND(A278='BANG KE NL'!$M$11,TH!C278="NL",LEFT(D278,1)="N"),"x","")</f>
        <v/>
      </c>
    </row>
    <row r="279" spans="1:15">
      <c r="A279" s="24" t="str">
        <f t="shared" si="35"/>
        <v/>
      </c>
      <c r="B279" s="175" t="str">
        <f>IF(AND(MONTH(E279)='IN-NX'!$J$5,'IN-NX'!$D$7=(D279&amp;"/"&amp;C279)),"x","")</f>
        <v/>
      </c>
      <c r="C279" s="172"/>
      <c r="D279" s="172"/>
      <c r="E279" s="69"/>
      <c r="F279" s="61"/>
      <c r="G279" s="19"/>
      <c r="H279" s="197"/>
      <c r="I279" s="197"/>
      <c r="J279" s="15"/>
      <c r="K279" s="15"/>
      <c r="L279" s="15">
        <f t="shared" si="36"/>
        <v>0</v>
      </c>
      <c r="M279" s="15"/>
      <c r="N279" s="15">
        <f t="shared" si="37"/>
        <v>0</v>
      </c>
      <c r="O279" s="15" t="str">
        <f>IF(AND(A279='BANG KE NL'!$M$11,TH!C279="NL",LEFT(D279,1)="N"),"x","")</f>
        <v/>
      </c>
    </row>
    <row r="280" spans="1:15">
      <c r="A280" s="24" t="str">
        <f t="shared" si="35"/>
        <v/>
      </c>
      <c r="B280" s="175" t="str">
        <f>IF(AND(MONTH(E280)='IN-NX'!$J$5,'IN-NX'!$D$7=(D280&amp;"/"&amp;C280)),"x","")</f>
        <v/>
      </c>
      <c r="C280" s="172"/>
      <c r="D280" s="172"/>
      <c r="E280" s="69"/>
      <c r="F280" s="61"/>
      <c r="G280" s="19"/>
      <c r="H280" s="197"/>
      <c r="I280" s="197"/>
      <c r="J280" s="15"/>
      <c r="K280" s="15"/>
      <c r="L280" s="15">
        <f t="shared" si="36"/>
        <v>0</v>
      </c>
      <c r="M280" s="15"/>
      <c r="N280" s="15">
        <f t="shared" si="37"/>
        <v>0</v>
      </c>
      <c r="O280" s="15" t="str">
        <f>IF(AND(A280='BANG KE NL'!$M$11,TH!C280="NL",LEFT(D280,1)="N"),"x","")</f>
        <v/>
      </c>
    </row>
    <row r="281" spans="1:15">
      <c r="A281" s="24" t="str">
        <f t="shared" si="35"/>
        <v/>
      </c>
      <c r="B281" s="175" t="str">
        <f>IF(AND(MONTH(E281)='IN-NX'!$J$5,'IN-NX'!$D$7=(D281&amp;"/"&amp;C281)),"x","")</f>
        <v/>
      </c>
      <c r="C281" s="172"/>
      <c r="D281" s="172"/>
      <c r="E281" s="69"/>
      <c r="F281" s="61"/>
      <c r="G281" s="19"/>
      <c r="H281" s="197"/>
      <c r="I281" s="197"/>
      <c r="J281" s="15"/>
      <c r="K281" s="15"/>
      <c r="L281" s="15">
        <f t="shared" si="36"/>
        <v>0</v>
      </c>
      <c r="M281" s="15"/>
      <c r="N281" s="15">
        <f t="shared" si="37"/>
        <v>0</v>
      </c>
      <c r="O281" s="15" t="str">
        <f>IF(AND(A281='BANG KE NL'!$M$11,TH!C281="NL",LEFT(D281,1)="N"),"x","")</f>
        <v/>
      </c>
    </row>
    <row r="282" spans="1:15">
      <c r="A282" s="24" t="str">
        <f t="shared" si="35"/>
        <v/>
      </c>
      <c r="B282" s="175" t="str">
        <f>IF(AND(MONTH(E282)='IN-NX'!$J$5,'IN-NX'!$D$7=(D282&amp;"/"&amp;C282)),"x","")</f>
        <v/>
      </c>
      <c r="C282" s="172"/>
      <c r="D282" s="172"/>
      <c r="E282" s="69"/>
      <c r="F282" s="61"/>
      <c r="G282" s="19"/>
      <c r="H282" s="197"/>
      <c r="I282" s="197"/>
      <c r="J282" s="15"/>
      <c r="K282" s="15"/>
      <c r="L282" s="15">
        <f t="shared" si="36"/>
        <v>0</v>
      </c>
      <c r="M282" s="15"/>
      <c r="N282" s="15">
        <f t="shared" si="37"/>
        <v>0</v>
      </c>
      <c r="O282" s="15" t="str">
        <f>IF(AND(A282='BANG KE NL'!$M$11,TH!C282="NL",LEFT(D282,1)="N"),"x","")</f>
        <v/>
      </c>
    </row>
    <row r="283" spans="1:15">
      <c r="A283" s="24" t="str">
        <f t="shared" si="35"/>
        <v/>
      </c>
      <c r="B283" s="175" t="str">
        <f>IF(AND(MONTH(E283)='IN-NX'!$J$5,'IN-NX'!$D$7=(D283&amp;"/"&amp;C283)),"x","")</f>
        <v/>
      </c>
      <c r="C283" s="172"/>
      <c r="D283" s="172"/>
      <c r="E283" s="69"/>
      <c r="F283" s="61"/>
      <c r="G283" s="19"/>
      <c r="H283" s="197"/>
      <c r="I283" s="197"/>
      <c r="J283" s="15"/>
      <c r="K283" s="15"/>
      <c r="L283" s="15">
        <f t="shared" si="36"/>
        <v>0</v>
      </c>
      <c r="M283" s="15"/>
      <c r="N283" s="15">
        <f t="shared" si="37"/>
        <v>0</v>
      </c>
      <c r="O283" s="15" t="str">
        <f>IF(AND(A283='BANG KE NL'!$M$11,TH!C283="NL",LEFT(D283,1)="N"),"x","")</f>
        <v/>
      </c>
    </row>
    <row r="284" spans="1:15">
      <c r="A284" s="24" t="str">
        <f t="shared" si="35"/>
        <v/>
      </c>
      <c r="B284" s="175" t="str">
        <f>IF(AND(MONTH(E284)='IN-NX'!$J$5,'IN-NX'!$D$7=(D284&amp;"/"&amp;C284)),"x","")</f>
        <v/>
      </c>
      <c r="C284" s="172"/>
      <c r="D284" s="172"/>
      <c r="E284" s="69"/>
      <c r="F284" s="61"/>
      <c r="G284" s="19"/>
      <c r="H284" s="197"/>
      <c r="I284" s="56"/>
      <c r="J284" s="15"/>
      <c r="K284" s="15"/>
      <c r="L284" s="15">
        <f t="shared" si="36"/>
        <v>0</v>
      </c>
      <c r="M284" s="15"/>
      <c r="N284" s="15">
        <f t="shared" si="37"/>
        <v>0</v>
      </c>
      <c r="O284" s="15" t="str">
        <f>IF(AND(A284='BANG KE NL'!$M$11,TH!C284="NL",LEFT(D284,1)="N"),"x","")</f>
        <v/>
      </c>
    </row>
    <row r="285" spans="1:15">
      <c r="A285" s="24" t="str">
        <f t="shared" si="35"/>
        <v/>
      </c>
      <c r="B285" s="175" t="str">
        <f>IF(AND(MONTH(E285)='IN-NX'!$J$5,'IN-NX'!$D$7=(D285&amp;"/"&amp;C285)),"x","")</f>
        <v/>
      </c>
      <c r="C285" s="172"/>
      <c r="D285" s="172"/>
      <c r="E285" s="69"/>
      <c r="F285" s="61"/>
      <c r="G285" s="19"/>
      <c r="H285" s="197"/>
      <c r="I285" s="56"/>
      <c r="J285" s="15"/>
      <c r="K285" s="15"/>
      <c r="L285" s="15">
        <f t="shared" si="36"/>
        <v>0</v>
      </c>
      <c r="M285" s="15"/>
      <c r="N285" s="15">
        <f t="shared" si="37"/>
        <v>0</v>
      </c>
      <c r="O285" s="15" t="str">
        <f>IF(AND(A285='BANG KE NL'!$M$11,TH!C285="NL",LEFT(D285,1)="N"),"x","")</f>
        <v/>
      </c>
    </row>
    <row r="286" spans="1:15">
      <c r="A286" s="24" t="str">
        <f t="shared" si="35"/>
        <v/>
      </c>
      <c r="B286" s="175" t="str">
        <f>IF(AND(MONTH(E286)='IN-NX'!$J$5,'IN-NX'!$D$7=(D286&amp;"/"&amp;C286)),"x","")</f>
        <v/>
      </c>
      <c r="C286" s="172"/>
      <c r="D286" s="172"/>
      <c r="E286" s="69"/>
      <c r="F286" s="61"/>
      <c r="G286" s="19"/>
      <c r="H286" s="197"/>
      <c r="I286" s="56"/>
      <c r="J286" s="15"/>
      <c r="K286" s="15"/>
      <c r="L286" s="15">
        <f t="shared" si="36"/>
        <v>0</v>
      </c>
      <c r="M286" s="15"/>
      <c r="N286" s="15">
        <f t="shared" si="37"/>
        <v>0</v>
      </c>
      <c r="O286" s="15" t="str">
        <f>IF(AND(A286='BANG KE NL'!$M$11,TH!C286="NL",LEFT(D286,1)="N"),"x","")</f>
        <v/>
      </c>
    </row>
    <row r="287" spans="1:15">
      <c r="A287" s="24" t="str">
        <f t="shared" si="35"/>
        <v/>
      </c>
      <c r="B287" s="175" t="str">
        <f>IF(AND(MONTH(E287)='IN-NX'!$J$5,'IN-NX'!$D$7=(D287&amp;"/"&amp;C287)),"x","")</f>
        <v/>
      </c>
      <c r="C287" s="172"/>
      <c r="D287" s="172"/>
      <c r="E287" s="69"/>
      <c r="F287" s="61"/>
      <c r="G287" s="19"/>
      <c r="H287" s="197"/>
      <c r="I287" s="56"/>
      <c r="J287" s="15"/>
      <c r="K287" s="15"/>
      <c r="L287" s="15">
        <f t="shared" si="36"/>
        <v>0</v>
      </c>
      <c r="M287" s="15"/>
      <c r="N287" s="15">
        <f t="shared" si="37"/>
        <v>0</v>
      </c>
      <c r="O287" s="15" t="str">
        <f>IF(AND(A287='BANG KE NL'!$M$11,TH!C287="NL",LEFT(D287,1)="N"),"x","")</f>
        <v/>
      </c>
    </row>
    <row r="288" spans="1:15">
      <c r="A288" s="24" t="str">
        <f t="shared" si="35"/>
        <v/>
      </c>
      <c r="B288" s="175" t="str">
        <f>IF(AND(MONTH(E288)='IN-NX'!$J$5,'IN-NX'!$D$7=(D288&amp;"/"&amp;C288)),"x","")</f>
        <v/>
      </c>
      <c r="C288" s="172"/>
      <c r="D288" s="172"/>
      <c r="E288" s="69"/>
      <c r="F288" s="61"/>
      <c r="G288" s="19"/>
      <c r="H288" s="197"/>
      <c r="I288" s="56"/>
      <c r="J288" s="15"/>
      <c r="K288" s="15"/>
      <c r="L288" s="15">
        <f t="shared" si="36"/>
        <v>0</v>
      </c>
      <c r="M288" s="15"/>
      <c r="N288" s="15">
        <f t="shared" si="37"/>
        <v>0</v>
      </c>
      <c r="O288" s="15" t="str">
        <f>IF(AND(A288='BANG KE NL'!$M$11,TH!C288="NL",LEFT(D288,1)="N"),"x","")</f>
        <v/>
      </c>
    </row>
    <row r="289" spans="1:15">
      <c r="A289" s="24" t="str">
        <f t="shared" si="35"/>
        <v/>
      </c>
      <c r="B289" s="175" t="str">
        <f>IF(AND(MONTH(E289)='IN-NX'!$J$5,'IN-NX'!$D$7=(D289&amp;"/"&amp;C289)),"x","")</f>
        <v/>
      </c>
      <c r="C289" s="172"/>
      <c r="D289" s="172"/>
      <c r="E289" s="69"/>
      <c r="F289" s="61"/>
      <c r="G289" s="19"/>
      <c r="H289" s="197"/>
      <c r="I289" s="56"/>
      <c r="J289" s="15"/>
      <c r="K289" s="15"/>
      <c r="L289" s="15">
        <f t="shared" si="36"/>
        <v>0</v>
      </c>
      <c r="M289" s="15"/>
      <c r="N289" s="15">
        <f t="shared" si="37"/>
        <v>0</v>
      </c>
      <c r="O289" s="15" t="str">
        <f>IF(AND(A289='BANG KE NL'!$M$11,TH!C289="NL",LEFT(D289,1)="N"),"x","")</f>
        <v/>
      </c>
    </row>
    <row r="290" spans="1:15">
      <c r="A290" s="24" t="str">
        <f t="shared" si="35"/>
        <v/>
      </c>
      <c r="B290" s="175" t="str">
        <f>IF(AND(MONTH(E290)='IN-NX'!$J$5,'IN-NX'!$D$7=(D290&amp;"/"&amp;C290)),"x","")</f>
        <v/>
      </c>
      <c r="C290" s="172"/>
      <c r="D290" s="172"/>
      <c r="E290" s="69"/>
      <c r="F290" s="61"/>
      <c r="G290" s="19"/>
      <c r="H290" s="197"/>
      <c r="I290" s="197"/>
      <c r="J290" s="15"/>
      <c r="K290" s="15"/>
      <c r="L290" s="15">
        <f t="shared" si="36"/>
        <v>0</v>
      </c>
      <c r="M290" s="15"/>
      <c r="N290" s="15">
        <f t="shared" si="37"/>
        <v>0</v>
      </c>
      <c r="O290" s="15" t="str">
        <f>IF(AND(A290='BANG KE NL'!$M$11,TH!C290="NL",LEFT(D290,1)="N"),"x","")</f>
        <v/>
      </c>
    </row>
    <row r="291" spans="1:15">
      <c r="A291" s="24" t="str">
        <f t="shared" si="35"/>
        <v/>
      </c>
      <c r="B291" s="175" t="str">
        <f>IF(AND(MONTH(E291)='IN-NX'!$J$5,'IN-NX'!$D$7=(D291&amp;"/"&amp;C291)),"x","")</f>
        <v/>
      </c>
      <c r="C291" s="172"/>
      <c r="D291" s="172"/>
      <c r="E291" s="69"/>
      <c r="F291" s="61"/>
      <c r="G291" s="19"/>
      <c r="H291" s="197"/>
      <c r="I291" s="197"/>
      <c r="J291" s="15"/>
      <c r="K291" s="15"/>
      <c r="L291" s="15">
        <f t="shared" si="36"/>
        <v>0</v>
      </c>
      <c r="M291" s="15"/>
      <c r="N291" s="15">
        <f t="shared" si="37"/>
        <v>0</v>
      </c>
      <c r="O291" s="15" t="str">
        <f>IF(AND(A291='BANG KE NL'!$M$11,TH!C291="NL",LEFT(D291,1)="N"),"x","")</f>
        <v/>
      </c>
    </row>
    <row r="292" spans="1:15">
      <c r="A292" s="24" t="str">
        <f t="shared" si="35"/>
        <v/>
      </c>
      <c r="B292" s="175" t="str">
        <f>IF(AND(MONTH(E292)='IN-NX'!$J$5,'IN-NX'!$D$7=(D292&amp;"/"&amp;C292)),"x","")</f>
        <v/>
      </c>
      <c r="C292" s="172"/>
      <c r="D292" s="172"/>
      <c r="E292" s="69"/>
      <c r="F292" s="61"/>
      <c r="G292" s="19"/>
      <c r="H292" s="197"/>
      <c r="I292" s="56"/>
      <c r="J292" s="15"/>
      <c r="K292" s="15"/>
      <c r="L292" s="15">
        <f t="shared" si="36"/>
        <v>0</v>
      </c>
      <c r="M292" s="15"/>
      <c r="N292" s="15">
        <f t="shared" si="37"/>
        <v>0</v>
      </c>
      <c r="O292" s="15" t="str">
        <f>IF(AND(A292='BANG KE NL'!$M$11,TH!C292="NL",LEFT(D292,1)="N"),"x","")</f>
        <v/>
      </c>
    </row>
    <row r="293" spans="1:15">
      <c r="A293" s="24" t="str">
        <f t="shared" si="35"/>
        <v/>
      </c>
      <c r="B293" s="175" t="str">
        <f>IF(AND(MONTH(E293)='IN-NX'!$J$5,'IN-NX'!$D$7=(D293&amp;"/"&amp;C293)),"x","")</f>
        <v/>
      </c>
      <c r="C293" s="172"/>
      <c r="D293" s="172"/>
      <c r="E293" s="69"/>
      <c r="F293" s="61"/>
      <c r="G293" s="19"/>
      <c r="H293" s="197"/>
      <c r="I293" s="56"/>
      <c r="J293" s="15"/>
      <c r="K293" s="15"/>
      <c r="L293" s="15">
        <f t="shared" si="36"/>
        <v>0</v>
      </c>
      <c r="M293" s="15"/>
      <c r="N293" s="15">
        <f t="shared" si="37"/>
        <v>0</v>
      </c>
      <c r="O293" s="15" t="str">
        <f>IF(AND(A293='BANG KE NL'!$M$11,TH!C293="NL",LEFT(D293,1)="N"),"x","")</f>
        <v/>
      </c>
    </row>
    <row r="294" spans="1:15">
      <c r="A294" s="24" t="str">
        <f t="shared" si="35"/>
        <v/>
      </c>
      <c r="B294" s="175" t="str">
        <f>IF(AND(MONTH(E294)='IN-NX'!$J$5,'IN-NX'!$D$7=(D294&amp;"/"&amp;C294)),"x","")</f>
        <v/>
      </c>
      <c r="C294" s="172"/>
      <c r="D294" s="172"/>
      <c r="E294" s="69"/>
      <c r="F294" s="61"/>
      <c r="G294" s="19"/>
      <c r="H294" s="197"/>
      <c r="I294" s="56"/>
      <c r="J294" s="15"/>
      <c r="K294" s="15"/>
      <c r="L294" s="15">
        <f t="shared" si="36"/>
        <v>0</v>
      </c>
      <c r="M294" s="15"/>
      <c r="N294" s="15">
        <f t="shared" si="37"/>
        <v>0</v>
      </c>
      <c r="O294" s="15" t="str">
        <f>IF(AND(A294='BANG KE NL'!$M$11,TH!C294="NL",LEFT(D294,1)="N"),"x","")</f>
        <v/>
      </c>
    </row>
    <row r="295" spans="1:15">
      <c r="A295" s="24" t="str">
        <f t="shared" si="35"/>
        <v/>
      </c>
      <c r="B295" s="175" t="str">
        <f>IF(AND(MONTH(E295)='IN-NX'!$J$5,'IN-NX'!$D$7=(D295&amp;"/"&amp;C295)),"x","")</f>
        <v/>
      </c>
      <c r="C295" s="172"/>
      <c r="D295" s="172"/>
      <c r="E295" s="69"/>
      <c r="F295" s="61"/>
      <c r="G295" s="19"/>
      <c r="H295" s="197"/>
      <c r="I295" s="56"/>
      <c r="J295" s="15"/>
      <c r="K295" s="15"/>
      <c r="L295" s="15">
        <f t="shared" si="36"/>
        <v>0</v>
      </c>
      <c r="M295" s="15"/>
      <c r="N295" s="15">
        <f t="shared" si="37"/>
        <v>0</v>
      </c>
      <c r="O295" s="15" t="str">
        <f>IF(AND(A295='BANG KE NL'!$M$11,TH!C295="NL",LEFT(D295,1)="N"),"x","")</f>
        <v/>
      </c>
    </row>
    <row r="296" spans="1:15">
      <c r="A296" s="24" t="str">
        <f t="shared" si="35"/>
        <v/>
      </c>
      <c r="B296" s="175" t="str">
        <f>IF(AND(MONTH(E296)='IN-NX'!$J$5,'IN-NX'!$D$7=(D296&amp;"/"&amp;C296)),"x","")</f>
        <v/>
      </c>
      <c r="C296" s="172"/>
      <c r="D296" s="172"/>
      <c r="E296" s="69"/>
      <c r="F296" s="61"/>
      <c r="G296" s="19"/>
      <c r="H296" s="197"/>
      <c r="I296" s="56"/>
      <c r="J296" s="15"/>
      <c r="K296" s="15"/>
      <c r="L296" s="15">
        <f t="shared" si="36"/>
        <v>0</v>
      </c>
      <c r="M296" s="15"/>
      <c r="N296" s="15">
        <f t="shared" si="37"/>
        <v>0</v>
      </c>
      <c r="O296" s="15" t="str">
        <f>IF(AND(A296='BANG KE NL'!$M$11,TH!C296="NL",LEFT(D296,1)="N"),"x","")</f>
        <v/>
      </c>
    </row>
    <row r="297" spans="1:15">
      <c r="A297" s="24" t="str">
        <f t="shared" si="35"/>
        <v/>
      </c>
      <c r="B297" s="175" t="str">
        <f>IF(AND(MONTH(E297)='IN-NX'!$J$5,'IN-NX'!$D$7=(D297&amp;"/"&amp;C297)),"x","")</f>
        <v/>
      </c>
      <c r="C297" s="172"/>
      <c r="D297" s="172"/>
      <c r="E297" s="69"/>
      <c r="F297" s="61"/>
      <c r="G297" s="19"/>
      <c r="H297" s="197"/>
      <c r="I297" s="56"/>
      <c r="J297" s="15"/>
      <c r="K297" s="15"/>
      <c r="L297" s="15">
        <f t="shared" si="36"/>
        <v>0</v>
      </c>
      <c r="M297" s="15"/>
      <c r="N297" s="15">
        <f t="shared" si="37"/>
        <v>0</v>
      </c>
      <c r="O297" s="15" t="str">
        <f>IF(AND(A297='BANG KE NL'!$M$11,TH!C297="NL",LEFT(D297,1)="N"),"x","")</f>
        <v/>
      </c>
    </row>
    <row r="298" spans="1:15">
      <c r="A298" s="24" t="str">
        <f t="shared" si="35"/>
        <v/>
      </c>
      <c r="B298" s="175" t="str">
        <f>IF(AND(MONTH(E298)='IN-NX'!$J$5,'IN-NX'!$D$7=(D298&amp;"/"&amp;C298)),"x","")</f>
        <v/>
      </c>
      <c r="C298" s="172"/>
      <c r="D298" s="172"/>
      <c r="E298" s="69"/>
      <c r="F298" s="61"/>
      <c r="G298" s="19"/>
      <c r="H298" s="197"/>
      <c r="I298" s="197"/>
      <c r="J298" s="15"/>
      <c r="K298" s="15"/>
      <c r="L298" s="15">
        <f t="shared" si="36"/>
        <v>0</v>
      </c>
      <c r="M298" s="15"/>
      <c r="N298" s="15">
        <f t="shared" si="37"/>
        <v>0</v>
      </c>
      <c r="O298" s="15" t="str">
        <f>IF(AND(A298='BANG KE NL'!$M$11,TH!C298="NL",LEFT(D298,1)="N"),"x","")</f>
        <v/>
      </c>
    </row>
    <row r="299" spans="1:15">
      <c r="A299" s="24" t="str">
        <f t="shared" si="35"/>
        <v/>
      </c>
      <c r="B299" s="175" t="str">
        <f>IF(AND(MONTH(E299)='IN-NX'!$J$5,'IN-NX'!$D$7=(D299&amp;"/"&amp;C299)),"x","")</f>
        <v/>
      </c>
      <c r="C299" s="172"/>
      <c r="D299" s="172"/>
      <c r="E299" s="69"/>
      <c r="F299" s="61"/>
      <c r="G299" s="19"/>
      <c r="H299" s="197"/>
      <c r="I299" s="197"/>
      <c r="J299" s="15"/>
      <c r="K299" s="15"/>
      <c r="L299" s="15">
        <f t="shared" si="36"/>
        <v>0</v>
      </c>
      <c r="M299" s="15"/>
      <c r="N299" s="15">
        <f t="shared" si="37"/>
        <v>0</v>
      </c>
      <c r="O299" s="15" t="str">
        <f>IF(AND(A299='BANG KE NL'!$M$11,TH!C299="NL",LEFT(D299,1)="N"),"x","")</f>
        <v/>
      </c>
    </row>
    <row r="300" spans="1:15">
      <c r="A300" s="24" t="str">
        <f t="shared" si="35"/>
        <v/>
      </c>
      <c r="B300" s="175" t="str">
        <f>IF(AND(MONTH(E300)='IN-NX'!$J$5,'IN-NX'!$D$7=(D300&amp;"/"&amp;C300)),"x","")</f>
        <v/>
      </c>
      <c r="C300" s="172"/>
      <c r="D300" s="172"/>
      <c r="E300" s="69"/>
      <c r="F300" s="61"/>
      <c r="G300" s="19"/>
      <c r="H300" s="197"/>
      <c r="I300" s="56"/>
      <c r="J300" s="15"/>
      <c r="K300" s="15"/>
      <c r="L300" s="15">
        <f t="shared" si="36"/>
        <v>0</v>
      </c>
      <c r="M300" s="15"/>
      <c r="N300" s="15">
        <f t="shared" si="37"/>
        <v>0</v>
      </c>
      <c r="O300" s="15" t="str">
        <f>IF(AND(A300='BANG KE NL'!$M$11,TH!C300="NL",LEFT(D300,1)="N"),"x","")</f>
        <v/>
      </c>
    </row>
    <row r="301" spans="1:15">
      <c r="A301" s="24" t="str">
        <f t="shared" si="35"/>
        <v/>
      </c>
      <c r="B301" s="175" t="str">
        <f>IF(AND(MONTH(E301)='IN-NX'!$J$5,'IN-NX'!$D$7=(D301&amp;"/"&amp;C301)),"x","")</f>
        <v/>
      </c>
      <c r="C301" s="172"/>
      <c r="D301" s="172"/>
      <c r="E301" s="69"/>
      <c r="F301" s="61"/>
      <c r="G301" s="19"/>
      <c r="H301" s="197"/>
      <c r="I301" s="56"/>
      <c r="J301" s="15"/>
      <c r="K301" s="15"/>
      <c r="L301" s="15">
        <f t="shared" si="36"/>
        <v>0</v>
      </c>
      <c r="M301" s="15"/>
      <c r="N301" s="15">
        <f t="shared" si="37"/>
        <v>0</v>
      </c>
      <c r="O301" s="15" t="str">
        <f>IF(AND(A301='BANG KE NL'!$M$11,TH!C301="NL",LEFT(D301,1)="N"),"x","")</f>
        <v/>
      </c>
    </row>
    <row r="302" spans="1:15">
      <c r="A302" s="24" t="str">
        <f t="shared" si="35"/>
        <v/>
      </c>
      <c r="B302" s="175" t="str">
        <f>IF(AND(MONTH(E302)='IN-NX'!$J$5,'IN-NX'!$D$7=(D302&amp;"/"&amp;C302)),"x","")</f>
        <v/>
      </c>
      <c r="C302" s="172"/>
      <c r="D302" s="172"/>
      <c r="E302" s="69"/>
      <c r="F302" s="61"/>
      <c r="G302" s="19"/>
      <c r="H302" s="197"/>
      <c r="I302" s="56"/>
      <c r="J302" s="15"/>
      <c r="K302" s="15"/>
      <c r="L302" s="15">
        <f t="shared" si="36"/>
        <v>0</v>
      </c>
      <c r="M302" s="15"/>
      <c r="N302" s="15">
        <f t="shared" si="37"/>
        <v>0</v>
      </c>
      <c r="O302" s="15" t="str">
        <f>IF(AND(A302='BANG KE NL'!$M$11,TH!C302="NL",LEFT(D302,1)="N"),"x","")</f>
        <v/>
      </c>
    </row>
    <row r="303" spans="1:15">
      <c r="A303" s="24" t="str">
        <f t="shared" si="35"/>
        <v/>
      </c>
      <c r="B303" s="175" t="str">
        <f>IF(AND(MONTH(E303)='IN-NX'!$J$5,'IN-NX'!$D$7=(D303&amp;"/"&amp;C303)),"x","")</f>
        <v/>
      </c>
      <c r="C303" s="172"/>
      <c r="D303" s="172"/>
      <c r="E303" s="69"/>
      <c r="F303" s="61"/>
      <c r="G303" s="19"/>
      <c r="H303" s="197"/>
      <c r="I303" s="56"/>
      <c r="J303" s="15"/>
      <c r="K303" s="15"/>
      <c r="L303" s="15">
        <f t="shared" si="36"/>
        <v>0</v>
      </c>
      <c r="M303" s="15"/>
      <c r="N303" s="15">
        <f t="shared" si="37"/>
        <v>0</v>
      </c>
      <c r="O303" s="15" t="str">
        <f>IF(AND(A303='BANG KE NL'!$M$11,TH!C303="NL",LEFT(D303,1)="N"),"x","")</f>
        <v/>
      </c>
    </row>
    <row r="304" spans="1:15">
      <c r="A304" s="24" t="str">
        <f t="shared" si="35"/>
        <v/>
      </c>
      <c r="B304" s="175" t="str">
        <f>IF(AND(MONTH(E304)='IN-NX'!$J$5,'IN-NX'!$D$7=(D304&amp;"/"&amp;C304)),"x","")</f>
        <v/>
      </c>
      <c r="C304" s="172"/>
      <c r="D304" s="172"/>
      <c r="E304" s="69"/>
      <c r="F304" s="61"/>
      <c r="G304" s="19"/>
      <c r="H304" s="197"/>
      <c r="I304" s="56"/>
      <c r="J304" s="15"/>
      <c r="K304" s="15"/>
      <c r="L304" s="15">
        <f t="shared" si="36"/>
        <v>0</v>
      </c>
      <c r="M304" s="15"/>
      <c r="N304" s="15">
        <f t="shared" si="37"/>
        <v>0</v>
      </c>
      <c r="O304" s="15" t="str">
        <f>IF(AND(A304='BANG KE NL'!$M$11,TH!C304="NL",LEFT(D304,1)="N"),"x","")</f>
        <v/>
      </c>
    </row>
    <row r="305" spans="1:15">
      <c r="A305" s="24" t="str">
        <f t="shared" si="35"/>
        <v/>
      </c>
      <c r="B305" s="175" t="str">
        <f>IF(AND(MONTH(E305)='IN-NX'!$J$5,'IN-NX'!$D$7=(D305&amp;"/"&amp;C305)),"x","")</f>
        <v/>
      </c>
      <c r="C305" s="172"/>
      <c r="D305" s="172"/>
      <c r="E305" s="69"/>
      <c r="F305" s="61"/>
      <c r="G305" s="19"/>
      <c r="H305" s="197"/>
      <c r="I305" s="56"/>
      <c r="J305" s="15"/>
      <c r="K305" s="15"/>
      <c r="L305" s="15">
        <f t="shared" si="36"/>
        <v>0</v>
      </c>
      <c r="M305" s="15"/>
      <c r="N305" s="15">
        <f t="shared" si="37"/>
        <v>0</v>
      </c>
      <c r="O305" s="15" t="str">
        <f>IF(AND(A305='BANG KE NL'!$M$11,TH!C305="NL",LEFT(D305,1)="N"),"x","")</f>
        <v/>
      </c>
    </row>
    <row r="306" spans="1:15">
      <c r="A306" s="24" t="str">
        <f t="shared" si="35"/>
        <v/>
      </c>
      <c r="B306" s="175" t="str">
        <f>IF(AND(MONTH(E306)='IN-NX'!$J$5,'IN-NX'!$D$7=(D306&amp;"/"&amp;C306)),"x","")</f>
        <v/>
      </c>
      <c r="C306" s="172"/>
      <c r="D306" s="172"/>
      <c r="E306" s="69"/>
      <c r="F306" s="61"/>
      <c r="G306" s="19"/>
      <c r="H306" s="197"/>
      <c r="I306" s="56"/>
      <c r="J306" s="15"/>
      <c r="K306" s="15"/>
      <c r="L306" s="15">
        <f t="shared" si="36"/>
        <v>0</v>
      </c>
      <c r="M306" s="15"/>
      <c r="N306" s="15">
        <f t="shared" si="37"/>
        <v>0</v>
      </c>
      <c r="O306" s="15" t="str">
        <f>IF(AND(A306='BANG KE NL'!$M$11,TH!C306="NL",LEFT(D306,1)="N"),"x","")</f>
        <v/>
      </c>
    </row>
    <row r="307" spans="1:15">
      <c r="A307" s="24" t="str">
        <f t="shared" si="35"/>
        <v/>
      </c>
      <c r="B307" s="175" t="str">
        <f>IF(AND(MONTH(E307)='IN-NX'!$J$5,'IN-NX'!$D$7=(D307&amp;"/"&amp;C307)),"x","")</f>
        <v/>
      </c>
      <c r="C307" s="172"/>
      <c r="D307" s="172"/>
      <c r="E307" s="69"/>
      <c r="F307" s="61"/>
      <c r="G307" s="19"/>
      <c r="H307" s="197"/>
      <c r="I307" s="56"/>
      <c r="J307" s="15"/>
      <c r="K307" s="15"/>
      <c r="L307" s="15">
        <f t="shared" si="36"/>
        <v>0</v>
      </c>
      <c r="M307" s="15"/>
      <c r="N307" s="15">
        <f t="shared" si="37"/>
        <v>0</v>
      </c>
      <c r="O307" s="15" t="str">
        <f>IF(AND(A307='BANG KE NL'!$M$11,TH!C307="NL",LEFT(D307,1)="N"),"x","")</f>
        <v/>
      </c>
    </row>
    <row r="308" spans="1:15">
      <c r="A308" s="24" t="str">
        <f t="shared" si="35"/>
        <v/>
      </c>
      <c r="B308" s="175" t="str">
        <f>IF(AND(MONTH(E308)='IN-NX'!$J$5,'IN-NX'!$D$7=(D308&amp;"/"&amp;C308)),"x","")</f>
        <v/>
      </c>
      <c r="C308" s="172"/>
      <c r="D308" s="172"/>
      <c r="E308" s="69"/>
      <c r="F308" s="61"/>
      <c r="G308" s="19"/>
      <c r="H308" s="197"/>
      <c r="I308" s="56"/>
      <c r="J308" s="15"/>
      <c r="K308" s="15"/>
      <c r="L308" s="15">
        <f t="shared" si="36"/>
        <v>0</v>
      </c>
      <c r="M308" s="15"/>
      <c r="N308" s="15">
        <f t="shared" si="37"/>
        <v>0</v>
      </c>
      <c r="O308" s="15" t="str">
        <f>IF(AND(A308='BANG KE NL'!$M$11,TH!C308="NL",LEFT(D308,1)="N"),"x","")</f>
        <v/>
      </c>
    </row>
    <row r="309" spans="1:15">
      <c r="A309" s="24" t="str">
        <f t="shared" si="35"/>
        <v/>
      </c>
      <c r="B309" s="175" t="str">
        <f>IF(AND(MONTH(E309)='IN-NX'!$J$5,'IN-NX'!$D$7=(D309&amp;"/"&amp;C309)),"x","")</f>
        <v/>
      </c>
      <c r="C309" s="172"/>
      <c r="D309" s="172"/>
      <c r="E309" s="69"/>
      <c r="F309" s="61"/>
      <c r="G309" s="19"/>
      <c r="H309" s="197"/>
      <c r="I309" s="56"/>
      <c r="J309" s="15"/>
      <c r="K309" s="15"/>
      <c r="L309" s="15">
        <f t="shared" si="36"/>
        <v>0</v>
      </c>
      <c r="M309" s="15"/>
      <c r="N309" s="15">
        <f t="shared" si="37"/>
        <v>0</v>
      </c>
      <c r="O309" s="15" t="str">
        <f>IF(AND(A309='BANG KE NL'!$M$11,TH!C309="NL",LEFT(D309,1)="N"),"x","")</f>
        <v/>
      </c>
    </row>
    <row r="310" spans="1:15">
      <c r="A310" s="24" t="str">
        <f t="shared" si="35"/>
        <v/>
      </c>
      <c r="B310" s="175" t="str">
        <f>IF(AND(MONTH(E310)='IN-NX'!$J$5,'IN-NX'!$D$7=(D310&amp;"/"&amp;C310)),"x","")</f>
        <v/>
      </c>
      <c r="C310" s="172"/>
      <c r="D310" s="172"/>
      <c r="E310" s="69"/>
      <c r="F310" s="61"/>
      <c r="G310" s="19"/>
      <c r="H310" s="197"/>
      <c r="I310" s="56"/>
      <c r="J310" s="15"/>
      <c r="K310" s="15"/>
      <c r="L310" s="15">
        <f t="shared" si="36"/>
        <v>0</v>
      </c>
      <c r="M310" s="15"/>
      <c r="N310" s="15">
        <f t="shared" si="37"/>
        <v>0</v>
      </c>
      <c r="O310" s="15" t="str">
        <f>IF(AND(A310='BANG KE NL'!$M$11,TH!C310="NL",LEFT(D310,1)="N"),"x","")</f>
        <v/>
      </c>
    </row>
    <row r="311" spans="1:15">
      <c r="A311" s="24" t="str">
        <f t="shared" si="35"/>
        <v/>
      </c>
      <c r="B311" s="175" t="str">
        <f>IF(AND(MONTH(E311)='IN-NX'!$J$5,'IN-NX'!$D$7=(D311&amp;"/"&amp;C311)),"x","")</f>
        <v/>
      </c>
      <c r="C311" s="172"/>
      <c r="D311" s="172"/>
      <c r="E311" s="69"/>
      <c r="F311" s="61"/>
      <c r="G311" s="19"/>
      <c r="H311" s="197"/>
      <c r="I311" s="56"/>
      <c r="J311" s="15"/>
      <c r="K311" s="15"/>
      <c r="L311" s="15">
        <f t="shared" si="36"/>
        <v>0</v>
      </c>
      <c r="M311" s="15"/>
      <c r="N311" s="15">
        <f t="shared" si="37"/>
        <v>0</v>
      </c>
      <c r="O311" s="15" t="str">
        <f>IF(AND(A311='BANG KE NL'!$M$11,TH!C311="NL",LEFT(D311,1)="N"),"x","")</f>
        <v/>
      </c>
    </row>
    <row r="312" spans="1:15">
      <c r="A312" s="24" t="str">
        <f t="shared" si="35"/>
        <v/>
      </c>
      <c r="B312" s="175" t="str">
        <f>IF(AND(MONTH(E312)='IN-NX'!$J$5,'IN-NX'!$D$7=(D312&amp;"/"&amp;C312)),"x","")</f>
        <v/>
      </c>
      <c r="C312" s="172"/>
      <c r="D312" s="172"/>
      <c r="E312" s="69"/>
      <c r="F312" s="61"/>
      <c r="G312" s="19"/>
      <c r="H312" s="197"/>
      <c r="I312" s="56"/>
      <c r="J312" s="15"/>
      <c r="K312" s="15"/>
      <c r="L312" s="15">
        <f t="shared" si="36"/>
        <v>0</v>
      </c>
      <c r="M312" s="15"/>
      <c r="N312" s="15">
        <f t="shared" si="37"/>
        <v>0</v>
      </c>
      <c r="O312" s="15" t="str">
        <f>IF(AND(A312='BANG KE NL'!$M$11,TH!C312="NL",LEFT(D312,1)="N"),"x","")</f>
        <v/>
      </c>
    </row>
    <row r="313" spans="1:15">
      <c r="A313" s="24" t="str">
        <f t="shared" si="35"/>
        <v/>
      </c>
      <c r="B313" s="175" t="str">
        <f>IF(AND(MONTH(E313)='IN-NX'!$J$5,'IN-NX'!$D$7=(D313&amp;"/"&amp;C313)),"x","")</f>
        <v/>
      </c>
      <c r="C313" s="172"/>
      <c r="D313" s="172"/>
      <c r="E313" s="69"/>
      <c r="F313" s="61"/>
      <c r="G313" s="19"/>
      <c r="H313" s="197"/>
      <c r="I313" s="197"/>
      <c r="J313" s="15"/>
      <c r="K313" s="15"/>
      <c r="L313" s="15">
        <f t="shared" si="36"/>
        <v>0</v>
      </c>
      <c r="M313" s="15"/>
      <c r="N313" s="15">
        <f t="shared" si="37"/>
        <v>0</v>
      </c>
      <c r="O313" s="15" t="str">
        <f>IF(AND(A313='BANG KE NL'!$M$11,TH!C313="NL",LEFT(D313,1)="N"),"x","")</f>
        <v/>
      </c>
    </row>
    <row r="314" spans="1:15">
      <c r="A314" s="24" t="str">
        <f t="shared" si="35"/>
        <v/>
      </c>
      <c r="B314" s="175" t="str">
        <f>IF(AND(MONTH(E314)='IN-NX'!$J$5,'IN-NX'!$D$7=(D314&amp;"/"&amp;C314)),"x","")</f>
        <v/>
      </c>
      <c r="C314" s="172"/>
      <c r="D314" s="172"/>
      <c r="E314" s="69"/>
      <c r="F314" s="61"/>
      <c r="G314" s="19"/>
      <c r="H314" s="197"/>
      <c r="I314" s="197"/>
      <c r="J314" s="15"/>
      <c r="K314" s="15"/>
      <c r="L314" s="15">
        <f t="shared" si="36"/>
        <v>0</v>
      </c>
      <c r="M314" s="15"/>
      <c r="N314" s="15">
        <f t="shared" si="37"/>
        <v>0</v>
      </c>
      <c r="O314" s="15" t="str">
        <f>IF(AND(A314='BANG KE NL'!$M$11,TH!C314="NL",LEFT(D314,1)="N"),"x","")</f>
        <v/>
      </c>
    </row>
    <row r="315" spans="1:15">
      <c r="A315" s="24" t="str">
        <f t="shared" si="35"/>
        <v/>
      </c>
      <c r="B315" s="175" t="str">
        <f>IF(AND(MONTH(E315)='IN-NX'!$J$5,'IN-NX'!$D$7=(D315&amp;"/"&amp;C315)),"x","")</f>
        <v/>
      </c>
      <c r="C315" s="172"/>
      <c r="D315" s="172"/>
      <c r="E315" s="69"/>
      <c r="F315" s="61"/>
      <c r="G315" s="19"/>
      <c r="H315" s="197"/>
      <c r="I315" s="197"/>
      <c r="J315" s="15"/>
      <c r="K315" s="15"/>
      <c r="L315" s="15">
        <f t="shared" si="36"/>
        <v>0</v>
      </c>
      <c r="M315" s="15"/>
      <c r="N315" s="15">
        <f t="shared" si="37"/>
        <v>0</v>
      </c>
      <c r="O315" s="15" t="str">
        <f>IF(AND(A315='BANG KE NL'!$M$11,TH!C315="NL",LEFT(D315,1)="N"),"x","")</f>
        <v/>
      </c>
    </row>
    <row r="316" spans="1:15">
      <c r="A316" s="24" t="str">
        <f t="shared" si="35"/>
        <v/>
      </c>
      <c r="B316" s="175" t="str">
        <f>IF(AND(MONTH(E316)='IN-NX'!$J$5,'IN-NX'!$D$7=(D316&amp;"/"&amp;C316)),"x","")</f>
        <v/>
      </c>
      <c r="C316" s="172"/>
      <c r="D316" s="172"/>
      <c r="E316" s="69"/>
      <c r="F316" s="61"/>
      <c r="G316" s="19"/>
      <c r="H316" s="197"/>
      <c r="I316" s="197"/>
      <c r="J316" s="15"/>
      <c r="K316" s="15"/>
      <c r="L316" s="15">
        <f t="shared" si="36"/>
        <v>0</v>
      </c>
      <c r="M316" s="15"/>
      <c r="N316" s="15">
        <f t="shared" si="37"/>
        <v>0</v>
      </c>
      <c r="O316" s="15" t="str">
        <f>IF(AND(A316='BANG KE NL'!$M$11,TH!C316="NL",LEFT(D316,1)="N"),"x","")</f>
        <v/>
      </c>
    </row>
    <row r="317" spans="1:15">
      <c r="A317" s="24" t="str">
        <f t="shared" ref="A317:A346" si="38">IF(E317&lt;&gt;"",MONTH(E317),"")</f>
        <v/>
      </c>
      <c r="B317" s="175" t="str">
        <f>IF(AND(MONTH(E317)='IN-NX'!$J$5,'IN-NX'!$D$7=(D317&amp;"/"&amp;C317)),"x","")</f>
        <v/>
      </c>
      <c r="C317" s="172"/>
      <c r="D317" s="172"/>
      <c r="E317" s="69"/>
      <c r="F317" s="61"/>
      <c r="G317" s="19"/>
      <c r="H317" s="197"/>
      <c r="I317" s="56"/>
      <c r="J317" s="15"/>
      <c r="K317" s="15"/>
      <c r="L317" s="15">
        <f t="shared" si="36"/>
        <v>0</v>
      </c>
      <c r="M317" s="15"/>
      <c r="N317" s="15">
        <f t="shared" si="37"/>
        <v>0</v>
      </c>
      <c r="O317" s="15" t="str">
        <f>IF(AND(A317='BANG KE NL'!$M$11,TH!C317="NL",LEFT(D317,1)="N"),"x","")</f>
        <v/>
      </c>
    </row>
    <row r="318" spans="1:15">
      <c r="A318" s="24" t="str">
        <f t="shared" si="38"/>
        <v/>
      </c>
      <c r="B318" s="175" t="str">
        <f>IF(AND(MONTH(E318)='IN-NX'!$J$5,'IN-NX'!$D$7=(D318&amp;"/"&amp;C318)),"x","")</f>
        <v/>
      </c>
      <c r="C318" s="172"/>
      <c r="D318" s="172"/>
      <c r="E318" s="69"/>
      <c r="F318" s="61"/>
      <c r="G318" s="19"/>
      <c r="H318" s="197"/>
      <c r="I318" s="56"/>
      <c r="J318" s="15"/>
      <c r="K318" s="15"/>
      <c r="L318" s="15">
        <f t="shared" si="36"/>
        <v>0</v>
      </c>
      <c r="M318" s="15"/>
      <c r="N318" s="15">
        <f t="shared" si="37"/>
        <v>0</v>
      </c>
      <c r="O318" s="15" t="str">
        <f>IF(AND(A318='BANG KE NL'!$M$11,TH!C318="NL",LEFT(D318,1)="N"),"x","")</f>
        <v/>
      </c>
    </row>
    <row r="319" spans="1:15">
      <c r="A319" s="24" t="str">
        <f t="shared" si="38"/>
        <v/>
      </c>
      <c r="B319" s="175" t="str">
        <f>IF(AND(MONTH(E319)='IN-NX'!$J$5,'IN-NX'!$D$7=(D319&amp;"/"&amp;C319)),"x","")</f>
        <v/>
      </c>
      <c r="C319" s="172"/>
      <c r="D319" s="172"/>
      <c r="E319" s="69"/>
      <c r="F319" s="61"/>
      <c r="G319" s="19"/>
      <c r="H319" s="197"/>
      <c r="I319" s="56"/>
      <c r="J319" s="15"/>
      <c r="K319" s="15"/>
      <c r="L319" s="15">
        <f t="shared" si="36"/>
        <v>0</v>
      </c>
      <c r="M319" s="15"/>
      <c r="N319" s="15">
        <f t="shared" si="37"/>
        <v>0</v>
      </c>
      <c r="O319" s="15" t="str">
        <f>IF(AND(A319='BANG KE NL'!$M$11,TH!C319="NL",LEFT(D319,1)="N"),"x","")</f>
        <v/>
      </c>
    </row>
    <row r="320" spans="1:15">
      <c r="A320" s="24" t="str">
        <f t="shared" si="38"/>
        <v/>
      </c>
      <c r="B320" s="175" t="str">
        <f>IF(AND(MONTH(E320)='IN-NX'!$J$5,'IN-NX'!$D$7=(D320&amp;"/"&amp;C320)),"x","")</f>
        <v/>
      </c>
      <c r="C320" s="172"/>
      <c r="D320" s="172"/>
      <c r="E320" s="69"/>
      <c r="F320" s="61"/>
      <c r="G320" s="19"/>
      <c r="H320" s="197"/>
      <c r="I320" s="56"/>
      <c r="J320" s="15"/>
      <c r="K320" s="15"/>
      <c r="L320" s="15">
        <f t="shared" si="36"/>
        <v>0</v>
      </c>
      <c r="M320" s="15"/>
      <c r="N320" s="15">
        <f t="shared" si="37"/>
        <v>0</v>
      </c>
      <c r="O320" s="15" t="str">
        <f>IF(AND(A320='BANG KE NL'!$M$11,TH!C320="NL",LEFT(D320,1)="N"),"x","")</f>
        <v/>
      </c>
    </row>
    <row r="321" spans="1:15">
      <c r="A321" s="24" t="str">
        <f t="shared" si="38"/>
        <v/>
      </c>
      <c r="B321" s="175" t="str">
        <f>IF(AND(MONTH(E321)='IN-NX'!$J$5,'IN-NX'!$D$7=(D321&amp;"/"&amp;C321)),"x","")</f>
        <v/>
      </c>
      <c r="C321" s="172"/>
      <c r="D321" s="172"/>
      <c r="E321" s="69"/>
      <c r="F321" s="61"/>
      <c r="G321" s="19"/>
      <c r="H321" s="197"/>
      <c r="I321" s="56"/>
      <c r="J321" s="15"/>
      <c r="K321" s="15"/>
      <c r="L321" s="15">
        <f t="shared" si="36"/>
        <v>0</v>
      </c>
      <c r="M321" s="15"/>
      <c r="N321" s="15">
        <f t="shared" si="37"/>
        <v>0</v>
      </c>
      <c r="O321" s="15" t="str">
        <f>IF(AND(A321='BANG KE NL'!$M$11,TH!C321="NL",LEFT(D321,1)="N"),"x","")</f>
        <v/>
      </c>
    </row>
    <row r="322" spans="1:15">
      <c r="A322" s="24" t="str">
        <f t="shared" si="38"/>
        <v/>
      </c>
      <c r="B322" s="175" t="str">
        <f>IF(AND(MONTH(E322)='IN-NX'!$J$5,'IN-NX'!$D$7=(D322&amp;"/"&amp;C322)),"x","")</f>
        <v/>
      </c>
      <c r="C322" s="172"/>
      <c r="D322" s="172"/>
      <c r="E322" s="69"/>
      <c r="F322" s="61"/>
      <c r="G322" s="19"/>
      <c r="H322" s="197"/>
      <c r="I322" s="56"/>
      <c r="J322" s="15"/>
      <c r="K322" s="15"/>
      <c r="L322" s="15">
        <f t="shared" si="36"/>
        <v>0</v>
      </c>
      <c r="M322" s="15"/>
      <c r="N322" s="15">
        <f t="shared" si="37"/>
        <v>0</v>
      </c>
      <c r="O322" s="15" t="str">
        <f>IF(AND(A322='BANG KE NL'!$M$11,TH!C322="NL",LEFT(D322,1)="N"),"x","")</f>
        <v/>
      </c>
    </row>
    <row r="323" spans="1:15">
      <c r="A323" s="24" t="str">
        <f t="shared" si="38"/>
        <v/>
      </c>
      <c r="B323" s="175" t="str">
        <f>IF(AND(MONTH(E323)='IN-NX'!$J$5,'IN-NX'!$D$7=(D323&amp;"/"&amp;C323)),"x","")</f>
        <v/>
      </c>
      <c r="C323" s="172"/>
      <c r="D323" s="172"/>
      <c r="E323" s="69"/>
      <c r="F323" s="61"/>
      <c r="G323" s="19"/>
      <c r="H323" s="197"/>
      <c r="I323" s="56"/>
      <c r="J323" s="15"/>
      <c r="K323" s="15"/>
      <c r="L323" s="15">
        <f t="shared" si="36"/>
        <v>0</v>
      </c>
      <c r="M323" s="15"/>
      <c r="N323" s="15">
        <f t="shared" si="37"/>
        <v>0</v>
      </c>
      <c r="O323" s="15" t="str">
        <f>IF(AND(A323='BANG KE NL'!$M$11,TH!C323="NL",LEFT(D323,1)="N"),"x","")</f>
        <v/>
      </c>
    </row>
    <row r="324" spans="1:15">
      <c r="A324" s="24" t="str">
        <f t="shared" si="38"/>
        <v/>
      </c>
      <c r="B324" s="175" t="str">
        <f>IF(AND(MONTH(E324)='IN-NX'!$J$5,'IN-NX'!$D$7=(D324&amp;"/"&amp;C324)),"x","")</f>
        <v/>
      </c>
      <c r="C324" s="172"/>
      <c r="D324" s="172"/>
      <c r="E324" s="69"/>
      <c r="F324" s="61"/>
      <c r="G324" s="19"/>
      <c r="H324" s="197"/>
      <c r="I324" s="56"/>
      <c r="J324" s="15"/>
      <c r="K324" s="15"/>
      <c r="L324" s="15">
        <f t="shared" si="36"/>
        <v>0</v>
      </c>
      <c r="M324" s="15"/>
      <c r="N324" s="15">
        <f t="shared" si="37"/>
        <v>0</v>
      </c>
      <c r="O324" s="15" t="str">
        <f>IF(AND(A324='BANG KE NL'!$M$11,TH!C324="NL",LEFT(D324,1)="N"),"x","")</f>
        <v/>
      </c>
    </row>
    <row r="325" spans="1:15">
      <c r="A325" s="24" t="str">
        <f t="shared" si="38"/>
        <v/>
      </c>
      <c r="B325" s="175" t="str">
        <f>IF(AND(MONTH(E325)='IN-NX'!$J$5,'IN-NX'!$D$7=(D325&amp;"/"&amp;C325)),"x","")</f>
        <v/>
      </c>
      <c r="C325" s="172"/>
      <c r="D325" s="172"/>
      <c r="E325" s="69"/>
      <c r="F325" s="61"/>
      <c r="G325" s="19"/>
      <c r="H325" s="197"/>
      <c r="I325" s="56"/>
      <c r="J325" s="15"/>
      <c r="K325" s="15"/>
      <c r="L325" s="15">
        <f t="shared" ref="L325:L388" si="39">ROUND(J325*K325,0)</f>
        <v>0</v>
      </c>
      <c r="M325" s="15"/>
      <c r="N325" s="15">
        <f t="shared" ref="N325:N388" si="40">ROUND(J325*M325,0)</f>
        <v>0</v>
      </c>
      <c r="O325" s="15" t="str">
        <f>IF(AND(A325='BANG KE NL'!$M$11,TH!C325="NL",LEFT(D325,1)="N"),"x","")</f>
        <v/>
      </c>
    </row>
    <row r="326" spans="1:15">
      <c r="A326" s="24" t="str">
        <f t="shared" si="38"/>
        <v/>
      </c>
      <c r="B326" s="175" t="str">
        <f>IF(AND(MONTH(E326)='IN-NX'!$J$5,'IN-NX'!$D$7=(D326&amp;"/"&amp;C326)),"x","")</f>
        <v/>
      </c>
      <c r="C326" s="172"/>
      <c r="D326" s="172"/>
      <c r="E326" s="69"/>
      <c r="F326" s="61"/>
      <c r="G326" s="19"/>
      <c r="H326" s="197"/>
      <c r="I326" s="56"/>
      <c r="J326" s="15"/>
      <c r="K326" s="15"/>
      <c r="L326" s="15">
        <f t="shared" si="39"/>
        <v>0</v>
      </c>
      <c r="M326" s="15"/>
      <c r="N326" s="15">
        <f t="shared" si="40"/>
        <v>0</v>
      </c>
      <c r="O326" s="15" t="str">
        <f>IF(AND(A326='BANG KE NL'!$M$11,TH!C326="NL",LEFT(D326,1)="N"),"x","")</f>
        <v/>
      </c>
    </row>
    <row r="327" spans="1:15">
      <c r="A327" s="24" t="str">
        <f t="shared" si="38"/>
        <v/>
      </c>
      <c r="B327" s="175" t="str">
        <f>IF(AND(MONTH(E327)='IN-NX'!$J$5,'IN-NX'!$D$7=(D327&amp;"/"&amp;C327)),"x","")</f>
        <v/>
      </c>
      <c r="C327" s="172"/>
      <c r="D327" s="172"/>
      <c r="E327" s="69"/>
      <c r="F327" s="61"/>
      <c r="G327" s="19"/>
      <c r="H327" s="197"/>
      <c r="I327" s="56"/>
      <c r="J327" s="15"/>
      <c r="K327" s="15"/>
      <c r="L327" s="15">
        <f t="shared" si="39"/>
        <v>0</v>
      </c>
      <c r="M327" s="15"/>
      <c r="N327" s="15">
        <f t="shared" si="40"/>
        <v>0</v>
      </c>
      <c r="O327" s="15" t="str">
        <f>IF(AND(A327='BANG KE NL'!$M$11,TH!C327="NL",LEFT(D327,1)="N"),"x","")</f>
        <v/>
      </c>
    </row>
    <row r="328" spans="1:15">
      <c r="A328" s="24" t="str">
        <f t="shared" si="38"/>
        <v/>
      </c>
      <c r="B328" s="175" t="str">
        <f>IF(AND(MONTH(E328)='IN-NX'!$J$5,'IN-NX'!$D$7=(D328&amp;"/"&amp;C328)),"x","")</f>
        <v/>
      </c>
      <c r="C328" s="172"/>
      <c r="D328" s="172"/>
      <c r="E328" s="69"/>
      <c r="F328" s="61"/>
      <c r="G328" s="19"/>
      <c r="H328" s="197"/>
      <c r="I328" s="56"/>
      <c r="J328" s="15"/>
      <c r="K328" s="15"/>
      <c r="L328" s="15">
        <f t="shared" si="39"/>
        <v>0</v>
      </c>
      <c r="M328" s="15"/>
      <c r="N328" s="15">
        <f t="shared" si="40"/>
        <v>0</v>
      </c>
      <c r="O328" s="15" t="str">
        <f>IF(AND(A328='BANG KE NL'!$M$11,TH!C328="NL",LEFT(D328,1)="N"),"x","")</f>
        <v/>
      </c>
    </row>
    <row r="329" spans="1:15">
      <c r="A329" s="24" t="str">
        <f t="shared" si="38"/>
        <v/>
      </c>
      <c r="B329" s="175" t="str">
        <f>IF(AND(MONTH(E329)='IN-NX'!$J$5,'IN-NX'!$D$7=(D329&amp;"/"&amp;C329)),"x","")</f>
        <v/>
      </c>
      <c r="C329" s="172"/>
      <c r="D329" s="172"/>
      <c r="E329" s="69"/>
      <c r="F329" s="61"/>
      <c r="G329" s="19"/>
      <c r="H329" s="197"/>
      <c r="I329" s="56"/>
      <c r="J329" s="15"/>
      <c r="K329" s="15"/>
      <c r="L329" s="15">
        <f t="shared" si="39"/>
        <v>0</v>
      </c>
      <c r="M329" s="15"/>
      <c r="N329" s="15">
        <f t="shared" si="40"/>
        <v>0</v>
      </c>
      <c r="O329" s="15" t="str">
        <f>IF(AND(A329='BANG KE NL'!$M$11,TH!C329="NL",LEFT(D329,1)="N"),"x","")</f>
        <v/>
      </c>
    </row>
    <row r="330" spans="1:15">
      <c r="A330" s="24" t="str">
        <f t="shared" si="38"/>
        <v/>
      </c>
      <c r="B330" s="175" t="str">
        <f>IF(AND(MONTH(E330)='IN-NX'!$J$5,'IN-NX'!$D$7=(D330&amp;"/"&amp;C330)),"x","")</f>
        <v/>
      </c>
      <c r="C330" s="172"/>
      <c r="D330" s="172"/>
      <c r="E330" s="69"/>
      <c r="F330" s="61"/>
      <c r="G330" s="19"/>
      <c r="H330" s="197"/>
      <c r="I330" s="56"/>
      <c r="J330" s="15"/>
      <c r="K330" s="15"/>
      <c r="L330" s="15">
        <f t="shared" si="39"/>
        <v>0</v>
      </c>
      <c r="M330" s="15"/>
      <c r="N330" s="15">
        <f t="shared" si="40"/>
        <v>0</v>
      </c>
      <c r="O330" s="15" t="str">
        <f>IF(AND(A330='BANG KE NL'!$M$11,TH!C330="NL",LEFT(D330,1)="N"),"x","")</f>
        <v/>
      </c>
    </row>
    <row r="331" spans="1:15">
      <c r="A331" s="24" t="str">
        <f t="shared" si="38"/>
        <v/>
      </c>
      <c r="B331" s="175" t="str">
        <f>IF(AND(MONTH(E331)='IN-NX'!$J$5,'IN-NX'!$D$7=(D331&amp;"/"&amp;C331)),"x","")</f>
        <v/>
      </c>
      <c r="C331" s="172"/>
      <c r="D331" s="172"/>
      <c r="E331" s="69"/>
      <c r="F331" s="61"/>
      <c r="G331" s="19"/>
      <c r="H331" s="197"/>
      <c r="I331" s="56"/>
      <c r="J331" s="15"/>
      <c r="K331" s="15"/>
      <c r="L331" s="15">
        <f t="shared" si="39"/>
        <v>0</v>
      </c>
      <c r="M331" s="15"/>
      <c r="N331" s="15">
        <f t="shared" si="40"/>
        <v>0</v>
      </c>
      <c r="O331" s="15" t="str">
        <f>IF(AND(A331='BANG KE NL'!$M$11,TH!C331="NL",LEFT(D331,1)="N"),"x","")</f>
        <v/>
      </c>
    </row>
    <row r="332" spans="1:15">
      <c r="A332" s="24" t="str">
        <f t="shared" si="38"/>
        <v/>
      </c>
      <c r="B332" s="175" t="str">
        <f>IF(AND(MONTH(E332)='IN-NX'!$J$5,'IN-NX'!$D$7=(D332&amp;"/"&amp;C332)),"x","")</f>
        <v/>
      </c>
      <c r="C332" s="172"/>
      <c r="D332" s="172"/>
      <c r="E332" s="69"/>
      <c r="F332" s="61"/>
      <c r="G332" s="19"/>
      <c r="H332" s="197"/>
      <c r="I332" s="56"/>
      <c r="J332" s="15"/>
      <c r="K332" s="15"/>
      <c r="L332" s="15">
        <f t="shared" si="39"/>
        <v>0</v>
      </c>
      <c r="M332" s="15"/>
      <c r="N332" s="15">
        <f t="shared" si="40"/>
        <v>0</v>
      </c>
      <c r="O332" s="15" t="str">
        <f>IF(AND(A332='BANG KE NL'!$M$11,TH!C332="NL",LEFT(D332,1)="N"),"x","")</f>
        <v/>
      </c>
    </row>
    <row r="333" spans="1:15">
      <c r="A333" s="24" t="str">
        <f t="shared" si="38"/>
        <v/>
      </c>
      <c r="B333" s="175" t="str">
        <f>IF(AND(MONTH(E333)='IN-NX'!$J$5,'IN-NX'!$D$7=(D333&amp;"/"&amp;C333)),"x","")</f>
        <v/>
      </c>
      <c r="C333" s="172"/>
      <c r="D333" s="172"/>
      <c r="E333" s="69"/>
      <c r="F333" s="61"/>
      <c r="G333" s="19"/>
      <c r="H333" s="197"/>
      <c r="I333" s="56"/>
      <c r="J333" s="15"/>
      <c r="K333" s="15"/>
      <c r="L333" s="15">
        <f t="shared" si="39"/>
        <v>0</v>
      </c>
      <c r="M333" s="15"/>
      <c r="N333" s="15">
        <f t="shared" si="40"/>
        <v>0</v>
      </c>
      <c r="O333" s="15" t="str">
        <f>IF(AND(A333='BANG KE NL'!$M$11,TH!C333="NL",LEFT(D333,1)="N"),"x","")</f>
        <v/>
      </c>
    </row>
    <row r="334" spans="1:15">
      <c r="A334" s="24" t="str">
        <f t="shared" si="38"/>
        <v/>
      </c>
      <c r="B334" s="175" t="str">
        <f>IF(AND(MONTH(E334)='IN-NX'!$J$5,'IN-NX'!$D$7=(D334&amp;"/"&amp;C334)),"x","")</f>
        <v/>
      </c>
      <c r="C334" s="172"/>
      <c r="D334" s="172"/>
      <c r="E334" s="69"/>
      <c r="F334" s="61"/>
      <c r="G334" s="19"/>
      <c r="H334" s="197"/>
      <c r="I334" s="56"/>
      <c r="J334" s="15"/>
      <c r="K334" s="15"/>
      <c r="L334" s="15">
        <f t="shared" si="39"/>
        <v>0</v>
      </c>
      <c r="M334" s="15"/>
      <c r="N334" s="15">
        <f t="shared" si="40"/>
        <v>0</v>
      </c>
      <c r="O334" s="15" t="str">
        <f>IF(AND(A334='BANG KE NL'!$M$11,TH!C334="NL",LEFT(D334,1)="N"),"x","")</f>
        <v/>
      </c>
    </row>
    <row r="335" spans="1:15">
      <c r="A335" s="24" t="str">
        <f t="shared" si="38"/>
        <v/>
      </c>
      <c r="B335" s="175" t="str">
        <f>IF(AND(MONTH(E335)='IN-NX'!$J$5,'IN-NX'!$D$7=(D335&amp;"/"&amp;C335)),"x","")</f>
        <v/>
      </c>
      <c r="C335" s="172"/>
      <c r="D335" s="172"/>
      <c r="E335" s="69"/>
      <c r="F335" s="61"/>
      <c r="G335" s="19"/>
      <c r="H335" s="197"/>
      <c r="I335" s="197"/>
      <c r="J335" s="15"/>
      <c r="K335" s="15"/>
      <c r="L335" s="15">
        <f t="shared" si="39"/>
        <v>0</v>
      </c>
      <c r="M335" s="15"/>
      <c r="N335" s="15">
        <f t="shared" si="40"/>
        <v>0</v>
      </c>
      <c r="O335" s="15" t="str">
        <f>IF(AND(A335='BANG KE NL'!$M$11,TH!C335="NL",LEFT(D335,1)="N"),"x","")</f>
        <v/>
      </c>
    </row>
    <row r="336" spans="1:15">
      <c r="A336" s="24" t="str">
        <f t="shared" si="38"/>
        <v/>
      </c>
      <c r="B336" s="175" t="str">
        <f>IF(AND(MONTH(E336)='IN-NX'!$J$5,'IN-NX'!$D$7=(D336&amp;"/"&amp;C336)),"x","")</f>
        <v/>
      </c>
      <c r="C336" s="172"/>
      <c r="D336" s="172"/>
      <c r="E336" s="69"/>
      <c r="F336" s="61"/>
      <c r="G336" s="19"/>
      <c r="H336" s="197"/>
      <c r="I336" s="197"/>
      <c r="J336" s="15"/>
      <c r="K336" s="15"/>
      <c r="L336" s="15">
        <f t="shared" si="39"/>
        <v>0</v>
      </c>
      <c r="M336" s="15"/>
      <c r="N336" s="15">
        <f t="shared" si="40"/>
        <v>0</v>
      </c>
      <c r="O336" s="15" t="str">
        <f>IF(AND(A336='BANG KE NL'!$M$11,TH!C336="NL",LEFT(D336,1)="N"),"x","")</f>
        <v/>
      </c>
    </row>
    <row r="337" spans="1:15">
      <c r="A337" s="24" t="str">
        <f t="shared" si="38"/>
        <v/>
      </c>
      <c r="B337" s="175" t="str">
        <f>IF(AND(MONTH(E337)='IN-NX'!$J$5,'IN-NX'!$D$7=(D337&amp;"/"&amp;C337)),"x","")</f>
        <v/>
      </c>
      <c r="C337" s="172"/>
      <c r="D337" s="172"/>
      <c r="E337" s="69"/>
      <c r="F337" s="61"/>
      <c r="G337" s="19"/>
      <c r="H337" s="197"/>
      <c r="I337" s="197"/>
      <c r="J337" s="15"/>
      <c r="K337" s="15"/>
      <c r="L337" s="15">
        <f t="shared" si="39"/>
        <v>0</v>
      </c>
      <c r="M337" s="15"/>
      <c r="N337" s="15">
        <f t="shared" si="40"/>
        <v>0</v>
      </c>
      <c r="O337" s="15" t="str">
        <f>IF(AND(A337='BANG KE NL'!$M$11,TH!C337="NL",LEFT(D337,1)="N"),"x","")</f>
        <v/>
      </c>
    </row>
    <row r="338" spans="1:15">
      <c r="A338" s="24" t="str">
        <f t="shared" si="38"/>
        <v/>
      </c>
      <c r="B338" s="175" t="str">
        <f>IF(AND(MONTH(E338)='IN-NX'!$J$5,'IN-NX'!$D$7=(D338&amp;"/"&amp;C338)),"x","")</f>
        <v/>
      </c>
      <c r="C338" s="172"/>
      <c r="D338" s="172"/>
      <c r="E338" s="69"/>
      <c r="F338" s="61"/>
      <c r="G338" s="19"/>
      <c r="H338" s="197"/>
      <c r="I338" s="197"/>
      <c r="J338" s="15"/>
      <c r="K338" s="15"/>
      <c r="L338" s="15">
        <f t="shared" si="39"/>
        <v>0</v>
      </c>
      <c r="M338" s="15"/>
      <c r="N338" s="15">
        <f t="shared" si="40"/>
        <v>0</v>
      </c>
      <c r="O338" s="15" t="str">
        <f>IF(AND(A338='BANG KE NL'!$M$11,TH!C338="NL",LEFT(D338,1)="N"),"x","")</f>
        <v/>
      </c>
    </row>
    <row r="339" spans="1:15">
      <c r="A339" s="24" t="str">
        <f t="shared" si="38"/>
        <v/>
      </c>
      <c r="B339" s="175" t="str">
        <f>IF(AND(MONTH(E339)='IN-NX'!$J$5,'IN-NX'!$D$7=(D339&amp;"/"&amp;C339)),"x","")</f>
        <v/>
      </c>
      <c r="C339" s="172"/>
      <c r="D339" s="172"/>
      <c r="E339" s="69"/>
      <c r="F339" s="61"/>
      <c r="G339" s="19"/>
      <c r="H339" s="197"/>
      <c r="I339" s="56"/>
      <c r="J339" s="15"/>
      <c r="K339" s="15"/>
      <c r="L339" s="15">
        <f t="shared" si="39"/>
        <v>0</v>
      </c>
      <c r="M339" s="15"/>
      <c r="N339" s="15">
        <f t="shared" si="40"/>
        <v>0</v>
      </c>
      <c r="O339" s="15" t="str">
        <f>IF(AND(A339='BANG KE NL'!$M$11,TH!C339="NL",LEFT(D339,1)="N"),"x","")</f>
        <v/>
      </c>
    </row>
    <row r="340" spans="1:15">
      <c r="A340" s="24" t="str">
        <f t="shared" si="38"/>
        <v/>
      </c>
      <c r="B340" s="175" t="str">
        <f>IF(AND(MONTH(E340)='IN-NX'!$J$5,'IN-NX'!$D$7=(D340&amp;"/"&amp;C340)),"x","")</f>
        <v/>
      </c>
      <c r="C340" s="172"/>
      <c r="D340" s="172"/>
      <c r="E340" s="69"/>
      <c r="F340" s="61"/>
      <c r="G340" s="19"/>
      <c r="H340" s="197"/>
      <c r="I340" s="56"/>
      <c r="J340" s="15"/>
      <c r="K340" s="15"/>
      <c r="L340" s="15">
        <f t="shared" si="39"/>
        <v>0</v>
      </c>
      <c r="M340" s="15"/>
      <c r="N340" s="15">
        <f t="shared" si="40"/>
        <v>0</v>
      </c>
      <c r="O340" s="15" t="str">
        <f>IF(AND(A340='BANG KE NL'!$M$11,TH!C340="NL",LEFT(D340,1)="N"),"x","")</f>
        <v/>
      </c>
    </row>
    <row r="341" spans="1:15">
      <c r="A341" s="24" t="str">
        <f t="shared" si="38"/>
        <v/>
      </c>
      <c r="B341" s="175" t="str">
        <f>IF(AND(MONTH(E341)='IN-NX'!$J$5,'IN-NX'!$D$7=(D341&amp;"/"&amp;C341)),"x","")</f>
        <v/>
      </c>
      <c r="C341" s="172"/>
      <c r="D341" s="172"/>
      <c r="E341" s="69"/>
      <c r="F341" s="61"/>
      <c r="G341" s="19"/>
      <c r="H341" s="197"/>
      <c r="I341" s="56"/>
      <c r="J341" s="15"/>
      <c r="K341" s="15"/>
      <c r="L341" s="15">
        <f t="shared" si="39"/>
        <v>0</v>
      </c>
      <c r="M341" s="15"/>
      <c r="N341" s="15">
        <f t="shared" si="40"/>
        <v>0</v>
      </c>
      <c r="O341" s="15" t="str">
        <f>IF(AND(A341='BANG KE NL'!$M$11,TH!C341="NL",LEFT(D341,1)="N"),"x","")</f>
        <v/>
      </c>
    </row>
    <row r="342" spans="1:15">
      <c r="A342" s="24" t="str">
        <f t="shared" si="38"/>
        <v/>
      </c>
      <c r="B342" s="175" t="str">
        <f>IF(AND(MONTH(E342)='IN-NX'!$J$5,'IN-NX'!$D$7=(D342&amp;"/"&amp;C342)),"x","")</f>
        <v/>
      </c>
      <c r="C342" s="172"/>
      <c r="D342" s="172"/>
      <c r="E342" s="69"/>
      <c r="F342" s="61"/>
      <c r="G342" s="19"/>
      <c r="H342" s="197"/>
      <c r="I342" s="197"/>
      <c r="J342" s="15"/>
      <c r="K342" s="15"/>
      <c r="L342" s="15">
        <f t="shared" si="39"/>
        <v>0</v>
      </c>
      <c r="M342" s="15"/>
      <c r="N342" s="15">
        <f t="shared" si="40"/>
        <v>0</v>
      </c>
      <c r="O342" s="15" t="str">
        <f>IF(AND(A342='BANG KE NL'!$M$11,TH!C342="NL",LEFT(D342,1)="N"),"x","")</f>
        <v/>
      </c>
    </row>
    <row r="343" spans="1:15">
      <c r="A343" s="24" t="str">
        <f t="shared" si="38"/>
        <v/>
      </c>
      <c r="B343" s="175" t="str">
        <f>IF(AND(MONTH(E343)='IN-NX'!$J$5,'IN-NX'!$D$7=(D343&amp;"/"&amp;C343)),"x","")</f>
        <v/>
      </c>
      <c r="C343" s="172"/>
      <c r="D343" s="172"/>
      <c r="E343" s="69"/>
      <c r="F343" s="61"/>
      <c r="G343" s="19"/>
      <c r="H343" s="197"/>
      <c r="I343" s="56"/>
      <c r="J343" s="15"/>
      <c r="K343" s="15"/>
      <c r="L343" s="15">
        <f t="shared" si="39"/>
        <v>0</v>
      </c>
      <c r="M343" s="15"/>
      <c r="N343" s="15">
        <f t="shared" si="40"/>
        <v>0</v>
      </c>
      <c r="O343" s="15" t="str">
        <f>IF(AND(A343='BANG KE NL'!$M$11,TH!C422="NL",LEFT(D343,1)="N"),"x","")</f>
        <v/>
      </c>
    </row>
    <row r="344" spans="1:15">
      <c r="A344" s="24" t="str">
        <f t="shared" si="38"/>
        <v/>
      </c>
      <c r="B344" s="175" t="str">
        <f>IF(AND(MONTH(E344)='IN-NX'!$J$5,'IN-NX'!$D$7=(D344&amp;"/"&amp;C344)),"x","")</f>
        <v/>
      </c>
      <c r="C344" s="172"/>
      <c r="D344" s="172"/>
      <c r="E344" s="69"/>
      <c r="F344" s="61"/>
      <c r="G344" s="19"/>
      <c r="H344" s="197"/>
      <c r="I344" s="56"/>
      <c r="J344" s="15"/>
      <c r="K344" s="15"/>
      <c r="L344" s="15">
        <f t="shared" si="39"/>
        <v>0</v>
      </c>
      <c r="M344" s="15"/>
      <c r="N344" s="15">
        <f t="shared" si="40"/>
        <v>0</v>
      </c>
      <c r="O344" s="15" t="str">
        <f>IF(AND(A344='BANG KE NL'!$M$11,TH!C423="NL",LEFT(D344,1)="N"),"x","")</f>
        <v/>
      </c>
    </row>
    <row r="345" spans="1:15">
      <c r="A345" s="24" t="str">
        <f t="shared" si="38"/>
        <v/>
      </c>
      <c r="B345" s="175" t="str">
        <f>IF(AND(MONTH(E345)='IN-NX'!$J$5,'IN-NX'!$D$7=(D345&amp;"/"&amp;C345)),"x","")</f>
        <v/>
      </c>
      <c r="C345" s="172"/>
      <c r="D345" s="172"/>
      <c r="E345" s="69"/>
      <c r="F345" s="61"/>
      <c r="G345" s="19"/>
      <c r="H345" s="197"/>
      <c r="I345" s="56"/>
      <c r="J345" s="15"/>
      <c r="K345" s="15"/>
      <c r="L345" s="15">
        <f t="shared" si="39"/>
        <v>0</v>
      </c>
      <c r="M345" s="15"/>
      <c r="N345" s="15">
        <f t="shared" si="40"/>
        <v>0</v>
      </c>
      <c r="O345" s="15" t="str">
        <f>IF(AND(A345='BANG KE NL'!$M$11,TH!C424="NL",LEFT(D345,1)="N"),"x","")</f>
        <v/>
      </c>
    </row>
    <row r="346" spans="1:15">
      <c r="A346" s="24" t="str">
        <f t="shared" si="38"/>
        <v/>
      </c>
      <c r="B346" s="175" t="str">
        <f>IF(AND(MONTH(E346)='IN-NX'!$J$5,'IN-NX'!$D$7=(D346&amp;"/"&amp;C346)),"x","")</f>
        <v/>
      </c>
      <c r="C346" s="172"/>
      <c r="D346" s="172"/>
      <c r="E346" s="69"/>
      <c r="F346" s="61"/>
      <c r="G346" s="19"/>
      <c r="H346" s="197"/>
      <c r="I346" s="56"/>
      <c r="J346" s="15"/>
      <c r="K346" s="15"/>
      <c r="L346" s="15">
        <f t="shared" si="39"/>
        <v>0</v>
      </c>
      <c r="M346" s="15"/>
      <c r="N346" s="15">
        <f t="shared" si="40"/>
        <v>0</v>
      </c>
      <c r="O346" s="15" t="str">
        <f>IF(AND(A346='BANG KE NL'!$M$11,TH!C342="NL",LEFT(D346,1)="N"),"x","")</f>
        <v/>
      </c>
    </row>
    <row r="347" spans="1:15">
      <c r="A347" s="24" t="str">
        <f t="shared" ref="A347:A394" si="41">IF(E347&lt;&gt;"",MONTH(E347),"")</f>
        <v/>
      </c>
      <c r="B347" s="175" t="str">
        <f>IF(AND(MONTH(E347)='IN-NX'!$J$5,'IN-NX'!$D$7=(D347&amp;"/"&amp;C347)),"x","")</f>
        <v/>
      </c>
      <c r="C347" s="172"/>
      <c r="D347" s="172"/>
      <c r="E347" s="69"/>
      <c r="F347" s="61"/>
      <c r="G347" s="19"/>
      <c r="H347" s="197"/>
      <c r="I347" s="56"/>
      <c r="J347" s="15"/>
      <c r="K347" s="15"/>
      <c r="L347" s="15">
        <f t="shared" si="39"/>
        <v>0</v>
      </c>
      <c r="M347" s="15"/>
      <c r="N347" s="15">
        <f t="shared" si="40"/>
        <v>0</v>
      </c>
      <c r="O347" s="15" t="str">
        <f>IF(AND(A347='BANG KE NL'!$M$11,TH!C347="NL",LEFT(D347,1)="N"),"x","")</f>
        <v/>
      </c>
    </row>
    <row r="348" spans="1:15">
      <c r="A348" s="24" t="str">
        <f t="shared" si="41"/>
        <v/>
      </c>
      <c r="B348" s="175" t="str">
        <f>IF(AND(MONTH(E348)='IN-NX'!$J$5,'IN-NX'!$D$7=(D348&amp;"/"&amp;C348)),"x","")</f>
        <v/>
      </c>
      <c r="C348" s="172"/>
      <c r="D348" s="172"/>
      <c r="E348" s="69"/>
      <c r="F348" s="61"/>
      <c r="G348" s="19"/>
      <c r="H348" s="197"/>
      <c r="I348" s="56"/>
      <c r="J348" s="15"/>
      <c r="K348" s="15"/>
      <c r="L348" s="15">
        <f t="shared" si="39"/>
        <v>0</v>
      </c>
      <c r="M348" s="15"/>
      <c r="N348" s="15">
        <f t="shared" si="40"/>
        <v>0</v>
      </c>
      <c r="O348" s="15" t="str">
        <f>IF(AND(A348='BANG KE NL'!$M$11,TH!C348="NL",LEFT(D348,1)="N"),"x","")</f>
        <v/>
      </c>
    </row>
    <row r="349" spans="1:15">
      <c r="A349" s="24" t="str">
        <f t="shared" si="41"/>
        <v/>
      </c>
      <c r="B349" s="175" t="str">
        <f>IF(AND(MONTH(E349)='IN-NX'!$J$5,'IN-NX'!$D$7=(D349&amp;"/"&amp;C349)),"x","")</f>
        <v/>
      </c>
      <c r="C349" s="172"/>
      <c r="D349" s="172"/>
      <c r="E349" s="69"/>
      <c r="F349" s="61"/>
      <c r="G349" s="19"/>
      <c r="H349" s="197"/>
      <c r="I349" s="56"/>
      <c r="J349" s="15"/>
      <c r="K349" s="15"/>
      <c r="L349" s="15">
        <f t="shared" si="39"/>
        <v>0</v>
      </c>
      <c r="M349" s="15"/>
      <c r="N349" s="15">
        <f t="shared" si="40"/>
        <v>0</v>
      </c>
      <c r="O349" s="15" t="str">
        <f>IF(AND(A349='BANG KE NL'!$M$11,TH!C349="NL",LEFT(D349,1)="N"),"x","")</f>
        <v/>
      </c>
    </row>
    <row r="350" spans="1:15">
      <c r="A350" s="24" t="str">
        <f t="shared" si="41"/>
        <v/>
      </c>
      <c r="B350" s="175" t="str">
        <f>IF(AND(MONTH(E350)='IN-NX'!$J$5,'IN-NX'!$D$7=(D350&amp;"/"&amp;C350)),"x","")</f>
        <v/>
      </c>
      <c r="C350" s="172"/>
      <c r="D350" s="172"/>
      <c r="E350" s="69"/>
      <c r="F350" s="61"/>
      <c r="G350" s="19"/>
      <c r="H350" s="197"/>
      <c r="I350" s="56"/>
      <c r="J350" s="15"/>
      <c r="K350" s="15"/>
      <c r="L350" s="15">
        <f t="shared" si="39"/>
        <v>0</v>
      </c>
      <c r="M350" s="15"/>
      <c r="N350" s="15">
        <f t="shared" si="40"/>
        <v>0</v>
      </c>
      <c r="O350" s="15" t="str">
        <f>IF(AND(A350='BANG KE NL'!$M$11,TH!C350="NL",LEFT(D350,1)="N"),"x","")</f>
        <v/>
      </c>
    </row>
    <row r="351" spans="1:15">
      <c r="A351" s="24" t="str">
        <f t="shared" si="41"/>
        <v/>
      </c>
      <c r="B351" s="175" t="str">
        <f>IF(AND(MONTH(E351)='IN-NX'!$J$5,'IN-NX'!$D$7=(D351&amp;"/"&amp;C351)),"x","")</f>
        <v/>
      </c>
      <c r="C351" s="172"/>
      <c r="D351" s="172"/>
      <c r="E351" s="69"/>
      <c r="F351" s="61"/>
      <c r="G351" s="19"/>
      <c r="H351" s="197"/>
      <c r="I351" s="56"/>
      <c r="J351" s="15"/>
      <c r="K351" s="15"/>
      <c r="L351" s="15">
        <f t="shared" si="39"/>
        <v>0</v>
      </c>
      <c r="M351" s="15"/>
      <c r="N351" s="15">
        <f t="shared" si="40"/>
        <v>0</v>
      </c>
      <c r="O351" s="15" t="str">
        <f>IF(AND(A351='BANG KE NL'!$M$11,TH!C351="NL",LEFT(D351,1)="N"),"x","")</f>
        <v/>
      </c>
    </row>
    <row r="352" spans="1:15">
      <c r="A352" s="24" t="str">
        <f t="shared" si="41"/>
        <v/>
      </c>
      <c r="B352" s="175" t="str">
        <f>IF(AND(MONTH(E352)='IN-NX'!$J$5,'IN-NX'!$D$7=(D352&amp;"/"&amp;C352)),"x","")</f>
        <v/>
      </c>
      <c r="C352" s="172"/>
      <c r="D352" s="172"/>
      <c r="E352" s="69"/>
      <c r="F352" s="61"/>
      <c r="G352" s="19"/>
      <c r="H352" s="197"/>
      <c r="I352" s="56"/>
      <c r="J352" s="15"/>
      <c r="K352" s="15"/>
      <c r="L352" s="15">
        <f t="shared" si="39"/>
        <v>0</v>
      </c>
      <c r="M352" s="15"/>
      <c r="N352" s="15">
        <f t="shared" si="40"/>
        <v>0</v>
      </c>
      <c r="O352" s="15" t="str">
        <f>IF(AND(A352='BANG KE NL'!$M$11,TH!C352="NL",LEFT(D352,1)="N"),"x","")</f>
        <v/>
      </c>
    </row>
    <row r="353" spans="1:15">
      <c r="A353" s="24" t="str">
        <f t="shared" si="41"/>
        <v/>
      </c>
      <c r="B353" s="175" t="str">
        <f>IF(AND(MONTH(E353)='IN-NX'!$J$5,'IN-NX'!$D$7=(D353&amp;"/"&amp;C353)),"x","")</f>
        <v/>
      </c>
      <c r="C353" s="172"/>
      <c r="D353" s="172"/>
      <c r="E353" s="69"/>
      <c r="F353" s="61"/>
      <c r="G353" s="19"/>
      <c r="H353" s="197"/>
      <c r="I353" s="56"/>
      <c r="J353" s="15"/>
      <c r="K353" s="15"/>
      <c r="L353" s="15">
        <f t="shared" si="39"/>
        <v>0</v>
      </c>
      <c r="M353" s="15"/>
      <c r="N353" s="15">
        <f t="shared" si="40"/>
        <v>0</v>
      </c>
      <c r="O353" s="15" t="str">
        <f>IF(AND(A353='BANG KE NL'!$M$11,TH!C353="NL",LEFT(D353,1)="N"),"x","")</f>
        <v/>
      </c>
    </row>
    <row r="354" spans="1:15">
      <c r="A354" s="24" t="str">
        <f t="shared" si="41"/>
        <v/>
      </c>
      <c r="B354" s="175" t="str">
        <f>IF(AND(MONTH(E354)='IN-NX'!$J$5,'IN-NX'!$D$7=(D354&amp;"/"&amp;C354)),"x","")</f>
        <v/>
      </c>
      <c r="C354" s="172"/>
      <c r="D354" s="172"/>
      <c r="E354" s="69"/>
      <c r="F354" s="61"/>
      <c r="G354" s="19"/>
      <c r="H354" s="197"/>
      <c r="I354" s="56"/>
      <c r="J354" s="15"/>
      <c r="K354" s="15"/>
      <c r="L354" s="15">
        <f t="shared" si="39"/>
        <v>0</v>
      </c>
      <c r="M354" s="15"/>
      <c r="N354" s="15">
        <f t="shared" si="40"/>
        <v>0</v>
      </c>
      <c r="O354" s="15" t="str">
        <f>IF(AND(A354='BANG KE NL'!$M$11,TH!C354="NL",LEFT(D354,1)="N"),"x","")</f>
        <v/>
      </c>
    </row>
    <row r="355" spans="1:15">
      <c r="A355" s="24" t="str">
        <f t="shared" si="41"/>
        <v/>
      </c>
      <c r="B355" s="175" t="str">
        <f>IF(AND(MONTH(E355)='IN-NX'!$J$5,'IN-NX'!$D$7=(D355&amp;"/"&amp;C355)),"x","")</f>
        <v/>
      </c>
      <c r="C355" s="172"/>
      <c r="D355" s="172"/>
      <c r="E355" s="69"/>
      <c r="F355" s="61"/>
      <c r="G355" s="19"/>
      <c r="H355" s="197"/>
      <c r="I355" s="56"/>
      <c r="J355" s="15"/>
      <c r="K355" s="15"/>
      <c r="L355" s="15">
        <f t="shared" si="39"/>
        <v>0</v>
      </c>
      <c r="M355" s="15"/>
      <c r="N355" s="15">
        <f t="shared" si="40"/>
        <v>0</v>
      </c>
      <c r="O355" s="15" t="str">
        <f>IF(AND(A355='BANG KE NL'!$M$11,TH!C355="NL",LEFT(D355,1)="N"),"x","")</f>
        <v/>
      </c>
    </row>
    <row r="356" spans="1:15">
      <c r="A356" s="24" t="str">
        <f t="shared" si="41"/>
        <v/>
      </c>
      <c r="B356" s="175" t="str">
        <f>IF(AND(MONTH(E356)='IN-NX'!$J$5,'IN-NX'!$D$7=(D356&amp;"/"&amp;C356)),"x","")</f>
        <v/>
      </c>
      <c r="C356" s="172"/>
      <c r="D356" s="172"/>
      <c r="E356" s="69"/>
      <c r="F356" s="61"/>
      <c r="G356" s="19"/>
      <c r="H356" s="197"/>
      <c r="I356" s="197"/>
      <c r="J356" s="15"/>
      <c r="K356" s="15"/>
      <c r="L356" s="15">
        <f t="shared" si="39"/>
        <v>0</v>
      </c>
      <c r="M356" s="15"/>
      <c r="N356" s="15">
        <f t="shared" si="40"/>
        <v>0</v>
      </c>
      <c r="O356" s="15" t="str">
        <f>IF(AND(A356='BANG KE NL'!$M$11,TH!C356="NL",LEFT(D356,1)="N"),"x","")</f>
        <v/>
      </c>
    </row>
    <row r="357" spans="1:15">
      <c r="A357" s="24" t="str">
        <f t="shared" si="41"/>
        <v/>
      </c>
      <c r="B357" s="175" t="str">
        <f>IF(AND(MONTH(E357)='IN-NX'!$J$5,'IN-NX'!$D$7=(D357&amp;"/"&amp;C357)),"x","")</f>
        <v/>
      </c>
      <c r="C357" s="172"/>
      <c r="D357" s="172"/>
      <c r="E357" s="69"/>
      <c r="F357" s="61"/>
      <c r="G357" s="19"/>
      <c r="H357" s="197"/>
      <c r="I357" s="197"/>
      <c r="J357" s="15"/>
      <c r="K357" s="15"/>
      <c r="L357" s="15">
        <f t="shared" si="39"/>
        <v>0</v>
      </c>
      <c r="M357" s="15"/>
      <c r="N357" s="15">
        <f t="shared" si="40"/>
        <v>0</v>
      </c>
      <c r="O357" s="15" t="str">
        <f>IF(AND(A357='BANG KE NL'!$M$11,TH!C357="NL",LEFT(D357,1)="N"),"x","")</f>
        <v/>
      </c>
    </row>
    <row r="358" spans="1:15">
      <c r="A358" s="24" t="str">
        <f t="shared" si="41"/>
        <v/>
      </c>
      <c r="B358" s="175" t="str">
        <f>IF(AND(MONTH(E358)='IN-NX'!$J$5,'IN-NX'!$D$7=(D358&amp;"/"&amp;C358)),"x","")</f>
        <v/>
      </c>
      <c r="C358" s="172"/>
      <c r="D358" s="172"/>
      <c r="E358" s="69"/>
      <c r="F358" s="61"/>
      <c r="G358" s="19"/>
      <c r="H358" s="197"/>
      <c r="I358" s="56"/>
      <c r="J358" s="15"/>
      <c r="K358" s="15"/>
      <c r="L358" s="15">
        <f t="shared" si="39"/>
        <v>0</v>
      </c>
      <c r="M358" s="15"/>
      <c r="N358" s="15">
        <f t="shared" si="40"/>
        <v>0</v>
      </c>
      <c r="O358" s="15" t="str">
        <f>IF(AND(A358='BANG KE NL'!$M$11,TH!C358="NL",LEFT(D358,1)="N"),"x","")</f>
        <v/>
      </c>
    </row>
    <row r="359" spans="1:15">
      <c r="A359" s="24" t="str">
        <f t="shared" si="41"/>
        <v/>
      </c>
      <c r="B359" s="175" t="str">
        <f>IF(AND(MONTH(E359)='IN-NX'!$J$5,'IN-NX'!$D$7=(D359&amp;"/"&amp;C359)),"x","")</f>
        <v/>
      </c>
      <c r="C359" s="172"/>
      <c r="D359" s="172"/>
      <c r="E359" s="69"/>
      <c r="F359" s="61"/>
      <c r="G359" s="19"/>
      <c r="H359" s="197"/>
      <c r="I359" s="56"/>
      <c r="J359" s="15"/>
      <c r="K359" s="15"/>
      <c r="L359" s="15">
        <f t="shared" si="39"/>
        <v>0</v>
      </c>
      <c r="M359" s="15"/>
      <c r="N359" s="15">
        <f t="shared" si="40"/>
        <v>0</v>
      </c>
      <c r="O359" s="15" t="str">
        <f>IF(AND(A359='BANG KE NL'!$M$11,TH!C359="NL",LEFT(D359,1)="N"),"x","")</f>
        <v/>
      </c>
    </row>
    <row r="360" spans="1:15">
      <c r="A360" s="24" t="str">
        <f t="shared" si="41"/>
        <v/>
      </c>
      <c r="B360" s="175" t="str">
        <f>IF(AND(MONTH(E360)='IN-NX'!$J$5,'IN-NX'!$D$7=(D360&amp;"/"&amp;C360)),"x","")</f>
        <v/>
      </c>
      <c r="C360" s="172"/>
      <c r="D360" s="172"/>
      <c r="E360" s="69"/>
      <c r="F360" s="61"/>
      <c r="G360" s="19"/>
      <c r="H360" s="197"/>
      <c r="I360" s="197"/>
      <c r="J360" s="15"/>
      <c r="K360" s="15"/>
      <c r="L360" s="15">
        <f t="shared" si="39"/>
        <v>0</v>
      </c>
      <c r="M360" s="15"/>
      <c r="N360" s="15">
        <f t="shared" si="40"/>
        <v>0</v>
      </c>
      <c r="O360" s="15" t="str">
        <f>IF(AND(A360='BANG KE NL'!$M$11,TH!C360="NL",LEFT(D360,1)="N"),"x","")</f>
        <v/>
      </c>
    </row>
    <row r="361" spans="1:15">
      <c r="A361" s="24" t="str">
        <f t="shared" si="41"/>
        <v/>
      </c>
      <c r="B361" s="175" t="str">
        <f>IF(AND(MONTH(E361)='IN-NX'!$J$5,'IN-NX'!$D$7=(D361&amp;"/"&amp;C361)),"x","")</f>
        <v/>
      </c>
      <c r="C361" s="172"/>
      <c r="D361" s="172"/>
      <c r="E361" s="69"/>
      <c r="F361" s="61"/>
      <c r="G361" s="19"/>
      <c r="H361" s="197"/>
      <c r="I361" s="56"/>
      <c r="J361" s="15"/>
      <c r="K361" s="15"/>
      <c r="L361" s="15">
        <f t="shared" si="39"/>
        <v>0</v>
      </c>
      <c r="M361" s="15"/>
      <c r="N361" s="15">
        <f t="shared" si="40"/>
        <v>0</v>
      </c>
      <c r="O361" s="15" t="str">
        <f>IF(AND(A361='BANG KE NL'!$M$11,TH!C361="NL",LEFT(D361,1)="N"),"x","")</f>
        <v/>
      </c>
    </row>
    <row r="362" spans="1:15">
      <c r="A362" s="24" t="str">
        <f t="shared" si="41"/>
        <v/>
      </c>
      <c r="B362" s="175" t="str">
        <f>IF(AND(MONTH(E362)='IN-NX'!$J$5,'IN-NX'!$D$7=(D362&amp;"/"&amp;C362)),"x","")</f>
        <v/>
      </c>
      <c r="C362" s="172"/>
      <c r="D362" s="172"/>
      <c r="E362" s="69"/>
      <c r="F362" s="61"/>
      <c r="G362" s="19"/>
      <c r="H362" s="197"/>
      <c r="I362" s="56"/>
      <c r="J362" s="15"/>
      <c r="K362" s="15"/>
      <c r="L362" s="15">
        <f t="shared" si="39"/>
        <v>0</v>
      </c>
      <c r="M362" s="15"/>
      <c r="N362" s="15">
        <f t="shared" si="40"/>
        <v>0</v>
      </c>
      <c r="O362" s="15" t="str">
        <f>IF(AND(A362='BANG KE NL'!$M$11,TH!C362="NL",LEFT(D362,1)="N"),"x","")</f>
        <v/>
      </c>
    </row>
    <row r="363" spans="1:15">
      <c r="A363" s="24" t="str">
        <f t="shared" si="41"/>
        <v/>
      </c>
      <c r="B363" s="175" t="str">
        <f>IF(AND(MONTH(E363)='IN-NX'!$J$5,'IN-NX'!$D$7=(D363&amp;"/"&amp;C363)),"x","")</f>
        <v/>
      </c>
      <c r="C363" s="172"/>
      <c r="D363" s="172"/>
      <c r="E363" s="69"/>
      <c r="F363" s="61"/>
      <c r="G363" s="19"/>
      <c r="H363" s="197"/>
      <c r="I363" s="56"/>
      <c r="J363" s="15"/>
      <c r="K363" s="15"/>
      <c r="L363" s="15">
        <f t="shared" si="39"/>
        <v>0</v>
      </c>
      <c r="M363" s="15"/>
      <c r="N363" s="15">
        <f t="shared" si="40"/>
        <v>0</v>
      </c>
      <c r="O363" s="15" t="str">
        <f>IF(AND(A363='BANG KE NL'!$M$11,TH!C363="NL",LEFT(D363,1)="N"),"x","")</f>
        <v/>
      </c>
    </row>
    <row r="364" spans="1:15">
      <c r="A364" s="24" t="str">
        <f t="shared" si="41"/>
        <v/>
      </c>
      <c r="B364" s="175" t="str">
        <f>IF(AND(MONTH(E364)='IN-NX'!$J$5,'IN-NX'!$D$7=(D364&amp;"/"&amp;C364)),"x","")</f>
        <v/>
      </c>
      <c r="C364" s="172"/>
      <c r="D364" s="172"/>
      <c r="E364" s="69"/>
      <c r="F364" s="61"/>
      <c r="G364" s="19"/>
      <c r="H364" s="197"/>
      <c r="I364" s="56"/>
      <c r="J364" s="15"/>
      <c r="K364" s="15"/>
      <c r="L364" s="15">
        <f t="shared" si="39"/>
        <v>0</v>
      </c>
      <c r="M364" s="15"/>
      <c r="N364" s="15">
        <f t="shared" si="40"/>
        <v>0</v>
      </c>
      <c r="O364" s="15" t="str">
        <f>IF(AND(A364='BANG KE NL'!$M$11,TH!C364="NL",LEFT(D364,1)="N"),"x","")</f>
        <v/>
      </c>
    </row>
    <row r="365" spans="1:15">
      <c r="A365" s="24" t="str">
        <f t="shared" si="41"/>
        <v/>
      </c>
      <c r="B365" s="175" t="str">
        <f>IF(AND(MONTH(E365)='IN-NX'!$J$5,'IN-NX'!$D$7=(D365&amp;"/"&amp;C365)),"x","")</f>
        <v/>
      </c>
      <c r="C365" s="172"/>
      <c r="D365" s="172"/>
      <c r="E365" s="69"/>
      <c r="F365" s="61"/>
      <c r="G365" s="19"/>
      <c r="H365" s="197"/>
      <c r="I365" s="56"/>
      <c r="J365" s="15"/>
      <c r="K365" s="15"/>
      <c r="L365" s="15">
        <f t="shared" si="39"/>
        <v>0</v>
      </c>
      <c r="M365" s="15"/>
      <c r="N365" s="15">
        <f t="shared" si="40"/>
        <v>0</v>
      </c>
      <c r="O365" s="15" t="str">
        <f>IF(AND(A365='BANG KE NL'!$M$11,TH!C365="NL",LEFT(D365,1)="N"),"x","")</f>
        <v/>
      </c>
    </row>
    <row r="366" spans="1:15">
      <c r="A366" s="24" t="str">
        <f t="shared" si="41"/>
        <v/>
      </c>
      <c r="B366" s="175" t="str">
        <f>IF(AND(MONTH(E366)='IN-NX'!$J$5,'IN-NX'!$D$7=(D366&amp;"/"&amp;C366)),"x","")</f>
        <v/>
      </c>
      <c r="C366" s="172"/>
      <c r="D366" s="172"/>
      <c r="E366" s="69"/>
      <c r="F366" s="61"/>
      <c r="G366" s="19"/>
      <c r="H366" s="197"/>
      <c r="I366" s="56"/>
      <c r="J366" s="15"/>
      <c r="K366" s="15"/>
      <c r="L366" s="15">
        <f t="shared" si="39"/>
        <v>0</v>
      </c>
      <c r="M366" s="15"/>
      <c r="N366" s="15">
        <f t="shared" si="40"/>
        <v>0</v>
      </c>
      <c r="O366" s="15" t="str">
        <f>IF(AND(A366='BANG KE NL'!$M$11,TH!C366="NL",LEFT(D366,1)="N"),"x","")</f>
        <v/>
      </c>
    </row>
    <row r="367" spans="1:15">
      <c r="A367" s="24" t="str">
        <f t="shared" ref="A367:A377" si="42">IF(E367&lt;&gt;"",MONTH(E367),"")</f>
        <v/>
      </c>
      <c r="B367" s="175" t="str">
        <f>IF(AND(MONTH(E367)='IN-NX'!$J$5,'IN-NX'!$D$7=(D367&amp;"/"&amp;C367)),"x","")</f>
        <v/>
      </c>
      <c r="C367" s="172"/>
      <c r="D367" s="172"/>
      <c r="E367" s="69"/>
      <c r="F367" s="61"/>
      <c r="G367" s="19"/>
      <c r="H367" s="197"/>
      <c r="I367" s="56"/>
      <c r="J367" s="15"/>
      <c r="K367" s="15"/>
      <c r="L367" s="15">
        <f t="shared" si="39"/>
        <v>0</v>
      </c>
      <c r="M367" s="15"/>
      <c r="N367" s="15">
        <f t="shared" si="40"/>
        <v>0</v>
      </c>
      <c r="O367" s="15" t="str">
        <f>IF(AND(A367='BANG KE NL'!$M$11,TH!C367="NL",LEFT(D367,1)="N"),"x","")</f>
        <v/>
      </c>
    </row>
    <row r="368" spans="1:15">
      <c r="A368" s="24" t="str">
        <f t="shared" si="42"/>
        <v/>
      </c>
      <c r="B368" s="175" t="str">
        <f>IF(AND(MONTH(E368)='IN-NX'!$J$5,'IN-NX'!$D$7=(D368&amp;"/"&amp;C368)),"x","")</f>
        <v/>
      </c>
      <c r="C368" s="172"/>
      <c r="D368" s="172"/>
      <c r="E368" s="69"/>
      <c r="F368" s="61"/>
      <c r="G368" s="19"/>
      <c r="H368" s="197"/>
      <c r="I368" s="56"/>
      <c r="J368" s="15"/>
      <c r="K368" s="15"/>
      <c r="L368" s="15">
        <f t="shared" si="39"/>
        <v>0</v>
      </c>
      <c r="M368" s="15"/>
      <c r="N368" s="15">
        <f t="shared" si="40"/>
        <v>0</v>
      </c>
      <c r="O368" s="15" t="str">
        <f>IF(AND(A368='BANG KE NL'!$M$11,TH!C368="NL",LEFT(D368,1)="N"),"x","")</f>
        <v/>
      </c>
    </row>
    <row r="369" spans="1:15">
      <c r="A369" s="24" t="str">
        <f t="shared" si="42"/>
        <v/>
      </c>
      <c r="B369" s="175" t="str">
        <f>IF(AND(MONTH(E369)='IN-NX'!$J$5,'IN-NX'!$D$7=(D369&amp;"/"&amp;C369)),"x","")</f>
        <v/>
      </c>
      <c r="C369" s="172"/>
      <c r="D369" s="172"/>
      <c r="E369" s="69"/>
      <c r="F369" s="61"/>
      <c r="G369" s="19"/>
      <c r="H369" s="197"/>
      <c r="I369" s="56"/>
      <c r="J369" s="15"/>
      <c r="K369" s="15"/>
      <c r="L369" s="15">
        <f t="shared" si="39"/>
        <v>0</v>
      </c>
      <c r="M369" s="15"/>
      <c r="N369" s="15">
        <f t="shared" si="40"/>
        <v>0</v>
      </c>
      <c r="O369" s="15" t="str">
        <f>IF(AND(A369='BANG KE NL'!$M$11,TH!C369="NL",LEFT(D369,1)="N"),"x","")</f>
        <v/>
      </c>
    </row>
    <row r="370" spans="1:15">
      <c r="A370" s="24" t="str">
        <f t="shared" ref="A370:A375" si="43">IF(E370&lt;&gt;"",MONTH(E370),"")</f>
        <v/>
      </c>
      <c r="B370" s="175" t="str">
        <f>IF(AND(MONTH(E370)='IN-NX'!$J$5,'IN-NX'!$D$7=(D370&amp;"/"&amp;C370)),"x","")</f>
        <v/>
      </c>
      <c r="C370" s="172"/>
      <c r="D370" s="172"/>
      <c r="E370" s="69"/>
      <c r="F370" s="61"/>
      <c r="G370" s="19"/>
      <c r="H370" s="197"/>
      <c r="I370" s="56"/>
      <c r="J370" s="15"/>
      <c r="K370" s="15"/>
      <c r="L370" s="15">
        <f t="shared" si="39"/>
        <v>0</v>
      </c>
      <c r="M370" s="15"/>
      <c r="N370" s="15">
        <f t="shared" si="40"/>
        <v>0</v>
      </c>
      <c r="O370" s="15" t="str">
        <f>IF(AND(A370='BANG KE NL'!$M$11,TH!C370="NL",LEFT(D370,1)="N"),"x","")</f>
        <v/>
      </c>
    </row>
    <row r="371" spans="1:15">
      <c r="A371" s="24" t="str">
        <f t="shared" si="43"/>
        <v/>
      </c>
      <c r="B371" s="175" t="str">
        <f>IF(AND(MONTH(E371)='IN-NX'!$J$5,'IN-NX'!$D$7=(D371&amp;"/"&amp;C371)),"x","")</f>
        <v/>
      </c>
      <c r="C371" s="172"/>
      <c r="D371" s="172"/>
      <c r="E371" s="69"/>
      <c r="F371" s="61"/>
      <c r="G371" s="19"/>
      <c r="H371" s="197"/>
      <c r="I371" s="56"/>
      <c r="J371" s="15"/>
      <c r="K371" s="15"/>
      <c r="L371" s="15">
        <f t="shared" si="39"/>
        <v>0</v>
      </c>
      <c r="M371" s="15"/>
      <c r="N371" s="15">
        <f t="shared" si="40"/>
        <v>0</v>
      </c>
      <c r="O371" s="15" t="str">
        <f>IF(AND(A371='BANG KE NL'!$M$11,TH!C371="NL",LEFT(D371,1)="N"),"x","")</f>
        <v/>
      </c>
    </row>
    <row r="372" spans="1:15">
      <c r="A372" s="24" t="str">
        <f t="shared" si="43"/>
        <v/>
      </c>
      <c r="B372" s="175" t="str">
        <f>IF(AND(MONTH(E372)='IN-NX'!$J$5,'IN-NX'!$D$7=(D372&amp;"/"&amp;C372)),"x","")</f>
        <v/>
      </c>
      <c r="C372" s="172"/>
      <c r="D372" s="172"/>
      <c r="E372" s="69"/>
      <c r="F372" s="61"/>
      <c r="G372" s="19"/>
      <c r="H372" s="197"/>
      <c r="I372" s="56"/>
      <c r="J372" s="15"/>
      <c r="K372" s="15"/>
      <c r="L372" s="15">
        <f t="shared" si="39"/>
        <v>0</v>
      </c>
      <c r="M372" s="15"/>
      <c r="N372" s="15">
        <f t="shared" si="40"/>
        <v>0</v>
      </c>
      <c r="O372" s="15" t="str">
        <f>IF(AND(A372='BANG KE NL'!$M$11,TH!C372="NL",LEFT(D372,1)="N"),"x","")</f>
        <v/>
      </c>
    </row>
    <row r="373" spans="1:15">
      <c r="A373" s="24" t="str">
        <f t="shared" si="43"/>
        <v/>
      </c>
      <c r="B373" s="175" t="str">
        <f>IF(AND(MONTH(E373)='IN-NX'!$J$5,'IN-NX'!$D$7=(D373&amp;"/"&amp;C373)),"x","")</f>
        <v/>
      </c>
      <c r="C373" s="172"/>
      <c r="D373" s="172"/>
      <c r="E373" s="69"/>
      <c r="F373" s="61"/>
      <c r="G373" s="19"/>
      <c r="H373" s="197"/>
      <c r="I373" s="56"/>
      <c r="J373" s="15"/>
      <c r="K373" s="15"/>
      <c r="L373" s="15">
        <f t="shared" si="39"/>
        <v>0</v>
      </c>
      <c r="M373" s="15"/>
      <c r="N373" s="15">
        <f t="shared" si="40"/>
        <v>0</v>
      </c>
      <c r="O373" s="15" t="str">
        <f>IF(AND(A373='BANG KE NL'!$M$11,TH!C373="NL",LEFT(D373,1)="N"),"x","")</f>
        <v/>
      </c>
    </row>
    <row r="374" spans="1:15">
      <c r="A374" s="24" t="str">
        <f t="shared" si="43"/>
        <v/>
      </c>
      <c r="B374" s="175" t="str">
        <f>IF(AND(MONTH(E374)='IN-NX'!$J$5,'IN-NX'!$D$7=(D374&amp;"/"&amp;C374)),"x","")</f>
        <v/>
      </c>
      <c r="C374" s="172"/>
      <c r="D374" s="172"/>
      <c r="E374" s="69"/>
      <c r="F374" s="61"/>
      <c r="G374" s="19"/>
      <c r="H374" s="197"/>
      <c r="I374" s="56"/>
      <c r="J374" s="15"/>
      <c r="K374" s="15"/>
      <c r="L374" s="15">
        <f t="shared" si="39"/>
        <v>0</v>
      </c>
      <c r="M374" s="15"/>
      <c r="N374" s="15">
        <f t="shared" si="40"/>
        <v>0</v>
      </c>
      <c r="O374" s="15" t="str">
        <f>IF(AND(A374='BANG KE NL'!$M$11,TH!C374="NL",LEFT(D374,1)="N"),"x","")</f>
        <v/>
      </c>
    </row>
    <row r="375" spans="1:15">
      <c r="A375" s="24" t="str">
        <f t="shared" si="43"/>
        <v/>
      </c>
      <c r="B375" s="175" t="str">
        <f>IF(AND(MONTH(E375)='IN-NX'!$J$5,'IN-NX'!$D$7=(D375&amp;"/"&amp;C375)),"x","")</f>
        <v/>
      </c>
      <c r="C375" s="172"/>
      <c r="D375" s="172"/>
      <c r="E375" s="69"/>
      <c r="F375" s="61"/>
      <c r="G375" s="19"/>
      <c r="H375" s="197"/>
      <c r="I375" s="56"/>
      <c r="J375" s="15"/>
      <c r="K375" s="15"/>
      <c r="L375" s="15">
        <f t="shared" si="39"/>
        <v>0</v>
      </c>
      <c r="M375" s="15"/>
      <c r="N375" s="15">
        <f t="shared" si="40"/>
        <v>0</v>
      </c>
      <c r="O375" s="15" t="str">
        <f>IF(AND(A375='BANG KE NL'!$M$11,TH!C375="NL",LEFT(D375,1)="N"),"x","")</f>
        <v/>
      </c>
    </row>
    <row r="376" spans="1:15">
      <c r="A376" s="24" t="str">
        <f t="shared" si="42"/>
        <v/>
      </c>
      <c r="B376" s="175" t="str">
        <f>IF(AND(MONTH(E376)='IN-NX'!$J$5,'IN-NX'!$D$7=(D376&amp;"/"&amp;C376)),"x","")</f>
        <v/>
      </c>
      <c r="C376" s="172"/>
      <c r="D376" s="172"/>
      <c r="E376" s="69"/>
      <c r="F376" s="61"/>
      <c r="G376" s="19"/>
      <c r="H376" s="197"/>
      <c r="I376" s="56"/>
      <c r="J376" s="15"/>
      <c r="K376" s="15"/>
      <c r="L376" s="15">
        <f t="shared" si="39"/>
        <v>0</v>
      </c>
      <c r="M376" s="15"/>
      <c r="N376" s="15">
        <f t="shared" si="40"/>
        <v>0</v>
      </c>
      <c r="O376" s="15" t="str">
        <f>IF(AND(A376='BANG KE NL'!$M$11,TH!C376="NL",LEFT(D376,1)="N"),"x","")</f>
        <v/>
      </c>
    </row>
    <row r="377" spans="1:15">
      <c r="A377" s="24" t="str">
        <f t="shared" si="42"/>
        <v/>
      </c>
      <c r="B377" s="175" t="str">
        <f>IF(AND(MONTH(E377)='IN-NX'!$J$5,'IN-NX'!$D$7=(D377&amp;"/"&amp;C377)),"x","")</f>
        <v/>
      </c>
      <c r="C377" s="172"/>
      <c r="D377" s="172"/>
      <c r="E377" s="69"/>
      <c r="F377" s="61"/>
      <c r="G377" s="19"/>
      <c r="H377" s="197"/>
      <c r="I377" s="56"/>
      <c r="J377" s="15"/>
      <c r="K377" s="15"/>
      <c r="L377" s="15">
        <f t="shared" si="39"/>
        <v>0</v>
      </c>
      <c r="M377" s="15"/>
      <c r="N377" s="15">
        <f t="shared" si="40"/>
        <v>0</v>
      </c>
      <c r="O377" s="15" t="str">
        <f>IF(AND(A377='BANG KE NL'!$M$11,TH!C377="NL",LEFT(D377,1)="N"),"x","")</f>
        <v/>
      </c>
    </row>
    <row r="378" spans="1:15">
      <c r="A378" s="24" t="str">
        <f t="shared" si="41"/>
        <v/>
      </c>
      <c r="B378" s="175" t="str">
        <f>IF(AND(MONTH(E378)='IN-NX'!$J$5,'IN-NX'!$D$7=(D378&amp;"/"&amp;C378)),"x","")</f>
        <v/>
      </c>
      <c r="C378" s="172"/>
      <c r="D378" s="172"/>
      <c r="E378" s="69"/>
      <c r="F378" s="61"/>
      <c r="G378" s="19"/>
      <c r="H378" s="197"/>
      <c r="I378" s="56"/>
      <c r="J378" s="15"/>
      <c r="K378" s="15"/>
      <c r="L378" s="15">
        <f t="shared" si="39"/>
        <v>0</v>
      </c>
      <c r="M378" s="15"/>
      <c r="N378" s="15">
        <f t="shared" si="40"/>
        <v>0</v>
      </c>
      <c r="O378" s="15" t="str">
        <f>IF(AND(A378='BANG KE NL'!$M$11,TH!C378="NL",LEFT(D378,1)="N"),"x","")</f>
        <v/>
      </c>
    </row>
    <row r="379" spans="1:15">
      <c r="A379" s="24" t="str">
        <f t="shared" si="41"/>
        <v/>
      </c>
      <c r="B379" s="175" t="str">
        <f>IF(AND(MONTH(E379)='IN-NX'!$J$5,'IN-NX'!$D$7=(D379&amp;"/"&amp;C379)),"x","")</f>
        <v/>
      </c>
      <c r="C379" s="172"/>
      <c r="D379" s="172"/>
      <c r="E379" s="69"/>
      <c r="F379" s="61"/>
      <c r="G379" s="19"/>
      <c r="H379" s="197"/>
      <c r="I379" s="56"/>
      <c r="J379" s="15"/>
      <c r="K379" s="15"/>
      <c r="L379" s="15">
        <f t="shared" si="39"/>
        <v>0</v>
      </c>
      <c r="M379" s="15"/>
      <c r="N379" s="15">
        <f t="shared" si="40"/>
        <v>0</v>
      </c>
      <c r="O379" s="15" t="str">
        <f>IF(AND(A379='BANG KE NL'!$M$11,TH!C438="NL",LEFT(D379,1)="N"),"x","")</f>
        <v/>
      </c>
    </row>
    <row r="380" spans="1:15">
      <c r="A380" s="24" t="str">
        <f t="shared" ref="A380" si="44">IF(E380&lt;&gt;"",MONTH(E380),"")</f>
        <v/>
      </c>
      <c r="B380" s="175" t="str">
        <f>IF(AND(MONTH(E380)='IN-NX'!$J$5,'IN-NX'!$D$7=(D380&amp;"/"&amp;C380)),"x","")</f>
        <v/>
      </c>
      <c r="C380" s="172"/>
      <c r="D380" s="172"/>
      <c r="E380" s="69"/>
      <c r="F380" s="61"/>
      <c r="G380" s="19"/>
      <c r="H380" s="197"/>
      <c r="I380" s="56"/>
      <c r="J380" s="15"/>
      <c r="K380" s="15"/>
      <c r="L380" s="15">
        <f t="shared" si="39"/>
        <v>0</v>
      </c>
      <c r="M380" s="15"/>
      <c r="N380" s="15">
        <f t="shared" si="40"/>
        <v>0</v>
      </c>
      <c r="O380" s="15" t="str">
        <f>IF(AND(A380='BANG KE NL'!$M$11,TH!C439="NL",LEFT(D380,1)="N"),"x","")</f>
        <v/>
      </c>
    </row>
    <row r="381" spans="1:15">
      <c r="A381" s="24" t="str">
        <f t="shared" si="41"/>
        <v/>
      </c>
      <c r="B381" s="175" t="str">
        <f>IF(AND(MONTH(E381)='IN-NX'!$J$5,'IN-NX'!$D$7=(D381&amp;"/"&amp;C381)),"x","")</f>
        <v/>
      </c>
      <c r="C381" s="172"/>
      <c r="D381" s="172"/>
      <c r="E381" s="69"/>
      <c r="F381" s="61"/>
      <c r="G381" s="19"/>
      <c r="H381" s="197"/>
      <c r="I381" s="56"/>
      <c r="J381" s="15"/>
      <c r="K381" s="15"/>
      <c r="L381" s="15">
        <f t="shared" si="39"/>
        <v>0</v>
      </c>
      <c r="M381" s="15"/>
      <c r="N381" s="15">
        <f t="shared" si="40"/>
        <v>0</v>
      </c>
      <c r="O381" s="15" t="str">
        <f>IF(AND(A381='BANG KE NL'!$M$11,TH!C440="NL",LEFT(D381,1)="N"),"x","")</f>
        <v/>
      </c>
    </row>
    <row r="382" spans="1:15">
      <c r="A382" s="24" t="str">
        <f t="shared" ref="A382" si="45">IF(E382&lt;&gt;"",MONTH(E382),"")</f>
        <v/>
      </c>
      <c r="B382" s="175" t="str">
        <f>IF(AND(MONTH(E382)='IN-NX'!$J$5,'IN-NX'!$D$7=(D382&amp;"/"&amp;C382)),"x","")</f>
        <v/>
      </c>
      <c r="C382" s="172"/>
      <c r="D382" s="172"/>
      <c r="E382" s="69"/>
      <c r="F382" s="61"/>
      <c r="G382" s="19"/>
      <c r="H382" s="197"/>
      <c r="I382" s="56"/>
      <c r="J382" s="15"/>
      <c r="K382" s="15"/>
      <c r="L382" s="15">
        <f t="shared" si="39"/>
        <v>0</v>
      </c>
      <c r="M382" s="15"/>
      <c r="N382" s="15">
        <f t="shared" si="40"/>
        <v>0</v>
      </c>
      <c r="O382" s="15" t="str">
        <f>IF(AND(A382='BANG KE NL'!$M$11,TH!C441="NL",LEFT(D382,1)="N"),"x","")</f>
        <v/>
      </c>
    </row>
    <row r="383" spans="1:15">
      <c r="A383" s="24" t="str">
        <f t="shared" ref="A383" si="46">IF(E383&lt;&gt;"",MONTH(E383),"")</f>
        <v/>
      </c>
      <c r="B383" s="175" t="str">
        <f>IF(AND(MONTH(E383)='IN-NX'!$J$5,'IN-NX'!$D$7=(D383&amp;"/"&amp;C383)),"x","")</f>
        <v/>
      </c>
      <c r="C383" s="172"/>
      <c r="D383" s="172"/>
      <c r="E383" s="69"/>
      <c r="F383" s="61"/>
      <c r="G383" s="19"/>
      <c r="H383" s="197"/>
      <c r="I383" s="56"/>
      <c r="J383" s="15"/>
      <c r="K383" s="15"/>
      <c r="L383" s="15">
        <f t="shared" si="39"/>
        <v>0</v>
      </c>
      <c r="M383" s="15"/>
      <c r="N383" s="15">
        <f t="shared" si="40"/>
        <v>0</v>
      </c>
      <c r="O383" s="15" t="str">
        <f>IF(AND(A383='BANG KE NL'!$M$11,TH!C442="NL",LEFT(D383,1)="N"),"x","")</f>
        <v/>
      </c>
    </row>
    <row r="384" spans="1:15">
      <c r="A384" s="24" t="str">
        <f t="shared" si="41"/>
        <v/>
      </c>
      <c r="B384" s="175" t="str">
        <f>IF(AND(MONTH(E384)='IN-NX'!$J$5,'IN-NX'!$D$7=(D384&amp;"/"&amp;C384)),"x","")</f>
        <v/>
      </c>
      <c r="C384" s="172"/>
      <c r="D384" s="172"/>
      <c r="E384" s="69"/>
      <c r="F384" s="61"/>
      <c r="G384" s="19"/>
      <c r="H384" s="197"/>
      <c r="I384" s="56"/>
      <c r="J384" s="15"/>
      <c r="K384" s="15"/>
      <c r="L384" s="15">
        <f t="shared" si="39"/>
        <v>0</v>
      </c>
      <c r="M384" s="15"/>
      <c r="N384" s="15">
        <f t="shared" si="40"/>
        <v>0</v>
      </c>
      <c r="O384" s="15" t="str">
        <f>IF(AND(A384='BANG KE NL'!$M$11,TH!C443="NL",LEFT(D384,1)="N"),"x","")</f>
        <v/>
      </c>
    </row>
    <row r="385" spans="1:15">
      <c r="A385" s="24" t="str">
        <f t="shared" ref="A385" si="47">IF(E385&lt;&gt;"",MONTH(E385),"")</f>
        <v/>
      </c>
      <c r="B385" s="175" t="str">
        <f>IF(AND(MONTH(E385)='IN-NX'!$J$5,'IN-NX'!$D$7=(D385&amp;"/"&amp;C385)),"x","")</f>
        <v/>
      </c>
      <c r="C385" s="172"/>
      <c r="D385" s="172"/>
      <c r="E385" s="69"/>
      <c r="F385" s="61"/>
      <c r="G385" s="19"/>
      <c r="H385" s="197"/>
      <c r="I385" s="56"/>
      <c r="J385" s="15"/>
      <c r="K385" s="15"/>
      <c r="L385" s="15">
        <f t="shared" si="39"/>
        <v>0</v>
      </c>
      <c r="M385" s="15"/>
      <c r="N385" s="15">
        <f t="shared" si="40"/>
        <v>0</v>
      </c>
      <c r="O385" s="15" t="str">
        <f>IF(AND(A385='BANG KE NL'!$M$11,TH!C443="NL",LEFT(D385,1)="N"),"x","")</f>
        <v/>
      </c>
    </row>
    <row r="386" spans="1:15">
      <c r="A386" s="24" t="str">
        <f t="shared" si="41"/>
        <v/>
      </c>
      <c r="B386" s="175" t="str">
        <f>IF(AND(MONTH(E386)='IN-NX'!$J$5,'IN-NX'!$D$7=(D386&amp;"/"&amp;C386)),"x","")</f>
        <v/>
      </c>
      <c r="C386" s="172"/>
      <c r="D386" s="172"/>
      <c r="E386" s="69"/>
      <c r="F386" s="61"/>
      <c r="G386" s="19"/>
      <c r="H386" s="197"/>
      <c r="I386" s="56"/>
      <c r="J386" s="15"/>
      <c r="K386" s="15"/>
      <c r="L386" s="15">
        <f t="shared" si="39"/>
        <v>0</v>
      </c>
      <c r="M386" s="15"/>
      <c r="N386" s="15">
        <f t="shared" si="40"/>
        <v>0</v>
      </c>
      <c r="O386" s="15" t="str">
        <f>IF(AND(A386='BANG KE NL'!$M$11,TH!C444="NL",LEFT(D386,1)="N"),"x","")</f>
        <v/>
      </c>
    </row>
    <row r="387" spans="1:15">
      <c r="A387" s="24" t="str">
        <f t="shared" si="41"/>
        <v/>
      </c>
      <c r="B387" s="175" t="str">
        <f>IF(AND(MONTH(E387)='IN-NX'!$J$5,'IN-NX'!$D$7=(D387&amp;"/"&amp;C387)),"x","")</f>
        <v/>
      </c>
      <c r="C387" s="172"/>
      <c r="D387" s="172"/>
      <c r="E387" s="69"/>
      <c r="F387" s="61"/>
      <c r="G387" s="19"/>
      <c r="H387" s="197"/>
      <c r="I387" s="56"/>
      <c r="J387" s="15"/>
      <c r="K387" s="15"/>
      <c r="L387" s="15">
        <f t="shared" si="39"/>
        <v>0</v>
      </c>
      <c r="M387" s="15"/>
      <c r="N387" s="15">
        <f t="shared" si="40"/>
        <v>0</v>
      </c>
      <c r="O387" s="15" t="str">
        <f>IF(AND(A387='BANG KE NL'!$M$11,TH!C387="NL",LEFT(D387,1)="N"),"x","")</f>
        <v/>
      </c>
    </row>
    <row r="388" spans="1:15">
      <c r="A388" s="24" t="str">
        <f t="shared" si="41"/>
        <v/>
      </c>
      <c r="B388" s="175" t="str">
        <f>IF(AND(MONTH(E388)='IN-NX'!$J$5,'IN-NX'!$D$7=(D388&amp;"/"&amp;C388)),"x","")</f>
        <v/>
      </c>
      <c r="C388" s="172"/>
      <c r="D388" s="172"/>
      <c r="E388" s="69"/>
      <c r="F388" s="61"/>
      <c r="G388" s="19"/>
      <c r="H388" s="197"/>
      <c r="I388" s="56"/>
      <c r="J388" s="15"/>
      <c r="K388" s="15"/>
      <c r="L388" s="15">
        <f t="shared" si="39"/>
        <v>0</v>
      </c>
      <c r="M388" s="15"/>
      <c r="N388" s="15">
        <f t="shared" si="40"/>
        <v>0</v>
      </c>
      <c r="O388" s="15" t="str">
        <f>IF(AND(A388='BANG KE NL'!$M$11,TH!C388="NL",LEFT(D388,1)="N"),"x","")</f>
        <v/>
      </c>
    </row>
    <row r="389" spans="1:15">
      <c r="A389" s="24" t="str">
        <f t="shared" ref="A389" si="48">IF(E389&lt;&gt;"",MONTH(E389),"")</f>
        <v/>
      </c>
      <c r="B389" s="175" t="str">
        <f>IF(AND(MONTH(E389)='IN-NX'!$J$5,'IN-NX'!$D$7=(D389&amp;"/"&amp;C389)),"x","")</f>
        <v/>
      </c>
      <c r="C389" s="172"/>
      <c r="D389" s="172"/>
      <c r="E389" s="69"/>
      <c r="F389" s="61"/>
      <c r="G389" s="19"/>
      <c r="H389" s="197"/>
      <c r="I389" s="56"/>
      <c r="J389" s="15"/>
      <c r="K389" s="15"/>
      <c r="L389" s="15">
        <f t="shared" ref="L389:L452" si="49">ROUND(J389*K389,0)</f>
        <v>0</v>
      </c>
      <c r="M389" s="15"/>
      <c r="N389" s="15">
        <f t="shared" ref="N389:N452" si="50">ROUND(J389*M389,0)</f>
        <v>0</v>
      </c>
      <c r="O389" s="15" t="str">
        <f>IF(AND(A389='BANG KE NL'!$M$11,TH!C389="NL",LEFT(D389,1)="N"),"x","")</f>
        <v/>
      </c>
    </row>
    <row r="390" spans="1:15">
      <c r="A390" s="24" t="str">
        <f t="shared" si="41"/>
        <v/>
      </c>
      <c r="B390" s="175" t="str">
        <f>IF(AND(MONTH(E390)='IN-NX'!$J$5,'IN-NX'!$D$7=(D390&amp;"/"&amp;C390)),"x","")</f>
        <v/>
      </c>
      <c r="C390" s="172"/>
      <c r="D390" s="172"/>
      <c r="E390" s="69"/>
      <c r="F390" s="61"/>
      <c r="G390" s="19"/>
      <c r="H390" s="197"/>
      <c r="I390" s="56"/>
      <c r="J390" s="15"/>
      <c r="K390" s="15"/>
      <c r="L390" s="15">
        <f t="shared" si="49"/>
        <v>0</v>
      </c>
      <c r="M390" s="15"/>
      <c r="N390" s="15">
        <f t="shared" si="50"/>
        <v>0</v>
      </c>
      <c r="O390" s="15" t="str">
        <f>IF(AND(A390='BANG KE NL'!$M$11,TH!C390="NL",LEFT(D390,1)="N"),"x","")</f>
        <v/>
      </c>
    </row>
    <row r="391" spans="1:15">
      <c r="A391" s="24" t="str">
        <f t="shared" si="41"/>
        <v/>
      </c>
      <c r="B391" s="175" t="str">
        <f>IF(AND(MONTH(E391)='IN-NX'!$J$5,'IN-NX'!$D$7=(D391&amp;"/"&amp;C391)),"x","")</f>
        <v/>
      </c>
      <c r="C391" s="172"/>
      <c r="D391" s="172"/>
      <c r="E391" s="69"/>
      <c r="F391" s="61"/>
      <c r="G391" s="19"/>
      <c r="H391" s="197"/>
      <c r="I391" s="56"/>
      <c r="J391" s="15"/>
      <c r="K391" s="15"/>
      <c r="L391" s="15">
        <f t="shared" si="49"/>
        <v>0</v>
      </c>
      <c r="M391" s="15"/>
      <c r="N391" s="15">
        <f t="shared" si="50"/>
        <v>0</v>
      </c>
      <c r="O391" s="15" t="str">
        <f>IF(AND(A391='BANG KE NL'!$M$11,TH!C391="NL",LEFT(D391,1)="N"),"x","")</f>
        <v/>
      </c>
    </row>
    <row r="392" spans="1:15">
      <c r="A392" s="24" t="str">
        <f t="shared" si="41"/>
        <v/>
      </c>
      <c r="B392" s="175" t="str">
        <f>IF(AND(MONTH(E392)='IN-NX'!$J$5,'IN-NX'!$D$7=(D392&amp;"/"&amp;C392)),"x","")</f>
        <v/>
      </c>
      <c r="C392" s="172"/>
      <c r="D392" s="172"/>
      <c r="E392" s="69"/>
      <c r="F392" s="61"/>
      <c r="G392" s="19"/>
      <c r="H392" s="197"/>
      <c r="I392" s="56"/>
      <c r="J392" s="15"/>
      <c r="K392" s="15"/>
      <c r="L392" s="15">
        <f t="shared" si="49"/>
        <v>0</v>
      </c>
      <c r="M392" s="15"/>
      <c r="N392" s="15">
        <f t="shared" si="50"/>
        <v>0</v>
      </c>
      <c r="O392" s="15" t="str">
        <f>IF(AND(A392='BANG KE NL'!$M$11,TH!C392="NL",LEFT(D392,1)="N"),"x","")</f>
        <v/>
      </c>
    </row>
    <row r="393" spans="1:15">
      <c r="A393" s="24" t="str">
        <f t="shared" si="41"/>
        <v/>
      </c>
      <c r="B393" s="175" t="str">
        <f>IF(AND(MONTH(E393)='IN-NX'!$J$5,'IN-NX'!$D$7=(D393&amp;"/"&amp;C393)),"x","")</f>
        <v/>
      </c>
      <c r="C393" s="172"/>
      <c r="D393" s="172"/>
      <c r="E393" s="69"/>
      <c r="F393" s="61"/>
      <c r="G393" s="19"/>
      <c r="H393" s="197"/>
      <c r="I393" s="56"/>
      <c r="J393" s="15"/>
      <c r="K393" s="15"/>
      <c r="L393" s="15">
        <f t="shared" si="49"/>
        <v>0</v>
      </c>
      <c r="M393" s="15"/>
      <c r="N393" s="15">
        <f t="shared" si="50"/>
        <v>0</v>
      </c>
      <c r="O393" s="15" t="str">
        <f>IF(AND(A393='BANG KE NL'!$M$11,TH!C393="NL",LEFT(D393,1)="N"),"x","")</f>
        <v/>
      </c>
    </row>
    <row r="394" spans="1:15">
      <c r="A394" s="24" t="str">
        <f t="shared" si="41"/>
        <v/>
      </c>
      <c r="B394" s="175" t="str">
        <f>IF(AND(MONTH(E394)='IN-NX'!$J$5,'IN-NX'!$D$7=(D394&amp;"/"&amp;C394)),"x","")</f>
        <v/>
      </c>
      <c r="C394" s="172"/>
      <c r="D394" s="172"/>
      <c r="E394" s="69"/>
      <c r="F394" s="61"/>
      <c r="G394" s="19"/>
      <c r="H394" s="197"/>
      <c r="I394" s="56"/>
      <c r="J394" s="15"/>
      <c r="K394" s="15"/>
      <c r="L394" s="15">
        <f t="shared" si="49"/>
        <v>0</v>
      </c>
      <c r="M394" s="15"/>
      <c r="N394" s="15">
        <f t="shared" si="50"/>
        <v>0</v>
      </c>
      <c r="O394" s="15" t="str">
        <f>IF(AND(A394='BANG KE NL'!$M$11,TH!C394="NL",LEFT(D394,1)="N"),"x","")</f>
        <v/>
      </c>
    </row>
    <row r="395" spans="1:15">
      <c r="A395" s="24" t="str">
        <f t="shared" ref="A395:A420" si="51">IF(E395&lt;&gt;"",MONTH(E395),"")</f>
        <v/>
      </c>
      <c r="B395" s="175" t="str">
        <f>IF(AND(MONTH(E395)='IN-NX'!$J$5,'IN-NX'!$D$7=(D395&amp;"/"&amp;C395)),"x","")</f>
        <v/>
      </c>
      <c r="C395" s="172"/>
      <c r="D395" s="172"/>
      <c r="E395" s="69"/>
      <c r="F395" s="61"/>
      <c r="G395" s="19"/>
      <c r="H395" s="197"/>
      <c r="I395" s="56"/>
      <c r="J395" s="15"/>
      <c r="K395" s="15"/>
      <c r="L395" s="15">
        <f t="shared" si="49"/>
        <v>0</v>
      </c>
      <c r="M395" s="15"/>
      <c r="N395" s="15">
        <f t="shared" si="50"/>
        <v>0</v>
      </c>
      <c r="O395" s="15" t="str">
        <f>IF(AND(A395='BANG KE NL'!$M$11,TH!C395="NL",LEFT(D395,1)="N"),"x","")</f>
        <v/>
      </c>
    </row>
    <row r="396" spans="1:15">
      <c r="A396" s="24" t="str">
        <f t="shared" si="51"/>
        <v/>
      </c>
      <c r="B396" s="175" t="str">
        <f>IF(AND(MONTH(E396)='IN-NX'!$J$5,'IN-NX'!$D$7=(D396&amp;"/"&amp;C396)),"x","")</f>
        <v/>
      </c>
      <c r="C396" s="172"/>
      <c r="D396" s="172"/>
      <c r="E396" s="69"/>
      <c r="F396" s="61"/>
      <c r="G396" s="19"/>
      <c r="H396" s="197"/>
      <c r="I396" s="56"/>
      <c r="J396" s="15"/>
      <c r="K396" s="15"/>
      <c r="L396" s="15">
        <f t="shared" si="49"/>
        <v>0</v>
      </c>
      <c r="M396" s="15"/>
      <c r="N396" s="15">
        <f t="shared" si="50"/>
        <v>0</v>
      </c>
      <c r="O396" s="15" t="str">
        <f>IF(AND(A396='BANG KE NL'!$M$11,TH!C396="NL",LEFT(D396,1)="N"),"x","")</f>
        <v/>
      </c>
    </row>
    <row r="397" spans="1:15">
      <c r="A397" s="24" t="str">
        <f t="shared" si="51"/>
        <v/>
      </c>
      <c r="B397" s="175" t="str">
        <f>IF(AND(MONTH(E397)='IN-NX'!$J$5,'IN-NX'!$D$7=(D397&amp;"/"&amp;C397)),"x","")</f>
        <v/>
      </c>
      <c r="C397" s="172"/>
      <c r="D397" s="172"/>
      <c r="E397" s="69"/>
      <c r="F397" s="61"/>
      <c r="G397" s="19"/>
      <c r="H397" s="197"/>
      <c r="I397" s="56"/>
      <c r="J397" s="15"/>
      <c r="K397" s="15"/>
      <c r="L397" s="15">
        <f t="shared" si="49"/>
        <v>0</v>
      </c>
      <c r="M397" s="15"/>
      <c r="N397" s="15">
        <f t="shared" si="50"/>
        <v>0</v>
      </c>
      <c r="O397" s="15" t="str">
        <f>IF(AND(A397='BANG KE NL'!$M$11,TH!C397="NL",LEFT(D397,1)="N"),"x","")</f>
        <v/>
      </c>
    </row>
    <row r="398" spans="1:15">
      <c r="A398" s="24" t="str">
        <f t="shared" si="51"/>
        <v/>
      </c>
      <c r="B398" s="175" t="str">
        <f>IF(AND(MONTH(E398)='IN-NX'!$J$5,'IN-NX'!$D$7=(D398&amp;"/"&amp;C398)),"x","")</f>
        <v/>
      </c>
      <c r="C398" s="172"/>
      <c r="D398" s="172"/>
      <c r="E398" s="69"/>
      <c r="F398" s="61"/>
      <c r="G398" s="19"/>
      <c r="H398" s="197"/>
      <c r="I398" s="56"/>
      <c r="J398" s="15"/>
      <c r="K398" s="15"/>
      <c r="L398" s="15">
        <f t="shared" si="49"/>
        <v>0</v>
      </c>
      <c r="M398" s="15"/>
      <c r="N398" s="15">
        <f t="shared" si="50"/>
        <v>0</v>
      </c>
      <c r="O398" s="15" t="str">
        <f>IF(AND(A398='BANG KE NL'!$M$11,TH!C398="NL",LEFT(D398,1)="N"),"x","")</f>
        <v/>
      </c>
    </row>
    <row r="399" spans="1:15">
      <c r="A399" s="24" t="str">
        <f t="shared" si="51"/>
        <v/>
      </c>
      <c r="B399" s="175" t="str">
        <f>IF(AND(MONTH(E399)='IN-NX'!$J$5,'IN-NX'!$D$7=(D399&amp;"/"&amp;C399)),"x","")</f>
        <v/>
      </c>
      <c r="C399" s="172"/>
      <c r="D399" s="172"/>
      <c r="E399" s="69"/>
      <c r="F399" s="61"/>
      <c r="G399" s="19"/>
      <c r="H399" s="197"/>
      <c r="I399" s="56"/>
      <c r="J399" s="15"/>
      <c r="K399" s="15"/>
      <c r="L399" s="15">
        <f t="shared" si="49"/>
        <v>0</v>
      </c>
      <c r="M399" s="15"/>
      <c r="N399" s="15">
        <f t="shared" si="50"/>
        <v>0</v>
      </c>
      <c r="O399" s="15" t="str">
        <f>IF(AND(A399='BANG KE NL'!$M$11,TH!C399="NL",LEFT(D399,1)="N"),"x","")</f>
        <v/>
      </c>
    </row>
    <row r="400" spans="1:15">
      <c r="A400" s="24" t="str">
        <f t="shared" si="51"/>
        <v/>
      </c>
      <c r="B400" s="175" t="str">
        <f>IF(AND(MONTH(E400)='IN-NX'!$J$5,'IN-NX'!$D$7=(D400&amp;"/"&amp;C400)),"x","")</f>
        <v/>
      </c>
      <c r="C400" s="172"/>
      <c r="D400" s="172"/>
      <c r="E400" s="69"/>
      <c r="F400" s="61"/>
      <c r="G400" s="19"/>
      <c r="H400" s="197"/>
      <c r="I400" s="56"/>
      <c r="J400" s="15"/>
      <c r="K400" s="15"/>
      <c r="L400" s="15">
        <f t="shared" si="49"/>
        <v>0</v>
      </c>
      <c r="M400" s="15"/>
      <c r="N400" s="15">
        <f t="shared" si="50"/>
        <v>0</v>
      </c>
      <c r="O400" s="15" t="str">
        <f>IF(AND(A400='BANG KE NL'!$M$11,TH!C400="NL",LEFT(D400,1)="N"),"x","")</f>
        <v/>
      </c>
    </row>
    <row r="401" spans="1:15">
      <c r="A401" s="24" t="str">
        <f t="shared" si="51"/>
        <v/>
      </c>
      <c r="B401" s="175" t="str">
        <f>IF(AND(MONTH(E401)='IN-NX'!$J$5,'IN-NX'!$D$7=(D401&amp;"/"&amp;C401)),"x","")</f>
        <v/>
      </c>
      <c r="C401" s="172"/>
      <c r="D401" s="172"/>
      <c r="E401" s="69"/>
      <c r="F401" s="61"/>
      <c r="G401" s="19"/>
      <c r="H401" s="197"/>
      <c r="I401" s="56"/>
      <c r="J401" s="15"/>
      <c r="K401" s="15"/>
      <c r="L401" s="15">
        <f t="shared" si="49"/>
        <v>0</v>
      </c>
      <c r="M401" s="15"/>
      <c r="N401" s="15">
        <f t="shared" si="50"/>
        <v>0</v>
      </c>
      <c r="O401" s="15" t="str">
        <f>IF(AND(A401='BANG KE NL'!$M$11,TH!C401="NL",LEFT(D401,1)="N"),"x","")</f>
        <v/>
      </c>
    </row>
    <row r="402" spans="1:15">
      <c r="A402" s="24" t="str">
        <f t="shared" si="51"/>
        <v/>
      </c>
      <c r="B402" s="175" t="str">
        <f>IF(AND(MONTH(E402)='IN-NX'!$J$5,'IN-NX'!$D$7=(D402&amp;"/"&amp;C402)),"x","")</f>
        <v/>
      </c>
      <c r="C402" s="172"/>
      <c r="D402" s="172"/>
      <c r="E402" s="69"/>
      <c r="F402" s="61"/>
      <c r="G402" s="19"/>
      <c r="H402" s="197"/>
      <c r="I402" s="56"/>
      <c r="J402" s="15"/>
      <c r="K402" s="15"/>
      <c r="L402" s="15">
        <f t="shared" si="49"/>
        <v>0</v>
      </c>
      <c r="M402" s="15"/>
      <c r="N402" s="15">
        <f t="shared" si="50"/>
        <v>0</v>
      </c>
      <c r="O402" s="15" t="str">
        <f>IF(AND(A402='BANG KE NL'!$M$11,TH!C402="NL",LEFT(D402,1)="N"),"x","")</f>
        <v/>
      </c>
    </row>
    <row r="403" spans="1:15">
      <c r="A403" s="24" t="str">
        <f t="shared" si="51"/>
        <v/>
      </c>
      <c r="B403" s="175" t="str">
        <f>IF(AND(MONTH(E403)='IN-NX'!$J$5,'IN-NX'!$D$7=(D403&amp;"/"&amp;C403)),"x","")</f>
        <v/>
      </c>
      <c r="C403" s="172"/>
      <c r="D403" s="172"/>
      <c r="E403" s="69"/>
      <c r="F403" s="61"/>
      <c r="G403" s="19"/>
      <c r="H403" s="197"/>
      <c r="I403" s="56"/>
      <c r="J403" s="15"/>
      <c r="K403" s="15"/>
      <c r="L403" s="15">
        <f t="shared" si="49"/>
        <v>0</v>
      </c>
      <c r="M403" s="15"/>
      <c r="N403" s="15">
        <f t="shared" si="50"/>
        <v>0</v>
      </c>
      <c r="O403" s="15" t="str">
        <f>IF(AND(A403='BANG KE NL'!$M$11,TH!C403="NL",LEFT(D403,1)="N"),"x","")</f>
        <v/>
      </c>
    </row>
    <row r="404" spans="1:15">
      <c r="A404" s="24" t="str">
        <f t="shared" si="51"/>
        <v/>
      </c>
      <c r="B404" s="175" t="str">
        <f>IF(AND(MONTH(E404)='IN-NX'!$J$5,'IN-NX'!$D$7=(D404&amp;"/"&amp;C404)),"x","")</f>
        <v/>
      </c>
      <c r="C404" s="172"/>
      <c r="D404" s="172"/>
      <c r="E404" s="69"/>
      <c r="F404" s="61"/>
      <c r="G404" s="19"/>
      <c r="H404" s="197"/>
      <c r="I404" s="56"/>
      <c r="J404" s="15"/>
      <c r="K404" s="15"/>
      <c r="L404" s="15">
        <f t="shared" si="49"/>
        <v>0</v>
      </c>
      <c r="M404" s="15"/>
      <c r="N404" s="15">
        <f t="shared" si="50"/>
        <v>0</v>
      </c>
      <c r="O404" s="15" t="str">
        <f>IF(AND(A404='BANG KE NL'!$M$11,TH!C404="NL",LEFT(D404,1)="N"),"x","")</f>
        <v/>
      </c>
    </row>
    <row r="405" spans="1:15">
      <c r="A405" s="24" t="str">
        <f t="shared" si="51"/>
        <v/>
      </c>
      <c r="B405" s="175" t="str">
        <f>IF(AND(MONTH(E405)='IN-NX'!$J$5,'IN-NX'!$D$7=(D405&amp;"/"&amp;C405)),"x","")</f>
        <v/>
      </c>
      <c r="C405" s="172"/>
      <c r="D405" s="172"/>
      <c r="E405" s="69"/>
      <c r="F405" s="61"/>
      <c r="G405" s="19"/>
      <c r="H405" s="197"/>
      <c r="I405" s="56"/>
      <c r="J405" s="15"/>
      <c r="K405" s="15"/>
      <c r="L405" s="15">
        <f t="shared" si="49"/>
        <v>0</v>
      </c>
      <c r="M405" s="15"/>
      <c r="N405" s="15">
        <f t="shared" si="50"/>
        <v>0</v>
      </c>
      <c r="O405" s="15" t="str">
        <f>IF(AND(A405='BANG KE NL'!$M$11,TH!C405="NL",LEFT(D405,1)="N"),"x","")</f>
        <v/>
      </c>
    </row>
    <row r="406" spans="1:15">
      <c r="A406" s="24" t="str">
        <f t="shared" si="51"/>
        <v/>
      </c>
      <c r="B406" s="175" t="str">
        <f>IF(AND(MONTH(E406)='IN-NX'!$J$5,'IN-NX'!$D$7=(D406&amp;"/"&amp;C406)),"x","")</f>
        <v/>
      </c>
      <c r="C406" s="172"/>
      <c r="D406" s="172"/>
      <c r="E406" s="69"/>
      <c r="F406" s="61"/>
      <c r="G406" s="19"/>
      <c r="H406" s="197"/>
      <c r="I406" s="56"/>
      <c r="J406" s="15"/>
      <c r="K406" s="15"/>
      <c r="L406" s="15">
        <f t="shared" si="49"/>
        <v>0</v>
      </c>
      <c r="M406" s="15"/>
      <c r="N406" s="15">
        <f t="shared" si="50"/>
        <v>0</v>
      </c>
      <c r="O406" s="15" t="str">
        <f>IF(AND(A406='BANG KE NL'!$M$11,TH!C406="NL",LEFT(D406,1)="N"),"x","")</f>
        <v/>
      </c>
    </row>
    <row r="407" spans="1:15">
      <c r="A407" s="24" t="str">
        <f t="shared" si="51"/>
        <v/>
      </c>
      <c r="B407" s="175" t="str">
        <f>IF(AND(MONTH(E407)='IN-NX'!$J$5,'IN-NX'!$D$7=(D407&amp;"/"&amp;C407)),"x","")</f>
        <v/>
      </c>
      <c r="C407" s="172"/>
      <c r="D407" s="172"/>
      <c r="E407" s="69"/>
      <c r="F407" s="61"/>
      <c r="G407" s="19"/>
      <c r="H407" s="197"/>
      <c r="I407" s="56"/>
      <c r="J407" s="15"/>
      <c r="K407" s="15"/>
      <c r="L407" s="15">
        <f t="shared" si="49"/>
        <v>0</v>
      </c>
      <c r="M407" s="15"/>
      <c r="N407" s="15">
        <f t="shared" si="50"/>
        <v>0</v>
      </c>
      <c r="O407" s="15" t="str">
        <f>IF(AND(A407='BANG KE NL'!$M$11,TH!C407="NL",LEFT(D407,1)="N"),"x","")</f>
        <v/>
      </c>
    </row>
    <row r="408" spans="1:15">
      <c r="A408" s="24" t="str">
        <f t="shared" si="51"/>
        <v/>
      </c>
      <c r="B408" s="175" t="str">
        <f>IF(AND(MONTH(E408)='IN-NX'!$J$5,'IN-NX'!$D$7=(D408&amp;"/"&amp;C408)),"x","")</f>
        <v/>
      </c>
      <c r="C408" s="172"/>
      <c r="D408" s="172"/>
      <c r="E408" s="69"/>
      <c r="F408" s="61"/>
      <c r="G408" s="19"/>
      <c r="H408" s="197"/>
      <c r="I408" s="56"/>
      <c r="J408" s="15"/>
      <c r="K408" s="15"/>
      <c r="L408" s="15">
        <f t="shared" si="49"/>
        <v>0</v>
      </c>
      <c r="M408" s="15"/>
      <c r="N408" s="15">
        <f t="shared" si="50"/>
        <v>0</v>
      </c>
      <c r="O408" s="15" t="str">
        <f>IF(AND(A408='BANG KE NL'!$M$11,TH!C408="NL",LEFT(D408,1)="N"),"x","")</f>
        <v/>
      </c>
    </row>
    <row r="409" spans="1:15">
      <c r="A409" s="24" t="str">
        <f t="shared" si="51"/>
        <v/>
      </c>
      <c r="B409" s="175" t="str">
        <f>IF(AND(MONTH(E409)='IN-NX'!$J$5,'IN-NX'!$D$7=(D409&amp;"/"&amp;C409)),"x","")</f>
        <v/>
      </c>
      <c r="C409" s="172"/>
      <c r="D409" s="172"/>
      <c r="E409" s="69"/>
      <c r="F409" s="61"/>
      <c r="G409" s="19"/>
      <c r="H409" s="197"/>
      <c r="I409" s="56"/>
      <c r="J409" s="15"/>
      <c r="K409" s="15"/>
      <c r="L409" s="15">
        <f t="shared" si="49"/>
        <v>0</v>
      </c>
      <c r="M409" s="15"/>
      <c r="N409" s="15">
        <f t="shared" si="50"/>
        <v>0</v>
      </c>
      <c r="O409" s="15" t="str">
        <f>IF(AND(A409='BANG KE NL'!$M$11,TH!C409="NL",LEFT(D409,1)="N"),"x","")</f>
        <v/>
      </c>
    </row>
    <row r="410" spans="1:15">
      <c r="A410" s="24" t="str">
        <f t="shared" si="51"/>
        <v/>
      </c>
      <c r="B410" s="175" t="str">
        <f>IF(AND(MONTH(E410)='IN-NX'!$J$5,'IN-NX'!$D$7=(D410&amp;"/"&amp;C410)),"x","")</f>
        <v/>
      </c>
      <c r="C410" s="172"/>
      <c r="D410" s="172"/>
      <c r="E410" s="69"/>
      <c r="F410" s="61"/>
      <c r="G410" s="19"/>
      <c r="H410" s="197"/>
      <c r="I410" s="56"/>
      <c r="J410" s="15"/>
      <c r="K410" s="15"/>
      <c r="L410" s="15">
        <f t="shared" si="49"/>
        <v>0</v>
      </c>
      <c r="M410" s="15"/>
      <c r="N410" s="15">
        <f t="shared" si="50"/>
        <v>0</v>
      </c>
      <c r="O410" s="15" t="str">
        <f>IF(AND(A410='BANG KE NL'!$M$11,TH!C410="NL",LEFT(D410,1)="N"),"x","")</f>
        <v/>
      </c>
    </row>
    <row r="411" spans="1:15">
      <c r="A411" s="24" t="str">
        <f t="shared" si="51"/>
        <v/>
      </c>
      <c r="B411" s="175" t="str">
        <f>IF(AND(MONTH(E411)='IN-NX'!$J$5,'IN-NX'!$D$7=(D411&amp;"/"&amp;C411)),"x","")</f>
        <v/>
      </c>
      <c r="C411" s="172"/>
      <c r="D411" s="172"/>
      <c r="E411" s="69"/>
      <c r="F411" s="61"/>
      <c r="G411" s="19"/>
      <c r="H411" s="197"/>
      <c r="I411" s="56"/>
      <c r="J411" s="15"/>
      <c r="K411" s="15"/>
      <c r="L411" s="15">
        <f t="shared" si="49"/>
        <v>0</v>
      </c>
      <c r="M411" s="15"/>
      <c r="N411" s="15">
        <f t="shared" si="50"/>
        <v>0</v>
      </c>
      <c r="O411" s="15" t="str">
        <f>IF(AND(A411='BANG KE NL'!$M$11,TH!C411="NL",LEFT(D411,1)="N"),"x","")</f>
        <v/>
      </c>
    </row>
    <row r="412" spans="1:15">
      <c r="A412" s="24" t="str">
        <f t="shared" si="51"/>
        <v/>
      </c>
      <c r="B412" s="175" t="str">
        <f>IF(AND(MONTH(E412)='IN-NX'!$J$5,'IN-NX'!$D$7=(D412&amp;"/"&amp;C412)),"x","")</f>
        <v/>
      </c>
      <c r="C412" s="172"/>
      <c r="D412" s="172"/>
      <c r="E412" s="69"/>
      <c r="F412" s="61"/>
      <c r="G412" s="19"/>
      <c r="H412" s="197"/>
      <c r="I412" s="56"/>
      <c r="J412" s="15"/>
      <c r="K412" s="15"/>
      <c r="L412" s="15">
        <f t="shared" si="49"/>
        <v>0</v>
      </c>
      <c r="M412" s="15"/>
      <c r="N412" s="15">
        <f t="shared" si="50"/>
        <v>0</v>
      </c>
      <c r="O412" s="15" t="str">
        <f>IF(AND(A412='BANG KE NL'!$M$11,TH!C412="NL",LEFT(D412,1)="N"),"x","")</f>
        <v/>
      </c>
    </row>
    <row r="413" spans="1:15">
      <c r="A413" s="24" t="str">
        <f t="shared" si="51"/>
        <v/>
      </c>
      <c r="B413" s="175" t="str">
        <f>IF(AND(MONTH(E413)='IN-NX'!$J$5,'IN-NX'!$D$7=(D413&amp;"/"&amp;C413)),"x","")</f>
        <v/>
      </c>
      <c r="C413" s="172"/>
      <c r="D413" s="172"/>
      <c r="E413" s="69"/>
      <c r="F413" s="61"/>
      <c r="G413" s="19"/>
      <c r="H413" s="197"/>
      <c r="I413" s="56"/>
      <c r="J413" s="15"/>
      <c r="K413" s="15"/>
      <c r="L413" s="15">
        <f t="shared" si="49"/>
        <v>0</v>
      </c>
      <c r="M413" s="15"/>
      <c r="N413" s="15">
        <f t="shared" si="50"/>
        <v>0</v>
      </c>
      <c r="O413" s="15" t="str">
        <f>IF(AND(A413='BANG KE NL'!$M$11,TH!C413="NL",LEFT(D413,1)="N"),"x","")</f>
        <v/>
      </c>
    </row>
    <row r="414" spans="1:15">
      <c r="A414" s="24" t="str">
        <f t="shared" si="51"/>
        <v/>
      </c>
      <c r="B414" s="175" t="str">
        <f>IF(AND(MONTH(E414)='IN-NX'!$J$5,'IN-NX'!$D$7=(D414&amp;"/"&amp;C414)),"x","")</f>
        <v/>
      </c>
      <c r="C414" s="172"/>
      <c r="D414" s="172"/>
      <c r="E414" s="69"/>
      <c r="F414" s="61"/>
      <c r="G414" s="19"/>
      <c r="H414" s="197"/>
      <c r="I414" s="56"/>
      <c r="J414" s="15"/>
      <c r="K414" s="15"/>
      <c r="L414" s="15">
        <f t="shared" si="49"/>
        <v>0</v>
      </c>
      <c r="M414" s="15"/>
      <c r="N414" s="15">
        <f t="shared" si="50"/>
        <v>0</v>
      </c>
      <c r="O414" s="15" t="str">
        <f>IF(AND(A414='BANG KE NL'!$M$11,TH!C414="NL",LEFT(D414,1)="N"),"x","")</f>
        <v/>
      </c>
    </row>
    <row r="415" spans="1:15">
      <c r="A415" s="24" t="str">
        <f t="shared" si="51"/>
        <v/>
      </c>
      <c r="B415" s="175" t="str">
        <f>IF(AND(MONTH(E415)='IN-NX'!$J$5,'IN-NX'!$D$7=(D415&amp;"/"&amp;C415)),"x","")</f>
        <v/>
      </c>
      <c r="C415" s="172"/>
      <c r="D415" s="172"/>
      <c r="E415" s="69"/>
      <c r="F415" s="61"/>
      <c r="G415" s="19"/>
      <c r="H415" s="197"/>
      <c r="I415" s="56"/>
      <c r="J415" s="15"/>
      <c r="K415" s="15"/>
      <c r="L415" s="15">
        <f t="shared" si="49"/>
        <v>0</v>
      </c>
      <c r="M415" s="15"/>
      <c r="N415" s="15">
        <f t="shared" si="50"/>
        <v>0</v>
      </c>
      <c r="O415" s="15" t="str">
        <f>IF(AND(A415='BANG KE NL'!$M$11,TH!C415="NL",LEFT(D415,1)="N"),"x","")</f>
        <v/>
      </c>
    </row>
    <row r="416" spans="1:15">
      <c r="A416" s="24" t="str">
        <f t="shared" si="51"/>
        <v/>
      </c>
      <c r="B416" s="175" t="str">
        <f>IF(AND(MONTH(E416)='IN-NX'!$J$5,'IN-NX'!$D$7=(D416&amp;"/"&amp;C416)),"x","")</f>
        <v/>
      </c>
      <c r="C416" s="172"/>
      <c r="D416" s="172"/>
      <c r="E416" s="69"/>
      <c r="F416" s="61"/>
      <c r="G416" s="19"/>
      <c r="H416" s="197"/>
      <c r="I416" s="56"/>
      <c r="J416" s="15"/>
      <c r="K416" s="15"/>
      <c r="L416" s="15">
        <f t="shared" si="49"/>
        <v>0</v>
      </c>
      <c r="M416" s="15"/>
      <c r="N416" s="15">
        <f t="shared" si="50"/>
        <v>0</v>
      </c>
      <c r="O416" s="15" t="str">
        <f>IF(AND(A416='BANG KE NL'!$M$11,TH!C416="NL",LEFT(D416,1)="N"),"x","")</f>
        <v/>
      </c>
    </row>
    <row r="417" spans="1:15">
      <c r="A417" s="24" t="str">
        <f t="shared" si="51"/>
        <v/>
      </c>
      <c r="B417" s="175" t="str">
        <f>IF(AND(MONTH(E417)='IN-NX'!$J$5,'IN-NX'!$D$7=(D417&amp;"/"&amp;C417)),"x","")</f>
        <v/>
      </c>
      <c r="C417" s="172"/>
      <c r="D417" s="172"/>
      <c r="E417" s="69"/>
      <c r="F417" s="61"/>
      <c r="G417" s="19"/>
      <c r="H417" s="197"/>
      <c r="I417" s="197"/>
      <c r="J417" s="15"/>
      <c r="K417" s="15"/>
      <c r="L417" s="15">
        <f t="shared" si="49"/>
        <v>0</v>
      </c>
      <c r="M417" s="15"/>
      <c r="N417" s="15">
        <f t="shared" si="50"/>
        <v>0</v>
      </c>
      <c r="O417" s="15" t="str">
        <f>IF(AND(A417='BANG KE NL'!$M$11,TH!C417="NL",LEFT(D417,1)="N"),"x","")</f>
        <v/>
      </c>
    </row>
    <row r="418" spans="1:15">
      <c r="A418" s="24" t="str">
        <f t="shared" si="51"/>
        <v/>
      </c>
      <c r="B418" s="175" t="str">
        <f>IF(AND(MONTH(E418)='IN-NX'!$J$5,'IN-NX'!$D$7=(D418&amp;"/"&amp;C418)),"x","")</f>
        <v/>
      </c>
      <c r="C418" s="172"/>
      <c r="D418" s="172"/>
      <c r="E418" s="69"/>
      <c r="F418" s="61"/>
      <c r="G418" s="19"/>
      <c r="H418" s="197"/>
      <c r="I418" s="197"/>
      <c r="J418" s="15"/>
      <c r="K418" s="15"/>
      <c r="L418" s="15">
        <f t="shared" si="49"/>
        <v>0</v>
      </c>
      <c r="M418" s="15"/>
      <c r="N418" s="15">
        <f t="shared" si="50"/>
        <v>0</v>
      </c>
      <c r="O418" s="15" t="str">
        <f>IF(AND(A418='BANG KE NL'!$M$11,TH!C418="NL",LEFT(D418,1)="N"),"x","")</f>
        <v/>
      </c>
    </row>
    <row r="419" spans="1:15">
      <c r="A419" s="24" t="str">
        <f t="shared" si="51"/>
        <v/>
      </c>
      <c r="B419" s="175" t="str">
        <f>IF(AND(MONTH(E419)='IN-NX'!$J$5,'IN-NX'!$D$7=(D419&amp;"/"&amp;C419)),"x","")</f>
        <v/>
      </c>
      <c r="C419" s="172"/>
      <c r="D419" s="172"/>
      <c r="E419" s="69"/>
      <c r="F419" s="61"/>
      <c r="G419" s="19"/>
      <c r="H419" s="197"/>
      <c r="I419" s="197"/>
      <c r="J419" s="15"/>
      <c r="K419" s="15"/>
      <c r="L419" s="15">
        <f t="shared" si="49"/>
        <v>0</v>
      </c>
      <c r="M419" s="15"/>
      <c r="N419" s="15">
        <f t="shared" si="50"/>
        <v>0</v>
      </c>
      <c r="O419" s="15" t="str">
        <f>IF(AND(A419='BANG KE NL'!$M$11,TH!C419="NL",LEFT(D419,1)="N"),"x","")</f>
        <v/>
      </c>
    </row>
    <row r="420" spans="1:15">
      <c r="A420" s="24" t="str">
        <f t="shared" si="51"/>
        <v/>
      </c>
      <c r="B420" s="175" t="str">
        <f>IF(AND(MONTH(E420)='IN-NX'!$J$5,'IN-NX'!$D$7=(D420&amp;"/"&amp;C420)),"x","")</f>
        <v/>
      </c>
      <c r="C420" s="172"/>
      <c r="D420" s="172"/>
      <c r="E420" s="69"/>
      <c r="F420" s="61"/>
      <c r="G420" s="19"/>
      <c r="H420" s="197"/>
      <c r="I420" s="197"/>
      <c r="J420" s="15"/>
      <c r="K420" s="15"/>
      <c r="L420" s="15">
        <f t="shared" si="49"/>
        <v>0</v>
      </c>
      <c r="M420" s="15"/>
      <c r="N420" s="15">
        <f t="shared" si="50"/>
        <v>0</v>
      </c>
      <c r="O420" s="15" t="str">
        <f>IF(AND(A420='BANG KE NL'!$M$11,TH!C420="NL",LEFT(D420,1)="N"),"x","")</f>
        <v/>
      </c>
    </row>
    <row r="421" spans="1:15" s="277" customFormat="1">
      <c r="A421" s="24" t="str">
        <f t="shared" si="35"/>
        <v/>
      </c>
      <c r="B421" s="175" t="str">
        <f>IF(AND(MONTH(E421)='IN-NX'!$J$5,'IN-NX'!$D$7=(D421&amp;"/"&amp;C421)),"x","")</f>
        <v/>
      </c>
      <c r="C421" s="269"/>
      <c r="D421" s="269"/>
      <c r="E421" s="271"/>
      <c r="F421" s="272"/>
      <c r="G421" s="273"/>
      <c r="H421" s="274"/>
      <c r="I421" s="275"/>
      <c r="J421" s="276"/>
      <c r="K421" s="276"/>
      <c r="L421" s="15">
        <f t="shared" si="49"/>
        <v>0</v>
      </c>
      <c r="M421" s="15"/>
      <c r="N421" s="15">
        <f t="shared" si="50"/>
        <v>0</v>
      </c>
      <c r="O421" s="15" t="str">
        <f>IF(AND(A421='BANG KE NL'!$M$11,TH!C445="NL",LEFT(D421,1)="N"),"x","")</f>
        <v/>
      </c>
    </row>
    <row r="422" spans="1:15" s="277" customFormat="1">
      <c r="A422" s="24" t="str">
        <f t="shared" si="35"/>
        <v/>
      </c>
      <c r="B422" s="175" t="str">
        <f>IF(AND(MONTH(E422)='IN-NX'!$J$5,'IN-NX'!$D$7=(D422&amp;"/"&amp;C422)),"x","")</f>
        <v/>
      </c>
      <c r="C422" s="269"/>
      <c r="D422" s="269"/>
      <c r="E422" s="271"/>
      <c r="F422" s="272"/>
      <c r="G422" s="273"/>
      <c r="H422" s="274"/>
      <c r="I422" s="275"/>
      <c r="J422" s="276"/>
      <c r="K422" s="276"/>
      <c r="L422" s="15">
        <f t="shared" si="49"/>
        <v>0</v>
      </c>
      <c r="M422" s="15"/>
      <c r="N422" s="15">
        <f t="shared" si="50"/>
        <v>0</v>
      </c>
      <c r="O422" s="15" t="str">
        <f>IF(AND(A422='BANG KE NL'!$M$11,TH!C446="NL",LEFT(D422,1)="N"),"x","")</f>
        <v/>
      </c>
    </row>
    <row r="423" spans="1:15" s="277" customFormat="1">
      <c r="A423" s="24" t="str">
        <f t="shared" si="35"/>
        <v/>
      </c>
      <c r="B423" s="175" t="str">
        <f>IF(AND(MONTH(E423)='IN-NX'!$J$5,'IN-NX'!$D$7=(D423&amp;"/"&amp;C423)),"x","")</f>
        <v/>
      </c>
      <c r="C423" s="269"/>
      <c r="D423" s="269"/>
      <c r="E423" s="271"/>
      <c r="F423" s="272"/>
      <c r="G423" s="273"/>
      <c r="H423" s="278"/>
      <c r="I423" s="275"/>
      <c r="J423" s="276"/>
      <c r="K423" s="276"/>
      <c r="L423" s="15">
        <f t="shared" si="49"/>
        <v>0</v>
      </c>
      <c r="M423" s="15"/>
      <c r="N423" s="15">
        <f t="shared" si="50"/>
        <v>0</v>
      </c>
      <c r="O423" s="15" t="str">
        <f>IF(AND(A423='BANG KE NL'!$M$11,TH!C447="NL",LEFT(D423,1)="N"),"x","")</f>
        <v/>
      </c>
    </row>
    <row r="424" spans="1:15" s="277" customFormat="1">
      <c r="A424" s="24" t="str">
        <f t="shared" si="35"/>
        <v/>
      </c>
      <c r="B424" s="175" t="str">
        <f>IF(AND(MONTH(E424)='IN-NX'!$J$5,'IN-NX'!$D$7=(D424&amp;"/"&amp;C424)),"x","")</f>
        <v/>
      </c>
      <c r="C424" s="269"/>
      <c r="D424" s="269"/>
      <c r="E424" s="271"/>
      <c r="F424" s="272"/>
      <c r="G424" s="273"/>
      <c r="H424" s="278"/>
      <c r="I424" s="275"/>
      <c r="J424" s="276"/>
      <c r="K424" s="276"/>
      <c r="L424" s="15">
        <f t="shared" si="49"/>
        <v>0</v>
      </c>
      <c r="M424" s="15"/>
      <c r="N424" s="15">
        <f t="shared" si="50"/>
        <v>0</v>
      </c>
      <c r="O424" s="15" t="str">
        <f>IF(AND(A424='BANG KE NL'!$M$11,TH!C448="NL",LEFT(D424,1)="N"),"x","")</f>
        <v/>
      </c>
    </row>
    <row r="425" spans="1:15" s="277" customFormat="1">
      <c r="A425" s="24" t="str">
        <f t="shared" si="35"/>
        <v/>
      </c>
      <c r="B425" s="175" t="str">
        <f>IF(AND(MONTH(E425)='IN-NX'!$J$5,'IN-NX'!$D$7=(D425&amp;"/"&amp;C425)),"x","")</f>
        <v/>
      </c>
      <c r="C425" s="269"/>
      <c r="D425" s="269"/>
      <c r="E425" s="271"/>
      <c r="F425" s="272"/>
      <c r="G425" s="273"/>
      <c r="H425" s="278"/>
      <c r="I425" s="275"/>
      <c r="J425" s="276"/>
      <c r="K425" s="276"/>
      <c r="L425" s="15">
        <f t="shared" si="49"/>
        <v>0</v>
      </c>
      <c r="M425" s="15"/>
      <c r="N425" s="15">
        <f t="shared" si="50"/>
        <v>0</v>
      </c>
      <c r="O425" s="15" t="str">
        <f>IF(AND(A425='BANG KE NL'!$M$11,TH!C449="NL",LEFT(D425,1)="N"),"x","")</f>
        <v/>
      </c>
    </row>
    <row r="426" spans="1:15" s="277" customFormat="1">
      <c r="A426" s="24" t="str">
        <f t="shared" si="35"/>
        <v/>
      </c>
      <c r="B426" s="175" t="str">
        <f>IF(AND(MONTH(E426)='IN-NX'!$J$5,'IN-NX'!$D$7=(D426&amp;"/"&amp;C426)),"x","")</f>
        <v/>
      </c>
      <c r="C426" s="269"/>
      <c r="D426" s="269"/>
      <c r="E426" s="271"/>
      <c r="F426" s="272"/>
      <c r="G426" s="273"/>
      <c r="H426" s="274"/>
      <c r="I426" s="275"/>
      <c r="J426" s="276"/>
      <c r="K426" s="276"/>
      <c r="L426" s="15">
        <f t="shared" si="49"/>
        <v>0</v>
      </c>
      <c r="M426" s="15"/>
      <c r="N426" s="15">
        <f t="shared" si="50"/>
        <v>0</v>
      </c>
      <c r="O426" s="15" t="str">
        <f>IF(AND(A426='BANG KE NL'!$M$11,TH!C450="NL",LEFT(D426,1)="N"),"x","")</f>
        <v/>
      </c>
    </row>
    <row r="427" spans="1:15" s="277" customFormat="1">
      <c r="A427" s="24" t="str">
        <f t="shared" si="35"/>
        <v/>
      </c>
      <c r="B427" s="175" t="str">
        <f>IF(AND(MONTH(E427)='IN-NX'!$J$5,'IN-NX'!$D$7=(D427&amp;"/"&amp;C427)),"x","")</f>
        <v/>
      </c>
      <c r="C427" s="269"/>
      <c r="D427" s="269"/>
      <c r="E427" s="271"/>
      <c r="F427" s="272"/>
      <c r="G427" s="273"/>
      <c r="H427" s="274"/>
      <c r="I427" s="275"/>
      <c r="J427" s="276"/>
      <c r="K427" s="276"/>
      <c r="L427" s="15">
        <f t="shared" si="49"/>
        <v>0</v>
      </c>
      <c r="M427" s="15"/>
      <c r="N427" s="15">
        <f t="shared" si="50"/>
        <v>0</v>
      </c>
      <c r="O427" s="15" t="str">
        <f>IF(AND(A427='BANG KE NL'!$M$11,TH!C427="NL",LEFT(D427,1)="N"),"x","")</f>
        <v/>
      </c>
    </row>
    <row r="428" spans="1:15" s="277" customFormat="1">
      <c r="A428" s="24" t="str">
        <f t="shared" si="35"/>
        <v/>
      </c>
      <c r="B428" s="175" t="str">
        <f>IF(AND(MONTH(E428)='IN-NX'!$J$5,'IN-NX'!$D$7=(D428&amp;"/"&amp;C428)),"x","")</f>
        <v/>
      </c>
      <c r="C428" s="269"/>
      <c r="D428" s="269"/>
      <c r="E428" s="271"/>
      <c r="F428" s="272"/>
      <c r="G428" s="273"/>
      <c r="H428" s="274"/>
      <c r="I428" s="275"/>
      <c r="J428" s="276"/>
      <c r="K428" s="276"/>
      <c r="L428" s="15">
        <f t="shared" si="49"/>
        <v>0</v>
      </c>
      <c r="M428" s="15"/>
      <c r="N428" s="15">
        <f t="shared" si="50"/>
        <v>0</v>
      </c>
      <c r="O428" s="15" t="str">
        <f>IF(AND(A428='BANG KE NL'!$M$11,TH!C428="NL",LEFT(D428,1)="N"),"x","")</f>
        <v/>
      </c>
    </row>
    <row r="429" spans="1:15" s="277" customFormat="1">
      <c r="A429" s="24" t="str">
        <f t="shared" ref="A429:A488" si="52">IF(E429&lt;&gt;"",MONTH(E429),"")</f>
        <v/>
      </c>
      <c r="B429" s="175" t="str">
        <f>IF(AND(MONTH(E429)='IN-NX'!$J$5,'IN-NX'!$D$7=(D429&amp;"/"&amp;C429)),"x","")</f>
        <v/>
      </c>
      <c r="C429" s="269"/>
      <c r="D429" s="269"/>
      <c r="E429" s="271"/>
      <c r="F429" s="272"/>
      <c r="G429" s="273"/>
      <c r="H429" s="274"/>
      <c r="I429" s="275"/>
      <c r="J429" s="276"/>
      <c r="K429" s="276"/>
      <c r="L429" s="15">
        <f t="shared" si="49"/>
        <v>0</v>
      </c>
      <c r="M429" s="15"/>
      <c r="N429" s="15">
        <f t="shared" si="50"/>
        <v>0</v>
      </c>
      <c r="O429" s="15" t="str">
        <f>IF(AND(A429='BANG KE NL'!$M$11,TH!C429="NL",LEFT(D429,1)="N"),"x","")</f>
        <v/>
      </c>
    </row>
    <row r="430" spans="1:15" s="277" customFormat="1">
      <c r="A430" s="24" t="str">
        <f t="shared" si="52"/>
        <v/>
      </c>
      <c r="B430" s="175" t="str">
        <f>IF(AND(MONTH(E430)='IN-NX'!$J$5,'IN-NX'!$D$7=(D430&amp;"/"&amp;C430)),"x","")</f>
        <v/>
      </c>
      <c r="C430" s="269"/>
      <c r="D430" s="269"/>
      <c r="E430" s="271"/>
      <c r="F430" s="272"/>
      <c r="G430" s="273"/>
      <c r="H430" s="274"/>
      <c r="I430" s="275"/>
      <c r="J430" s="276"/>
      <c r="K430" s="276"/>
      <c r="L430" s="15">
        <f t="shared" si="49"/>
        <v>0</v>
      </c>
      <c r="M430" s="15"/>
      <c r="N430" s="15">
        <f t="shared" si="50"/>
        <v>0</v>
      </c>
      <c r="O430" s="15" t="str">
        <f>IF(AND(A430='BANG KE NL'!$M$11,TH!C430="NL",LEFT(D430,1)="N"),"x","")</f>
        <v/>
      </c>
    </row>
    <row r="431" spans="1:15" s="277" customFormat="1">
      <c r="A431" s="24" t="str">
        <f t="shared" si="52"/>
        <v/>
      </c>
      <c r="B431" s="175" t="str">
        <f>IF(AND(MONTH(E431)='IN-NX'!$J$5,'IN-NX'!$D$7=(D431&amp;"/"&amp;C431)),"x","")</f>
        <v/>
      </c>
      <c r="C431" s="269"/>
      <c r="D431" s="269"/>
      <c r="E431" s="271"/>
      <c r="F431" s="272"/>
      <c r="G431" s="273"/>
      <c r="H431" s="274"/>
      <c r="I431" s="275"/>
      <c r="J431" s="276"/>
      <c r="K431" s="276"/>
      <c r="L431" s="15">
        <f t="shared" si="49"/>
        <v>0</v>
      </c>
      <c r="M431" s="15"/>
      <c r="N431" s="15">
        <f t="shared" si="50"/>
        <v>0</v>
      </c>
      <c r="O431" s="15" t="str">
        <f>IF(AND(A431='BANG KE NL'!$M$11,TH!C431="NL",LEFT(D431,1)="N"),"x","")</f>
        <v/>
      </c>
    </row>
    <row r="432" spans="1:15" s="277" customFormat="1">
      <c r="A432" s="24" t="str">
        <f t="shared" si="52"/>
        <v/>
      </c>
      <c r="B432" s="175" t="str">
        <f>IF(AND(MONTH(E432)='IN-NX'!$J$5,'IN-NX'!$D$7=(D432&amp;"/"&amp;C432)),"x","")</f>
        <v/>
      </c>
      <c r="C432" s="269"/>
      <c r="D432" s="269"/>
      <c r="E432" s="271"/>
      <c r="F432" s="272"/>
      <c r="G432" s="273"/>
      <c r="H432" s="274"/>
      <c r="I432" s="275"/>
      <c r="J432" s="276"/>
      <c r="K432" s="276"/>
      <c r="L432" s="15">
        <f t="shared" si="49"/>
        <v>0</v>
      </c>
      <c r="M432" s="15"/>
      <c r="N432" s="15">
        <f t="shared" si="50"/>
        <v>0</v>
      </c>
      <c r="O432" s="15" t="str">
        <f>IF(AND(A432='BANG KE NL'!$M$11,TH!C432="NL",LEFT(D432,1)="N"),"x","")</f>
        <v/>
      </c>
    </row>
    <row r="433" spans="1:15" s="277" customFormat="1">
      <c r="A433" s="24" t="str">
        <f t="shared" si="52"/>
        <v/>
      </c>
      <c r="B433" s="175" t="str">
        <f>IF(AND(MONTH(E433)='IN-NX'!$J$5,'IN-NX'!$D$7=(D433&amp;"/"&amp;C433)),"x","")</f>
        <v/>
      </c>
      <c r="C433" s="269"/>
      <c r="D433" s="269"/>
      <c r="E433" s="271"/>
      <c r="F433" s="272"/>
      <c r="G433" s="273"/>
      <c r="H433" s="274"/>
      <c r="I433" s="275"/>
      <c r="J433" s="276"/>
      <c r="K433" s="276"/>
      <c r="L433" s="15">
        <f t="shared" si="49"/>
        <v>0</v>
      </c>
      <c r="M433" s="15"/>
      <c r="N433" s="15">
        <f t="shared" si="50"/>
        <v>0</v>
      </c>
      <c r="O433" s="15" t="str">
        <f>IF(AND(A433='BANG KE NL'!$M$11,TH!C433="NL",LEFT(D433,1)="N"),"x","")</f>
        <v/>
      </c>
    </row>
    <row r="434" spans="1:15" s="277" customFormat="1">
      <c r="A434" s="24" t="str">
        <f t="shared" si="52"/>
        <v/>
      </c>
      <c r="B434" s="175" t="str">
        <f>IF(AND(MONTH(E434)='IN-NX'!$J$5,'IN-NX'!$D$7=(D434&amp;"/"&amp;C434)),"x","")</f>
        <v/>
      </c>
      <c r="C434" s="269"/>
      <c r="D434" s="269"/>
      <c r="E434" s="271"/>
      <c r="F434" s="272"/>
      <c r="G434" s="273"/>
      <c r="H434" s="278"/>
      <c r="I434" s="275"/>
      <c r="J434" s="276"/>
      <c r="K434" s="276"/>
      <c r="L434" s="15">
        <f t="shared" si="49"/>
        <v>0</v>
      </c>
      <c r="M434" s="15"/>
      <c r="N434" s="15">
        <f t="shared" si="50"/>
        <v>0</v>
      </c>
      <c r="O434" s="15" t="str">
        <f>IF(AND(A434='BANG KE NL'!$M$11,TH!C434="NL",LEFT(D434,1)="N"),"x","")</f>
        <v/>
      </c>
    </row>
    <row r="435" spans="1:15" s="277" customFormat="1">
      <c r="A435" s="24" t="str">
        <f t="shared" si="52"/>
        <v/>
      </c>
      <c r="B435" s="175" t="str">
        <f>IF(AND(MONTH(E435)='IN-NX'!$J$5,'IN-NX'!$D$7=(D435&amp;"/"&amp;C435)),"x","")</f>
        <v/>
      </c>
      <c r="C435" s="269"/>
      <c r="D435" s="269"/>
      <c r="E435" s="271"/>
      <c r="F435" s="272"/>
      <c r="G435" s="273"/>
      <c r="H435" s="278"/>
      <c r="I435" s="275"/>
      <c r="J435" s="276"/>
      <c r="K435" s="276"/>
      <c r="L435" s="15">
        <f t="shared" si="49"/>
        <v>0</v>
      </c>
      <c r="M435" s="15"/>
      <c r="N435" s="15">
        <f t="shared" si="50"/>
        <v>0</v>
      </c>
      <c r="O435" s="15" t="str">
        <f>IF(AND(A435='BANG KE NL'!$M$11,TH!C435="NL",LEFT(D435,1)="N"),"x","")</f>
        <v/>
      </c>
    </row>
    <row r="436" spans="1:15" s="277" customFormat="1">
      <c r="A436" s="24" t="str">
        <f t="shared" si="52"/>
        <v/>
      </c>
      <c r="B436" s="175" t="str">
        <f>IF(AND(MONTH(E436)='IN-NX'!$J$5,'IN-NX'!$D$7=(D436&amp;"/"&amp;C436)),"x","")</f>
        <v/>
      </c>
      <c r="C436" s="269"/>
      <c r="D436" s="269"/>
      <c r="E436" s="271"/>
      <c r="F436" s="272"/>
      <c r="G436" s="273"/>
      <c r="H436" s="278"/>
      <c r="I436" s="275"/>
      <c r="J436" s="276"/>
      <c r="K436" s="276"/>
      <c r="L436" s="15">
        <f t="shared" si="49"/>
        <v>0</v>
      </c>
      <c r="M436" s="15"/>
      <c r="N436" s="15">
        <f t="shared" si="50"/>
        <v>0</v>
      </c>
      <c r="O436" s="15" t="str">
        <f>IF(AND(A436='BANG KE NL'!$M$11,TH!C436="NL",LEFT(D436,1)="N"),"x","")</f>
        <v/>
      </c>
    </row>
    <row r="437" spans="1:15" s="277" customFormat="1">
      <c r="A437" s="24" t="str">
        <f t="shared" si="52"/>
        <v/>
      </c>
      <c r="B437" s="175" t="str">
        <f>IF(AND(MONTH(E437)='IN-NX'!$J$5,'IN-NX'!$D$7=(D437&amp;"/"&amp;C437)),"x","")</f>
        <v/>
      </c>
      <c r="C437" s="269"/>
      <c r="D437" s="269"/>
      <c r="E437" s="271"/>
      <c r="F437" s="272"/>
      <c r="G437" s="273"/>
      <c r="H437" s="278"/>
      <c r="I437" s="275"/>
      <c r="J437" s="276"/>
      <c r="K437" s="276"/>
      <c r="L437" s="15">
        <f t="shared" si="49"/>
        <v>0</v>
      </c>
      <c r="M437" s="15"/>
      <c r="N437" s="15">
        <f t="shared" si="50"/>
        <v>0</v>
      </c>
      <c r="O437" s="15" t="str">
        <f>IF(AND(A437='BANG KE NL'!$M$11,TH!C437="NL",LEFT(D437,1)="N"),"x","")</f>
        <v/>
      </c>
    </row>
    <row r="438" spans="1:15" s="277" customFormat="1">
      <c r="A438" s="24" t="str">
        <f t="shared" si="52"/>
        <v/>
      </c>
      <c r="B438" s="175" t="str">
        <f>IF(AND(MONTH(E438)='IN-NX'!$J$5,'IN-NX'!$D$7=(D438&amp;"/"&amp;C438)),"x","")</f>
        <v/>
      </c>
      <c r="C438" s="269"/>
      <c r="D438" s="269"/>
      <c r="E438" s="271"/>
      <c r="F438" s="272"/>
      <c r="G438" s="273"/>
      <c r="H438" s="274"/>
      <c r="I438" s="275"/>
      <c r="J438" s="276"/>
      <c r="K438" s="276"/>
      <c r="L438" s="15">
        <f t="shared" si="49"/>
        <v>0</v>
      </c>
      <c r="M438" s="15"/>
      <c r="N438" s="15">
        <f t="shared" si="50"/>
        <v>0</v>
      </c>
      <c r="O438" s="15" t="str">
        <f>IF(AND(A438='BANG KE NL'!$M$11,TH!C438="NL",LEFT(D438,1)="N"),"x","")</f>
        <v/>
      </c>
    </row>
    <row r="439" spans="1:15" s="277" customFormat="1">
      <c r="A439" s="24" t="str">
        <f t="shared" si="52"/>
        <v/>
      </c>
      <c r="B439" s="175" t="str">
        <f>IF(AND(MONTH(E439)='IN-NX'!$J$5,'IN-NX'!$D$7=(D439&amp;"/"&amp;C439)),"x","")</f>
        <v/>
      </c>
      <c r="C439" s="269"/>
      <c r="D439" s="269"/>
      <c r="E439" s="271"/>
      <c r="F439" s="272"/>
      <c r="G439" s="273"/>
      <c r="H439" s="274"/>
      <c r="I439" s="275"/>
      <c r="J439" s="276"/>
      <c r="K439" s="276"/>
      <c r="L439" s="15">
        <f t="shared" si="49"/>
        <v>0</v>
      </c>
      <c r="M439" s="15"/>
      <c r="N439" s="15">
        <f t="shared" si="50"/>
        <v>0</v>
      </c>
      <c r="O439" s="15" t="str">
        <f>IF(AND(A439='BANG KE NL'!$M$11,TH!C439="NL",LEFT(D439,1)="N"),"x","")</f>
        <v/>
      </c>
    </row>
    <row r="440" spans="1:15" s="277" customFormat="1">
      <c r="A440" s="24" t="str">
        <f t="shared" si="52"/>
        <v/>
      </c>
      <c r="B440" s="175" t="str">
        <f>IF(AND(MONTH(E440)='IN-NX'!$J$5,'IN-NX'!$D$7=(D440&amp;"/"&amp;C440)),"x","")</f>
        <v/>
      </c>
      <c r="C440" s="269"/>
      <c r="D440" s="269"/>
      <c r="E440" s="271"/>
      <c r="F440" s="272"/>
      <c r="G440" s="273"/>
      <c r="H440" s="278"/>
      <c r="I440" s="275"/>
      <c r="J440" s="276"/>
      <c r="K440" s="276"/>
      <c r="L440" s="15">
        <f t="shared" si="49"/>
        <v>0</v>
      </c>
      <c r="M440" s="15"/>
      <c r="N440" s="15">
        <f t="shared" si="50"/>
        <v>0</v>
      </c>
      <c r="O440" s="15" t="str">
        <f>IF(AND(A440='BANG KE NL'!$M$11,TH!C440="NL",LEFT(D440,1)="N"),"x","")</f>
        <v/>
      </c>
    </row>
    <row r="441" spans="1:15" s="277" customFormat="1">
      <c r="A441" s="24" t="str">
        <f t="shared" si="52"/>
        <v/>
      </c>
      <c r="B441" s="175" t="str">
        <f>IF(AND(MONTH(E441)='IN-NX'!$J$5,'IN-NX'!$D$7=(D441&amp;"/"&amp;C441)),"x","")</f>
        <v/>
      </c>
      <c r="C441" s="269"/>
      <c r="D441" s="269"/>
      <c r="E441" s="271"/>
      <c r="F441" s="272"/>
      <c r="G441" s="273"/>
      <c r="H441" s="278"/>
      <c r="I441" s="275"/>
      <c r="J441" s="276"/>
      <c r="K441" s="276"/>
      <c r="L441" s="15">
        <f t="shared" si="49"/>
        <v>0</v>
      </c>
      <c r="M441" s="15"/>
      <c r="N441" s="15">
        <f t="shared" si="50"/>
        <v>0</v>
      </c>
      <c r="O441" s="15" t="str">
        <f>IF(AND(A441='BANG KE NL'!$M$11,TH!C441="NL",LEFT(D441,1)="N"),"x","")</f>
        <v/>
      </c>
    </row>
    <row r="442" spans="1:15" s="277" customFormat="1">
      <c r="A442" s="24" t="str">
        <f t="shared" si="52"/>
        <v/>
      </c>
      <c r="B442" s="175" t="str">
        <f>IF(AND(MONTH(E442)='IN-NX'!$J$5,'IN-NX'!$D$7=(D442&amp;"/"&amp;C442)),"x","")</f>
        <v/>
      </c>
      <c r="C442" s="269"/>
      <c r="D442" s="269"/>
      <c r="E442" s="271"/>
      <c r="F442" s="272"/>
      <c r="G442" s="273"/>
      <c r="H442" s="278"/>
      <c r="I442" s="275"/>
      <c r="J442" s="276"/>
      <c r="K442" s="276"/>
      <c r="L442" s="15">
        <f t="shared" si="49"/>
        <v>0</v>
      </c>
      <c r="M442" s="15"/>
      <c r="N442" s="15">
        <f t="shared" si="50"/>
        <v>0</v>
      </c>
      <c r="O442" s="15" t="str">
        <f>IF(AND(A442='BANG KE NL'!$M$11,TH!C442="NL",LEFT(D442,1)="N"),"x","")</f>
        <v/>
      </c>
    </row>
    <row r="443" spans="1:15" s="277" customFormat="1">
      <c r="A443" s="24" t="str">
        <f t="shared" si="52"/>
        <v/>
      </c>
      <c r="B443" s="175" t="str">
        <f>IF(AND(MONTH(E443)='IN-NX'!$J$5,'IN-NX'!$D$7=(D443&amp;"/"&amp;C443)),"x","")</f>
        <v/>
      </c>
      <c r="C443" s="269"/>
      <c r="D443" s="269"/>
      <c r="E443" s="271"/>
      <c r="F443" s="272"/>
      <c r="G443" s="273"/>
      <c r="H443" s="278"/>
      <c r="I443" s="275"/>
      <c r="J443" s="276"/>
      <c r="K443" s="276"/>
      <c r="L443" s="15">
        <f t="shared" si="49"/>
        <v>0</v>
      </c>
      <c r="M443" s="15"/>
      <c r="N443" s="15">
        <f t="shared" si="50"/>
        <v>0</v>
      </c>
      <c r="O443" s="15" t="str">
        <f>IF(AND(A443='BANG KE NL'!$M$11,TH!C443="NL",LEFT(D443,1)="N"),"x","")</f>
        <v/>
      </c>
    </row>
    <row r="444" spans="1:15" s="277" customFormat="1">
      <c r="A444" s="24" t="str">
        <f t="shared" si="52"/>
        <v/>
      </c>
      <c r="B444" s="175" t="str">
        <f>IF(AND(MONTH(E444)='IN-NX'!$J$5,'IN-NX'!$D$7=(D444&amp;"/"&amp;C444)),"x","")</f>
        <v/>
      </c>
      <c r="C444" s="269"/>
      <c r="D444" s="269"/>
      <c r="E444" s="271"/>
      <c r="F444" s="272"/>
      <c r="G444" s="273"/>
      <c r="H444" s="278"/>
      <c r="I444" s="275"/>
      <c r="J444" s="276"/>
      <c r="K444" s="276"/>
      <c r="L444" s="15">
        <f t="shared" si="49"/>
        <v>0</v>
      </c>
      <c r="M444" s="15"/>
      <c r="N444" s="15">
        <f t="shared" si="50"/>
        <v>0</v>
      </c>
      <c r="O444" s="15" t="str">
        <f>IF(AND(A444='BANG KE NL'!$M$11,TH!C444="NL",LEFT(D444,1)="N"),"x","")</f>
        <v/>
      </c>
    </row>
    <row r="445" spans="1:15" s="277" customFormat="1">
      <c r="A445" s="24" t="str">
        <f t="shared" si="52"/>
        <v/>
      </c>
      <c r="B445" s="175" t="str">
        <f>IF(AND(MONTH(E445)='IN-NX'!$J$5,'IN-NX'!$D$7=(D445&amp;"/"&amp;C445)),"x","")</f>
        <v/>
      </c>
      <c r="C445" s="269"/>
      <c r="D445" s="269"/>
      <c r="E445" s="271"/>
      <c r="F445" s="272"/>
      <c r="G445" s="273"/>
      <c r="H445" s="278"/>
      <c r="I445" s="275"/>
      <c r="J445" s="276"/>
      <c r="K445" s="276"/>
      <c r="L445" s="15">
        <f t="shared" si="49"/>
        <v>0</v>
      </c>
      <c r="M445" s="15"/>
      <c r="N445" s="15">
        <f t="shared" si="50"/>
        <v>0</v>
      </c>
      <c r="O445" s="15" t="str">
        <f>IF(AND(A445='BANG KE NL'!$M$11,TH!C445="NL",LEFT(D445,1)="N"),"x","")</f>
        <v/>
      </c>
    </row>
    <row r="446" spans="1:15" s="277" customFormat="1">
      <c r="A446" s="24" t="str">
        <f t="shared" si="52"/>
        <v/>
      </c>
      <c r="B446" s="175" t="str">
        <f>IF(AND(MONTH(E446)='IN-NX'!$J$5,'IN-NX'!$D$7=(D446&amp;"/"&amp;C446)),"x","")</f>
        <v/>
      </c>
      <c r="C446" s="269"/>
      <c r="D446" s="269"/>
      <c r="E446" s="271"/>
      <c r="F446" s="272"/>
      <c r="G446" s="273"/>
      <c r="H446" s="278"/>
      <c r="I446" s="275"/>
      <c r="J446" s="276"/>
      <c r="K446" s="276"/>
      <c r="L446" s="15">
        <f t="shared" si="49"/>
        <v>0</v>
      </c>
      <c r="M446" s="15"/>
      <c r="N446" s="15">
        <f t="shared" si="50"/>
        <v>0</v>
      </c>
      <c r="O446" s="15" t="str">
        <f>IF(AND(A446='BANG KE NL'!$M$11,TH!C446="NL",LEFT(D446,1)="N"),"x","")</f>
        <v/>
      </c>
    </row>
    <row r="447" spans="1:15" s="277" customFormat="1">
      <c r="A447" s="24" t="str">
        <f t="shared" si="52"/>
        <v/>
      </c>
      <c r="B447" s="175" t="str">
        <f>IF(AND(MONTH(E447)='IN-NX'!$J$5,'IN-NX'!$D$7=(D447&amp;"/"&amp;C447)),"x","")</f>
        <v/>
      </c>
      <c r="C447" s="269"/>
      <c r="D447" s="269"/>
      <c r="E447" s="271"/>
      <c r="F447" s="272"/>
      <c r="G447" s="273"/>
      <c r="H447" s="278"/>
      <c r="I447" s="275"/>
      <c r="J447" s="276"/>
      <c r="K447" s="276"/>
      <c r="L447" s="15">
        <f t="shared" si="49"/>
        <v>0</v>
      </c>
      <c r="M447" s="15"/>
      <c r="N447" s="15">
        <f t="shared" si="50"/>
        <v>0</v>
      </c>
      <c r="O447" s="15" t="str">
        <f>IF(AND(A447='BANG KE NL'!$M$11,TH!C447="NL",LEFT(D447,1)="N"),"x","")</f>
        <v/>
      </c>
    </row>
    <row r="448" spans="1:15" s="277" customFormat="1">
      <c r="A448" s="24" t="str">
        <f t="shared" si="52"/>
        <v/>
      </c>
      <c r="B448" s="175" t="str">
        <f>IF(AND(MONTH(E448)='IN-NX'!$J$5,'IN-NX'!$D$7=(D448&amp;"/"&amp;C448)),"x","")</f>
        <v/>
      </c>
      <c r="C448" s="269"/>
      <c r="D448" s="269"/>
      <c r="E448" s="271"/>
      <c r="F448" s="272"/>
      <c r="G448" s="273"/>
      <c r="H448" s="278"/>
      <c r="I448" s="275"/>
      <c r="J448" s="276"/>
      <c r="K448" s="276"/>
      <c r="L448" s="15">
        <f t="shared" si="49"/>
        <v>0</v>
      </c>
      <c r="M448" s="15"/>
      <c r="N448" s="15">
        <f t="shared" si="50"/>
        <v>0</v>
      </c>
      <c r="O448" s="15" t="str">
        <f>IF(AND(A448='BANG KE NL'!$M$11,TH!C448="NL",LEFT(D448,1)="N"),"x","")</f>
        <v/>
      </c>
    </row>
    <row r="449" spans="1:15" s="277" customFormat="1">
      <c r="A449" s="24" t="str">
        <f t="shared" si="52"/>
        <v/>
      </c>
      <c r="B449" s="175" t="str">
        <f>IF(AND(MONTH(E449)='IN-NX'!$J$5,'IN-NX'!$D$7=(D449&amp;"/"&amp;C449)),"x","")</f>
        <v/>
      </c>
      <c r="C449" s="269"/>
      <c r="D449" s="269"/>
      <c r="E449" s="271"/>
      <c r="F449" s="272"/>
      <c r="G449" s="273"/>
      <c r="H449" s="278"/>
      <c r="I449" s="275"/>
      <c r="J449" s="276"/>
      <c r="K449" s="276"/>
      <c r="L449" s="15">
        <f t="shared" si="49"/>
        <v>0</v>
      </c>
      <c r="M449" s="15"/>
      <c r="N449" s="15">
        <f t="shared" si="50"/>
        <v>0</v>
      </c>
      <c r="O449" s="15" t="str">
        <f>IF(AND(A449='BANG KE NL'!$M$11,TH!C449="NL",LEFT(D449,1)="N"),"x","")</f>
        <v/>
      </c>
    </row>
    <row r="450" spans="1:15" s="277" customFormat="1">
      <c r="A450" s="24" t="str">
        <f t="shared" si="52"/>
        <v/>
      </c>
      <c r="B450" s="175" t="str">
        <f>IF(AND(MONTH(E450)='IN-NX'!$J$5,'IN-NX'!$D$7=(D450&amp;"/"&amp;C450)),"x","")</f>
        <v/>
      </c>
      <c r="C450" s="269"/>
      <c r="D450" s="269"/>
      <c r="E450" s="271"/>
      <c r="F450" s="272"/>
      <c r="G450" s="273"/>
      <c r="H450" s="278"/>
      <c r="I450" s="275"/>
      <c r="J450" s="276"/>
      <c r="K450" s="276"/>
      <c r="L450" s="15">
        <f t="shared" si="49"/>
        <v>0</v>
      </c>
      <c r="M450" s="15"/>
      <c r="N450" s="15">
        <f t="shared" si="50"/>
        <v>0</v>
      </c>
      <c r="O450" s="15" t="str">
        <f>IF(AND(A450='BANG KE NL'!$M$11,TH!C450="NL",LEFT(D450,1)="N"),"x","")</f>
        <v/>
      </c>
    </row>
    <row r="451" spans="1:15" s="277" customFormat="1">
      <c r="A451" s="24" t="str">
        <f t="shared" si="52"/>
        <v/>
      </c>
      <c r="B451" s="175" t="str">
        <f>IF(AND(MONTH(E451)='IN-NX'!$J$5,'IN-NX'!$D$7=(D451&amp;"/"&amp;C451)),"x","")</f>
        <v/>
      </c>
      <c r="C451" s="269"/>
      <c r="D451" s="270"/>
      <c r="E451" s="271"/>
      <c r="F451" s="272"/>
      <c r="G451" s="273"/>
      <c r="H451" s="274"/>
      <c r="I451" s="275"/>
      <c r="J451" s="276"/>
      <c r="K451" s="276"/>
      <c r="L451" s="15">
        <f t="shared" si="49"/>
        <v>0</v>
      </c>
      <c r="M451" s="15"/>
      <c r="N451" s="15">
        <f t="shared" si="50"/>
        <v>0</v>
      </c>
      <c r="O451" s="15" t="str">
        <f>IF(AND(A451='BANG KE NL'!$M$11,TH!C451="NL",LEFT(D451,1)="N"),"x","")</f>
        <v/>
      </c>
    </row>
    <row r="452" spans="1:15" s="277" customFormat="1">
      <c r="A452" s="24" t="str">
        <f t="shared" si="52"/>
        <v/>
      </c>
      <c r="B452" s="175" t="str">
        <f>IF(AND(MONTH(E452)='IN-NX'!$J$5,'IN-NX'!$D$7=(D452&amp;"/"&amp;C452)),"x","")</f>
        <v/>
      </c>
      <c r="C452" s="269"/>
      <c r="D452" s="269"/>
      <c r="E452" s="271"/>
      <c r="F452" s="272"/>
      <c r="G452" s="273"/>
      <c r="H452" s="278"/>
      <c r="I452" s="275"/>
      <c r="J452" s="276"/>
      <c r="K452" s="276"/>
      <c r="L452" s="15">
        <f t="shared" si="49"/>
        <v>0</v>
      </c>
      <c r="M452" s="15"/>
      <c r="N452" s="15">
        <f t="shared" si="50"/>
        <v>0</v>
      </c>
      <c r="O452" s="15" t="str">
        <f>IF(AND(A452='BANG KE NL'!$M$11,TH!C452="NL",LEFT(D452,1)="N"),"x","")</f>
        <v/>
      </c>
    </row>
    <row r="453" spans="1:15" s="277" customFormat="1">
      <c r="A453" s="24" t="str">
        <f t="shared" si="52"/>
        <v/>
      </c>
      <c r="B453" s="175" t="str">
        <f>IF(AND(MONTH(E453)='IN-NX'!$J$5,'IN-NX'!$D$7=(D453&amp;"/"&amp;C453)),"x","")</f>
        <v/>
      </c>
      <c r="C453" s="269"/>
      <c r="D453" s="270"/>
      <c r="E453" s="271"/>
      <c r="F453" s="272"/>
      <c r="G453" s="273"/>
      <c r="H453" s="274"/>
      <c r="I453" s="275"/>
      <c r="J453" s="276"/>
      <c r="K453" s="276"/>
      <c r="L453" s="15">
        <f t="shared" ref="L453:L488" si="53">ROUND(J453*K453,0)</f>
        <v>0</v>
      </c>
      <c r="M453" s="15"/>
      <c r="N453" s="15">
        <f t="shared" ref="N453:N488" si="54">ROUND(J453*M453,0)</f>
        <v>0</v>
      </c>
      <c r="O453" s="15" t="str">
        <f>IF(AND(A453='BANG KE NL'!$M$11,TH!C453="NL",LEFT(D453,1)="N"),"x","")</f>
        <v/>
      </c>
    </row>
    <row r="454" spans="1:15" s="277" customFormat="1">
      <c r="A454" s="24" t="str">
        <f t="shared" si="52"/>
        <v/>
      </c>
      <c r="B454" s="175" t="str">
        <f>IF(AND(MONTH(E454)='IN-NX'!$J$5,'IN-NX'!$D$7=(D454&amp;"/"&amp;C454)),"x","")</f>
        <v/>
      </c>
      <c r="C454" s="269"/>
      <c r="D454" s="270"/>
      <c r="E454" s="271"/>
      <c r="F454" s="272"/>
      <c r="G454" s="273"/>
      <c r="H454" s="274"/>
      <c r="I454" s="275"/>
      <c r="J454" s="276"/>
      <c r="K454" s="276"/>
      <c r="L454" s="15">
        <f t="shared" si="53"/>
        <v>0</v>
      </c>
      <c r="M454" s="15"/>
      <c r="N454" s="15">
        <f t="shared" si="54"/>
        <v>0</v>
      </c>
      <c r="O454" s="15" t="str">
        <f>IF(AND(A454='BANG KE NL'!$M$11,TH!C454="NL",LEFT(D454,1)="N"),"x","")</f>
        <v/>
      </c>
    </row>
    <row r="455" spans="1:15" s="277" customFormat="1">
      <c r="A455" s="24" t="str">
        <f t="shared" si="52"/>
        <v/>
      </c>
      <c r="B455" s="175" t="str">
        <f>IF(AND(MONTH(E455)='IN-NX'!$J$5,'IN-NX'!$D$7=(D455&amp;"/"&amp;C455)),"x","")</f>
        <v/>
      </c>
      <c r="C455" s="269"/>
      <c r="D455" s="270"/>
      <c r="E455" s="271"/>
      <c r="F455" s="272"/>
      <c r="G455" s="273"/>
      <c r="H455" s="274"/>
      <c r="I455" s="275"/>
      <c r="J455" s="276"/>
      <c r="K455" s="276"/>
      <c r="L455" s="15">
        <f t="shared" si="53"/>
        <v>0</v>
      </c>
      <c r="M455" s="15"/>
      <c r="N455" s="15">
        <f t="shared" si="54"/>
        <v>0</v>
      </c>
      <c r="O455" s="15" t="str">
        <f>IF(AND(A455='BANG KE NL'!$M$11,TH!C455="NL",LEFT(D455,1)="N"),"x","")</f>
        <v/>
      </c>
    </row>
    <row r="456" spans="1:15" s="277" customFormat="1">
      <c r="A456" s="24" t="str">
        <f t="shared" si="52"/>
        <v/>
      </c>
      <c r="B456" s="175" t="str">
        <f>IF(AND(MONTH(E456)='IN-NX'!$J$5,'IN-NX'!$D$7=(D456&amp;"/"&amp;C456)),"x","")</f>
        <v/>
      </c>
      <c r="C456" s="269"/>
      <c r="D456" s="270"/>
      <c r="E456" s="271"/>
      <c r="F456" s="272"/>
      <c r="G456" s="273"/>
      <c r="H456" s="274"/>
      <c r="I456" s="275"/>
      <c r="J456" s="276"/>
      <c r="K456" s="276"/>
      <c r="L456" s="15">
        <f t="shared" si="53"/>
        <v>0</v>
      </c>
      <c r="M456" s="15"/>
      <c r="N456" s="15">
        <f t="shared" si="54"/>
        <v>0</v>
      </c>
      <c r="O456" s="15" t="str">
        <f>IF(AND(A456='BANG KE NL'!$M$11,TH!C456="NL",LEFT(D456,1)="N"),"x","")</f>
        <v/>
      </c>
    </row>
    <row r="457" spans="1:15" s="277" customFormat="1">
      <c r="A457" s="24" t="str">
        <f t="shared" si="52"/>
        <v/>
      </c>
      <c r="B457" s="175" t="str">
        <f>IF(AND(MONTH(E457)='IN-NX'!$J$5,'IN-NX'!$D$7=(D457&amp;"/"&amp;C457)),"x","")</f>
        <v/>
      </c>
      <c r="C457" s="269"/>
      <c r="D457" s="270"/>
      <c r="E457" s="271"/>
      <c r="F457" s="272"/>
      <c r="G457" s="273"/>
      <c r="H457" s="274"/>
      <c r="I457" s="275"/>
      <c r="J457" s="276"/>
      <c r="K457" s="276"/>
      <c r="L457" s="15">
        <f t="shared" si="53"/>
        <v>0</v>
      </c>
      <c r="M457" s="15"/>
      <c r="N457" s="15">
        <f t="shared" si="54"/>
        <v>0</v>
      </c>
      <c r="O457" s="15" t="str">
        <f>IF(AND(A457='BANG KE NL'!$M$11,TH!C457="NL",LEFT(D457,1)="N"),"x","")</f>
        <v/>
      </c>
    </row>
    <row r="458" spans="1:15" s="277" customFormat="1">
      <c r="A458" s="24" t="str">
        <f t="shared" si="52"/>
        <v/>
      </c>
      <c r="B458" s="175" t="str">
        <f>IF(AND(MONTH(E458)='IN-NX'!$J$5,'IN-NX'!$D$7=(D458&amp;"/"&amp;C458)),"x","")</f>
        <v/>
      </c>
      <c r="C458" s="269"/>
      <c r="D458" s="270"/>
      <c r="E458" s="271"/>
      <c r="F458" s="272"/>
      <c r="G458" s="273"/>
      <c r="H458" s="274"/>
      <c r="I458" s="275"/>
      <c r="J458" s="276"/>
      <c r="K458" s="276"/>
      <c r="L458" s="15">
        <f t="shared" si="53"/>
        <v>0</v>
      </c>
      <c r="M458" s="15"/>
      <c r="N458" s="15">
        <f t="shared" si="54"/>
        <v>0</v>
      </c>
      <c r="O458" s="15" t="str">
        <f>IF(AND(A458='BANG KE NL'!$M$11,TH!C458="NL",LEFT(D458,1)="N"),"x","")</f>
        <v/>
      </c>
    </row>
    <row r="459" spans="1:15" s="277" customFormat="1">
      <c r="A459" s="24" t="str">
        <f t="shared" si="52"/>
        <v/>
      </c>
      <c r="B459" s="175" t="str">
        <f>IF(AND(MONTH(E459)='IN-NX'!$J$5,'IN-NX'!$D$7=(D459&amp;"/"&amp;C459)),"x","")</f>
        <v/>
      </c>
      <c r="C459" s="269"/>
      <c r="D459" s="269"/>
      <c r="E459" s="271"/>
      <c r="F459" s="272"/>
      <c r="G459" s="273"/>
      <c r="H459" s="278"/>
      <c r="I459" s="275"/>
      <c r="J459" s="276"/>
      <c r="K459" s="276"/>
      <c r="L459" s="15">
        <f t="shared" si="53"/>
        <v>0</v>
      </c>
      <c r="M459" s="15"/>
      <c r="N459" s="15">
        <f t="shared" si="54"/>
        <v>0</v>
      </c>
      <c r="O459" s="15" t="str">
        <f>IF(AND(A459='BANG KE NL'!$M$11,TH!C459="NL",LEFT(D459,1)="N"),"x","")</f>
        <v/>
      </c>
    </row>
    <row r="460" spans="1:15" s="277" customFormat="1">
      <c r="A460" s="24" t="str">
        <f t="shared" si="52"/>
        <v/>
      </c>
      <c r="B460" s="175" t="str">
        <f>IF(AND(MONTH(E460)='IN-NX'!$J$5,'IN-NX'!$D$7=(D460&amp;"/"&amp;C460)),"x","")</f>
        <v/>
      </c>
      <c r="C460" s="269"/>
      <c r="D460" s="269"/>
      <c r="E460" s="271"/>
      <c r="F460" s="272"/>
      <c r="G460" s="273"/>
      <c r="H460" s="278"/>
      <c r="I460" s="275"/>
      <c r="J460" s="276"/>
      <c r="K460" s="276"/>
      <c r="L460" s="15">
        <f t="shared" si="53"/>
        <v>0</v>
      </c>
      <c r="M460" s="15"/>
      <c r="N460" s="15">
        <f t="shared" si="54"/>
        <v>0</v>
      </c>
      <c r="O460" s="15" t="str">
        <f>IF(AND(A460='BANG KE NL'!$M$11,TH!C460="NL",LEFT(D460,1)="N"),"x","")</f>
        <v/>
      </c>
    </row>
    <row r="461" spans="1:15" s="277" customFormat="1">
      <c r="A461" s="24" t="str">
        <f t="shared" si="52"/>
        <v/>
      </c>
      <c r="B461" s="175" t="str">
        <f>IF(AND(MONTH(E461)='IN-NX'!$J$5,'IN-NX'!$D$7=(D461&amp;"/"&amp;C461)),"x","")</f>
        <v/>
      </c>
      <c r="C461" s="269"/>
      <c r="D461" s="269"/>
      <c r="E461" s="271"/>
      <c r="F461" s="272"/>
      <c r="G461" s="273"/>
      <c r="H461" s="278"/>
      <c r="I461" s="275"/>
      <c r="J461" s="276"/>
      <c r="K461" s="276"/>
      <c r="L461" s="15">
        <f t="shared" si="53"/>
        <v>0</v>
      </c>
      <c r="M461" s="15"/>
      <c r="N461" s="15">
        <f t="shared" si="54"/>
        <v>0</v>
      </c>
      <c r="O461" s="15" t="str">
        <f>IF(AND(A461='BANG KE NL'!$M$11,TH!C461="NL",LEFT(D461,1)="N"),"x","")</f>
        <v/>
      </c>
    </row>
    <row r="462" spans="1:15" s="277" customFormat="1">
      <c r="A462" s="24" t="str">
        <f t="shared" si="52"/>
        <v/>
      </c>
      <c r="B462" s="175" t="str">
        <f>IF(AND(MONTH(E462)='IN-NX'!$J$5,'IN-NX'!$D$7=(D462&amp;"/"&amp;C462)),"x","")</f>
        <v/>
      </c>
      <c r="C462" s="269"/>
      <c r="D462" s="269"/>
      <c r="E462" s="271"/>
      <c r="F462" s="272"/>
      <c r="G462" s="273"/>
      <c r="H462" s="278"/>
      <c r="I462" s="275"/>
      <c r="J462" s="276"/>
      <c r="K462" s="276"/>
      <c r="L462" s="15">
        <f t="shared" si="53"/>
        <v>0</v>
      </c>
      <c r="M462" s="15"/>
      <c r="N462" s="15">
        <f t="shared" si="54"/>
        <v>0</v>
      </c>
      <c r="O462" s="15" t="str">
        <f>IF(AND(A462='BANG KE NL'!$M$11,TH!C462="NL",LEFT(D462,1)="N"),"x","")</f>
        <v/>
      </c>
    </row>
    <row r="463" spans="1:15" s="277" customFormat="1">
      <c r="A463" s="24" t="str">
        <f t="shared" si="52"/>
        <v/>
      </c>
      <c r="B463" s="175" t="str">
        <f>IF(AND(MONTH(E463)='IN-NX'!$J$5,'IN-NX'!$D$7=(D463&amp;"/"&amp;C463)),"x","")</f>
        <v/>
      </c>
      <c r="C463" s="269"/>
      <c r="D463" s="269"/>
      <c r="E463" s="271"/>
      <c r="F463" s="272"/>
      <c r="G463" s="273"/>
      <c r="H463" s="278"/>
      <c r="I463" s="275"/>
      <c r="J463" s="276"/>
      <c r="K463" s="276"/>
      <c r="L463" s="15">
        <f t="shared" si="53"/>
        <v>0</v>
      </c>
      <c r="M463" s="15"/>
      <c r="N463" s="15">
        <f t="shared" si="54"/>
        <v>0</v>
      </c>
      <c r="O463" s="15" t="str">
        <f>IF(AND(A463='BANG KE NL'!$M$11,TH!C463="NL",LEFT(D463,1)="N"),"x","")</f>
        <v/>
      </c>
    </row>
    <row r="464" spans="1:15" s="277" customFormat="1">
      <c r="A464" s="24" t="str">
        <f t="shared" si="52"/>
        <v/>
      </c>
      <c r="B464" s="175" t="str">
        <f>IF(AND(MONTH(E464)='IN-NX'!$J$5,'IN-NX'!$D$7=(D464&amp;"/"&amp;C464)),"x","")</f>
        <v/>
      </c>
      <c r="C464" s="269"/>
      <c r="D464" s="269"/>
      <c r="E464" s="271"/>
      <c r="F464" s="272"/>
      <c r="G464" s="273"/>
      <c r="H464" s="278"/>
      <c r="I464" s="275"/>
      <c r="J464" s="276"/>
      <c r="K464" s="276"/>
      <c r="L464" s="15">
        <f t="shared" si="53"/>
        <v>0</v>
      </c>
      <c r="M464" s="15"/>
      <c r="N464" s="15">
        <f t="shared" si="54"/>
        <v>0</v>
      </c>
      <c r="O464" s="15" t="str">
        <f>IF(AND(A464='BANG KE NL'!$M$11,TH!C464="NL",LEFT(D464,1)="N"),"x","")</f>
        <v/>
      </c>
    </row>
    <row r="465" spans="1:15" s="277" customFormat="1">
      <c r="A465" s="24" t="str">
        <f t="shared" si="52"/>
        <v/>
      </c>
      <c r="B465" s="175" t="str">
        <f>IF(AND(MONTH(E465)='IN-NX'!$J$5,'IN-NX'!$D$7=(D465&amp;"/"&amp;C465)),"x","")</f>
        <v/>
      </c>
      <c r="C465" s="270"/>
      <c r="D465" s="270"/>
      <c r="E465" s="271"/>
      <c r="F465" s="272"/>
      <c r="G465" s="273"/>
      <c r="H465" s="274"/>
      <c r="I465" s="275"/>
      <c r="J465" s="276"/>
      <c r="K465" s="276"/>
      <c r="L465" s="15">
        <f t="shared" si="53"/>
        <v>0</v>
      </c>
      <c r="M465" s="15"/>
      <c r="N465" s="15">
        <f t="shared" si="54"/>
        <v>0</v>
      </c>
      <c r="O465" s="15" t="str">
        <f>IF(AND(A465='BANG KE NL'!$M$11,TH!C465="NL",LEFT(D465,1)="N"),"x","")</f>
        <v/>
      </c>
    </row>
    <row r="466" spans="1:15" s="277" customFormat="1">
      <c r="A466" s="24" t="str">
        <f t="shared" si="52"/>
        <v/>
      </c>
      <c r="B466" s="175" t="str">
        <f>IF(AND(MONTH(E466)='IN-NX'!$J$5,'IN-NX'!$D$7=(D466&amp;"/"&amp;C466)),"x","")</f>
        <v/>
      </c>
      <c r="C466" s="270"/>
      <c r="D466" s="270"/>
      <c r="E466" s="271"/>
      <c r="F466" s="272"/>
      <c r="G466" s="273"/>
      <c r="H466" s="274"/>
      <c r="I466" s="275"/>
      <c r="J466" s="276"/>
      <c r="K466" s="276"/>
      <c r="L466" s="15">
        <f t="shared" si="53"/>
        <v>0</v>
      </c>
      <c r="M466" s="15"/>
      <c r="N466" s="15">
        <f t="shared" si="54"/>
        <v>0</v>
      </c>
      <c r="O466" s="15" t="str">
        <f>IF(AND(A466='BANG KE NL'!$M$11,TH!C466="NL",LEFT(D466,1)="N"),"x","")</f>
        <v/>
      </c>
    </row>
    <row r="467" spans="1:15" s="277" customFormat="1">
      <c r="A467" s="24" t="str">
        <f t="shared" si="52"/>
        <v/>
      </c>
      <c r="B467" s="175" t="str">
        <f>IF(AND(MONTH(E467)='IN-NX'!$J$5,'IN-NX'!$D$7=(D467&amp;"/"&amp;C467)),"x","")</f>
        <v/>
      </c>
      <c r="C467" s="270"/>
      <c r="D467" s="270"/>
      <c r="E467" s="271"/>
      <c r="F467" s="272"/>
      <c r="G467" s="273"/>
      <c r="H467" s="274"/>
      <c r="I467" s="275"/>
      <c r="J467" s="276"/>
      <c r="K467" s="276"/>
      <c r="L467" s="15">
        <f t="shared" si="53"/>
        <v>0</v>
      </c>
      <c r="M467" s="15"/>
      <c r="N467" s="15">
        <f t="shared" si="54"/>
        <v>0</v>
      </c>
      <c r="O467" s="15" t="str">
        <f>IF(AND(A467='BANG KE NL'!$M$11,TH!C467="NL",LEFT(D467,1)="N"),"x","")</f>
        <v/>
      </c>
    </row>
    <row r="468" spans="1:15" s="277" customFormat="1">
      <c r="A468" s="24" t="str">
        <f t="shared" si="52"/>
        <v/>
      </c>
      <c r="B468" s="175" t="str">
        <f>IF(AND(MONTH(E468)='IN-NX'!$J$5,'IN-NX'!$D$7=(D468&amp;"/"&amp;C468)),"x","")</f>
        <v/>
      </c>
      <c r="C468" s="270"/>
      <c r="D468" s="270"/>
      <c r="E468" s="271"/>
      <c r="F468" s="272"/>
      <c r="G468" s="273"/>
      <c r="H468" s="274"/>
      <c r="I468" s="275"/>
      <c r="J468" s="276"/>
      <c r="K468" s="276"/>
      <c r="L468" s="15">
        <f t="shared" si="53"/>
        <v>0</v>
      </c>
      <c r="M468" s="15"/>
      <c r="N468" s="15">
        <f t="shared" si="54"/>
        <v>0</v>
      </c>
      <c r="O468" s="15" t="str">
        <f>IF(AND(A468='BANG KE NL'!$M$11,TH!C468="NL",LEFT(D468,1)="N"),"x","")</f>
        <v/>
      </c>
    </row>
    <row r="469" spans="1:15" s="277" customFormat="1">
      <c r="A469" s="24" t="str">
        <f t="shared" si="52"/>
        <v/>
      </c>
      <c r="B469" s="175" t="str">
        <f>IF(AND(MONTH(E469)='IN-NX'!$J$5,'IN-NX'!$D$7=(D469&amp;"/"&amp;C469)),"x","")</f>
        <v/>
      </c>
      <c r="C469" s="270"/>
      <c r="D469" s="270"/>
      <c r="E469" s="271"/>
      <c r="F469" s="272"/>
      <c r="G469" s="273"/>
      <c r="H469" s="274"/>
      <c r="I469" s="275"/>
      <c r="J469" s="276"/>
      <c r="K469" s="276"/>
      <c r="L469" s="15">
        <f t="shared" si="53"/>
        <v>0</v>
      </c>
      <c r="M469" s="15"/>
      <c r="N469" s="15">
        <f t="shared" si="54"/>
        <v>0</v>
      </c>
      <c r="O469" s="15" t="str">
        <f>IF(AND(A469='BANG KE NL'!$M$11,TH!C469="NL",LEFT(D469,1)="N"),"x","")</f>
        <v/>
      </c>
    </row>
    <row r="470" spans="1:15" s="277" customFormat="1">
      <c r="A470" s="24" t="str">
        <f t="shared" si="52"/>
        <v/>
      </c>
      <c r="B470" s="175" t="str">
        <f>IF(AND(MONTH(E470)='IN-NX'!$J$5,'IN-NX'!$D$7=(D470&amp;"/"&amp;C470)),"x","")</f>
        <v/>
      </c>
      <c r="C470" s="270"/>
      <c r="D470" s="270"/>
      <c r="E470" s="271"/>
      <c r="F470" s="272"/>
      <c r="G470" s="273"/>
      <c r="H470" s="274"/>
      <c r="I470" s="275"/>
      <c r="J470" s="276"/>
      <c r="K470" s="276"/>
      <c r="L470" s="15">
        <f t="shared" si="53"/>
        <v>0</v>
      </c>
      <c r="M470" s="15"/>
      <c r="N470" s="15">
        <f t="shared" si="54"/>
        <v>0</v>
      </c>
      <c r="O470" s="15" t="str">
        <f>IF(AND(A470='BANG KE NL'!$M$11,TH!C470="NL",LEFT(D470,1)="N"),"x","")</f>
        <v/>
      </c>
    </row>
    <row r="471" spans="1:15" s="277" customFormat="1">
      <c r="A471" s="24" t="str">
        <f t="shared" si="52"/>
        <v/>
      </c>
      <c r="B471" s="175" t="str">
        <f>IF(AND(MONTH(E471)='IN-NX'!$J$5,'IN-NX'!$D$7=(D471&amp;"/"&amp;C471)),"x","")</f>
        <v/>
      </c>
      <c r="C471" s="270"/>
      <c r="D471" s="270"/>
      <c r="E471" s="271"/>
      <c r="F471" s="272"/>
      <c r="G471" s="273"/>
      <c r="H471" s="274"/>
      <c r="I471" s="275"/>
      <c r="J471" s="276"/>
      <c r="K471" s="276"/>
      <c r="L471" s="15">
        <f t="shared" si="53"/>
        <v>0</v>
      </c>
      <c r="M471" s="15"/>
      <c r="N471" s="15">
        <f t="shared" si="54"/>
        <v>0</v>
      </c>
      <c r="O471" s="15" t="str">
        <f>IF(AND(A471='BANG KE NL'!$M$11,TH!C471="NL",LEFT(D471,1)="N"),"x","")</f>
        <v/>
      </c>
    </row>
    <row r="472" spans="1:15" s="277" customFormat="1">
      <c r="A472" s="24" t="str">
        <f t="shared" si="52"/>
        <v/>
      </c>
      <c r="B472" s="175" t="str">
        <f>IF(AND(MONTH(E472)='IN-NX'!$J$5,'IN-NX'!$D$7=(D472&amp;"/"&amp;C472)),"x","")</f>
        <v/>
      </c>
      <c r="C472" s="270"/>
      <c r="D472" s="270"/>
      <c r="E472" s="271"/>
      <c r="F472" s="272"/>
      <c r="G472" s="273"/>
      <c r="H472" s="274"/>
      <c r="I472" s="275"/>
      <c r="J472" s="276"/>
      <c r="K472" s="276"/>
      <c r="L472" s="15">
        <f t="shared" si="53"/>
        <v>0</v>
      </c>
      <c r="M472" s="15"/>
      <c r="N472" s="15">
        <f t="shared" si="54"/>
        <v>0</v>
      </c>
      <c r="O472" s="15" t="str">
        <f>IF(AND(A472='BANG KE NL'!$M$11,TH!C472="NL",LEFT(D472,1)="N"),"x","")</f>
        <v/>
      </c>
    </row>
    <row r="473" spans="1:15" s="277" customFormat="1">
      <c r="A473" s="24" t="str">
        <f t="shared" si="52"/>
        <v/>
      </c>
      <c r="B473" s="175" t="str">
        <f>IF(AND(MONTH(E473)='IN-NX'!$J$5,'IN-NX'!$D$7=(D473&amp;"/"&amp;C473)),"x","")</f>
        <v/>
      </c>
      <c r="C473" s="270"/>
      <c r="D473" s="270"/>
      <c r="E473" s="271"/>
      <c r="F473" s="272"/>
      <c r="G473" s="273"/>
      <c r="H473" s="274"/>
      <c r="I473" s="275"/>
      <c r="J473" s="276"/>
      <c r="K473" s="276"/>
      <c r="L473" s="15">
        <f t="shared" si="53"/>
        <v>0</v>
      </c>
      <c r="M473" s="15"/>
      <c r="N473" s="15">
        <f t="shared" si="54"/>
        <v>0</v>
      </c>
      <c r="O473" s="15" t="str">
        <f>IF(AND(A473='BANG KE NL'!$M$11,TH!C473="NL",LEFT(D473,1)="N"),"x","")</f>
        <v/>
      </c>
    </row>
    <row r="474" spans="1:15" s="277" customFormat="1">
      <c r="A474" s="24" t="str">
        <f t="shared" si="52"/>
        <v/>
      </c>
      <c r="B474" s="175" t="str">
        <f>IF(AND(MONTH(E474)='IN-NX'!$J$5,'IN-NX'!$D$7=(D474&amp;"/"&amp;C474)),"x","")</f>
        <v/>
      </c>
      <c r="C474" s="270"/>
      <c r="D474" s="270"/>
      <c r="E474" s="271"/>
      <c r="F474" s="272"/>
      <c r="G474" s="273"/>
      <c r="H474" s="274"/>
      <c r="I474" s="275"/>
      <c r="J474" s="276"/>
      <c r="K474" s="276"/>
      <c r="L474" s="15">
        <f t="shared" si="53"/>
        <v>0</v>
      </c>
      <c r="M474" s="15"/>
      <c r="N474" s="15">
        <f t="shared" si="54"/>
        <v>0</v>
      </c>
      <c r="O474" s="15" t="str">
        <f>IF(AND(A474='BANG KE NL'!$M$11,TH!C474="NL",LEFT(D474,1)="N"),"x","")</f>
        <v/>
      </c>
    </row>
    <row r="475" spans="1:15" s="277" customFormat="1">
      <c r="A475" s="24" t="str">
        <f t="shared" si="52"/>
        <v/>
      </c>
      <c r="B475" s="175" t="str">
        <f>IF(AND(MONTH(E475)='IN-NX'!$J$5,'IN-NX'!$D$7=(D475&amp;"/"&amp;C475)),"x","")</f>
        <v/>
      </c>
      <c r="C475" s="270"/>
      <c r="D475" s="270"/>
      <c r="E475" s="271"/>
      <c r="F475" s="272"/>
      <c r="G475" s="273"/>
      <c r="H475" s="274"/>
      <c r="I475" s="275"/>
      <c r="J475" s="276"/>
      <c r="K475" s="276"/>
      <c r="L475" s="15">
        <f t="shared" si="53"/>
        <v>0</v>
      </c>
      <c r="M475" s="15"/>
      <c r="N475" s="15">
        <f t="shared" si="54"/>
        <v>0</v>
      </c>
      <c r="O475" s="15" t="str">
        <f>IF(AND(A475='BANG KE NL'!$M$11,TH!C475="NL",LEFT(D475,1)="N"),"x","")</f>
        <v/>
      </c>
    </row>
    <row r="476" spans="1:15" s="277" customFormat="1">
      <c r="A476" s="24" t="str">
        <f t="shared" si="52"/>
        <v/>
      </c>
      <c r="B476" s="175" t="str">
        <f>IF(AND(MONTH(E476)='IN-NX'!$J$5,'IN-NX'!$D$7=(D476&amp;"/"&amp;C476)),"x","")</f>
        <v/>
      </c>
      <c r="C476" s="270"/>
      <c r="D476" s="270"/>
      <c r="E476" s="271"/>
      <c r="F476" s="272"/>
      <c r="G476" s="273"/>
      <c r="H476" s="274"/>
      <c r="I476" s="275"/>
      <c r="J476" s="276"/>
      <c r="K476" s="276"/>
      <c r="L476" s="15">
        <f t="shared" si="53"/>
        <v>0</v>
      </c>
      <c r="M476" s="15"/>
      <c r="N476" s="15">
        <f t="shared" si="54"/>
        <v>0</v>
      </c>
      <c r="O476" s="15" t="str">
        <f>IF(AND(A476='BANG KE NL'!$M$11,TH!C476="NL",LEFT(D476,1)="N"),"x","")</f>
        <v/>
      </c>
    </row>
    <row r="477" spans="1:15" s="277" customFormat="1">
      <c r="A477" s="24" t="str">
        <f t="shared" si="52"/>
        <v/>
      </c>
      <c r="B477" s="175" t="str">
        <f>IF(AND(MONTH(E477)='IN-NX'!$J$5,'IN-NX'!$D$7=(D477&amp;"/"&amp;C477)),"x","")</f>
        <v/>
      </c>
      <c r="C477" s="270"/>
      <c r="D477" s="270"/>
      <c r="E477" s="271"/>
      <c r="F477" s="272"/>
      <c r="G477" s="273"/>
      <c r="H477" s="274"/>
      <c r="I477" s="275"/>
      <c r="J477" s="276"/>
      <c r="K477" s="276"/>
      <c r="L477" s="15">
        <f t="shared" si="53"/>
        <v>0</v>
      </c>
      <c r="M477" s="15"/>
      <c r="N477" s="15">
        <f t="shared" si="54"/>
        <v>0</v>
      </c>
      <c r="O477" s="15" t="str">
        <f>IF(AND(A477='BANG KE NL'!$M$11,TH!C477="NL",LEFT(D477,1)="N"),"x","")</f>
        <v/>
      </c>
    </row>
    <row r="478" spans="1:15" s="277" customFormat="1">
      <c r="A478" s="24" t="str">
        <f t="shared" si="52"/>
        <v/>
      </c>
      <c r="B478" s="175" t="str">
        <f>IF(AND(MONTH(E478)='IN-NX'!$J$5,'IN-NX'!$D$7=(D478&amp;"/"&amp;C478)),"x","")</f>
        <v/>
      </c>
      <c r="C478" s="270"/>
      <c r="D478" s="270"/>
      <c r="E478" s="271"/>
      <c r="F478" s="272"/>
      <c r="G478" s="273"/>
      <c r="H478" s="274"/>
      <c r="I478" s="275"/>
      <c r="J478" s="276"/>
      <c r="K478" s="276"/>
      <c r="L478" s="15">
        <f t="shared" si="53"/>
        <v>0</v>
      </c>
      <c r="M478" s="15"/>
      <c r="N478" s="15">
        <f t="shared" si="54"/>
        <v>0</v>
      </c>
      <c r="O478" s="15" t="str">
        <f>IF(AND(A478='BANG KE NL'!$M$11,TH!C478="NL",LEFT(D478,1)="N"),"x","")</f>
        <v/>
      </c>
    </row>
    <row r="479" spans="1:15" s="277" customFormat="1">
      <c r="A479" s="24" t="str">
        <f t="shared" si="52"/>
        <v/>
      </c>
      <c r="B479" s="175" t="str">
        <f>IF(AND(MONTH(E479)='IN-NX'!$J$5,'IN-NX'!$D$7=(D479&amp;"/"&amp;C479)),"x","")</f>
        <v/>
      </c>
      <c r="C479" s="270"/>
      <c r="D479" s="270"/>
      <c r="E479" s="271"/>
      <c r="F479" s="272"/>
      <c r="G479" s="273"/>
      <c r="H479" s="274"/>
      <c r="I479" s="275"/>
      <c r="J479" s="276"/>
      <c r="K479" s="276"/>
      <c r="L479" s="15">
        <f t="shared" si="53"/>
        <v>0</v>
      </c>
      <c r="M479" s="15"/>
      <c r="N479" s="15">
        <f t="shared" si="54"/>
        <v>0</v>
      </c>
      <c r="O479" s="15" t="str">
        <f>IF(AND(A479='BANG KE NL'!$M$11,TH!C479="NL",LEFT(D479,1)="N"),"x","")</f>
        <v/>
      </c>
    </row>
    <row r="480" spans="1:15" s="277" customFormat="1">
      <c r="A480" s="24" t="str">
        <f t="shared" si="52"/>
        <v/>
      </c>
      <c r="B480" s="175" t="str">
        <f>IF(AND(MONTH(E480)='IN-NX'!$J$5,'IN-NX'!$D$7=(D480&amp;"/"&amp;C480)),"x","")</f>
        <v/>
      </c>
      <c r="C480" s="270"/>
      <c r="D480" s="270"/>
      <c r="E480" s="271"/>
      <c r="F480" s="272"/>
      <c r="G480" s="273"/>
      <c r="H480" s="274"/>
      <c r="I480" s="275"/>
      <c r="J480" s="276"/>
      <c r="K480" s="276"/>
      <c r="L480" s="15">
        <f t="shared" si="53"/>
        <v>0</v>
      </c>
      <c r="M480" s="15"/>
      <c r="N480" s="15">
        <f t="shared" si="54"/>
        <v>0</v>
      </c>
      <c r="O480" s="15" t="str">
        <f>IF(AND(A480='BANG KE NL'!$M$11,TH!C480="NL",LEFT(D480,1)="N"),"x","")</f>
        <v/>
      </c>
    </row>
    <row r="481" spans="1:15" s="277" customFormat="1">
      <c r="A481" s="24" t="str">
        <f t="shared" si="52"/>
        <v/>
      </c>
      <c r="B481" s="175" t="str">
        <f>IF(AND(MONTH(E481)='IN-NX'!$J$5,'IN-NX'!$D$7=(D481&amp;"/"&amp;C481)),"x","")</f>
        <v/>
      </c>
      <c r="C481" s="270"/>
      <c r="D481" s="270"/>
      <c r="E481" s="271"/>
      <c r="F481" s="272"/>
      <c r="G481" s="273"/>
      <c r="H481" s="274"/>
      <c r="I481" s="275"/>
      <c r="J481" s="276"/>
      <c r="K481" s="276"/>
      <c r="L481" s="15">
        <f t="shared" si="53"/>
        <v>0</v>
      </c>
      <c r="M481" s="15"/>
      <c r="N481" s="15">
        <f t="shared" si="54"/>
        <v>0</v>
      </c>
      <c r="O481" s="15" t="str">
        <f>IF(AND(A481='BANG KE NL'!$M$11,TH!C481="NL",LEFT(D481,1)="N"),"x","")</f>
        <v/>
      </c>
    </row>
    <row r="482" spans="1:15" s="277" customFormat="1">
      <c r="A482" s="24" t="str">
        <f t="shared" si="52"/>
        <v/>
      </c>
      <c r="B482" s="175" t="str">
        <f>IF(AND(MONTH(E482)='IN-NX'!$J$5,'IN-NX'!$D$7=(D482&amp;"/"&amp;C482)),"x","")</f>
        <v/>
      </c>
      <c r="C482" s="270"/>
      <c r="D482" s="270"/>
      <c r="E482" s="271"/>
      <c r="F482" s="272"/>
      <c r="G482" s="273"/>
      <c r="H482" s="274"/>
      <c r="I482" s="275"/>
      <c r="J482" s="276"/>
      <c r="K482" s="276"/>
      <c r="L482" s="15">
        <f t="shared" si="53"/>
        <v>0</v>
      </c>
      <c r="M482" s="15"/>
      <c r="N482" s="15">
        <f t="shared" si="54"/>
        <v>0</v>
      </c>
      <c r="O482" s="15" t="str">
        <f>IF(AND(A482='BANG KE NL'!$M$11,TH!C482="NL",LEFT(D482,1)="N"),"x","")</f>
        <v/>
      </c>
    </row>
    <row r="483" spans="1:15" s="277" customFormat="1">
      <c r="A483" s="24" t="str">
        <f t="shared" si="52"/>
        <v/>
      </c>
      <c r="B483" s="175" t="str">
        <f>IF(AND(MONTH(E483)='IN-NX'!$J$5,'IN-NX'!$D$7=(D483&amp;"/"&amp;C483)),"x","")</f>
        <v/>
      </c>
      <c r="C483" s="270"/>
      <c r="D483" s="270"/>
      <c r="E483" s="271"/>
      <c r="F483" s="272"/>
      <c r="G483" s="273"/>
      <c r="H483" s="274"/>
      <c r="I483" s="275"/>
      <c r="J483" s="276"/>
      <c r="K483" s="276"/>
      <c r="L483" s="15">
        <f t="shared" si="53"/>
        <v>0</v>
      </c>
      <c r="M483" s="15"/>
      <c r="N483" s="15">
        <f t="shared" si="54"/>
        <v>0</v>
      </c>
      <c r="O483" s="15" t="str">
        <f>IF(AND(A483='BANG KE NL'!$M$11,TH!C483="NL",LEFT(D483,1)="N"),"x","")</f>
        <v/>
      </c>
    </row>
    <row r="484" spans="1:15" s="277" customFormat="1">
      <c r="A484" s="24" t="str">
        <f t="shared" si="52"/>
        <v/>
      </c>
      <c r="B484" s="175" t="str">
        <f>IF(AND(MONTH(E484)='IN-NX'!$J$5,'IN-NX'!$D$7=(D484&amp;"/"&amp;C484)),"x","")</f>
        <v/>
      </c>
      <c r="C484" s="270"/>
      <c r="D484" s="270"/>
      <c r="E484" s="271"/>
      <c r="F484" s="272"/>
      <c r="G484" s="273"/>
      <c r="H484" s="274"/>
      <c r="I484" s="275"/>
      <c r="J484" s="276"/>
      <c r="K484" s="276"/>
      <c r="L484" s="15">
        <f t="shared" si="53"/>
        <v>0</v>
      </c>
      <c r="M484" s="15"/>
      <c r="N484" s="15">
        <f t="shared" si="54"/>
        <v>0</v>
      </c>
      <c r="O484" s="15" t="str">
        <f>IF(AND(A484='BANG KE NL'!$M$11,TH!C484="NL",LEFT(D484,1)="N"),"x","")</f>
        <v/>
      </c>
    </row>
    <row r="485" spans="1:15" s="277" customFormat="1">
      <c r="A485" s="24" t="str">
        <f t="shared" si="52"/>
        <v/>
      </c>
      <c r="B485" s="175" t="str">
        <f>IF(AND(MONTH(E485)='IN-NX'!$J$5,'IN-NX'!$D$7=(D485&amp;"/"&amp;C485)),"x","")</f>
        <v/>
      </c>
      <c r="C485" s="270"/>
      <c r="D485" s="270"/>
      <c r="E485" s="271"/>
      <c r="F485" s="272"/>
      <c r="G485" s="273"/>
      <c r="H485" s="274"/>
      <c r="I485" s="275"/>
      <c r="J485" s="276"/>
      <c r="K485" s="276"/>
      <c r="L485" s="15">
        <f t="shared" si="53"/>
        <v>0</v>
      </c>
      <c r="M485" s="15"/>
      <c r="N485" s="15">
        <f t="shared" si="54"/>
        <v>0</v>
      </c>
      <c r="O485" s="15" t="str">
        <f>IF(AND(A485='BANG KE NL'!$M$11,TH!C485="NL",LEFT(D485,1)="N"),"x","")</f>
        <v/>
      </c>
    </row>
    <row r="486" spans="1:15" s="277" customFormat="1">
      <c r="A486" s="24" t="str">
        <f t="shared" si="52"/>
        <v/>
      </c>
      <c r="B486" s="175" t="str">
        <f>IF(AND(MONTH(E486)='IN-NX'!$J$5,'IN-NX'!$D$7=(D486&amp;"/"&amp;C486)),"x","")</f>
        <v/>
      </c>
      <c r="C486" s="270"/>
      <c r="D486" s="270"/>
      <c r="E486" s="271"/>
      <c r="F486" s="272"/>
      <c r="G486" s="273"/>
      <c r="H486" s="274"/>
      <c r="I486" s="275"/>
      <c r="J486" s="276"/>
      <c r="K486" s="276"/>
      <c r="L486" s="15">
        <f t="shared" si="53"/>
        <v>0</v>
      </c>
      <c r="M486" s="15"/>
      <c r="N486" s="15">
        <f t="shared" si="54"/>
        <v>0</v>
      </c>
      <c r="O486" s="15" t="str">
        <f>IF(AND(A486='BANG KE NL'!$M$11,TH!C486="NL",LEFT(D486,1)="N"),"x","")</f>
        <v/>
      </c>
    </row>
    <row r="487" spans="1:15" s="277" customFormat="1">
      <c r="A487" s="24" t="str">
        <f t="shared" si="52"/>
        <v/>
      </c>
      <c r="B487" s="175" t="str">
        <f>IF(AND(MONTH(E487)='IN-NX'!$J$5,'IN-NX'!$D$7=(D487&amp;"/"&amp;C487)),"x","")</f>
        <v/>
      </c>
      <c r="C487" s="270"/>
      <c r="D487" s="270"/>
      <c r="E487" s="271"/>
      <c r="F487" s="272"/>
      <c r="G487" s="273"/>
      <c r="H487" s="274"/>
      <c r="I487" s="275"/>
      <c r="J487" s="276"/>
      <c r="K487" s="276"/>
      <c r="L487" s="15">
        <f t="shared" si="53"/>
        <v>0</v>
      </c>
      <c r="M487" s="15"/>
      <c r="N487" s="15">
        <f t="shared" si="54"/>
        <v>0</v>
      </c>
      <c r="O487" s="15" t="str">
        <f>IF(AND(A487='BANG KE NL'!$M$11,TH!C487="NL",LEFT(D487,1)="N"),"x","")</f>
        <v/>
      </c>
    </row>
    <row r="488" spans="1:15" s="277" customFormat="1">
      <c r="A488" s="24" t="str">
        <f t="shared" si="52"/>
        <v/>
      </c>
      <c r="B488" s="175" t="str">
        <f>IF(AND(MONTH(E488)='IN-NX'!$J$5,'IN-NX'!$D$7=(D488&amp;"/"&amp;C488)),"x","")</f>
        <v/>
      </c>
      <c r="C488" s="270"/>
      <c r="D488" s="270"/>
      <c r="E488" s="271"/>
      <c r="F488" s="272"/>
      <c r="G488" s="273"/>
      <c r="H488" s="274"/>
      <c r="I488" s="275"/>
      <c r="J488" s="276"/>
      <c r="K488" s="276"/>
      <c r="L488" s="15">
        <f t="shared" si="53"/>
        <v>0</v>
      </c>
      <c r="M488" s="15"/>
      <c r="N488" s="15">
        <f t="shared" si="54"/>
        <v>0</v>
      </c>
      <c r="O488" s="15" t="str">
        <f>IF(AND(A488='BANG KE NL'!$M$11,TH!C488="NL",LEFT(D488,1)="N"),"x","")</f>
        <v/>
      </c>
    </row>
    <row r="489" spans="1:15">
      <c r="L489" s="26"/>
    </row>
    <row r="490" spans="1:15">
      <c r="L490" s="26"/>
      <c r="N490" s="200"/>
    </row>
    <row r="491" spans="1:15">
      <c r="L491" s="26"/>
    </row>
    <row r="492" spans="1:15">
      <c r="L492" s="26"/>
    </row>
    <row r="493" spans="1:15">
      <c r="L493" s="26"/>
      <c r="N493" s="26">
        <f>SUBTOTAL(9,N126:N492)</f>
        <v>0</v>
      </c>
    </row>
    <row r="494" spans="1:15">
      <c r="L494" s="26"/>
    </row>
    <row r="495" spans="1:15">
      <c r="L495" s="26"/>
    </row>
    <row r="496" spans="1:15">
      <c r="L496" s="26"/>
    </row>
    <row r="497" spans="12:14">
      <c r="L497" s="26">
        <f>SUBTOTAL(9,L5:L496)</f>
        <v>208226239</v>
      </c>
      <c r="N497" s="26"/>
    </row>
    <row r="498" spans="12:14">
      <c r="N498" s="26"/>
    </row>
    <row r="499" spans="12:14">
      <c r="N499" s="200"/>
    </row>
  </sheetData>
  <autoFilter ref="A4:O488"/>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5 G13">
      <formula1>IF(RIGHT(D5,2)="NL",DSKH2,DSKH1)</formula1>
    </dataValidation>
    <dataValidation type="list" allowBlank="1" showInputMessage="1" showErrorMessage="1" sqref="G2:G4 G15:G65616">
      <formula1>Loai3</formula1>
    </dataValidation>
    <dataValidation type="list" allowBlank="1" showInputMessage="1" showErrorMessage="1" sqref="F2:F65616">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Q41"/>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7">
      <c r="A1" s="180" t="s">
        <v>178</v>
      </c>
      <c r="E1" s="9"/>
      <c r="O1" s="216"/>
    </row>
    <row r="2" spans="1:17" s="6" customFormat="1" ht="16.5" customHeight="1">
      <c r="B2" s="1" t="s">
        <v>42</v>
      </c>
      <c r="C2" s="2"/>
      <c r="D2" s="3"/>
      <c r="E2" s="57"/>
      <c r="F2" s="8"/>
      <c r="J2" s="512" t="s">
        <v>123</v>
      </c>
      <c r="K2" s="512"/>
      <c r="L2" s="512"/>
      <c r="M2" s="512"/>
      <c r="N2" s="202"/>
    </row>
    <row r="3" spans="1:17" s="6" customFormat="1" ht="16.5" customHeight="1">
      <c r="B3" s="1" t="s">
        <v>44</v>
      </c>
      <c r="C3" s="1"/>
      <c r="D3" s="1"/>
      <c r="E3" s="58"/>
      <c r="F3" s="1"/>
      <c r="J3" s="513" t="s">
        <v>124</v>
      </c>
      <c r="K3" s="513"/>
      <c r="L3" s="513"/>
      <c r="M3" s="513"/>
      <c r="N3" s="203"/>
    </row>
    <row r="4" spans="1:17" s="6" customFormat="1" ht="16.5" customHeight="1">
      <c r="B4" s="1"/>
      <c r="C4" s="1"/>
      <c r="D4" s="1"/>
      <c r="E4" s="58"/>
      <c r="F4" s="1"/>
      <c r="J4" s="513"/>
      <c r="K4" s="513"/>
      <c r="L4" s="513"/>
      <c r="M4" s="513"/>
      <c r="N4" s="203"/>
    </row>
    <row r="5" spans="1:17" ht="18.75" customHeight="1">
      <c r="B5" s="514" t="s">
        <v>0</v>
      </c>
      <c r="C5" s="514"/>
      <c r="D5" s="514"/>
      <c r="E5" s="514"/>
      <c r="F5" s="514"/>
      <c r="G5" s="514"/>
      <c r="H5" s="514"/>
      <c r="I5" s="514"/>
      <c r="J5" s="514"/>
      <c r="K5" s="514"/>
      <c r="L5" s="514"/>
      <c r="M5" s="514"/>
      <c r="N5" s="204"/>
    </row>
    <row r="6" spans="1:17" s="28" customFormat="1" ht="12.75">
      <c r="B6" s="515" t="s">
        <v>290</v>
      </c>
      <c r="C6" s="515"/>
      <c r="D6" s="515"/>
      <c r="E6" s="515"/>
      <c r="F6" s="515"/>
      <c r="G6" s="515"/>
      <c r="H6" s="515"/>
      <c r="I6" s="515"/>
      <c r="J6" s="515"/>
      <c r="K6" s="515"/>
      <c r="L6" s="515"/>
      <c r="M6" s="515"/>
      <c r="N6" s="205"/>
    </row>
    <row r="7" spans="1:17">
      <c r="C7" s="23"/>
      <c r="D7" s="23"/>
      <c r="F7" s="23" t="s">
        <v>184</v>
      </c>
      <c r="G7" s="23"/>
      <c r="H7" s="217" t="s">
        <v>183</v>
      </c>
      <c r="I7" s="23" t="str">
        <f>IF($O$10="NL","Nguyên Liệu",IF($O$10="TP","Thành Phẩm",IF($O$10="VL","Vật Liệu","")))</f>
        <v>Vật Liệu</v>
      </c>
      <c r="J7" s="23"/>
      <c r="K7" s="23"/>
      <c r="L7" s="23"/>
      <c r="M7" s="23"/>
      <c r="N7" s="10"/>
    </row>
    <row r="8" spans="1:17">
      <c r="B8" s="10"/>
      <c r="C8" s="23"/>
      <c r="D8" s="23"/>
      <c r="F8" s="10" t="s">
        <v>81</v>
      </c>
      <c r="H8" s="23"/>
      <c r="I8" s="23"/>
      <c r="J8" s="509" t="s">
        <v>40</v>
      </c>
      <c r="K8" s="509"/>
      <c r="L8" s="509"/>
      <c r="M8" s="23"/>
      <c r="N8" s="23"/>
    </row>
    <row r="9" spans="1:17">
      <c r="D9" s="11"/>
      <c r="E9" s="59"/>
      <c r="F9" s="11"/>
      <c r="G9" s="11"/>
      <c r="H9" s="11"/>
      <c r="I9" s="11"/>
      <c r="J9" s="11"/>
      <c r="K9" s="11" t="s">
        <v>82</v>
      </c>
      <c r="M9" s="54"/>
      <c r="N9" s="211"/>
    </row>
    <row r="10" spans="1:17" ht="15.75" customHeight="1">
      <c r="A10" s="500" t="s">
        <v>30</v>
      </c>
      <c r="B10" s="517" t="s">
        <v>1</v>
      </c>
      <c r="C10" s="517"/>
      <c r="D10" s="499" t="s">
        <v>2</v>
      </c>
      <c r="E10" s="499" t="s">
        <v>3</v>
      </c>
      <c r="F10" s="499" t="s">
        <v>4</v>
      </c>
      <c r="G10" s="510" t="s">
        <v>5</v>
      </c>
      <c r="H10" s="511"/>
      <c r="I10" s="510" t="s">
        <v>6</v>
      </c>
      <c r="J10" s="511"/>
      <c r="K10" s="510" t="s">
        <v>7</v>
      </c>
      <c r="L10" s="511"/>
      <c r="M10" s="499" t="s">
        <v>8</v>
      </c>
      <c r="N10" s="212"/>
      <c r="O10" s="215" t="s">
        <v>177</v>
      </c>
    </row>
    <row r="11" spans="1:17" ht="31.5" customHeight="1">
      <c r="A11" s="500"/>
      <c r="B11" s="179" t="s">
        <v>9</v>
      </c>
      <c r="C11" s="179" t="s">
        <v>10</v>
      </c>
      <c r="D11" s="499"/>
      <c r="E11" s="499"/>
      <c r="F11" s="499"/>
      <c r="G11" s="179" t="s">
        <v>11</v>
      </c>
      <c r="H11" s="179" t="s">
        <v>12</v>
      </c>
      <c r="I11" s="179" t="s">
        <v>11</v>
      </c>
      <c r="J11" s="179" t="s">
        <v>12</v>
      </c>
      <c r="K11" s="179" t="s">
        <v>11</v>
      </c>
      <c r="L11" s="179" t="s">
        <v>12</v>
      </c>
      <c r="M11" s="499"/>
      <c r="N11" s="212"/>
    </row>
    <row r="12" spans="1:17" s="10" customFormat="1">
      <c r="A12" s="53"/>
      <c r="B12" s="12" t="s">
        <v>13</v>
      </c>
      <c r="C12" s="13" t="s">
        <v>14</v>
      </c>
      <c r="D12" s="13" t="s">
        <v>15</v>
      </c>
      <c r="E12" s="12" t="s">
        <v>16</v>
      </c>
      <c r="F12" s="12">
        <v>1</v>
      </c>
      <c r="G12" s="12">
        <v>2</v>
      </c>
      <c r="H12" s="12" t="s">
        <v>17</v>
      </c>
      <c r="I12" s="12">
        <v>4</v>
      </c>
      <c r="J12" s="12" t="s">
        <v>18</v>
      </c>
      <c r="K12" s="12">
        <v>6</v>
      </c>
      <c r="L12" s="12" t="s">
        <v>19</v>
      </c>
      <c r="M12" s="12"/>
      <c r="N12" s="213"/>
    </row>
    <row r="13" spans="1:17">
      <c r="A13" s="14"/>
      <c r="B13" s="14"/>
      <c r="C13" s="14"/>
      <c r="D13" s="15" t="s">
        <v>20</v>
      </c>
      <c r="E13" s="55"/>
      <c r="F13" s="16">
        <f>L13/K13</f>
        <v>11666.673333333334</v>
      </c>
      <c r="G13" s="16"/>
      <c r="H13" s="16"/>
      <c r="I13" s="16"/>
      <c r="J13" s="16"/>
      <c r="K13" s="144">
        <f>VLOOKUP($J$8,NXT!$C$12:$L$66,3,0)</f>
        <v>300</v>
      </c>
      <c r="L13" s="144">
        <f>VLOOKUP($J$8,NXT!$C$12:$L$66,4,0)</f>
        <v>3500002</v>
      </c>
      <c r="M13" s="16"/>
      <c r="N13" s="213"/>
    </row>
    <row r="14" spans="1:17">
      <c r="A14" s="24">
        <f ca="1">IF(D14&lt;&gt;"",ROW()-(ROW()-1),"")</f>
        <v>1</v>
      </c>
      <c r="B14" s="145" t="str">
        <f ca="1">IF(ROWS($1:1)&gt;COUNT(_DNL1),"",OFFSET(TH!D$1,SMALL(_DNL1,ROWS($1:1)),)&amp;"/"&amp;OFFSET(TH!C$1,SMALL(_DNL1,ROWS($1:1)),))</f>
        <v>N01/VL</v>
      </c>
      <c r="C14" s="146">
        <f ca="1">IF(ROWS($1:1)&gt;COUNT(_DNL1),"",OFFSET(TH!E$1,SMALL(_DNL1,ROWS($1:1)),))</f>
        <v>42374</v>
      </c>
      <c r="D14" s="147" t="str">
        <f ca="1">IF(ROWS($1:1)&gt;COUNT(_DNL1),"",OFFSET(TH!F$1,SMALL(_DNL1,ROWS($1:1)),))</f>
        <v>Đường</v>
      </c>
      <c r="E14" s="145" t="str">
        <f ca="1">IF(ROWS($1:1)&gt;COUNT(_DNL1),"",IF(OFFSET(TH!H$1,SMALL(_DNL1,ROWS($1:1)),)="1521",OFFSET(TH!I$1,SMALL(_DNL1,ROWS($1:1)),),OFFSET(TH!H$1,SMALL(_DNL1,ROWS($1:1)),)))</f>
        <v>1522</v>
      </c>
      <c r="F14" s="148">
        <f ca="1">IF(ROWS($1:1)&gt;COUNT(_DNL1),0,OFFSET(TH!J$1,SMALL(_DNL1,ROWS($1:1)),))</f>
        <v>13571.429</v>
      </c>
      <c r="G14" s="148">
        <f ca="1">IF(ROWS($1:1)&gt;COUNT(_DNL1),0,IF(OFFSET(TH!K$1,SMALL(_DNL1,ROWS($1:1)),)&lt;&gt;0,OFFSET(TH!K$1,SMALL(_DNL1,ROWS($1:1)),),0))</f>
        <v>1000</v>
      </c>
      <c r="H14" s="143">
        <f t="shared" ref="H14" ca="1" si="0">ROUND(F14*G14,0)</f>
        <v>13571429</v>
      </c>
      <c r="I14" s="148">
        <f ca="1">IF(ROWS($1:1)&gt;COUNT(_DNL1),0,IF(OFFSET(TH!M$1,SMALL(_DNL1,ROWS($1:1)),)&lt;&gt;0,OFFSET(TH!M$1,SMALL(_DNL1,ROWS($1:1)),),0))</f>
        <v>0</v>
      </c>
      <c r="J14" s="143">
        <f t="shared" ref="J14" ca="1" si="1">ROUND(F14*I14,0)</f>
        <v>0</v>
      </c>
      <c r="K14" s="143">
        <f t="shared" ref="K14" ca="1" si="2">IF(D14&lt;&gt;"",K13+G14-I14,0)</f>
        <v>1300</v>
      </c>
      <c r="L14" s="143">
        <f t="shared" ref="L14" ca="1" si="3">IF(D14&lt;&gt;"",L13+H14-J14,0)</f>
        <v>17071431</v>
      </c>
      <c r="M14" s="143"/>
      <c r="N14" s="213"/>
    </row>
    <row r="15" spans="1:17">
      <c r="A15" s="24">
        <f t="shared" ref="A15:A30" ca="1" si="4">IF(D15&lt;&gt;"",ROW()-(ROW()-1),"")</f>
        <v>1</v>
      </c>
      <c r="B15" s="145" t="str">
        <f ca="1">IF(ROWS($1:2)&gt;COUNT(_DNL1),"",OFFSET(TH!D$1,SMALL(_DNL1,ROWS($1:2)),)&amp;"/"&amp;OFFSET(TH!C$1,SMALL(_DNL1,ROWS($1:2)),))</f>
        <v>N05/VL</v>
      </c>
      <c r="C15" s="146">
        <f ca="1">IF(ROWS($1:2)&gt;COUNT(_DNL1),"",OFFSET(TH!E$1,SMALL(_DNL1,ROWS($1:2)),))</f>
        <v>42387</v>
      </c>
      <c r="D15" s="147" t="str">
        <f ca="1">IF(ROWS($1:2)&gt;COUNT(_DNL1),"",OFFSET(TH!F$1,SMALL(_DNL1,ROWS($1:2)),))</f>
        <v>Đường</v>
      </c>
      <c r="E15" s="145" t="str">
        <f ca="1">IF(ROWS($1:2)&gt;COUNT(_DNL1),"",IF(OFFSET(TH!H$1,SMALL(_DNL1,ROWS($1:2)),)="1521",OFFSET(TH!I$1,SMALL(_DNL1,ROWS($1:2)),),OFFSET(TH!H$1,SMALL(_DNL1,ROWS($1:2)),)))</f>
        <v>1522</v>
      </c>
      <c r="F15" s="148">
        <f ca="1">IF(ROWS($1:2)&gt;COUNT(_DNL1),0,OFFSET(TH!J$1,SMALL(_DNL1,ROWS($1:2)),))</f>
        <v>14523.81</v>
      </c>
      <c r="G15" s="148">
        <f ca="1">IF(ROWS($1:2)&gt;COUNT(_DNL1),0,IF(OFFSET(TH!K$1,SMALL(_DNL1,ROWS($1:2)),)&lt;&gt;0,OFFSET(TH!K$1,SMALL(_DNL1,ROWS($1:2)),),0))</f>
        <v>1000</v>
      </c>
      <c r="H15" s="143">
        <f t="shared" ref="H15:H30" ca="1" si="5">ROUND(F15*G15,0)</f>
        <v>14523810</v>
      </c>
      <c r="I15" s="148">
        <f ca="1">IF(ROWS($1:2)&gt;COUNT(_DNL1),0,IF(OFFSET(TH!M$1,SMALL(_DNL1,ROWS($1:2)),)&lt;&gt;0,OFFSET(TH!M$1,SMALL(_DNL1,ROWS($1:2)),),0))</f>
        <v>0</v>
      </c>
      <c r="J15" s="143">
        <f t="shared" ref="J15:J30" ca="1" si="6">ROUND(F15*I15,0)</f>
        <v>0</v>
      </c>
      <c r="K15" s="143">
        <f t="shared" ref="K15:K30" ca="1" si="7">IF(D15&lt;&gt;"",K14+G15-I15,0)</f>
        <v>2300</v>
      </c>
      <c r="L15" s="143">
        <f t="shared" ref="L15:L30" ca="1" si="8">IF(D15&lt;&gt;"",L14+H15-J15,0)</f>
        <v>31595241</v>
      </c>
      <c r="M15" s="143"/>
      <c r="N15" s="213"/>
      <c r="Q15" s="463"/>
    </row>
    <row r="16" spans="1:17">
      <c r="A16" s="24">
        <f t="shared" ca="1" si="4"/>
        <v>1</v>
      </c>
      <c r="B16" s="145" t="str">
        <f ca="1">IF(ROWS($1:3)&gt;COUNT(_DNL1),"",OFFSET(TH!D$1,SMALL(_DNL1,ROWS($1:3)),)&amp;"/"&amp;OFFSET(TH!C$1,SMALL(_DNL1,ROWS($1:3)),))</f>
        <v>X01/VL</v>
      </c>
      <c r="C16" s="146">
        <f ca="1">IF(ROWS($1:3)&gt;COUNT(_DNL1),"",OFFSET(TH!E$1,SMALL(_DNL1,ROWS($1:3)),))</f>
        <v>42371</v>
      </c>
      <c r="D16" s="147" t="str">
        <f ca="1">IF(ROWS($1:3)&gt;COUNT(_DNL1),"",OFFSET(TH!F$1,SMALL(_DNL1,ROWS($1:3)),))</f>
        <v>Đường</v>
      </c>
      <c r="E16" s="145" t="str">
        <f ca="1">IF(ROWS($1:3)&gt;COUNT(_DNL1),"",IF(OFFSET(TH!H$1,SMALL(_DNL1,ROWS($1:3)),)="1521",OFFSET(TH!I$1,SMALL(_DNL1,ROWS($1:3)),),OFFSET(TH!H$1,SMALL(_DNL1,ROWS($1:3)),)))</f>
        <v>154</v>
      </c>
      <c r="F16" s="148">
        <f ca="1">IF(ROWS($1:3)&gt;COUNT(_DNL1),0,OFFSET(TH!J$1,SMALL(_DNL1,ROWS($1:3)),))</f>
        <v>11666.673333333334</v>
      </c>
      <c r="G16" s="148">
        <f ca="1">IF(ROWS($1:3)&gt;COUNT(_DNL1),0,IF(OFFSET(TH!K$1,SMALL(_DNL1,ROWS($1:3)),)&lt;&gt;0,OFFSET(TH!K$1,SMALL(_DNL1,ROWS($1:3)),),0))</f>
        <v>0</v>
      </c>
      <c r="H16" s="143">
        <f t="shared" ca="1" si="5"/>
        <v>0</v>
      </c>
      <c r="I16" s="148">
        <f ca="1">IF(ROWS($1:3)&gt;COUNT(_DNL1),0,IF(OFFSET(TH!M$1,SMALL(_DNL1,ROWS($1:3)),)&lt;&gt;0,OFFSET(TH!M$1,SMALL(_DNL1,ROWS($1:3)),),0))</f>
        <v>150</v>
      </c>
      <c r="J16" s="143">
        <f t="shared" ca="1" si="6"/>
        <v>1750001</v>
      </c>
      <c r="K16" s="143">
        <f t="shared" ca="1" si="7"/>
        <v>2150</v>
      </c>
      <c r="L16" s="143">
        <f t="shared" ca="1" si="8"/>
        <v>29845240</v>
      </c>
      <c r="M16" s="143"/>
      <c r="N16" s="213"/>
    </row>
    <row r="17" spans="1:16">
      <c r="A17" s="24" t="str">
        <f t="shared" ca="1" si="4"/>
        <v/>
      </c>
      <c r="B17" s="145" t="str">
        <f ca="1">IF(ROWS($1:4)&gt;COUNT(_DNL1),"",OFFSET(TH!D$1,SMALL(_DNL1,ROWS($1:4)),)&amp;"/"&amp;OFFSET(TH!C$1,SMALL(_DNL1,ROWS($1:4)),))</f>
        <v/>
      </c>
      <c r="C17" s="146" t="str">
        <f ca="1">IF(ROWS($1:4)&gt;COUNT(_DNL1),"",OFFSET(TH!E$1,SMALL(_DNL1,ROWS($1:4)),))</f>
        <v/>
      </c>
      <c r="D17" s="147" t="str">
        <f ca="1">IF(ROWS($1:4)&gt;COUNT(_DNL1),"",OFFSET(TH!F$1,SMALL(_DNL1,ROWS($1:4)),))</f>
        <v/>
      </c>
      <c r="E17" s="145" t="str">
        <f ca="1">IF(ROWS($1:4)&gt;COUNT(_DNL1),"",IF(OFFSET(TH!H$1,SMALL(_DNL1,ROWS($1:4)),)="1521",OFFSET(TH!I$1,SMALL(_DNL1,ROWS($1:4)),),OFFSET(TH!H$1,SMALL(_DNL1,ROWS($1:4)),)))</f>
        <v/>
      </c>
      <c r="F17" s="148">
        <f ca="1">IF(ROWS($1:4)&gt;COUNT(_DNL1),0,OFFSET(TH!J$1,SMALL(_DNL1,ROWS($1:4)),))</f>
        <v>0</v>
      </c>
      <c r="G17" s="148">
        <f ca="1">IF(ROWS($1:4)&gt;COUNT(_DNL1),0,IF(OFFSET(TH!K$1,SMALL(_DNL1,ROWS($1:4)),)&lt;&gt;0,OFFSET(TH!K$1,SMALL(_DNL1,ROWS($1:4)),),0))</f>
        <v>0</v>
      </c>
      <c r="H17" s="143">
        <f t="shared" ca="1" si="5"/>
        <v>0</v>
      </c>
      <c r="I17" s="148">
        <f ca="1">IF(ROWS($1:4)&gt;COUNT(_DNL1),0,IF(OFFSET(TH!M$1,SMALL(_DNL1,ROWS($1:4)),)&lt;&gt;0,OFFSET(TH!M$1,SMALL(_DNL1,ROWS($1:4)),),0))</f>
        <v>0</v>
      </c>
      <c r="J17" s="143">
        <f t="shared" ca="1" si="6"/>
        <v>0</v>
      </c>
      <c r="K17" s="143">
        <f t="shared" ca="1" si="7"/>
        <v>0</v>
      </c>
      <c r="L17" s="143">
        <f t="shared" ca="1" si="8"/>
        <v>0</v>
      </c>
      <c r="M17" s="143"/>
      <c r="N17" s="213"/>
      <c r="P17" s="26"/>
    </row>
    <row r="18" spans="1:16">
      <c r="A18" s="24" t="str">
        <f t="shared" ca="1" si="4"/>
        <v/>
      </c>
      <c r="B18" s="145" t="str">
        <f ca="1">IF(ROWS($1:5)&gt;COUNT(_DNL1),"",OFFSET(TH!D$1,SMALL(_DNL1,ROWS($1:5)),)&amp;"/"&amp;OFFSET(TH!C$1,SMALL(_DNL1,ROWS($1:5)),))</f>
        <v/>
      </c>
      <c r="C18" s="146" t="str">
        <f ca="1">IF(ROWS($1:5)&gt;COUNT(_DNL1),"",OFFSET(TH!E$1,SMALL(_DNL1,ROWS($1:5)),))</f>
        <v/>
      </c>
      <c r="D18" s="147" t="str">
        <f ca="1">IF(ROWS($1:5)&gt;COUNT(_DNL1),"",OFFSET(TH!F$1,SMALL(_DNL1,ROWS($1:5)),))</f>
        <v/>
      </c>
      <c r="E18" s="145" t="str">
        <f ca="1">IF(ROWS($1:5)&gt;COUNT(_DNL1),"",IF(OFFSET(TH!H$1,SMALL(_DNL1,ROWS($1:5)),)="1521",OFFSET(TH!I$1,SMALL(_DNL1,ROWS($1:5)),),OFFSET(TH!H$1,SMALL(_DNL1,ROWS($1:5)),)))</f>
        <v/>
      </c>
      <c r="F18" s="148">
        <f ca="1">IF(ROWS($1:5)&gt;COUNT(_DNL1),0,OFFSET(TH!J$1,SMALL(_DNL1,ROWS($1:5)),))</f>
        <v>0</v>
      </c>
      <c r="G18" s="148">
        <f ca="1">IF(ROWS($1:5)&gt;COUNT(_DNL1),0,IF(OFFSET(TH!K$1,SMALL(_DNL1,ROWS($1:5)),)&lt;&gt;0,OFFSET(TH!K$1,SMALL(_DNL1,ROWS($1:5)),),0))</f>
        <v>0</v>
      </c>
      <c r="H18" s="143">
        <f t="shared" ca="1" si="5"/>
        <v>0</v>
      </c>
      <c r="I18" s="148">
        <f ca="1">IF(ROWS($1:5)&gt;COUNT(_DNL1),0,IF(OFFSET(TH!M$1,SMALL(_DNL1,ROWS($1:5)),)&lt;&gt;0,OFFSET(TH!M$1,SMALL(_DNL1,ROWS($1:5)),),0))</f>
        <v>0</v>
      </c>
      <c r="J18" s="143">
        <f t="shared" ca="1" si="6"/>
        <v>0</v>
      </c>
      <c r="K18" s="143">
        <f t="shared" ca="1" si="7"/>
        <v>0</v>
      </c>
      <c r="L18" s="143">
        <f t="shared" ca="1" si="8"/>
        <v>0</v>
      </c>
      <c r="M18" s="143"/>
      <c r="N18" s="213"/>
    </row>
    <row r="19" spans="1:16">
      <c r="A19" s="24" t="str">
        <f t="shared" ca="1" si="4"/>
        <v/>
      </c>
      <c r="B19" s="145" t="str">
        <f ca="1">IF(ROWS($1:6)&gt;COUNT(_DNL1),"",OFFSET(TH!D$1,SMALL(_DNL1,ROWS($1:6)),)&amp;"/"&amp;OFFSET(TH!C$1,SMALL(_DNL1,ROWS($1:6)),))</f>
        <v/>
      </c>
      <c r="C19" s="146" t="str">
        <f ca="1">IF(ROWS($1:6)&gt;COUNT(_DNL1),"",OFFSET(TH!E$1,SMALL(_DNL1,ROWS($1:6)),))</f>
        <v/>
      </c>
      <c r="D19" s="147" t="str">
        <f ca="1">IF(ROWS($1:6)&gt;COUNT(_DNL1),"",OFFSET(TH!F$1,SMALL(_DNL1,ROWS($1:6)),))</f>
        <v/>
      </c>
      <c r="E19" s="145" t="str">
        <f ca="1">IF(ROWS($1:6)&gt;COUNT(_DNL1),"",IF(OFFSET(TH!H$1,SMALL(_DNL1,ROWS($1:6)),)="1521",OFFSET(TH!I$1,SMALL(_DNL1,ROWS($1:6)),),OFFSET(TH!H$1,SMALL(_DNL1,ROWS($1:6)),)))</f>
        <v/>
      </c>
      <c r="F19" s="148">
        <f ca="1">IF(ROWS($1:6)&gt;COUNT(_DNL1),0,OFFSET(TH!J$1,SMALL(_DNL1,ROWS($1:6)),))</f>
        <v>0</v>
      </c>
      <c r="G19" s="148">
        <f ca="1">IF(ROWS($1:6)&gt;COUNT(_DNL1),0,IF(OFFSET(TH!K$1,SMALL(_DNL1,ROWS($1:6)),)&lt;&gt;0,OFFSET(TH!K$1,SMALL(_DNL1,ROWS($1:6)),),0))</f>
        <v>0</v>
      </c>
      <c r="H19" s="143">
        <f t="shared" ca="1" si="5"/>
        <v>0</v>
      </c>
      <c r="I19" s="148">
        <f ca="1">IF(ROWS($1:6)&gt;COUNT(_DNL1),0,IF(OFFSET(TH!M$1,SMALL(_DNL1,ROWS($1:6)),)&lt;&gt;0,OFFSET(TH!M$1,SMALL(_DNL1,ROWS($1:6)),),0))</f>
        <v>0</v>
      </c>
      <c r="J19" s="143">
        <f t="shared" ca="1" si="6"/>
        <v>0</v>
      </c>
      <c r="K19" s="143">
        <f t="shared" ca="1" si="7"/>
        <v>0</v>
      </c>
      <c r="L19" s="143">
        <f t="shared" ca="1" si="8"/>
        <v>0</v>
      </c>
      <c r="M19" s="143"/>
      <c r="N19" s="213"/>
    </row>
    <row r="20" spans="1:16">
      <c r="A20" s="24" t="str">
        <f t="shared" ca="1" si="4"/>
        <v/>
      </c>
      <c r="B20" s="145" t="str">
        <f ca="1">IF(ROWS($1:7)&gt;COUNT(_DNL1),"",OFFSET(TH!D$1,SMALL(_DNL1,ROWS($1:7)),)&amp;"/"&amp;OFFSET(TH!C$1,SMALL(_DNL1,ROWS($1:7)),))</f>
        <v/>
      </c>
      <c r="C20" s="146" t="str">
        <f ca="1">IF(ROWS($1:7)&gt;COUNT(_DNL1),"",OFFSET(TH!E$1,SMALL(_DNL1,ROWS($1:7)),))</f>
        <v/>
      </c>
      <c r="D20" s="147" t="str">
        <f ca="1">IF(ROWS($1:7)&gt;COUNT(_DNL1),"",OFFSET(TH!F$1,SMALL(_DNL1,ROWS($1:7)),))</f>
        <v/>
      </c>
      <c r="E20" s="145" t="str">
        <f ca="1">IF(ROWS($1:7)&gt;COUNT(_DNL1),"",IF(OFFSET(TH!H$1,SMALL(_DNL1,ROWS($1:7)),)="1521",OFFSET(TH!I$1,SMALL(_DNL1,ROWS($1:7)),),OFFSET(TH!H$1,SMALL(_DNL1,ROWS($1:7)),)))</f>
        <v/>
      </c>
      <c r="F20" s="148">
        <f ca="1">IF(ROWS($1:7)&gt;COUNT(_DNL1),0,OFFSET(TH!J$1,SMALL(_DNL1,ROWS($1:7)),))</f>
        <v>0</v>
      </c>
      <c r="G20" s="148">
        <f ca="1">IF(ROWS($1:7)&gt;COUNT(_DNL1),0,IF(OFFSET(TH!K$1,SMALL(_DNL1,ROWS($1:7)),)&lt;&gt;0,OFFSET(TH!K$1,SMALL(_DNL1,ROWS($1:7)),),0))</f>
        <v>0</v>
      </c>
      <c r="H20" s="143">
        <f t="shared" ca="1" si="5"/>
        <v>0</v>
      </c>
      <c r="I20" s="148">
        <f ca="1">IF(ROWS($1:7)&gt;COUNT(_DNL1),0,IF(OFFSET(TH!M$1,SMALL(_DNL1,ROWS($1:7)),)&lt;&gt;0,OFFSET(TH!M$1,SMALL(_DNL1,ROWS($1:7)),),0))</f>
        <v>0</v>
      </c>
      <c r="J20" s="143">
        <f t="shared" ca="1" si="6"/>
        <v>0</v>
      </c>
      <c r="K20" s="143">
        <f t="shared" ca="1" si="7"/>
        <v>0</v>
      </c>
      <c r="L20" s="143">
        <f t="shared" ca="1" si="8"/>
        <v>0</v>
      </c>
      <c r="M20" s="143"/>
      <c r="N20" s="213"/>
    </row>
    <row r="21" spans="1:16">
      <c r="A21" s="24" t="str">
        <f t="shared" ca="1" si="4"/>
        <v/>
      </c>
      <c r="B21" s="145" t="str">
        <f ca="1">IF(ROWS($1:8)&gt;COUNT(_DNL1),"",OFFSET(TH!D$1,SMALL(_DNL1,ROWS($1:8)),)&amp;"/"&amp;OFFSET(TH!C$1,SMALL(_DNL1,ROWS($1:8)),))</f>
        <v/>
      </c>
      <c r="C21" s="146" t="str">
        <f ca="1">IF(ROWS($1:8)&gt;COUNT(_DNL1),"",OFFSET(TH!E$1,SMALL(_DNL1,ROWS($1:8)),))</f>
        <v/>
      </c>
      <c r="D21" s="147" t="str">
        <f ca="1">IF(ROWS($1:8)&gt;COUNT(_DNL1),"",OFFSET(TH!F$1,SMALL(_DNL1,ROWS($1:8)),))</f>
        <v/>
      </c>
      <c r="E21" s="145" t="str">
        <f ca="1">IF(ROWS($1:8)&gt;COUNT(_DNL1),"",IF(OFFSET(TH!H$1,SMALL(_DNL1,ROWS($1:8)),)="1521",OFFSET(TH!I$1,SMALL(_DNL1,ROWS($1:8)),),OFFSET(TH!H$1,SMALL(_DNL1,ROWS($1:8)),)))</f>
        <v/>
      </c>
      <c r="F21" s="148">
        <f ca="1">IF(ROWS($1:8)&gt;COUNT(_DNL1),0,OFFSET(TH!J$1,SMALL(_DNL1,ROWS($1:8)),))</f>
        <v>0</v>
      </c>
      <c r="G21" s="148">
        <f ca="1">IF(ROWS($1:8)&gt;COUNT(_DNL1),0,IF(OFFSET(TH!K$1,SMALL(_DNL1,ROWS($1:8)),)&lt;&gt;0,OFFSET(TH!K$1,SMALL(_DNL1,ROWS($1:8)),),0))</f>
        <v>0</v>
      </c>
      <c r="H21" s="143">
        <f t="shared" ca="1" si="5"/>
        <v>0</v>
      </c>
      <c r="I21" s="148">
        <f ca="1">IF(ROWS($1:8)&gt;COUNT(_DNL1),0,IF(OFFSET(TH!M$1,SMALL(_DNL1,ROWS($1:8)),)&lt;&gt;0,OFFSET(TH!M$1,SMALL(_DNL1,ROWS($1:8)),),0))</f>
        <v>0</v>
      </c>
      <c r="J21" s="143">
        <f t="shared" ca="1" si="6"/>
        <v>0</v>
      </c>
      <c r="K21" s="143">
        <f t="shared" ca="1" si="7"/>
        <v>0</v>
      </c>
      <c r="L21" s="143">
        <f t="shared" ca="1" si="8"/>
        <v>0</v>
      </c>
      <c r="M21" s="143"/>
      <c r="N21" s="213"/>
    </row>
    <row r="22" spans="1:16">
      <c r="A22" s="24" t="str">
        <f t="shared" ca="1" si="4"/>
        <v/>
      </c>
      <c r="B22" s="145" t="str">
        <f ca="1">IF(ROWS($1:9)&gt;COUNT(_DNL1),"",OFFSET(TH!D$1,SMALL(_DNL1,ROWS($1:9)),)&amp;"/"&amp;OFFSET(TH!C$1,SMALL(_DNL1,ROWS($1:9)),))</f>
        <v/>
      </c>
      <c r="C22" s="146" t="str">
        <f ca="1">IF(ROWS($1:9)&gt;COUNT(_DNL1),"",OFFSET(TH!E$1,SMALL(_DNL1,ROWS($1:9)),))</f>
        <v/>
      </c>
      <c r="D22" s="147" t="str">
        <f ca="1">IF(ROWS($1:9)&gt;COUNT(_DNL1),"",OFFSET(TH!F$1,SMALL(_DNL1,ROWS($1:9)),))</f>
        <v/>
      </c>
      <c r="E22" s="145" t="str">
        <f ca="1">IF(ROWS($1:9)&gt;COUNT(_DNL1),"",IF(OFFSET(TH!H$1,SMALL(_DNL1,ROWS($1:9)),)="1521",OFFSET(TH!I$1,SMALL(_DNL1,ROWS($1:9)),),OFFSET(TH!H$1,SMALL(_DNL1,ROWS($1:9)),)))</f>
        <v/>
      </c>
      <c r="F22" s="148">
        <f ca="1">IF(ROWS($1:9)&gt;COUNT(_DNL1),0,OFFSET(TH!J$1,SMALL(_DNL1,ROWS($1:9)),))</f>
        <v>0</v>
      </c>
      <c r="G22" s="148">
        <f ca="1">IF(ROWS($1:9)&gt;COUNT(_DNL1),0,IF(OFFSET(TH!K$1,SMALL(_DNL1,ROWS($1:9)),)&lt;&gt;0,OFFSET(TH!K$1,SMALL(_DNL1,ROWS($1:9)),),0))</f>
        <v>0</v>
      </c>
      <c r="H22" s="143">
        <f t="shared" ca="1" si="5"/>
        <v>0</v>
      </c>
      <c r="I22" s="148">
        <f ca="1">IF(ROWS($1:9)&gt;COUNT(_DNL1),0,IF(OFFSET(TH!M$1,SMALL(_DNL1,ROWS($1:9)),)&lt;&gt;0,OFFSET(TH!M$1,SMALL(_DNL1,ROWS($1:9)),),0))</f>
        <v>0</v>
      </c>
      <c r="J22" s="143">
        <f t="shared" ca="1" si="6"/>
        <v>0</v>
      </c>
      <c r="K22" s="143">
        <f t="shared" ca="1" si="7"/>
        <v>0</v>
      </c>
      <c r="L22" s="143">
        <f t="shared" ca="1" si="8"/>
        <v>0</v>
      </c>
      <c r="M22" s="143"/>
      <c r="N22" s="213"/>
    </row>
    <row r="23" spans="1:16">
      <c r="A23" s="24" t="str">
        <f t="shared" ca="1" si="4"/>
        <v/>
      </c>
      <c r="B23" s="145" t="str">
        <f ca="1">IF(ROWS($1:10)&gt;COUNT(_DNL1),"",OFFSET(TH!D$1,SMALL(_DNL1,ROWS($1:10)),)&amp;"/"&amp;OFFSET(TH!C$1,SMALL(_DNL1,ROWS($1:10)),))</f>
        <v/>
      </c>
      <c r="C23" s="146" t="str">
        <f ca="1">IF(ROWS($1:10)&gt;COUNT(_DNL1),"",OFFSET(TH!E$1,SMALL(_DNL1,ROWS($1:10)),))</f>
        <v/>
      </c>
      <c r="D23" s="147" t="str">
        <f ca="1">IF(ROWS($1:10)&gt;COUNT(_DNL1),"",OFFSET(TH!F$1,SMALL(_DNL1,ROWS($1:10)),))</f>
        <v/>
      </c>
      <c r="E23" s="145" t="str">
        <f ca="1">IF(ROWS($1:10)&gt;COUNT(_DNL1),"",IF(OFFSET(TH!H$1,SMALL(_DNL1,ROWS($1:10)),)="1521",OFFSET(TH!I$1,SMALL(_DNL1,ROWS($1:10)),),OFFSET(TH!H$1,SMALL(_DNL1,ROWS($1:10)),)))</f>
        <v/>
      </c>
      <c r="F23" s="148">
        <f ca="1">IF(ROWS($1:10)&gt;COUNT(_DNL1),0,OFFSET(TH!J$1,SMALL(_DNL1,ROWS($1:10)),))</f>
        <v>0</v>
      </c>
      <c r="G23" s="148">
        <f ca="1">IF(ROWS($1:10)&gt;COUNT(_DNL1),0,IF(OFFSET(TH!K$1,SMALL(_DNL1,ROWS($1:10)),)&lt;&gt;0,OFFSET(TH!K$1,SMALL(_DNL1,ROWS($1:10)),),0))</f>
        <v>0</v>
      </c>
      <c r="H23" s="143">
        <f t="shared" ca="1" si="5"/>
        <v>0</v>
      </c>
      <c r="I23" s="148">
        <f ca="1">IF(ROWS($1:10)&gt;COUNT(_DNL1),0,IF(OFFSET(TH!M$1,SMALL(_DNL1,ROWS($1:10)),)&lt;&gt;0,OFFSET(TH!M$1,SMALL(_DNL1,ROWS($1:10)),),0))</f>
        <v>0</v>
      </c>
      <c r="J23" s="143">
        <f t="shared" ca="1" si="6"/>
        <v>0</v>
      </c>
      <c r="K23" s="143">
        <f t="shared" ca="1" si="7"/>
        <v>0</v>
      </c>
      <c r="L23" s="143">
        <f t="shared" ca="1" si="8"/>
        <v>0</v>
      </c>
      <c r="M23" s="143"/>
      <c r="N23" s="213"/>
    </row>
    <row r="24" spans="1:16">
      <c r="A24" s="24" t="str">
        <f t="shared" ca="1" si="4"/>
        <v/>
      </c>
      <c r="B24" s="145" t="str">
        <f ca="1">IF(ROWS($1:11)&gt;COUNT(_DNL1),"",OFFSET(TH!D$1,SMALL(_DNL1,ROWS($1:11)),)&amp;"/"&amp;OFFSET(TH!C$1,SMALL(_DNL1,ROWS($1:11)),))</f>
        <v/>
      </c>
      <c r="C24" s="146" t="str">
        <f ca="1">IF(ROWS($1:11)&gt;COUNT(_DNL1),"",OFFSET(TH!E$1,SMALL(_DNL1,ROWS($1:11)),))</f>
        <v/>
      </c>
      <c r="D24" s="147" t="str">
        <f ca="1">IF(ROWS($1:11)&gt;COUNT(_DNL1),"",OFFSET(TH!F$1,SMALL(_DNL1,ROWS($1:11)),))</f>
        <v/>
      </c>
      <c r="E24" s="145" t="str">
        <f ca="1">IF(ROWS($1:11)&gt;COUNT(_DNL1),"",IF(OFFSET(TH!H$1,SMALL(_DNL1,ROWS($1:11)),)="1521",OFFSET(TH!I$1,SMALL(_DNL1,ROWS($1:11)),),OFFSET(TH!H$1,SMALL(_DNL1,ROWS($1:11)),)))</f>
        <v/>
      </c>
      <c r="F24" s="148">
        <f ca="1">IF(ROWS($1:11)&gt;COUNT(_DNL1),0,OFFSET(TH!J$1,SMALL(_DNL1,ROWS($1:11)),))</f>
        <v>0</v>
      </c>
      <c r="G24" s="148">
        <f ca="1">IF(ROWS($1:11)&gt;COUNT(_DNL1),0,IF(OFFSET(TH!K$1,SMALL(_DNL1,ROWS($1:11)),)&lt;&gt;0,OFFSET(TH!K$1,SMALL(_DNL1,ROWS($1:11)),),0))</f>
        <v>0</v>
      </c>
      <c r="H24" s="143">
        <f t="shared" ca="1" si="5"/>
        <v>0</v>
      </c>
      <c r="I24" s="148">
        <f ca="1">IF(ROWS($1:11)&gt;COUNT(_DNL1),0,IF(OFFSET(TH!M$1,SMALL(_DNL1,ROWS($1:11)),)&lt;&gt;0,OFFSET(TH!M$1,SMALL(_DNL1,ROWS($1:11)),),0))</f>
        <v>0</v>
      </c>
      <c r="J24" s="143">
        <f t="shared" ca="1" si="6"/>
        <v>0</v>
      </c>
      <c r="K24" s="143">
        <f t="shared" ca="1" si="7"/>
        <v>0</v>
      </c>
      <c r="L24" s="143">
        <f t="shared" ca="1" si="8"/>
        <v>0</v>
      </c>
      <c r="M24" s="143"/>
      <c r="N24" s="213"/>
    </row>
    <row r="25" spans="1:16">
      <c r="A25" s="24" t="str">
        <f t="shared" ca="1" si="4"/>
        <v/>
      </c>
      <c r="B25" s="145" t="str">
        <f ca="1">IF(ROWS($1:12)&gt;COUNT(_DNL1),"",OFFSET(TH!D$1,SMALL(_DNL1,ROWS($1:12)),)&amp;"/"&amp;OFFSET(TH!C$1,SMALL(_DNL1,ROWS($1:12)),))</f>
        <v/>
      </c>
      <c r="C25" s="146" t="str">
        <f ca="1">IF(ROWS($1:12)&gt;COUNT(_DNL1),"",OFFSET(TH!E$1,SMALL(_DNL1,ROWS($1:12)),))</f>
        <v/>
      </c>
      <c r="D25" s="147" t="str">
        <f ca="1">IF(ROWS($1:12)&gt;COUNT(_DNL1),"",OFFSET(TH!F$1,SMALL(_DNL1,ROWS($1:12)),))</f>
        <v/>
      </c>
      <c r="E25" s="145" t="str">
        <f ca="1">IF(ROWS($1:12)&gt;COUNT(_DNL1),"",IF(OFFSET(TH!H$1,SMALL(_DNL1,ROWS($1:12)),)="1521",OFFSET(TH!I$1,SMALL(_DNL1,ROWS($1:12)),),OFFSET(TH!H$1,SMALL(_DNL1,ROWS($1:12)),)))</f>
        <v/>
      </c>
      <c r="F25" s="148">
        <f ca="1">IF(ROWS($1:12)&gt;COUNT(_DNL1),0,OFFSET(TH!J$1,SMALL(_DNL1,ROWS($1:12)),))</f>
        <v>0</v>
      </c>
      <c r="G25" s="148">
        <f ca="1">IF(ROWS($1:12)&gt;COUNT(_DNL1),0,IF(OFFSET(TH!K$1,SMALL(_DNL1,ROWS($1:12)),)&lt;&gt;0,OFFSET(TH!K$1,SMALL(_DNL1,ROWS($1:12)),),0))</f>
        <v>0</v>
      </c>
      <c r="H25" s="143">
        <f t="shared" ca="1" si="5"/>
        <v>0</v>
      </c>
      <c r="I25" s="148">
        <f ca="1">IF(ROWS($1:12)&gt;COUNT(_DNL1),0,IF(OFFSET(TH!M$1,SMALL(_DNL1,ROWS($1:12)),)&lt;&gt;0,OFFSET(TH!M$1,SMALL(_DNL1,ROWS($1:12)),),0))</f>
        <v>0</v>
      </c>
      <c r="J25" s="143">
        <f t="shared" ca="1" si="6"/>
        <v>0</v>
      </c>
      <c r="K25" s="143">
        <f t="shared" ca="1" si="7"/>
        <v>0</v>
      </c>
      <c r="L25" s="143">
        <f t="shared" ca="1" si="8"/>
        <v>0</v>
      </c>
      <c r="M25" s="143"/>
      <c r="N25" s="213"/>
    </row>
    <row r="26" spans="1:16">
      <c r="A26" s="24" t="str">
        <f t="shared" ca="1" si="4"/>
        <v/>
      </c>
      <c r="B26" s="145" t="str">
        <f ca="1">IF(ROWS($1:13)&gt;COUNT(_DNL1),"",OFFSET(TH!D$1,SMALL(_DNL1,ROWS($1:13)),)&amp;"/"&amp;OFFSET(TH!C$1,SMALL(_DNL1,ROWS($1:13)),))</f>
        <v/>
      </c>
      <c r="C26" s="146" t="str">
        <f ca="1">IF(ROWS($1:13)&gt;COUNT(_DNL1),"",OFFSET(TH!E$1,SMALL(_DNL1,ROWS($1:13)),))</f>
        <v/>
      </c>
      <c r="D26" s="147" t="str">
        <f ca="1">IF(ROWS($1:13)&gt;COUNT(_DNL1),"",OFFSET(TH!F$1,SMALL(_DNL1,ROWS($1:13)),))</f>
        <v/>
      </c>
      <c r="E26" s="145" t="str">
        <f ca="1">IF(ROWS($1:13)&gt;COUNT(_DNL1),"",IF(OFFSET(TH!H$1,SMALL(_DNL1,ROWS($1:13)),)="1521",OFFSET(TH!I$1,SMALL(_DNL1,ROWS($1:13)),),OFFSET(TH!H$1,SMALL(_DNL1,ROWS($1:13)),)))</f>
        <v/>
      </c>
      <c r="F26" s="148">
        <f ca="1">IF(ROWS($1:13)&gt;COUNT(_DNL1),0,OFFSET(TH!J$1,SMALL(_DNL1,ROWS($1:13)),))</f>
        <v>0</v>
      </c>
      <c r="G26" s="148">
        <f ca="1">IF(ROWS($1:13)&gt;COUNT(_DNL1),0,IF(OFFSET(TH!K$1,SMALL(_DNL1,ROWS($1:13)),)&lt;&gt;0,OFFSET(TH!K$1,SMALL(_DNL1,ROWS($1:13)),),0))</f>
        <v>0</v>
      </c>
      <c r="H26" s="143">
        <f t="shared" ca="1" si="5"/>
        <v>0</v>
      </c>
      <c r="I26" s="148">
        <f ca="1">IF(ROWS($1:13)&gt;COUNT(_DNL1),0,IF(OFFSET(TH!M$1,SMALL(_DNL1,ROWS($1:13)),)&lt;&gt;0,OFFSET(TH!M$1,SMALL(_DNL1,ROWS($1:13)),),0))</f>
        <v>0</v>
      </c>
      <c r="J26" s="143">
        <f t="shared" ca="1" si="6"/>
        <v>0</v>
      </c>
      <c r="K26" s="143">
        <f t="shared" ca="1" si="7"/>
        <v>0</v>
      </c>
      <c r="L26" s="143">
        <f t="shared" ca="1" si="8"/>
        <v>0</v>
      </c>
      <c r="M26" s="143"/>
      <c r="N26" s="213"/>
    </row>
    <row r="27" spans="1:16">
      <c r="A27" s="24" t="str">
        <f t="shared" ca="1" si="4"/>
        <v/>
      </c>
      <c r="B27" s="145" t="str">
        <f ca="1">IF(ROWS($1:14)&gt;COUNT(_DNL1),"",OFFSET(TH!D$1,SMALL(_DNL1,ROWS($1:14)),)&amp;"/"&amp;OFFSET(TH!C$1,SMALL(_DNL1,ROWS($1:14)),))</f>
        <v/>
      </c>
      <c r="C27" s="146" t="str">
        <f ca="1">IF(ROWS($1:14)&gt;COUNT(_DNL1),"",OFFSET(TH!E$1,SMALL(_DNL1,ROWS($1:14)),))</f>
        <v/>
      </c>
      <c r="D27" s="147" t="str">
        <f ca="1">IF(ROWS($1:14)&gt;COUNT(_DNL1),"",OFFSET(TH!F$1,SMALL(_DNL1,ROWS($1:14)),))</f>
        <v/>
      </c>
      <c r="E27" s="145" t="str">
        <f ca="1">IF(ROWS($1:14)&gt;COUNT(_DNL1),"",IF(OFFSET(TH!H$1,SMALL(_DNL1,ROWS($1:14)),)="1521",OFFSET(TH!I$1,SMALL(_DNL1,ROWS($1:14)),),OFFSET(TH!H$1,SMALL(_DNL1,ROWS($1:14)),)))</f>
        <v/>
      </c>
      <c r="F27" s="148">
        <f ca="1">IF(ROWS($1:14)&gt;COUNT(_DNL1),0,OFFSET(TH!J$1,SMALL(_DNL1,ROWS($1:14)),))</f>
        <v>0</v>
      </c>
      <c r="G27" s="148">
        <f ca="1">IF(ROWS($1:14)&gt;COUNT(_DNL1),0,IF(OFFSET(TH!K$1,SMALL(_DNL1,ROWS($1:14)),)&lt;&gt;0,OFFSET(TH!K$1,SMALL(_DNL1,ROWS($1:14)),),0))</f>
        <v>0</v>
      </c>
      <c r="H27" s="143">
        <f t="shared" ca="1" si="5"/>
        <v>0</v>
      </c>
      <c r="I27" s="148">
        <f ca="1">IF(ROWS($1:14)&gt;COUNT(_DNL1),0,IF(OFFSET(TH!M$1,SMALL(_DNL1,ROWS($1:14)),)&lt;&gt;0,OFFSET(TH!M$1,SMALL(_DNL1,ROWS($1:14)),),0))</f>
        <v>0</v>
      </c>
      <c r="J27" s="143">
        <f t="shared" ca="1" si="6"/>
        <v>0</v>
      </c>
      <c r="K27" s="143">
        <f t="shared" ca="1" si="7"/>
        <v>0</v>
      </c>
      <c r="L27" s="143">
        <f t="shared" ca="1" si="8"/>
        <v>0</v>
      </c>
      <c r="M27" s="143"/>
      <c r="N27" s="213"/>
    </row>
    <row r="28" spans="1:16">
      <c r="A28" s="24" t="str">
        <f t="shared" ca="1" si="4"/>
        <v/>
      </c>
      <c r="B28" s="145" t="str">
        <f ca="1">IF(ROWS($1:15)&gt;COUNT(_DNL1),"",OFFSET(TH!D$1,SMALL(_DNL1,ROWS($1:15)),)&amp;"/"&amp;OFFSET(TH!C$1,SMALL(_DNL1,ROWS($1:15)),))</f>
        <v/>
      </c>
      <c r="C28" s="146" t="str">
        <f ca="1">IF(ROWS($1:15)&gt;COUNT(_DNL1),"",OFFSET(TH!E$1,SMALL(_DNL1,ROWS($1:15)),))</f>
        <v/>
      </c>
      <c r="D28" s="147" t="str">
        <f ca="1">IF(ROWS($1:15)&gt;COUNT(_DNL1),"",OFFSET(TH!F$1,SMALL(_DNL1,ROWS($1:15)),))</f>
        <v/>
      </c>
      <c r="E28" s="145" t="str">
        <f ca="1">IF(ROWS($1:15)&gt;COUNT(_DNL1),"",IF(OFFSET(TH!H$1,SMALL(_DNL1,ROWS($1:15)),)="1521",OFFSET(TH!I$1,SMALL(_DNL1,ROWS($1:15)),),OFFSET(TH!H$1,SMALL(_DNL1,ROWS($1:15)),)))</f>
        <v/>
      </c>
      <c r="F28" s="148">
        <f ca="1">IF(ROWS($1:15)&gt;COUNT(_DNL1),0,OFFSET(TH!J$1,SMALL(_DNL1,ROWS($1:15)),))</f>
        <v>0</v>
      </c>
      <c r="G28" s="148">
        <f ca="1">IF(ROWS($1:15)&gt;COUNT(_DNL1),0,IF(OFFSET(TH!K$1,SMALL(_DNL1,ROWS($1:15)),)&lt;&gt;0,OFFSET(TH!K$1,SMALL(_DNL1,ROWS($1:15)),),0))</f>
        <v>0</v>
      </c>
      <c r="H28" s="143">
        <f t="shared" ca="1" si="5"/>
        <v>0</v>
      </c>
      <c r="I28" s="148">
        <f ca="1">IF(ROWS($1:15)&gt;COUNT(_DNL1),0,IF(OFFSET(TH!M$1,SMALL(_DNL1,ROWS($1:15)),)&lt;&gt;0,OFFSET(TH!M$1,SMALL(_DNL1,ROWS($1:15)),),0))</f>
        <v>0</v>
      </c>
      <c r="J28" s="143">
        <f t="shared" ca="1" si="6"/>
        <v>0</v>
      </c>
      <c r="K28" s="143">
        <f t="shared" ca="1" si="7"/>
        <v>0</v>
      </c>
      <c r="L28" s="143">
        <f t="shared" ca="1" si="8"/>
        <v>0</v>
      </c>
      <c r="M28" s="143"/>
      <c r="N28" s="213"/>
    </row>
    <row r="29" spans="1:16">
      <c r="A29" s="24" t="str">
        <f t="shared" ca="1" si="4"/>
        <v/>
      </c>
      <c r="B29" s="145" t="str">
        <f ca="1">IF(ROWS($1:16)&gt;COUNT(_DNL1),"",OFFSET(TH!D$1,SMALL(_DNL1,ROWS($1:16)),)&amp;"/"&amp;OFFSET(TH!C$1,SMALL(_DNL1,ROWS($1:16)),))</f>
        <v/>
      </c>
      <c r="C29" s="146" t="str">
        <f ca="1">IF(ROWS($1:16)&gt;COUNT(_DNL1),"",OFFSET(TH!E$1,SMALL(_DNL1,ROWS($1:16)),))</f>
        <v/>
      </c>
      <c r="D29" s="147" t="str">
        <f ca="1">IF(ROWS($1:16)&gt;COUNT(_DNL1),"",OFFSET(TH!F$1,SMALL(_DNL1,ROWS($1:16)),))</f>
        <v/>
      </c>
      <c r="E29" s="145" t="str">
        <f ca="1">IF(ROWS($1:16)&gt;COUNT(_DNL1),"",IF(OFFSET(TH!H$1,SMALL(_DNL1,ROWS($1:16)),)="1521",OFFSET(TH!I$1,SMALL(_DNL1,ROWS($1:16)),),OFFSET(TH!H$1,SMALL(_DNL1,ROWS($1:16)),)))</f>
        <v/>
      </c>
      <c r="F29" s="148">
        <f ca="1">IF(ROWS($1:16)&gt;COUNT(_DNL1),0,OFFSET(TH!J$1,SMALL(_DNL1,ROWS($1:16)),))</f>
        <v>0</v>
      </c>
      <c r="G29" s="148">
        <f ca="1">IF(ROWS($1:16)&gt;COUNT(_DNL1),0,IF(OFFSET(TH!K$1,SMALL(_DNL1,ROWS($1:16)),)&lt;&gt;0,OFFSET(TH!K$1,SMALL(_DNL1,ROWS($1:16)),),0))</f>
        <v>0</v>
      </c>
      <c r="H29" s="143">
        <f t="shared" ca="1" si="5"/>
        <v>0</v>
      </c>
      <c r="I29" s="148">
        <f ca="1">IF(ROWS($1:16)&gt;COUNT(_DNL1),0,IF(OFFSET(TH!M$1,SMALL(_DNL1,ROWS($1:16)),)&lt;&gt;0,OFFSET(TH!M$1,SMALL(_DNL1,ROWS($1:16)),),0))</f>
        <v>0</v>
      </c>
      <c r="J29" s="143">
        <f t="shared" ca="1" si="6"/>
        <v>0</v>
      </c>
      <c r="K29" s="143">
        <f t="shared" ca="1" si="7"/>
        <v>0</v>
      </c>
      <c r="L29" s="143">
        <f t="shared" ca="1" si="8"/>
        <v>0</v>
      </c>
      <c r="M29" s="143"/>
      <c r="N29" s="213"/>
    </row>
    <row r="30" spans="1:16">
      <c r="A30" s="24" t="str">
        <f t="shared" ca="1" si="4"/>
        <v/>
      </c>
      <c r="B30" s="145" t="str">
        <f ca="1">IF(ROWS($1:17)&gt;COUNT(_DNL1),"",OFFSET(TH!D$1,SMALL(_DNL1,ROWS($1:17)),)&amp;"/"&amp;OFFSET(TH!C$1,SMALL(_DNL1,ROWS($1:17)),))</f>
        <v/>
      </c>
      <c r="C30" s="146" t="str">
        <f ca="1">IF(ROWS($1:17)&gt;COUNT(_DNL1),"",OFFSET(TH!E$1,SMALL(_DNL1,ROWS($1:17)),))</f>
        <v/>
      </c>
      <c r="D30" s="147" t="str">
        <f ca="1">IF(ROWS($1:17)&gt;COUNT(_DNL1),"",OFFSET(TH!F$1,SMALL(_DNL1,ROWS($1:17)),))</f>
        <v/>
      </c>
      <c r="E30" s="145" t="str">
        <f ca="1">IF(ROWS($1:17)&gt;COUNT(_DNL1),"",IF(OFFSET(TH!H$1,SMALL(_DNL1,ROWS($1:17)),)="1521",OFFSET(TH!I$1,SMALL(_DNL1,ROWS($1:17)),),OFFSET(TH!H$1,SMALL(_DNL1,ROWS($1:17)),)))</f>
        <v/>
      </c>
      <c r="F30" s="148">
        <f ca="1">IF(ROWS($1:17)&gt;COUNT(_DNL1),0,OFFSET(TH!J$1,SMALL(_DNL1,ROWS($1:17)),))</f>
        <v>0</v>
      </c>
      <c r="G30" s="148">
        <f ca="1">IF(ROWS($1:17)&gt;COUNT(_DNL1),0,IF(OFFSET(TH!K$1,SMALL(_DNL1,ROWS($1:17)),)&lt;&gt;0,OFFSET(TH!K$1,SMALL(_DNL1,ROWS($1:17)),),0))</f>
        <v>0</v>
      </c>
      <c r="H30" s="143">
        <f t="shared" ca="1" si="5"/>
        <v>0</v>
      </c>
      <c r="I30" s="148">
        <f ca="1">IF(ROWS($1:17)&gt;COUNT(_DNL1),0,IF(OFFSET(TH!M$1,SMALL(_DNL1,ROWS($1:17)),)&lt;&gt;0,OFFSET(TH!M$1,SMALL(_DNL1,ROWS($1:17)),),0))</f>
        <v>0</v>
      </c>
      <c r="J30" s="143">
        <f t="shared" ca="1" si="6"/>
        <v>0</v>
      </c>
      <c r="K30" s="143">
        <f t="shared" ca="1" si="7"/>
        <v>0</v>
      </c>
      <c r="L30" s="143">
        <f t="shared" ca="1" si="8"/>
        <v>0</v>
      </c>
      <c r="M30" s="143"/>
      <c r="N30" s="213"/>
    </row>
    <row r="31" spans="1:16">
      <c r="A31" s="24"/>
      <c r="B31" s="17"/>
      <c r="C31" s="18"/>
      <c r="D31" s="19"/>
      <c r="E31" s="56"/>
      <c r="F31" s="68"/>
      <c r="G31" s="15"/>
      <c r="H31" s="15"/>
      <c r="I31" s="15"/>
      <c r="J31" s="15"/>
      <c r="K31" s="15"/>
      <c r="L31" s="15"/>
      <c r="M31" s="25"/>
      <c r="N31" s="213"/>
    </row>
    <row r="32" spans="1:16">
      <c r="A32" s="20"/>
      <c r="B32" s="20"/>
      <c r="C32" s="20"/>
      <c r="D32" s="20" t="s">
        <v>21</v>
      </c>
      <c r="E32" s="12" t="s">
        <v>22</v>
      </c>
      <c r="F32" s="12" t="s">
        <v>22</v>
      </c>
      <c r="G32" s="21">
        <f ca="1">SUM(G14:G31)</f>
        <v>2000</v>
      </c>
      <c r="H32" s="21">
        <f ca="1">SUM(H14:H31)</f>
        <v>28095239</v>
      </c>
      <c r="I32" s="21">
        <f ca="1">SUM(I14:I31)</f>
        <v>150</v>
      </c>
      <c r="J32" s="21">
        <f ca="1">SUM(J14:J31)</f>
        <v>1750001</v>
      </c>
      <c r="K32" s="21">
        <f ca="1">K13+G32-I32</f>
        <v>2150</v>
      </c>
      <c r="L32" s="21">
        <f ca="1">L13+H32-J32</f>
        <v>29845240</v>
      </c>
      <c r="M32" s="20"/>
      <c r="N32" s="213"/>
    </row>
    <row r="33" spans="2:14">
      <c r="B33" s="22" t="s">
        <v>43</v>
      </c>
      <c r="G33" s="26"/>
      <c r="N33" s="213"/>
    </row>
    <row r="34" spans="2:14">
      <c r="B34" s="101" t="str">
        <f ca="1">IF(ISERROR(" - Ngày mở sổ: ngày "&amp;DAY(C14)&amp;" tháng "&amp;MONTH(C14)&amp;" năm "&amp;YEAR(C14))," - Ngày mở sổ: ngày 01 tháng  01 năm 2016 "," - Ngày mở sổ: ngày "&amp;DAY(C14)&amp;" tháng "&amp;MONTH(C14)&amp;" năm "&amp;YEAR(C14))</f>
        <v xml:space="preserve"> - Ngày mở sổ: ngày 5 tháng 1 năm 2016</v>
      </c>
      <c r="G34" s="26"/>
      <c r="I34" s="26"/>
      <c r="N34" s="213"/>
    </row>
    <row r="35" spans="2:14">
      <c r="B35" s="23"/>
      <c r="C35" s="23"/>
      <c r="D35" s="23"/>
      <c r="F35" s="23"/>
      <c r="G35" s="27"/>
      <c r="H35" s="10"/>
      <c r="I35" s="29"/>
      <c r="J35" s="516" t="s">
        <v>289</v>
      </c>
      <c r="K35" s="516"/>
      <c r="L35" s="516"/>
      <c r="M35" s="516"/>
      <c r="N35" s="213"/>
    </row>
    <row r="36" spans="2:14">
      <c r="B36" s="516" t="s">
        <v>23</v>
      </c>
      <c r="C36" s="516"/>
      <c r="D36" s="516"/>
      <c r="E36" s="516" t="s">
        <v>24</v>
      </c>
      <c r="F36" s="516"/>
      <c r="G36" s="516"/>
      <c r="H36" s="516"/>
      <c r="I36" s="516"/>
      <c r="J36" s="516" t="s">
        <v>25</v>
      </c>
      <c r="K36" s="516"/>
      <c r="L36" s="516"/>
      <c r="M36" s="516"/>
      <c r="N36" s="213"/>
    </row>
    <row r="37" spans="2:14">
      <c r="B37" s="516" t="s">
        <v>26</v>
      </c>
      <c r="C37" s="516" t="s">
        <v>27</v>
      </c>
      <c r="D37" s="516" t="s">
        <v>26</v>
      </c>
      <c r="E37" s="516" t="s">
        <v>26</v>
      </c>
      <c r="F37" s="516"/>
      <c r="G37" s="516"/>
      <c r="H37" s="516" t="s">
        <v>28</v>
      </c>
      <c r="I37" s="516"/>
      <c r="J37" s="516" t="s">
        <v>28</v>
      </c>
      <c r="K37" s="516"/>
      <c r="L37" s="516"/>
      <c r="M37" s="516"/>
      <c r="N37" s="213"/>
    </row>
    <row r="38" spans="2:14">
      <c r="N38" s="214"/>
    </row>
    <row r="39" spans="2:14">
      <c r="E39" s="9"/>
    </row>
    <row r="41" spans="2:14" customFormat="1" ht="12.75">
      <c r="E41" s="60"/>
    </row>
  </sheetData>
  <mergeCells count="21">
    <mergeCell ref="J37:M37"/>
    <mergeCell ref="I10:J10"/>
    <mergeCell ref="B37:D37"/>
    <mergeCell ref="E37:I37"/>
    <mergeCell ref="D10:D11"/>
    <mergeCell ref="B10:C10"/>
    <mergeCell ref="E10:E11"/>
    <mergeCell ref="G10:H10"/>
    <mergeCell ref="J36:M36"/>
    <mergeCell ref="J35:M35"/>
    <mergeCell ref="M10:M11"/>
    <mergeCell ref="B36:D36"/>
    <mergeCell ref="E36:I36"/>
    <mergeCell ref="A10:A11"/>
    <mergeCell ref="J8:L8"/>
    <mergeCell ref="K10:L10"/>
    <mergeCell ref="F10:F11"/>
    <mergeCell ref="J2:M2"/>
    <mergeCell ref="J3:M4"/>
    <mergeCell ref="B5:M5"/>
    <mergeCell ref="B6:M6"/>
  </mergeCells>
  <phoneticPr fontId="30" type="noConversion"/>
  <conditionalFormatting sqref="B14:G30 I14:M30">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41"/>
  <sheetViews>
    <sheetView topLeftCell="A4" zoomScale="90" workbookViewId="0">
      <pane ySplit="10" topLeftCell="A14" activePane="bottomLeft" state="frozen"/>
      <selection activeCell="A4" sqref="A4"/>
      <selection pane="bottomLeft" activeCell="P24" sqref="P24"/>
    </sheetView>
  </sheetViews>
  <sheetFormatPr defaultRowHeight="14.25"/>
  <cols>
    <col min="1" max="1" width="4.42578125" style="89" customWidth="1"/>
    <col min="2" max="2" width="9.140625" style="89"/>
    <col min="3" max="3" width="9.140625" style="138" customWidth="1"/>
    <col min="4" max="4" width="10.85546875" style="138" customWidth="1"/>
    <col min="5" max="5" width="39.42578125" style="139" customWidth="1"/>
    <col min="6" max="6" width="10.85546875" style="140" customWidth="1"/>
    <col min="7" max="7" width="9" style="141" customWidth="1"/>
    <col min="8" max="8" width="9.5703125" style="141" customWidth="1"/>
    <col min="9" max="9" width="10" style="141" customWidth="1"/>
    <col min="10" max="10" width="8" style="89" customWidth="1"/>
    <col min="11" max="11" width="2.42578125" style="89" customWidth="1"/>
    <col min="12" max="12" width="6.5703125" style="89" customWidth="1"/>
    <col min="13" max="16384" width="9.140625" style="89"/>
  </cols>
  <sheetData>
    <row r="1" spans="1:12" ht="15" customHeight="1">
      <c r="A1" s="84" t="s">
        <v>63</v>
      </c>
      <c r="B1" s="85"/>
      <c r="C1" s="85"/>
      <c r="D1" s="85"/>
      <c r="E1" s="86"/>
      <c r="F1" s="85"/>
      <c r="G1" s="87"/>
      <c r="H1" s="88" t="s">
        <v>125</v>
      </c>
      <c r="I1" s="89"/>
      <c r="J1" s="90"/>
      <c r="K1" s="90"/>
      <c r="L1" s="218"/>
    </row>
    <row r="2" spans="1:12" ht="15" customHeight="1">
      <c r="A2" s="91" t="s">
        <v>44</v>
      </c>
      <c r="B2" s="92"/>
      <c r="C2" s="92"/>
      <c r="D2" s="92"/>
      <c r="E2" s="93"/>
      <c r="F2" s="94"/>
      <c r="G2" s="95"/>
      <c r="H2" s="96" t="s">
        <v>102</v>
      </c>
      <c r="I2" s="89"/>
      <c r="J2" s="90"/>
      <c r="K2" s="90"/>
    </row>
    <row r="3" spans="1:12" ht="15">
      <c r="A3" s="92"/>
      <c r="B3" s="92"/>
      <c r="C3" s="92"/>
      <c r="D3" s="92"/>
      <c r="E3" s="93"/>
      <c r="F3" s="94"/>
      <c r="G3" s="95"/>
      <c r="H3" s="96" t="s">
        <v>110</v>
      </c>
      <c r="I3" s="89"/>
      <c r="J3" s="90"/>
      <c r="K3" s="90"/>
    </row>
    <row r="4" spans="1:12" ht="18.75" customHeight="1">
      <c r="A4" s="97"/>
      <c r="B4" s="97"/>
      <c r="C4" s="97"/>
      <c r="D4" s="97"/>
      <c r="E4" s="98" t="s">
        <v>64</v>
      </c>
      <c r="F4" s="97"/>
      <c r="G4" s="97"/>
      <c r="H4" s="97"/>
      <c r="I4" s="97"/>
      <c r="J4" s="90"/>
      <c r="K4" s="90"/>
    </row>
    <row r="5" spans="1:12" ht="15">
      <c r="A5" s="99"/>
      <c r="B5" s="99"/>
      <c r="C5" s="99"/>
      <c r="D5" s="99"/>
      <c r="E5" s="100" t="str">
        <f ca="1">IF(ISERROR("Ngày lập thẻ: ngày "&amp;DAY(B14)&amp;"/"&amp;MONTH(B14)&amp;"/"&amp;YEAR(B14)),"Ngày lập thẻ: ngày 01/ 01/2016 ","Ngày lập thẻ: ngày "&amp;DAY(B14)&amp;"/"&amp;MONTH(B14)&amp;"/"&amp;YEAR(B14))</f>
        <v>Ngày lập thẻ: ngày 2/1/2016</v>
      </c>
      <c r="F5" s="99"/>
      <c r="G5" s="99"/>
      <c r="H5" s="99"/>
      <c r="I5" s="99"/>
      <c r="J5" s="90"/>
      <c r="K5" s="90"/>
    </row>
    <row r="6" spans="1:12" ht="15">
      <c r="A6" s="99"/>
      <c r="B6" s="99"/>
      <c r="C6" s="99"/>
      <c r="D6" s="99"/>
      <c r="E6" s="100" t="s">
        <v>65</v>
      </c>
      <c r="F6" s="99"/>
      <c r="G6" s="99"/>
      <c r="H6" s="99"/>
      <c r="I6" s="99"/>
      <c r="J6" s="90"/>
      <c r="K6" s="90"/>
    </row>
    <row r="7" spans="1:12" ht="15">
      <c r="A7" s="101" t="s">
        <v>75</v>
      </c>
      <c r="B7" s="101"/>
      <c r="C7" s="102"/>
      <c r="D7" s="102"/>
      <c r="E7" s="103" t="s">
        <v>39</v>
      </c>
      <c r="F7" s="94"/>
      <c r="G7" s="104"/>
      <c r="H7" s="104"/>
      <c r="I7" s="104"/>
      <c r="J7" s="90"/>
      <c r="K7" s="90"/>
    </row>
    <row r="8" spans="1:12" ht="15">
      <c r="A8" s="101" t="s">
        <v>80</v>
      </c>
      <c r="B8" s="101"/>
      <c r="C8" s="90" t="str">
        <f>VLOOKUP($E$7,NXT!$C$12:$L$67,2,0)</f>
        <v>kg</v>
      </c>
      <c r="D8" s="101"/>
      <c r="E8" s="103"/>
      <c r="F8" s="94"/>
      <c r="G8" s="104"/>
      <c r="H8" s="104"/>
      <c r="I8" s="104"/>
      <c r="J8" s="90"/>
      <c r="K8" s="90"/>
    </row>
    <row r="9" spans="1:12" ht="15">
      <c r="A9" s="520" t="s">
        <v>66</v>
      </c>
      <c r="B9" s="521"/>
      <c r="C9" s="521"/>
      <c r="D9" s="521"/>
      <c r="E9" s="103"/>
      <c r="F9" s="94"/>
      <c r="G9" s="104"/>
      <c r="H9" s="104"/>
      <c r="I9" s="104"/>
      <c r="J9" s="105"/>
      <c r="K9" s="105"/>
    </row>
    <row r="10" spans="1:12" ht="19.5" customHeight="1">
      <c r="A10" s="522" t="s">
        <v>67</v>
      </c>
      <c r="B10" s="527" t="s">
        <v>68</v>
      </c>
      <c r="C10" s="523" t="s">
        <v>9</v>
      </c>
      <c r="D10" s="524"/>
      <c r="E10" s="525" t="s">
        <v>2</v>
      </c>
      <c r="F10" s="534" t="s">
        <v>83</v>
      </c>
      <c r="G10" s="533" t="s">
        <v>11</v>
      </c>
      <c r="H10" s="533"/>
      <c r="I10" s="524"/>
      <c r="J10" s="529" t="s">
        <v>185</v>
      </c>
      <c r="K10" s="206"/>
      <c r="L10" s="219" t="s">
        <v>177</v>
      </c>
    </row>
    <row r="11" spans="1:12" ht="19.5" customHeight="1">
      <c r="A11" s="522"/>
      <c r="B11" s="528"/>
      <c r="C11" s="106" t="s">
        <v>5</v>
      </c>
      <c r="D11" s="106" t="s">
        <v>6</v>
      </c>
      <c r="E11" s="526"/>
      <c r="F11" s="535"/>
      <c r="G11" s="107" t="s">
        <v>5</v>
      </c>
      <c r="H11" s="107" t="s">
        <v>6</v>
      </c>
      <c r="I11" s="107" t="s">
        <v>7</v>
      </c>
      <c r="J11" s="530"/>
      <c r="K11" s="206"/>
    </row>
    <row r="12" spans="1:12" ht="15">
      <c r="A12" s="108" t="s">
        <v>13</v>
      </c>
      <c r="B12" s="109" t="s">
        <v>14</v>
      </c>
      <c r="C12" s="110" t="s">
        <v>15</v>
      </c>
      <c r="D12" s="110" t="s">
        <v>16</v>
      </c>
      <c r="E12" s="111" t="s">
        <v>69</v>
      </c>
      <c r="F12" s="109" t="s">
        <v>70</v>
      </c>
      <c r="G12" s="112">
        <v>1</v>
      </c>
      <c r="H12" s="112">
        <v>2</v>
      </c>
      <c r="I12" s="112">
        <v>3</v>
      </c>
      <c r="J12" s="110" t="s">
        <v>71</v>
      </c>
      <c r="K12" s="207"/>
    </row>
    <row r="13" spans="1:12" ht="16.5" customHeight="1">
      <c r="A13" s="113"/>
      <c r="B13" s="114"/>
      <c r="C13" s="115"/>
      <c r="D13" s="115"/>
      <c r="E13" s="116" t="s">
        <v>35</v>
      </c>
      <c r="F13" s="114"/>
      <c r="G13" s="117"/>
      <c r="H13" s="117"/>
      <c r="I13" s="118">
        <f>VLOOKUP($E$7,NXT!$C$12:$L$67,3,0)</f>
        <v>450</v>
      </c>
      <c r="J13" s="113"/>
      <c r="K13" s="208"/>
    </row>
    <row r="14" spans="1:12" ht="16.5" customHeight="1">
      <c r="A14" s="119">
        <f ca="1">IF(B14&lt;&gt;"",ROW()-(ROW()-1),"")</f>
        <v>1</v>
      </c>
      <c r="B14" s="120">
        <f ca="1">IF(ROWS($1:1)&gt;COUNT(Dong3),"",OFFSET(TH!E$1,SMALL(Dong3,ROWS($1:1)),))</f>
        <v>42371</v>
      </c>
      <c r="C14" s="120" t="str">
        <f ca="1">IF(ROWS($1:1)&gt;COUNT(Dong3),"",IF(LEFT((OFFSET(TH!D$1,SMALL(Dong3,ROWS($1:1)),)),1)&lt;&gt;"N","",(OFFSET(TH!D$1,SMALL(Dong3,ROWS($1:1)),)&amp;"/"&amp;OFFSET(TH!C$1,SMALL(Dong3,ROWS($1:1)),))))</f>
        <v/>
      </c>
      <c r="D14" s="120" t="str">
        <f ca="1">IF(ROWS($1:1)&gt;COUNT(Dong3),"",IF(LEFT((OFFSET(TH!D$1,SMALL(Dong3,ROWS($1:1)),)),1)&lt;&gt;"X","",(OFFSET(TH!D$1,SMALL(Dong3,ROWS($1:1)),)&amp;"/"&amp;OFFSET(TH!C$1,SMALL(Dong3,ROWS($1:1)),))))</f>
        <v>X01/VL</v>
      </c>
      <c r="E14" s="121" t="str">
        <f ca="1">IF(ROWS($1:1)&gt;COUNT(Dong3),"",OFFSET(TH!F$1,SMALL(Dong3,ROWS($1:1)),))</f>
        <v>Bột ngọt</v>
      </c>
      <c r="F14" s="120">
        <f ca="1">B14</f>
        <v>42371</v>
      </c>
      <c r="G14" s="122">
        <f ca="1">IF(ROWS($1:1)&gt;COUNT(Dong3),0,IF(OFFSET(TH!K$1,SMALL(Dong3,ROWS($1:1)),)&lt;&gt;0,OFFSET(TH!K$1,SMALL(Dong3,ROWS($1:1)),),0))</f>
        <v>0</v>
      </c>
      <c r="H14" s="122">
        <f ca="1">IF(ROWS($1:1)&gt;COUNT(Dong3),0,IF(OFFSET(TH!M$1,SMALL(Dong3,ROWS($1:1)),)&lt;&gt;0,OFFSET(TH!M$1,SMALL(Dong3,ROWS($1:1)),),0))</f>
        <v>100</v>
      </c>
      <c r="I14" s="123">
        <f ca="1">IF(E14&lt;&gt;"",I13+G14-H14,0)</f>
        <v>350</v>
      </c>
      <c r="J14" s="124"/>
      <c r="K14" s="209"/>
    </row>
    <row r="15" spans="1:12" ht="16.5" customHeight="1">
      <c r="A15" s="125" t="str">
        <f ca="1">IF(B15&lt;&gt;"",A14+1,"")</f>
        <v/>
      </c>
      <c r="B15" s="120" t="str">
        <f ca="1">IF(ROWS($1:2)&gt;COUNT(Dong3),"",OFFSET(TH!E$1,SMALL(Dong3,ROWS($1:2)),))</f>
        <v/>
      </c>
      <c r="C15" s="120" t="str">
        <f ca="1">IF(ROWS($1:2)&gt;COUNT(Dong3),"",IF(LEFT((OFFSET(TH!D$1,SMALL(Dong3,ROWS($1:2)),)),1)&lt;&gt;"N","",(OFFSET(TH!D$1,SMALL(Dong3,ROWS($1:2)),)&amp;"/"&amp;OFFSET(TH!C$1,SMALL(Dong3,ROWS($1:2)),))))</f>
        <v/>
      </c>
      <c r="D15" s="120" t="str">
        <f ca="1">IF(ROWS($1:2)&gt;COUNT(Dong3),"",IF(LEFT((OFFSET(TH!D$1,SMALL(Dong3,ROWS($1:2)),)),1)&lt;&gt;"X","",(OFFSET(TH!D$1,SMALL(Dong3,ROWS($1:2)),)&amp;"/"&amp;OFFSET(TH!C$1,SMALL(Dong3,ROWS($1:2)),))))</f>
        <v/>
      </c>
      <c r="E15" s="121" t="str">
        <f ca="1">IF(ROWS($1:2)&gt;COUNT(Dong3),"",OFFSET(TH!F$1,SMALL(Dong3,ROWS($1:2)),))</f>
        <v/>
      </c>
      <c r="F15" s="120" t="str">
        <f t="shared" ref="F15:F23" ca="1" si="0">B15</f>
        <v/>
      </c>
      <c r="G15" s="122">
        <f ca="1">IF(ROWS($1:2)&gt;COUNT(Dong3),0,IF(OFFSET(TH!K$1,SMALL(Dong3,ROWS($1:2)),)&lt;&gt;0,OFFSET(TH!K$1,SMALL(Dong3,ROWS($1:2)),),0))</f>
        <v>0</v>
      </c>
      <c r="H15" s="122">
        <f ca="1">IF(ROWS($1:2)&gt;COUNT(Dong3),0,IF(OFFSET(TH!M$1,SMALL(Dong3,ROWS($1:2)),)&lt;&gt;0,OFFSET(TH!M$1,SMALL(Dong3,ROWS($1:2)),),0))</f>
        <v>0</v>
      </c>
      <c r="I15" s="123">
        <f t="shared" ref="I15:I23" ca="1" si="1">IF(E15&lt;&gt;"",I14+G15-H15,0)</f>
        <v>0</v>
      </c>
      <c r="J15" s="124"/>
      <c r="K15" s="209"/>
    </row>
    <row r="16" spans="1:12" ht="16.5" customHeight="1">
      <c r="A16" s="125" t="str">
        <f t="shared" ref="A16:A23" ca="1" si="2">IF(B16&lt;&gt;"",A15+1,"")</f>
        <v/>
      </c>
      <c r="B16" s="120" t="str">
        <f ca="1">IF(ROWS($1:3)&gt;COUNT(Dong3),"",OFFSET(TH!E$1,SMALL(Dong3,ROWS($1:3)),))</f>
        <v/>
      </c>
      <c r="C16" s="120" t="str">
        <f ca="1">IF(ROWS($1:3)&gt;COUNT(Dong3),"",IF(LEFT((OFFSET(TH!D$1,SMALL(Dong3,ROWS($1:3)),)),1)&lt;&gt;"N","",(OFFSET(TH!D$1,SMALL(Dong3,ROWS($1:3)),)&amp;"/"&amp;OFFSET(TH!C$1,SMALL(Dong3,ROWS($1:3)),))))</f>
        <v/>
      </c>
      <c r="D16" s="120" t="str">
        <f ca="1">IF(ROWS($1:3)&gt;COUNT(Dong3),"",IF(LEFT((OFFSET(TH!D$1,SMALL(Dong3,ROWS($1:3)),)),1)&lt;&gt;"X","",(OFFSET(TH!D$1,SMALL(Dong3,ROWS($1:3)),)&amp;"/"&amp;OFFSET(TH!C$1,SMALL(Dong3,ROWS($1:3)),))))</f>
        <v/>
      </c>
      <c r="E16" s="121" t="str">
        <f ca="1">IF(ROWS($1:3)&gt;COUNT(Dong3),"",OFFSET(TH!F$1,SMALL(Dong3,ROWS($1:3)),))</f>
        <v/>
      </c>
      <c r="F16" s="120" t="str">
        <f t="shared" ca="1" si="0"/>
        <v/>
      </c>
      <c r="G16" s="122">
        <f ca="1">IF(ROWS($1:3)&gt;COUNT(Dong3),0,IF(OFFSET(TH!K$1,SMALL(Dong3,ROWS($1:3)),)&lt;&gt;0,OFFSET(TH!K$1,SMALL(Dong3,ROWS($1:3)),),0))</f>
        <v>0</v>
      </c>
      <c r="H16" s="122">
        <f ca="1">IF(ROWS($1:3)&gt;COUNT(Dong3),0,IF(OFFSET(TH!M$1,SMALL(Dong3,ROWS($1:3)),)&lt;&gt;0,OFFSET(TH!M$1,SMALL(Dong3,ROWS($1:3)),),0))</f>
        <v>0</v>
      </c>
      <c r="I16" s="123">
        <f t="shared" ca="1" si="1"/>
        <v>0</v>
      </c>
      <c r="J16" s="124"/>
      <c r="K16" s="209"/>
    </row>
    <row r="17" spans="1:11" ht="16.5" customHeight="1">
      <c r="A17" s="125" t="str">
        <f t="shared" ca="1" si="2"/>
        <v/>
      </c>
      <c r="B17" s="120" t="str">
        <f ca="1">IF(ROWS($1:4)&gt;COUNT(Dong3),"",OFFSET(TH!E$1,SMALL(Dong3,ROWS($1:4)),))</f>
        <v/>
      </c>
      <c r="C17" s="120" t="str">
        <f ca="1">IF(ROWS($1:4)&gt;COUNT(Dong3),"",IF(LEFT((OFFSET(TH!D$1,SMALL(Dong3,ROWS($1:4)),)),1)&lt;&gt;"N","",(OFFSET(TH!D$1,SMALL(Dong3,ROWS($1:4)),)&amp;"/"&amp;OFFSET(TH!C$1,SMALL(Dong3,ROWS($1:4)),))))</f>
        <v/>
      </c>
      <c r="D17" s="120" t="str">
        <f ca="1">IF(ROWS($1:4)&gt;COUNT(Dong3),"",IF(LEFT((OFFSET(TH!D$1,SMALL(Dong3,ROWS($1:4)),)),1)&lt;&gt;"X","",(OFFSET(TH!D$1,SMALL(Dong3,ROWS($1:4)),)&amp;"/"&amp;OFFSET(TH!C$1,SMALL(Dong3,ROWS($1:4)),))))</f>
        <v/>
      </c>
      <c r="E17" s="121" t="str">
        <f ca="1">IF(ROWS($1:4)&gt;COUNT(Dong3),"",OFFSET(TH!F$1,SMALL(Dong3,ROWS($1:4)),))</f>
        <v/>
      </c>
      <c r="F17" s="120" t="str">
        <f t="shared" ca="1" si="0"/>
        <v/>
      </c>
      <c r="G17" s="122">
        <f ca="1">IF(ROWS($1:4)&gt;COUNT(Dong3),0,IF(OFFSET(TH!K$1,SMALL(Dong3,ROWS($1:4)),)&lt;&gt;0,OFFSET(TH!K$1,SMALL(Dong3,ROWS($1:4)),),0))</f>
        <v>0</v>
      </c>
      <c r="H17" s="122">
        <f ca="1">IF(ROWS($1:4)&gt;COUNT(Dong3),0,IF(OFFSET(TH!M$1,SMALL(Dong3,ROWS($1:4)),)&lt;&gt;0,OFFSET(TH!M$1,SMALL(Dong3,ROWS($1:4)),),0))</f>
        <v>0</v>
      </c>
      <c r="I17" s="123">
        <f t="shared" ca="1" si="1"/>
        <v>0</v>
      </c>
      <c r="J17" s="124"/>
      <c r="K17" s="209"/>
    </row>
    <row r="18" spans="1:11" ht="16.5" customHeight="1">
      <c r="A18" s="125" t="str">
        <f t="shared" ca="1" si="2"/>
        <v/>
      </c>
      <c r="B18" s="120" t="str">
        <f ca="1">IF(ROWS($1:5)&gt;COUNT(Dong3),"",OFFSET(TH!E$1,SMALL(Dong3,ROWS($1:5)),))</f>
        <v/>
      </c>
      <c r="C18" s="120" t="str">
        <f ca="1">IF(ROWS($1:5)&gt;COUNT(Dong3),"",IF(LEFT((OFFSET(TH!D$1,SMALL(Dong3,ROWS($1:5)),)),1)&lt;&gt;"N","",(OFFSET(TH!D$1,SMALL(Dong3,ROWS($1:5)),)&amp;"/"&amp;OFFSET(TH!C$1,SMALL(Dong3,ROWS($1:5)),))))</f>
        <v/>
      </c>
      <c r="D18" s="120" t="str">
        <f ca="1">IF(ROWS($1:5)&gt;COUNT(Dong3),"",IF(LEFT((OFFSET(TH!D$1,SMALL(Dong3,ROWS($1:5)),)),1)&lt;&gt;"X","",(OFFSET(TH!D$1,SMALL(Dong3,ROWS($1:5)),)&amp;"/"&amp;OFFSET(TH!C$1,SMALL(Dong3,ROWS($1:5)),))))</f>
        <v/>
      </c>
      <c r="E18" s="121" t="str">
        <f ca="1">IF(ROWS($1:5)&gt;COUNT(Dong3),"",OFFSET(TH!F$1,SMALL(Dong3,ROWS($1:5)),))</f>
        <v/>
      </c>
      <c r="F18" s="120" t="str">
        <f t="shared" ca="1" si="0"/>
        <v/>
      </c>
      <c r="G18" s="122">
        <f ca="1">IF(ROWS($1:5)&gt;COUNT(Dong3),0,IF(OFFSET(TH!K$1,SMALL(Dong3,ROWS($1:5)),)&lt;&gt;0,OFFSET(TH!K$1,SMALL(Dong3,ROWS($1:5)),),0))</f>
        <v>0</v>
      </c>
      <c r="H18" s="122">
        <f ca="1">IF(ROWS($1:5)&gt;COUNT(Dong3),0,IF(OFFSET(TH!M$1,SMALL(Dong3,ROWS($1:5)),)&lt;&gt;0,OFFSET(TH!M$1,SMALL(Dong3,ROWS($1:5)),),0))</f>
        <v>0</v>
      </c>
      <c r="I18" s="123">
        <f t="shared" ca="1" si="1"/>
        <v>0</v>
      </c>
      <c r="J18" s="124"/>
      <c r="K18" s="209"/>
    </row>
    <row r="19" spans="1:11" ht="16.5" customHeight="1">
      <c r="A19" s="125" t="str">
        <f t="shared" ca="1" si="2"/>
        <v/>
      </c>
      <c r="B19" s="120" t="str">
        <f ca="1">IF(ROWS($1:6)&gt;COUNT(Dong3),"",OFFSET(TH!E$1,SMALL(Dong3,ROWS($1:6)),))</f>
        <v/>
      </c>
      <c r="C19" s="120" t="str">
        <f ca="1">IF(ROWS($1:6)&gt;COUNT(Dong3),"",IF(LEFT((OFFSET(TH!D$1,SMALL(Dong3,ROWS($1:6)),)),1)&lt;&gt;"N","",(OFFSET(TH!D$1,SMALL(Dong3,ROWS($1:6)),)&amp;"/"&amp;OFFSET(TH!C$1,SMALL(Dong3,ROWS($1:6)),))))</f>
        <v/>
      </c>
      <c r="D19" s="120" t="str">
        <f ca="1">IF(ROWS($1:6)&gt;COUNT(Dong3),"",IF(LEFT((OFFSET(TH!D$1,SMALL(Dong3,ROWS($1:6)),)),1)&lt;&gt;"X","",(OFFSET(TH!D$1,SMALL(Dong3,ROWS($1:6)),)&amp;"/"&amp;OFFSET(TH!C$1,SMALL(Dong3,ROWS($1:6)),))))</f>
        <v/>
      </c>
      <c r="E19" s="121" t="str">
        <f ca="1">IF(ROWS($1:6)&gt;COUNT(Dong3),"",OFFSET(TH!F$1,SMALL(Dong3,ROWS($1:6)),))</f>
        <v/>
      </c>
      <c r="F19" s="120" t="str">
        <f t="shared" ca="1" si="0"/>
        <v/>
      </c>
      <c r="G19" s="122">
        <f ca="1">IF(ROWS($1:6)&gt;COUNT(Dong3),0,IF(OFFSET(TH!K$1,SMALL(Dong3,ROWS($1:6)),)&lt;&gt;0,OFFSET(TH!K$1,SMALL(Dong3,ROWS($1:6)),),0))</f>
        <v>0</v>
      </c>
      <c r="H19" s="122">
        <f ca="1">IF(ROWS($1:6)&gt;COUNT(Dong3),0,IF(OFFSET(TH!M$1,SMALL(Dong3,ROWS($1:6)),)&lt;&gt;0,OFFSET(TH!M$1,SMALL(Dong3,ROWS($1:6)),),0))</f>
        <v>0</v>
      </c>
      <c r="I19" s="123">
        <f t="shared" ca="1" si="1"/>
        <v>0</v>
      </c>
      <c r="J19" s="124"/>
      <c r="K19" s="209"/>
    </row>
    <row r="20" spans="1:11" ht="16.5" customHeight="1">
      <c r="A20" s="125" t="str">
        <f t="shared" ca="1" si="2"/>
        <v/>
      </c>
      <c r="B20" s="120" t="str">
        <f ca="1">IF(ROWS($1:7)&gt;COUNT(Dong3),"",OFFSET(TH!E$1,SMALL(Dong3,ROWS($1:7)),))</f>
        <v/>
      </c>
      <c r="C20" s="120" t="str">
        <f ca="1">IF(ROWS($1:7)&gt;COUNT(Dong3),"",IF(LEFT((OFFSET(TH!D$1,SMALL(Dong3,ROWS($1:7)),)),1)&lt;&gt;"N","",(OFFSET(TH!D$1,SMALL(Dong3,ROWS($1:7)),)&amp;"/"&amp;OFFSET(TH!C$1,SMALL(Dong3,ROWS($1:7)),))))</f>
        <v/>
      </c>
      <c r="D20" s="120" t="str">
        <f ca="1">IF(ROWS($1:7)&gt;COUNT(Dong3),"",IF(LEFT((OFFSET(TH!D$1,SMALL(Dong3,ROWS($1:7)),)),1)&lt;&gt;"X","",(OFFSET(TH!D$1,SMALL(Dong3,ROWS($1:7)),)&amp;"/"&amp;OFFSET(TH!C$1,SMALL(Dong3,ROWS($1:7)),))))</f>
        <v/>
      </c>
      <c r="E20" s="121" t="str">
        <f ca="1">IF(ROWS($1:7)&gt;COUNT(Dong3),"",OFFSET(TH!F$1,SMALL(Dong3,ROWS($1:7)),))</f>
        <v/>
      </c>
      <c r="F20" s="120" t="str">
        <f t="shared" ca="1" si="0"/>
        <v/>
      </c>
      <c r="G20" s="122">
        <f ca="1">IF(ROWS($1:7)&gt;COUNT(Dong3),0,IF(OFFSET(TH!K$1,SMALL(Dong3,ROWS($1:7)),)&lt;&gt;0,OFFSET(TH!K$1,SMALL(Dong3,ROWS($1:7)),),0))</f>
        <v>0</v>
      </c>
      <c r="H20" s="122">
        <f ca="1">IF(ROWS($1:7)&gt;COUNT(Dong3),0,IF(OFFSET(TH!M$1,SMALL(Dong3,ROWS($1:7)),)&lt;&gt;0,OFFSET(TH!M$1,SMALL(Dong3,ROWS($1:7)),),0))</f>
        <v>0</v>
      </c>
      <c r="I20" s="123">
        <f t="shared" ca="1" si="1"/>
        <v>0</v>
      </c>
      <c r="J20" s="124"/>
      <c r="K20" s="209"/>
    </row>
    <row r="21" spans="1:11" ht="16.5" customHeight="1">
      <c r="A21" s="125" t="str">
        <f t="shared" ca="1" si="2"/>
        <v/>
      </c>
      <c r="B21" s="120" t="str">
        <f ca="1">IF(ROWS($1:8)&gt;COUNT(Dong3),"",OFFSET(TH!E$1,SMALL(Dong3,ROWS($1:8)),))</f>
        <v/>
      </c>
      <c r="C21" s="120" t="str">
        <f ca="1">IF(ROWS($1:8)&gt;COUNT(Dong3),"",IF(LEFT((OFFSET(TH!D$1,SMALL(Dong3,ROWS($1:8)),)),1)&lt;&gt;"N","",(OFFSET(TH!D$1,SMALL(Dong3,ROWS($1:8)),)&amp;"/"&amp;OFFSET(TH!C$1,SMALL(Dong3,ROWS($1:8)),))))</f>
        <v/>
      </c>
      <c r="D21" s="120" t="str">
        <f ca="1">IF(ROWS($1:8)&gt;COUNT(Dong3),"",IF(LEFT((OFFSET(TH!D$1,SMALL(Dong3,ROWS($1:8)),)),1)&lt;&gt;"X","",(OFFSET(TH!D$1,SMALL(Dong3,ROWS($1:8)),)&amp;"/"&amp;OFFSET(TH!C$1,SMALL(Dong3,ROWS($1:8)),))))</f>
        <v/>
      </c>
      <c r="E21" s="121" t="str">
        <f ca="1">IF(ROWS($1:8)&gt;COUNT(Dong3),"",OFFSET(TH!F$1,SMALL(Dong3,ROWS($1:8)),))</f>
        <v/>
      </c>
      <c r="F21" s="120" t="str">
        <f t="shared" ca="1" si="0"/>
        <v/>
      </c>
      <c r="G21" s="122">
        <f ca="1">IF(ROWS($1:8)&gt;COUNT(Dong3),0,IF(OFFSET(TH!K$1,SMALL(Dong3,ROWS($1:8)),)&lt;&gt;0,OFFSET(TH!K$1,SMALL(Dong3,ROWS($1:8)),),0))</f>
        <v>0</v>
      </c>
      <c r="H21" s="122">
        <f ca="1">IF(ROWS($1:8)&gt;COUNT(Dong3),0,IF(OFFSET(TH!M$1,SMALL(Dong3,ROWS($1:8)),)&lt;&gt;0,OFFSET(TH!M$1,SMALL(Dong3,ROWS($1:8)),),0))</f>
        <v>0</v>
      </c>
      <c r="I21" s="123">
        <f t="shared" ca="1" si="1"/>
        <v>0</v>
      </c>
      <c r="J21" s="124"/>
      <c r="K21" s="209"/>
    </row>
    <row r="22" spans="1:11" ht="16.5" customHeight="1">
      <c r="A22" s="125" t="str">
        <f t="shared" ca="1" si="2"/>
        <v/>
      </c>
      <c r="B22" s="120" t="str">
        <f ca="1">IF(ROWS($1:9)&gt;COUNT(Dong3),"",OFFSET(TH!E$1,SMALL(Dong3,ROWS($1:9)),))</f>
        <v/>
      </c>
      <c r="C22" s="120" t="str">
        <f ca="1">IF(ROWS($1:9)&gt;COUNT(Dong3),"",IF(LEFT((OFFSET(TH!D$1,SMALL(Dong3,ROWS($1:9)),)),1)&lt;&gt;"N","",(OFFSET(TH!D$1,SMALL(Dong3,ROWS($1:9)),)&amp;"/"&amp;OFFSET(TH!C$1,SMALL(Dong3,ROWS($1:9)),))))</f>
        <v/>
      </c>
      <c r="D22" s="120" t="str">
        <f ca="1">IF(ROWS($1:9)&gt;COUNT(Dong3),"",IF(LEFT((OFFSET(TH!D$1,SMALL(Dong3,ROWS($1:9)),)),1)&lt;&gt;"X","",(OFFSET(TH!D$1,SMALL(Dong3,ROWS($1:9)),)&amp;"/"&amp;OFFSET(TH!C$1,SMALL(Dong3,ROWS($1:9)),))))</f>
        <v/>
      </c>
      <c r="E22" s="121" t="str">
        <f ca="1">IF(ROWS($1:9)&gt;COUNT(Dong3),"",OFFSET(TH!F$1,SMALL(Dong3,ROWS($1:9)),))</f>
        <v/>
      </c>
      <c r="F22" s="120" t="str">
        <f t="shared" ca="1" si="0"/>
        <v/>
      </c>
      <c r="G22" s="122">
        <f ca="1">IF(ROWS($1:9)&gt;COUNT(Dong3),0,IF(OFFSET(TH!K$1,SMALL(Dong3,ROWS($1:9)),)&lt;&gt;0,OFFSET(TH!K$1,SMALL(Dong3,ROWS($1:9)),),0))</f>
        <v>0</v>
      </c>
      <c r="H22" s="122">
        <f ca="1">IF(ROWS($1:9)&gt;COUNT(Dong3),0,IF(OFFSET(TH!M$1,SMALL(Dong3,ROWS($1:9)),)&lt;&gt;0,OFFSET(TH!M$1,SMALL(Dong3,ROWS($1:9)),),0))</f>
        <v>0</v>
      </c>
      <c r="I22" s="123">
        <f t="shared" ca="1" si="1"/>
        <v>0</v>
      </c>
      <c r="J22" s="124"/>
      <c r="K22" s="209"/>
    </row>
    <row r="23" spans="1:11" ht="16.5" customHeight="1">
      <c r="A23" s="125" t="str">
        <f t="shared" ca="1" si="2"/>
        <v/>
      </c>
      <c r="B23" s="120" t="str">
        <f ca="1">IF(ROWS($1:10)&gt;COUNT(Dong3),"",OFFSET(TH!E$1,SMALL(Dong3,ROWS($1:10)),))</f>
        <v/>
      </c>
      <c r="C23" s="120" t="str">
        <f ca="1">IF(ROWS($1:10)&gt;COUNT(Dong3),"",IF(LEFT((OFFSET(TH!D$1,SMALL(Dong3,ROWS($1:10)),)),1)&lt;&gt;"N","",(OFFSET(TH!D$1,SMALL(Dong3,ROWS($1:10)),)&amp;"/"&amp;OFFSET(TH!C$1,SMALL(Dong3,ROWS($1:10)),))))</f>
        <v/>
      </c>
      <c r="D23" s="120" t="str">
        <f ca="1">IF(ROWS($1:10)&gt;COUNT(Dong3),"",IF(LEFT((OFFSET(TH!D$1,SMALL(Dong3,ROWS($1:10)),)),1)&lt;&gt;"X","",(OFFSET(TH!D$1,SMALL(Dong3,ROWS($1:10)),)&amp;"/"&amp;OFFSET(TH!C$1,SMALL(Dong3,ROWS($1:10)),))))</f>
        <v/>
      </c>
      <c r="E23" s="121" t="str">
        <f ca="1">IF(ROWS($1:10)&gt;COUNT(Dong3),"",OFFSET(TH!F$1,SMALL(Dong3,ROWS($1:10)),))</f>
        <v/>
      </c>
      <c r="F23" s="120" t="str">
        <f t="shared" ca="1" si="0"/>
        <v/>
      </c>
      <c r="G23" s="122">
        <f ca="1">IF(ROWS($1:10)&gt;COUNT(Dong3),0,IF(OFFSET(TH!K$1,SMALL(Dong3,ROWS($1:10)),)&lt;&gt;0,OFFSET(TH!K$1,SMALL(Dong3,ROWS($1:10)),),0))</f>
        <v>0</v>
      </c>
      <c r="H23" s="122">
        <f ca="1">IF(ROWS($1:10)&gt;COUNT(Dong3),0,IF(OFFSET(TH!M$1,SMALL(Dong3,ROWS($1:10)),)&lt;&gt;0,OFFSET(TH!M$1,SMALL(Dong3,ROWS($1:10)),),0))</f>
        <v>0</v>
      </c>
      <c r="I23" s="123">
        <f t="shared" ca="1" si="1"/>
        <v>0</v>
      </c>
      <c r="J23" s="124"/>
      <c r="K23" s="209"/>
    </row>
    <row r="24" spans="1:11" ht="16.5" customHeight="1">
      <c r="A24" s="125" t="str">
        <f t="shared" ref="A24:A30" ca="1" si="3">IF(B24&lt;&gt;"",A23+1,"")</f>
        <v/>
      </c>
      <c r="B24" s="120" t="str">
        <f ca="1">IF(ROWS($1:11)&gt;COUNT(Dong3),"",OFFSET(TH!E$1,SMALL(Dong3,ROWS($1:11)),))</f>
        <v/>
      </c>
      <c r="C24" s="120" t="str">
        <f ca="1">IF(ROWS($1:11)&gt;COUNT(Dong3),"",IF(LEFT((OFFSET(TH!D$1,SMALL(Dong3,ROWS($1:11)),)),1)&lt;&gt;"N","",(OFFSET(TH!D$1,SMALL(Dong3,ROWS($1:11)),)&amp;"/"&amp;OFFSET(TH!C$1,SMALL(Dong3,ROWS($1:11)),))))</f>
        <v/>
      </c>
      <c r="D24" s="120" t="str">
        <f ca="1">IF(ROWS($1:11)&gt;COUNT(Dong3),"",IF(LEFT((OFFSET(TH!D$1,SMALL(Dong3,ROWS($1:11)),)),1)&lt;&gt;"X","",(OFFSET(TH!D$1,SMALL(Dong3,ROWS($1:11)),)&amp;"/"&amp;OFFSET(TH!C$1,SMALL(Dong3,ROWS($1:11)),))))</f>
        <v/>
      </c>
      <c r="E24" s="121" t="str">
        <f ca="1">IF(ROWS($1:11)&gt;COUNT(Dong3),"",OFFSET(TH!F$1,SMALL(Dong3,ROWS($1:11)),))</f>
        <v/>
      </c>
      <c r="F24" s="120" t="str">
        <f t="shared" ref="F24:F30" ca="1" si="4">B24</f>
        <v/>
      </c>
      <c r="G24" s="122">
        <f ca="1">IF(ROWS($1:11)&gt;COUNT(Dong3),0,IF(OFFSET(TH!K$1,SMALL(Dong3,ROWS($1:11)),)&lt;&gt;0,OFFSET(TH!K$1,SMALL(Dong3,ROWS($1:11)),),0))</f>
        <v>0</v>
      </c>
      <c r="H24" s="122">
        <f ca="1">IF(ROWS($1:11)&gt;COUNT(Dong3),0,IF(OFFSET(TH!M$1,SMALL(Dong3,ROWS($1:11)),)&lt;&gt;0,OFFSET(TH!M$1,SMALL(Dong3,ROWS($1:11)),),0))</f>
        <v>0</v>
      </c>
      <c r="I24" s="123">
        <f t="shared" ref="I24:I30" ca="1" si="5">IF(E24&lt;&gt;"",I23+G24-H24,0)</f>
        <v>0</v>
      </c>
      <c r="J24" s="124"/>
      <c r="K24" s="209"/>
    </row>
    <row r="25" spans="1:11" ht="16.5" customHeight="1">
      <c r="A25" s="125" t="str">
        <f t="shared" ca="1" si="3"/>
        <v/>
      </c>
      <c r="B25" s="120" t="str">
        <f ca="1">IF(ROWS($1:12)&gt;COUNT(Dong3),"",OFFSET(TH!E$1,SMALL(Dong3,ROWS($1:12)),))</f>
        <v/>
      </c>
      <c r="C25" s="120" t="str">
        <f ca="1">IF(ROWS($1:12)&gt;COUNT(Dong3),"",IF(LEFT((OFFSET(TH!D$1,SMALL(Dong3,ROWS($1:12)),)),1)&lt;&gt;"N","",(OFFSET(TH!D$1,SMALL(Dong3,ROWS($1:12)),)&amp;"/"&amp;OFFSET(TH!C$1,SMALL(Dong3,ROWS($1:12)),))))</f>
        <v/>
      </c>
      <c r="D25" s="120" t="str">
        <f ca="1">IF(ROWS($1:12)&gt;COUNT(Dong3),"",IF(LEFT((OFFSET(TH!D$1,SMALL(Dong3,ROWS($1:12)),)),1)&lt;&gt;"X","",(OFFSET(TH!D$1,SMALL(Dong3,ROWS($1:12)),)&amp;"/"&amp;OFFSET(TH!C$1,SMALL(Dong3,ROWS($1:12)),))))</f>
        <v/>
      </c>
      <c r="E25" s="121" t="str">
        <f ca="1">IF(ROWS($1:12)&gt;COUNT(Dong3),"",OFFSET(TH!F$1,SMALL(Dong3,ROWS($1:12)),))</f>
        <v/>
      </c>
      <c r="F25" s="120" t="str">
        <f t="shared" ca="1" si="4"/>
        <v/>
      </c>
      <c r="G25" s="122">
        <f ca="1">IF(ROWS($1:12)&gt;COUNT(Dong3),0,IF(OFFSET(TH!K$1,SMALL(Dong3,ROWS($1:12)),)&lt;&gt;0,OFFSET(TH!K$1,SMALL(Dong3,ROWS($1:12)),),0))</f>
        <v>0</v>
      </c>
      <c r="H25" s="122">
        <f ca="1">IF(ROWS($1:12)&gt;COUNT(Dong3),0,IF(OFFSET(TH!M$1,SMALL(Dong3,ROWS($1:12)),)&lt;&gt;0,OFFSET(TH!M$1,SMALL(Dong3,ROWS($1:12)),),0))</f>
        <v>0</v>
      </c>
      <c r="I25" s="123">
        <f t="shared" ca="1" si="5"/>
        <v>0</v>
      </c>
      <c r="J25" s="124"/>
      <c r="K25" s="209"/>
    </row>
    <row r="26" spans="1:11" ht="16.5" customHeight="1">
      <c r="A26" s="125" t="str">
        <f t="shared" ca="1" si="3"/>
        <v/>
      </c>
      <c r="B26" s="120" t="str">
        <f ca="1">IF(ROWS($1:13)&gt;COUNT(Dong3),"",OFFSET(TH!E$1,SMALL(Dong3,ROWS($1:13)),))</f>
        <v/>
      </c>
      <c r="C26" s="120" t="str">
        <f ca="1">IF(ROWS($1:13)&gt;COUNT(Dong3),"",IF(LEFT((OFFSET(TH!D$1,SMALL(Dong3,ROWS($1:13)),)),1)&lt;&gt;"N","",(OFFSET(TH!D$1,SMALL(Dong3,ROWS($1:13)),)&amp;"/"&amp;OFFSET(TH!C$1,SMALL(Dong3,ROWS($1:13)),))))</f>
        <v/>
      </c>
      <c r="D26" s="120" t="str">
        <f ca="1">IF(ROWS($1:13)&gt;COUNT(Dong3),"",IF(LEFT((OFFSET(TH!D$1,SMALL(Dong3,ROWS($1:13)),)),1)&lt;&gt;"X","",(OFFSET(TH!D$1,SMALL(Dong3,ROWS($1:13)),)&amp;"/"&amp;OFFSET(TH!C$1,SMALL(Dong3,ROWS($1:13)),))))</f>
        <v/>
      </c>
      <c r="E26" s="121" t="str">
        <f ca="1">IF(ROWS($1:13)&gt;COUNT(Dong3),"",OFFSET(TH!F$1,SMALL(Dong3,ROWS($1:13)),))</f>
        <v/>
      </c>
      <c r="F26" s="120" t="str">
        <f t="shared" ca="1" si="4"/>
        <v/>
      </c>
      <c r="G26" s="122">
        <f ca="1">IF(ROWS($1:13)&gt;COUNT(Dong3),0,IF(OFFSET(TH!K$1,SMALL(Dong3,ROWS($1:13)),)&lt;&gt;0,OFFSET(TH!K$1,SMALL(Dong3,ROWS($1:13)),),0))</f>
        <v>0</v>
      </c>
      <c r="H26" s="122">
        <f ca="1">IF(ROWS($1:13)&gt;COUNT(Dong3),0,IF(OFFSET(TH!M$1,SMALL(Dong3,ROWS($1:13)),)&lt;&gt;0,OFFSET(TH!M$1,SMALL(Dong3,ROWS($1:13)),),0))</f>
        <v>0</v>
      </c>
      <c r="I26" s="123">
        <f t="shared" ca="1" si="5"/>
        <v>0</v>
      </c>
      <c r="J26" s="124"/>
      <c r="K26" s="209"/>
    </row>
    <row r="27" spans="1:11" ht="16.5" customHeight="1">
      <c r="A27" s="125" t="str">
        <f t="shared" ca="1" si="3"/>
        <v/>
      </c>
      <c r="B27" s="120" t="str">
        <f ca="1">IF(ROWS($1:14)&gt;COUNT(Dong3),"",OFFSET(TH!E$1,SMALL(Dong3,ROWS($1:14)),))</f>
        <v/>
      </c>
      <c r="C27" s="120" t="str">
        <f ca="1">IF(ROWS($1:14)&gt;COUNT(Dong3),"",IF(LEFT((OFFSET(TH!D$1,SMALL(Dong3,ROWS($1:14)),)),1)&lt;&gt;"N","",(OFFSET(TH!D$1,SMALL(Dong3,ROWS($1:14)),)&amp;"/"&amp;OFFSET(TH!C$1,SMALL(Dong3,ROWS($1:14)),))))</f>
        <v/>
      </c>
      <c r="D27" s="120" t="str">
        <f ca="1">IF(ROWS($1:14)&gt;COUNT(Dong3),"",IF(LEFT((OFFSET(TH!D$1,SMALL(Dong3,ROWS($1:14)),)),1)&lt;&gt;"X","",(OFFSET(TH!D$1,SMALL(Dong3,ROWS($1:14)),)&amp;"/"&amp;OFFSET(TH!C$1,SMALL(Dong3,ROWS($1:14)),))))</f>
        <v/>
      </c>
      <c r="E27" s="121" t="str">
        <f ca="1">IF(ROWS($1:14)&gt;COUNT(Dong3),"",OFFSET(TH!F$1,SMALL(Dong3,ROWS($1:14)),))</f>
        <v/>
      </c>
      <c r="F27" s="120" t="str">
        <f t="shared" ca="1" si="4"/>
        <v/>
      </c>
      <c r="G27" s="122">
        <f ca="1">IF(ROWS($1:14)&gt;COUNT(Dong3),0,IF(OFFSET(TH!K$1,SMALL(Dong3,ROWS($1:14)),)&lt;&gt;0,OFFSET(TH!K$1,SMALL(Dong3,ROWS($1:14)),),0))</f>
        <v>0</v>
      </c>
      <c r="H27" s="122">
        <f ca="1">IF(ROWS($1:14)&gt;COUNT(Dong3),0,IF(OFFSET(TH!M$1,SMALL(Dong3,ROWS($1:14)),)&lt;&gt;0,OFFSET(TH!M$1,SMALL(Dong3,ROWS($1:14)),),0))</f>
        <v>0</v>
      </c>
      <c r="I27" s="123">
        <f t="shared" ca="1" si="5"/>
        <v>0</v>
      </c>
      <c r="J27" s="124"/>
      <c r="K27" s="209"/>
    </row>
    <row r="28" spans="1:11" ht="16.5" customHeight="1">
      <c r="A28" s="125" t="str">
        <f t="shared" ca="1" si="3"/>
        <v/>
      </c>
      <c r="B28" s="120" t="str">
        <f ca="1">IF(ROWS($1:15)&gt;COUNT(Dong3),"",OFFSET(TH!E$1,SMALL(Dong3,ROWS($1:15)),))</f>
        <v/>
      </c>
      <c r="C28" s="120" t="str">
        <f ca="1">IF(ROWS($1:15)&gt;COUNT(Dong3),"",IF(LEFT((OFFSET(TH!D$1,SMALL(Dong3,ROWS($1:15)),)),1)&lt;&gt;"N","",(OFFSET(TH!D$1,SMALL(Dong3,ROWS($1:15)),)&amp;"/"&amp;OFFSET(TH!C$1,SMALL(Dong3,ROWS($1:15)),))))</f>
        <v/>
      </c>
      <c r="D28" s="120" t="str">
        <f ca="1">IF(ROWS($1:15)&gt;COUNT(Dong3),"",IF(LEFT((OFFSET(TH!D$1,SMALL(Dong3,ROWS($1:15)),)),1)&lt;&gt;"X","",(OFFSET(TH!D$1,SMALL(Dong3,ROWS($1:15)),)&amp;"/"&amp;OFFSET(TH!C$1,SMALL(Dong3,ROWS($1:15)),))))</f>
        <v/>
      </c>
      <c r="E28" s="121" t="str">
        <f ca="1">IF(ROWS($1:15)&gt;COUNT(Dong3),"",OFFSET(TH!F$1,SMALL(Dong3,ROWS($1:15)),))</f>
        <v/>
      </c>
      <c r="F28" s="120" t="str">
        <f t="shared" ca="1" si="4"/>
        <v/>
      </c>
      <c r="G28" s="122">
        <f ca="1">IF(ROWS($1:15)&gt;COUNT(Dong3),0,IF(OFFSET(TH!K$1,SMALL(Dong3,ROWS($1:15)),)&lt;&gt;0,OFFSET(TH!K$1,SMALL(Dong3,ROWS($1:15)),),0))</f>
        <v>0</v>
      </c>
      <c r="H28" s="122">
        <f ca="1">IF(ROWS($1:15)&gt;COUNT(Dong3),0,IF(OFFSET(TH!M$1,SMALL(Dong3,ROWS($1:15)),)&lt;&gt;0,OFFSET(TH!M$1,SMALL(Dong3,ROWS($1:15)),),0))</f>
        <v>0</v>
      </c>
      <c r="I28" s="123">
        <f t="shared" ca="1" si="5"/>
        <v>0</v>
      </c>
      <c r="J28" s="124"/>
      <c r="K28" s="209"/>
    </row>
    <row r="29" spans="1:11" ht="16.5" customHeight="1">
      <c r="A29" s="125" t="str">
        <f t="shared" ca="1" si="3"/>
        <v/>
      </c>
      <c r="B29" s="120" t="str">
        <f ca="1">IF(ROWS($1:16)&gt;COUNT(Dong3),"",OFFSET(TH!E$1,SMALL(Dong3,ROWS($1:16)),))</f>
        <v/>
      </c>
      <c r="C29" s="120" t="str">
        <f ca="1">IF(ROWS($1:16)&gt;COUNT(Dong3),"",IF(LEFT((OFFSET(TH!D$1,SMALL(Dong3,ROWS($1:16)),)),1)&lt;&gt;"N","",(OFFSET(TH!D$1,SMALL(Dong3,ROWS($1:16)),)&amp;"/"&amp;OFFSET(TH!C$1,SMALL(Dong3,ROWS($1:16)),))))</f>
        <v/>
      </c>
      <c r="D29" s="120" t="str">
        <f ca="1">IF(ROWS($1:16)&gt;COUNT(Dong3),"",IF(LEFT((OFFSET(TH!D$1,SMALL(Dong3,ROWS($1:16)),)),1)&lt;&gt;"X","",(OFFSET(TH!D$1,SMALL(Dong3,ROWS($1:16)),)&amp;"/"&amp;OFFSET(TH!C$1,SMALL(Dong3,ROWS($1:16)),))))</f>
        <v/>
      </c>
      <c r="E29" s="121" t="str">
        <f ca="1">IF(ROWS($1:16)&gt;COUNT(Dong3),"",OFFSET(TH!F$1,SMALL(Dong3,ROWS($1:16)),))</f>
        <v/>
      </c>
      <c r="F29" s="120" t="str">
        <f t="shared" ca="1" si="4"/>
        <v/>
      </c>
      <c r="G29" s="122">
        <f ca="1">IF(ROWS($1:16)&gt;COUNT(Dong3),0,IF(OFFSET(TH!K$1,SMALL(Dong3,ROWS($1:16)),)&lt;&gt;0,OFFSET(TH!K$1,SMALL(Dong3,ROWS($1:16)),),0))</f>
        <v>0</v>
      </c>
      <c r="H29" s="122">
        <f ca="1">IF(ROWS($1:16)&gt;COUNT(Dong3),0,IF(OFFSET(TH!M$1,SMALL(Dong3,ROWS($1:16)),)&lt;&gt;0,OFFSET(TH!M$1,SMALL(Dong3,ROWS($1:16)),),0))</f>
        <v>0</v>
      </c>
      <c r="I29" s="123">
        <f t="shared" ca="1" si="5"/>
        <v>0</v>
      </c>
      <c r="J29" s="124"/>
      <c r="K29" s="209"/>
    </row>
    <row r="30" spans="1:11" ht="16.5" customHeight="1">
      <c r="A30" s="125" t="str">
        <f t="shared" ca="1" si="3"/>
        <v/>
      </c>
      <c r="B30" s="120" t="str">
        <f ca="1">IF(ROWS($1:17)&gt;COUNT(Dong3),"",OFFSET(TH!E$1,SMALL(Dong3,ROWS($1:17)),))</f>
        <v/>
      </c>
      <c r="C30" s="120" t="str">
        <f ca="1">IF(ROWS($1:17)&gt;COUNT(Dong3),"",IF(LEFT((OFFSET(TH!D$1,SMALL(Dong3,ROWS($1:17)),)),1)&lt;&gt;"N","",(OFFSET(TH!D$1,SMALL(Dong3,ROWS($1:17)),)&amp;"/"&amp;OFFSET(TH!C$1,SMALL(Dong3,ROWS($1:17)),))))</f>
        <v/>
      </c>
      <c r="D30" s="120" t="str">
        <f ca="1">IF(ROWS($1:17)&gt;COUNT(Dong3),"",IF(LEFT((OFFSET(TH!D$1,SMALL(Dong3,ROWS($1:17)),)),1)&lt;&gt;"X","",(OFFSET(TH!D$1,SMALL(Dong3,ROWS($1:17)),)&amp;"/"&amp;OFFSET(TH!C$1,SMALL(Dong3,ROWS($1:17)),))))</f>
        <v/>
      </c>
      <c r="E30" s="121" t="str">
        <f ca="1">IF(ROWS($1:17)&gt;COUNT(Dong3),"",OFFSET(TH!F$1,SMALL(Dong3,ROWS($1:17)),))</f>
        <v/>
      </c>
      <c r="F30" s="120" t="str">
        <f t="shared" ca="1" si="4"/>
        <v/>
      </c>
      <c r="G30" s="122">
        <f ca="1">IF(ROWS($1:17)&gt;COUNT(Dong3),0,IF(OFFSET(TH!K$1,SMALL(Dong3,ROWS($1:17)),)&lt;&gt;0,OFFSET(TH!K$1,SMALL(Dong3,ROWS($1:17)),),0))</f>
        <v>0</v>
      </c>
      <c r="H30" s="122">
        <f ca="1">IF(ROWS($1:17)&gt;COUNT(Dong3),0,IF(OFFSET(TH!M$1,SMALL(Dong3,ROWS($1:17)),)&lt;&gt;0,OFFSET(TH!M$1,SMALL(Dong3,ROWS($1:17)),),0))</f>
        <v>0</v>
      </c>
      <c r="I30" s="123">
        <f t="shared" ca="1" si="5"/>
        <v>0</v>
      </c>
      <c r="J30" s="124"/>
      <c r="K30" s="209"/>
    </row>
    <row r="31" spans="1:11" ht="16.5" customHeight="1">
      <c r="A31" s="220" t="str">
        <f>IF(D31&lt;&gt;"",A21+1,"")</f>
        <v/>
      </c>
      <c r="B31" s="222"/>
      <c r="C31" s="223"/>
      <c r="D31" s="223"/>
      <c r="E31" s="224"/>
      <c r="F31" s="222"/>
      <c r="G31" s="221"/>
      <c r="H31" s="221"/>
      <c r="I31" s="221"/>
      <c r="J31" s="225"/>
      <c r="K31" s="209"/>
    </row>
    <row r="32" spans="1:11" ht="16.5" customHeight="1">
      <c r="A32" s="115"/>
      <c r="B32" s="126"/>
      <c r="C32" s="115"/>
      <c r="D32" s="115"/>
      <c r="E32" s="116" t="s">
        <v>72</v>
      </c>
      <c r="F32" s="127" t="s">
        <v>22</v>
      </c>
      <c r="G32" s="128">
        <f ca="1">SUM(G14:G31)</f>
        <v>0</v>
      </c>
      <c r="H32" s="128">
        <f ca="1">SUM(H14:H31)</f>
        <v>100</v>
      </c>
      <c r="I32" s="128">
        <f ca="1">I13+G32-H32</f>
        <v>350</v>
      </c>
      <c r="J32" s="115" t="s">
        <v>22</v>
      </c>
      <c r="K32" s="210"/>
    </row>
    <row r="33" spans="1:11" ht="12.75" customHeight="1">
      <c r="A33" s="129"/>
      <c r="B33" s="94"/>
      <c r="C33" s="129"/>
      <c r="D33" s="129"/>
      <c r="E33" s="103"/>
      <c r="F33" s="94"/>
      <c r="G33" s="104"/>
      <c r="H33" s="104"/>
      <c r="I33" s="104"/>
      <c r="J33" s="90"/>
      <c r="K33" s="90"/>
    </row>
    <row r="34" spans="1:11" ht="15">
      <c r="A34" s="130" t="s">
        <v>73</v>
      </c>
      <c r="B34" s="130"/>
      <c r="C34" s="131"/>
      <c r="D34" s="131"/>
      <c r="E34" s="103"/>
      <c r="F34" s="94"/>
      <c r="G34" s="104"/>
      <c r="H34" s="104"/>
      <c r="I34" s="104"/>
      <c r="J34" s="90"/>
      <c r="K34" s="90"/>
    </row>
    <row r="35" spans="1:11" ht="15">
      <c r="A35" s="531" t="str">
        <f ca="1">IF(ISERROR(" - Ngày mở sổ: ngày "&amp;DAY(B14)&amp;" tháng "&amp;MONTH(B14)&amp;" năm "&amp;YEAR(B14))," - Ngày mở sổ: ngày 01 tháng  01 năm 2016 "," - Ngày mở sổ: ngày "&amp;DAY(B14)&amp;" tháng "&amp;MONTH(B14)&amp;" năm "&amp;YEAR(B14))</f>
        <v xml:space="preserve"> - Ngày mở sổ: ngày 2 tháng 1 năm 2016</v>
      </c>
      <c r="B35" s="532"/>
      <c r="C35" s="532"/>
      <c r="D35" s="532"/>
      <c r="E35" s="532"/>
      <c r="F35" s="94"/>
      <c r="G35" s="104"/>
      <c r="H35" s="104"/>
      <c r="I35" s="104"/>
      <c r="J35" s="90"/>
      <c r="K35" s="90"/>
    </row>
    <row r="36" spans="1:11" ht="15">
      <c r="A36" s="79"/>
      <c r="B36" s="132"/>
      <c r="C36" s="133"/>
      <c r="D36" s="129"/>
      <c r="E36" s="103"/>
      <c r="F36" s="94"/>
      <c r="G36" s="495" t="s">
        <v>289</v>
      </c>
      <c r="H36" s="495"/>
      <c r="I36" s="495"/>
      <c r="J36" s="495"/>
      <c r="K36" s="134"/>
    </row>
    <row r="37" spans="1:11" ht="15">
      <c r="A37" s="79"/>
      <c r="B37" s="78" t="s">
        <v>74</v>
      </c>
      <c r="C37" s="79"/>
      <c r="D37" s="129"/>
      <c r="E37" s="536" t="s">
        <v>24</v>
      </c>
      <c r="F37" s="536"/>
      <c r="G37" s="104"/>
      <c r="H37" s="537" t="s">
        <v>25</v>
      </c>
      <c r="I37" s="537"/>
      <c r="J37" s="537"/>
      <c r="K37" s="79"/>
    </row>
    <row r="38" spans="1:11" ht="15">
      <c r="A38" s="81"/>
      <c r="B38" s="135" t="s">
        <v>26</v>
      </c>
      <c r="C38" s="81"/>
      <c r="D38" s="136"/>
      <c r="E38" s="518" t="s">
        <v>26</v>
      </c>
      <c r="F38" s="518"/>
      <c r="G38" s="104"/>
      <c r="H38" s="519" t="s">
        <v>28</v>
      </c>
      <c r="I38" s="519"/>
      <c r="J38" s="519"/>
      <c r="K38" s="81"/>
    </row>
    <row r="39" spans="1:11" ht="15">
      <c r="A39" s="81"/>
      <c r="B39" s="135"/>
      <c r="C39" s="81"/>
      <c r="D39" s="129"/>
      <c r="E39" s="137"/>
      <c r="F39" s="80"/>
      <c r="G39" s="104"/>
      <c r="H39" s="81"/>
      <c r="I39" s="81"/>
      <c r="J39" s="81"/>
      <c r="K39" s="81"/>
    </row>
    <row r="40" spans="1:11" ht="15">
      <c r="A40" s="81"/>
      <c r="B40" s="135"/>
      <c r="C40" s="81"/>
      <c r="D40" s="129"/>
      <c r="E40" s="137"/>
      <c r="F40" s="80"/>
      <c r="G40" s="104"/>
      <c r="H40" s="81"/>
      <c r="I40" s="81"/>
      <c r="J40" s="81"/>
      <c r="K40" s="81"/>
    </row>
    <row r="41" spans="1:11" ht="15">
      <c r="A41" s="81"/>
      <c r="B41" s="135"/>
      <c r="C41" s="81"/>
      <c r="D41" s="129"/>
      <c r="E41" s="137"/>
      <c r="F41" s="80"/>
      <c r="G41" s="104"/>
      <c r="H41" s="81"/>
      <c r="I41" s="81"/>
      <c r="J41" s="81"/>
      <c r="K41" s="81"/>
    </row>
  </sheetData>
  <mergeCells count="14">
    <mergeCell ref="E38:F38"/>
    <mergeCell ref="H38:J38"/>
    <mergeCell ref="G36:J36"/>
    <mergeCell ref="A9:D9"/>
    <mergeCell ref="A10:A11"/>
    <mergeCell ref="C10:D10"/>
    <mergeCell ref="E10:E11"/>
    <mergeCell ref="B10:B11"/>
    <mergeCell ref="J10:J11"/>
    <mergeCell ref="A35:E35"/>
    <mergeCell ref="G10:I10"/>
    <mergeCell ref="F10:F11"/>
    <mergeCell ref="E37:F37"/>
    <mergeCell ref="H37:J37"/>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M12" sqref="M12"/>
    </sheetView>
  </sheetViews>
  <sheetFormatPr defaultColWidth="9.140625" defaultRowHeight="15.75"/>
  <cols>
    <col min="1" max="1" width="10.42578125" style="229" customWidth="1"/>
    <col min="2" max="2" width="26.85546875" style="227" customWidth="1"/>
    <col min="3" max="3" width="5.85546875" style="227" customWidth="1"/>
    <col min="4" max="4" width="5.7109375" style="227" customWidth="1"/>
    <col min="5" max="5" width="25.42578125" style="227" customWidth="1"/>
    <col min="6" max="6" width="10.7109375" style="227" bestFit="1" customWidth="1"/>
    <col min="7" max="7" width="16.42578125" style="227" customWidth="1"/>
    <col min="8" max="8" width="7.85546875" style="231" customWidth="1"/>
    <col min="9" max="9" width="9" style="231" customWidth="1"/>
    <col min="10" max="10" width="13.140625" style="227" customWidth="1"/>
    <col min="11" max="12" width="6.7109375" style="227" customWidth="1"/>
    <col min="13" max="13" width="7.140625" style="228" customWidth="1"/>
    <col min="14" max="14" width="18.7109375" style="228" customWidth="1"/>
    <col min="15" max="85" width="10.28515625" style="228" customWidth="1"/>
    <col min="86" max="16384" width="9.140625" style="227"/>
  </cols>
  <sheetData>
    <row r="1" spans="1:86" ht="15.95" customHeight="1">
      <c r="A1" s="541" t="s">
        <v>201</v>
      </c>
      <c r="B1" s="541"/>
      <c r="C1" s="541"/>
      <c r="D1" s="541"/>
      <c r="E1" s="541"/>
      <c r="F1" s="541"/>
      <c r="G1" s="541"/>
      <c r="H1" s="541"/>
      <c r="I1" s="541"/>
      <c r="J1" s="542" t="s">
        <v>228</v>
      </c>
      <c r="K1" s="543"/>
      <c r="M1" s="227"/>
      <c r="CH1" s="228"/>
    </row>
    <row r="2" spans="1:86" ht="15.95" customHeight="1">
      <c r="A2" s="541"/>
      <c r="B2" s="541"/>
      <c r="C2" s="541"/>
      <c r="D2" s="541"/>
      <c r="E2" s="541"/>
      <c r="F2" s="541"/>
      <c r="G2" s="541"/>
      <c r="H2" s="541"/>
      <c r="I2" s="541"/>
      <c r="J2" s="544"/>
      <c r="K2" s="545"/>
      <c r="M2" s="227"/>
      <c r="CH2" s="228"/>
    </row>
    <row r="3" spans="1:86" ht="12.75" customHeight="1">
      <c r="A3" s="541"/>
      <c r="B3" s="541"/>
      <c r="C3" s="541"/>
      <c r="D3" s="541"/>
      <c r="E3" s="541"/>
      <c r="F3" s="541"/>
      <c r="G3" s="541"/>
      <c r="H3" s="541"/>
      <c r="I3" s="541"/>
      <c r="J3" s="544"/>
      <c r="K3" s="545"/>
      <c r="M3" s="227"/>
      <c r="CH3" s="228"/>
    </row>
    <row r="4" spans="1:86" ht="18" customHeight="1">
      <c r="A4" s="548" t="str">
        <f>"( " &amp; IF(OR($M$11=1,$M$11=4,$M$11=6,$M$11=9,$M$11=11),"Ngày  30  tháng  "&amp;$M$11&amp;"  năm 2016",IF(OR($M$11=3,$M$11=5,$M$11=7,$M$11=8,$M$11=10,$M$11=12),"Ngày  31  tháng  "&amp;$M$11&amp;"  năm 2016","Ngày  29  tháng  "&amp;$M$11&amp;"  năm 2016")) &amp; " ) "</f>
        <v xml:space="preserve">( Ngày  30  tháng  1  năm 2016 ) </v>
      </c>
      <c r="B4" s="548"/>
      <c r="C4" s="548"/>
      <c r="D4" s="548"/>
      <c r="E4" s="548"/>
      <c r="F4" s="548"/>
      <c r="G4" s="548"/>
      <c r="H4" s="548"/>
      <c r="I4" s="548"/>
      <c r="J4" s="546"/>
      <c r="K4" s="547"/>
      <c r="M4" s="227"/>
      <c r="CH4" s="228"/>
    </row>
    <row r="5" spans="1:86" ht="15" customHeight="1">
      <c r="E5" s="230"/>
      <c r="F5" s="230"/>
    </row>
    <row r="6" spans="1:86" ht="18" customHeight="1">
      <c r="A6" s="229" t="s">
        <v>202</v>
      </c>
      <c r="G6" s="227" t="s">
        <v>203</v>
      </c>
    </row>
    <row r="7" spans="1:86" ht="18" customHeight="1">
      <c r="A7" s="229" t="s">
        <v>204</v>
      </c>
    </row>
    <row r="8" spans="1:86" ht="18" customHeight="1">
      <c r="A8" s="229" t="s">
        <v>205</v>
      </c>
    </row>
    <row r="9" spans="1:86" ht="18" customHeight="1">
      <c r="A9" s="229" t="s">
        <v>206</v>
      </c>
    </row>
    <row r="10" spans="1:86" ht="10.5" customHeight="1">
      <c r="M10" s="264"/>
    </row>
    <row r="11" spans="1:86" s="232" customFormat="1" ht="17.25" customHeight="1">
      <c r="A11" s="549" t="s">
        <v>207</v>
      </c>
      <c r="B11" s="551" t="s">
        <v>208</v>
      </c>
      <c r="C11" s="552"/>
      <c r="D11" s="552"/>
      <c r="E11" s="552"/>
      <c r="F11" s="553"/>
      <c r="G11" s="554" t="s">
        <v>209</v>
      </c>
      <c r="H11" s="554"/>
      <c r="I11" s="554"/>
      <c r="J11" s="554"/>
      <c r="K11" s="555" t="s">
        <v>8</v>
      </c>
      <c r="M11" s="263">
        <v>1</v>
      </c>
      <c r="N11" s="233"/>
      <c r="O11" s="233"/>
      <c r="P11" s="233"/>
      <c r="Q11" s="233"/>
      <c r="R11" s="233"/>
      <c r="S11" s="233"/>
      <c r="T11" s="233"/>
      <c r="U11" s="233"/>
      <c r="V11" s="233"/>
      <c r="W11" s="233"/>
      <c r="X11" s="233"/>
      <c r="Y11" s="233"/>
      <c r="Z11" s="233"/>
      <c r="AA11" s="233"/>
      <c r="AB11" s="233"/>
      <c r="AC11" s="233"/>
      <c r="AD11" s="233"/>
      <c r="AE11" s="233"/>
      <c r="AF11" s="233"/>
      <c r="AG11" s="233"/>
      <c r="AH11" s="233"/>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3"/>
      <c r="BF11" s="233"/>
      <c r="BG11" s="233"/>
      <c r="BH11" s="233"/>
      <c r="BI11" s="233"/>
      <c r="BJ11" s="233"/>
      <c r="BK11" s="233"/>
      <c r="BL11" s="233"/>
      <c r="BM11" s="233"/>
      <c r="BN11" s="233"/>
      <c r="BO11" s="233"/>
      <c r="BP11" s="233"/>
      <c r="BQ11" s="233"/>
      <c r="BR11" s="233"/>
      <c r="BS11" s="233"/>
      <c r="BT11" s="233"/>
      <c r="BU11" s="233"/>
      <c r="BV11" s="233"/>
      <c r="BW11" s="233"/>
      <c r="BX11" s="233"/>
      <c r="BY11" s="233"/>
      <c r="BZ11" s="233"/>
      <c r="CA11" s="233"/>
      <c r="CB11" s="233"/>
      <c r="CC11" s="233"/>
      <c r="CD11" s="233"/>
      <c r="CE11" s="233"/>
      <c r="CF11" s="233"/>
      <c r="CG11" s="233"/>
    </row>
    <row r="12" spans="1:86" s="236" customFormat="1" ht="44.25" customHeight="1">
      <c r="A12" s="550"/>
      <c r="B12" s="234" t="s">
        <v>210</v>
      </c>
      <c r="C12" s="234"/>
      <c r="D12" s="234" t="s">
        <v>211</v>
      </c>
      <c r="E12" s="234" t="s">
        <v>212</v>
      </c>
      <c r="F12" s="234" t="s">
        <v>213</v>
      </c>
      <c r="G12" s="234" t="s">
        <v>214</v>
      </c>
      <c r="H12" s="235" t="s">
        <v>11</v>
      </c>
      <c r="I12" s="235" t="s">
        <v>4</v>
      </c>
      <c r="J12" s="234" t="s">
        <v>215</v>
      </c>
      <c r="K12" s="556"/>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c r="CE12" s="237"/>
      <c r="CF12" s="237"/>
      <c r="CG12" s="237"/>
    </row>
    <row r="13" spans="1:86" s="242" customFormat="1" ht="9.75" customHeight="1">
      <c r="A13" s="238" t="s">
        <v>216</v>
      </c>
      <c r="B13" s="239">
        <v>2</v>
      </c>
      <c r="C13" s="239"/>
      <c r="D13" s="239"/>
      <c r="E13" s="239">
        <v>3</v>
      </c>
      <c r="F13" s="239">
        <v>4</v>
      </c>
      <c r="G13" s="239">
        <v>5</v>
      </c>
      <c r="H13" s="240" t="s">
        <v>217</v>
      </c>
      <c r="I13" s="240" t="s">
        <v>218</v>
      </c>
      <c r="J13" s="239">
        <v>8</v>
      </c>
      <c r="K13" s="239">
        <v>9</v>
      </c>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row>
    <row r="14" spans="1:86" s="249" customFormat="1" ht="21.75" customHeight="1">
      <c r="A14" s="69" t="str">
        <f ca="1">IF(ROWS($1:1)&gt;COUNT(Dong),"",OFFSET(TH!E$1,SMALL(Dong,ROWS($1:1)),))</f>
        <v/>
      </c>
      <c r="B14" s="265" t="str">
        <f ca="1">IF(ROWS($1:1)&gt;COUNT(Dong),"",OFFSET(TH!G$1,SMALL(Dong,ROWS($1:1)),))</f>
        <v/>
      </c>
      <c r="C14" s="243" t="str">
        <f t="shared" ref="C14:C61" ca="1" si="0">IF(ISNA(VLOOKUP($B14,DSNL,5,0)),"",VLOOKUP($B14,DSNL,5,0))</f>
        <v/>
      </c>
      <c r="D14" s="243" t="str">
        <f ca="1">IF(ROWS($1:1)&gt;COUNT(Dong),"",OFFSET(TH!D$1,SMALL(Dong,ROWS($1:1)),))</f>
        <v/>
      </c>
      <c r="E14" s="244" t="str">
        <f t="shared" ref="E14:E61" ca="1" si="1">IF(ISNA(VLOOKUP($B14,DSNL,4,0)),"",VLOOKUP($B14,DSNL,4,0))</f>
        <v/>
      </c>
      <c r="F14" s="244" t="str">
        <f t="shared" ref="F14:F61" ca="1" si="2">IF(ISNA(VLOOKUP($B14,DSNL,3,0)),"",VLOOKUP($B14,DSNL,3,0))</f>
        <v/>
      </c>
      <c r="G14" s="266" t="str">
        <f ca="1">IF(ROWS($1:1)&gt;COUNT(Dong),"",OFFSET(TH!F$1,SMALL(Dong,ROWS($1:1)),))</f>
        <v/>
      </c>
      <c r="H14" s="267" t="str">
        <f ca="1">IF(ROWS($1:1)&gt;COUNT(Dong),"",OFFSET(TH!K$1,SMALL(Dong,ROWS($1:1)),))</f>
        <v/>
      </c>
      <c r="I14" s="267" t="str">
        <f ca="1">IF(ROWS($1:1)&gt;COUNT(Dong),"",OFFSET(TH!J$1,SMALL(Dong,ROWS($1:1)),))</f>
        <v/>
      </c>
      <c r="J14" s="250">
        <f ca="1">IF(B14&lt;&gt;"",H14*I14,0)</f>
        <v>0</v>
      </c>
      <c r="K14" s="250"/>
      <c r="L14" s="24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228"/>
      <c r="BH14" s="228"/>
      <c r="BI14" s="228"/>
      <c r="BJ14" s="228"/>
      <c r="BK14" s="228"/>
      <c r="BL14" s="228"/>
      <c r="BM14" s="228"/>
      <c r="BN14" s="228"/>
      <c r="BO14" s="228"/>
      <c r="BP14" s="228"/>
      <c r="BQ14" s="228"/>
      <c r="BR14" s="228"/>
      <c r="BS14" s="228"/>
      <c r="BT14" s="228"/>
      <c r="BU14" s="228"/>
      <c r="BV14" s="228"/>
      <c r="BW14" s="228"/>
      <c r="BX14" s="228"/>
      <c r="BY14" s="228"/>
      <c r="BZ14" s="228"/>
      <c r="CA14" s="228"/>
      <c r="CB14" s="228"/>
      <c r="CC14" s="228"/>
      <c r="CD14" s="228"/>
      <c r="CE14" s="228"/>
      <c r="CF14" s="228"/>
      <c r="CG14" s="228"/>
    </row>
    <row r="15" spans="1:86" s="249" customFormat="1" ht="21.75" customHeight="1">
      <c r="A15" s="69" t="str">
        <f ca="1">IF(ROWS($1:2)&gt;COUNT(Dong),"",OFFSET(TH!E$1,SMALL(Dong,ROWS($1:2)),))</f>
        <v/>
      </c>
      <c r="B15" s="265" t="str">
        <f ca="1">IF(ROWS($1:2)&gt;COUNT(Dong),"",OFFSET(TH!G$1,SMALL(Dong,ROWS($1:2)),))</f>
        <v/>
      </c>
      <c r="C15" s="243" t="str">
        <f t="shared" ca="1" si="0"/>
        <v/>
      </c>
      <c r="D15" s="243" t="str">
        <f ca="1">IF(ROWS($1:2)&gt;COUNT(Dong),"",OFFSET(TH!D$1,SMALL(Dong,ROWS($1:2)),))</f>
        <v/>
      </c>
      <c r="E15" s="244" t="str">
        <f t="shared" ca="1" si="1"/>
        <v/>
      </c>
      <c r="F15" s="244" t="str">
        <f t="shared" ca="1" si="2"/>
        <v/>
      </c>
      <c r="G15" s="245" t="str">
        <f ca="1">IF(ROWS($1:2)&gt;COUNT(Dong),"",OFFSET(TH!F$1,SMALL(Dong,ROWS($1:2)),))</f>
        <v/>
      </c>
      <c r="H15" s="246" t="str">
        <f ca="1">IF(ROWS($1:2)&gt;COUNT(Dong),"",OFFSET(TH!K$1,SMALL(Dong,ROWS($1:2)),))</f>
        <v/>
      </c>
      <c r="I15" s="246" t="str">
        <f ca="1">IF(ROWS($1:2)&gt;COUNT(Dong),"",OFFSET(TH!J$1,SMALL(Dong,ROWS($1:2)),))</f>
        <v/>
      </c>
      <c r="J15" s="250">
        <f t="shared" ref="J15:J61" ca="1" si="3">IF(B15&lt;&gt;"",H15*I15,0)</f>
        <v>0</v>
      </c>
      <c r="K15" s="247"/>
      <c r="L15" s="248"/>
      <c r="M15" s="228"/>
      <c r="N15" s="228"/>
      <c r="O15" s="228"/>
      <c r="P15" s="228"/>
      <c r="Q15" s="228"/>
      <c r="R15" s="228"/>
      <c r="S15" s="228"/>
      <c r="T15" s="228"/>
      <c r="U15" s="228"/>
      <c r="V15" s="228"/>
      <c r="W15" s="228"/>
      <c r="X15" s="228"/>
      <c r="Y15" s="228"/>
      <c r="Z15" s="228"/>
      <c r="AA15" s="228"/>
      <c r="AB15" s="228"/>
      <c r="AC15" s="228"/>
      <c r="AD15" s="228"/>
      <c r="AE15" s="228"/>
      <c r="AF15" s="228"/>
      <c r="AG15" s="228"/>
      <c r="AH15" s="228"/>
      <c r="AI15" s="228"/>
      <c r="AJ15" s="228"/>
      <c r="AK15" s="228"/>
      <c r="AL15" s="228"/>
      <c r="AM15" s="228"/>
      <c r="AN15" s="228"/>
      <c r="AO15" s="228"/>
      <c r="AP15" s="228"/>
      <c r="AQ15" s="228"/>
      <c r="AR15" s="228"/>
      <c r="AS15" s="228"/>
      <c r="AT15" s="228"/>
      <c r="AU15" s="228"/>
      <c r="AV15" s="228"/>
      <c r="AW15" s="228"/>
      <c r="AX15" s="228"/>
      <c r="AY15" s="228"/>
      <c r="AZ15" s="228"/>
      <c r="BA15" s="228"/>
      <c r="BB15" s="228"/>
      <c r="BC15" s="228"/>
      <c r="BD15" s="228"/>
      <c r="BE15" s="228"/>
      <c r="BF15" s="228"/>
      <c r="BG15" s="228"/>
      <c r="BH15" s="228"/>
      <c r="BI15" s="228"/>
      <c r="BJ15" s="228"/>
      <c r="BK15" s="228"/>
      <c r="BL15" s="228"/>
      <c r="BM15" s="228"/>
      <c r="BN15" s="228"/>
      <c r="BO15" s="228"/>
      <c r="BP15" s="228"/>
      <c r="BQ15" s="228"/>
      <c r="BR15" s="228"/>
      <c r="BS15" s="228"/>
      <c r="BT15" s="228"/>
      <c r="BU15" s="228"/>
      <c r="BV15" s="228"/>
      <c r="BW15" s="228"/>
      <c r="BX15" s="228"/>
      <c r="BY15" s="228"/>
      <c r="BZ15" s="228"/>
      <c r="CA15" s="228"/>
      <c r="CB15" s="228"/>
      <c r="CC15" s="228"/>
      <c r="CD15" s="228"/>
      <c r="CE15" s="228"/>
      <c r="CF15" s="228"/>
      <c r="CG15" s="228"/>
    </row>
    <row r="16" spans="1:86" s="249" customFormat="1" ht="21.75" customHeight="1">
      <c r="A16" s="69" t="str">
        <f ca="1">IF(ROWS($1:3)&gt;COUNT(Dong),"",OFFSET(TH!E$1,SMALL(Dong,ROWS($1:3)),))</f>
        <v/>
      </c>
      <c r="B16" s="265" t="str">
        <f ca="1">IF(ROWS($1:3)&gt;COUNT(Dong),"",OFFSET(TH!G$1,SMALL(Dong,ROWS($1:3)),))</f>
        <v/>
      </c>
      <c r="C16" s="243" t="str">
        <f t="shared" ca="1" si="0"/>
        <v/>
      </c>
      <c r="D16" s="243" t="str">
        <f ca="1">IF(ROWS($1:3)&gt;COUNT(Dong),"",OFFSET(TH!D$1,SMALL(Dong,ROWS($1:3)),))</f>
        <v/>
      </c>
      <c r="E16" s="244" t="str">
        <f t="shared" ca="1" si="1"/>
        <v/>
      </c>
      <c r="F16" s="244" t="str">
        <f t="shared" ca="1" si="2"/>
        <v/>
      </c>
      <c r="G16" s="245" t="str">
        <f ca="1">IF(ROWS($1:3)&gt;COUNT(Dong),"",OFFSET(TH!F$1,SMALL(Dong,ROWS($1:3)),))</f>
        <v/>
      </c>
      <c r="H16" s="246" t="str">
        <f ca="1">IF(ROWS($1:3)&gt;COUNT(Dong),"",OFFSET(TH!K$1,SMALL(Dong,ROWS($1:3)),))</f>
        <v/>
      </c>
      <c r="I16" s="246" t="str">
        <f ca="1">IF(ROWS($1:3)&gt;COUNT(Dong),"",OFFSET(TH!J$1,SMALL(Dong,ROWS($1:3)),))</f>
        <v/>
      </c>
      <c r="J16" s="250">
        <f t="shared" ca="1" si="3"/>
        <v>0</v>
      </c>
      <c r="K16" s="247"/>
      <c r="L16" s="24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8"/>
      <c r="BG16" s="228"/>
      <c r="BH16" s="228"/>
      <c r="BI16" s="228"/>
      <c r="BJ16" s="228"/>
      <c r="BK16" s="228"/>
      <c r="BL16" s="228"/>
      <c r="BM16" s="228"/>
      <c r="BN16" s="228"/>
      <c r="BO16" s="228"/>
      <c r="BP16" s="228"/>
      <c r="BQ16" s="228"/>
      <c r="BR16" s="228"/>
      <c r="BS16" s="228"/>
      <c r="BT16" s="228"/>
      <c r="BU16" s="228"/>
      <c r="BV16" s="228"/>
      <c r="BW16" s="228"/>
      <c r="BX16" s="228"/>
      <c r="BY16" s="228"/>
      <c r="BZ16" s="228"/>
      <c r="CA16" s="228"/>
      <c r="CB16" s="228"/>
      <c r="CC16" s="228"/>
      <c r="CD16" s="228"/>
      <c r="CE16" s="228"/>
      <c r="CF16" s="228"/>
      <c r="CG16" s="228"/>
    </row>
    <row r="17" spans="1:85" s="249" customFormat="1" ht="21.75" customHeight="1">
      <c r="A17" s="69" t="str">
        <f ca="1">IF(ROWS($1:4)&gt;COUNT(Dong),"",OFFSET(TH!E$1,SMALL(Dong,ROWS($1:4)),))</f>
        <v/>
      </c>
      <c r="B17" s="265" t="str">
        <f ca="1">IF(ROWS($1:4)&gt;COUNT(Dong),"",OFFSET(TH!G$1,SMALL(Dong,ROWS($1:4)),))</f>
        <v/>
      </c>
      <c r="C17" s="243" t="str">
        <f t="shared" ca="1" si="0"/>
        <v/>
      </c>
      <c r="D17" s="243" t="str">
        <f ca="1">IF(ROWS($1:4)&gt;COUNT(Dong),"",OFFSET(TH!D$1,SMALL(Dong,ROWS($1:4)),))</f>
        <v/>
      </c>
      <c r="E17" s="244" t="str">
        <f t="shared" ca="1" si="1"/>
        <v/>
      </c>
      <c r="F17" s="244" t="str">
        <f t="shared" ca="1" si="2"/>
        <v/>
      </c>
      <c r="G17" s="245" t="str">
        <f ca="1">IF(ROWS($1:4)&gt;COUNT(Dong),"",OFFSET(TH!F$1,SMALL(Dong,ROWS($1:4)),))</f>
        <v/>
      </c>
      <c r="H17" s="246" t="str">
        <f ca="1">IF(ROWS($1:4)&gt;COUNT(Dong),"",OFFSET(TH!K$1,SMALL(Dong,ROWS($1:4)),))</f>
        <v/>
      </c>
      <c r="I17" s="246" t="str">
        <f ca="1">IF(ROWS($1:4)&gt;COUNT(Dong),"",OFFSET(TH!J$1,SMALL(Dong,ROWS($1:4)),))</f>
        <v/>
      </c>
      <c r="J17" s="250">
        <f t="shared" ca="1" si="3"/>
        <v>0</v>
      </c>
      <c r="K17" s="247"/>
      <c r="L17" s="24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228"/>
      <c r="BH17" s="228"/>
      <c r="BI17" s="228"/>
      <c r="BJ17" s="228"/>
      <c r="BK17" s="228"/>
      <c r="BL17" s="228"/>
      <c r="BM17" s="228"/>
      <c r="BN17" s="228"/>
      <c r="BO17" s="228"/>
      <c r="BP17" s="228"/>
      <c r="BQ17" s="228"/>
      <c r="BR17" s="228"/>
      <c r="BS17" s="228"/>
      <c r="BT17" s="228"/>
      <c r="BU17" s="228"/>
      <c r="BV17" s="228"/>
      <c r="BW17" s="228"/>
      <c r="BX17" s="228"/>
      <c r="BY17" s="228"/>
      <c r="BZ17" s="228"/>
      <c r="CA17" s="228"/>
      <c r="CB17" s="228"/>
      <c r="CC17" s="228"/>
      <c r="CD17" s="228"/>
      <c r="CE17" s="228"/>
      <c r="CF17" s="228"/>
      <c r="CG17" s="228"/>
    </row>
    <row r="18" spans="1:85" s="249" customFormat="1" ht="21.75" customHeight="1">
      <c r="A18" s="69" t="str">
        <f ca="1">IF(ROWS($1:5)&gt;COUNT(Dong),"",OFFSET(TH!E$1,SMALL(Dong,ROWS($1:5)),))</f>
        <v/>
      </c>
      <c r="B18" s="265" t="str">
        <f ca="1">IF(ROWS($1:5)&gt;COUNT(Dong),"",OFFSET(TH!G$1,SMALL(Dong,ROWS($1:5)),))</f>
        <v/>
      </c>
      <c r="C18" s="243" t="str">
        <f t="shared" ca="1" si="0"/>
        <v/>
      </c>
      <c r="D18" s="243" t="str">
        <f ca="1">IF(ROWS($1:5)&gt;COUNT(Dong),"",OFFSET(TH!D$1,SMALL(Dong,ROWS($1:5)),))</f>
        <v/>
      </c>
      <c r="E18" s="244" t="str">
        <f t="shared" ca="1" si="1"/>
        <v/>
      </c>
      <c r="F18" s="244" t="str">
        <f t="shared" ca="1" si="2"/>
        <v/>
      </c>
      <c r="G18" s="245" t="str">
        <f ca="1">IF(ROWS($1:5)&gt;COUNT(Dong),"",OFFSET(TH!F$1,SMALL(Dong,ROWS($1:5)),))</f>
        <v/>
      </c>
      <c r="H18" s="246" t="str">
        <f ca="1">IF(ROWS($1:5)&gt;COUNT(Dong),"",OFFSET(TH!K$1,SMALL(Dong,ROWS($1:5)),))</f>
        <v/>
      </c>
      <c r="I18" s="246" t="str">
        <f ca="1">IF(ROWS($1:5)&gt;COUNT(Dong),"",OFFSET(TH!J$1,SMALL(Dong,ROWS($1:5)),))</f>
        <v/>
      </c>
      <c r="J18" s="250">
        <f t="shared" ca="1" si="3"/>
        <v>0</v>
      </c>
      <c r="K18" s="247"/>
      <c r="L18" s="24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28"/>
      <c r="BG18" s="228"/>
      <c r="BH18" s="228"/>
      <c r="BI18" s="228"/>
      <c r="BJ18" s="228"/>
      <c r="BK18" s="228"/>
      <c r="BL18" s="228"/>
      <c r="BM18" s="228"/>
      <c r="BN18" s="228"/>
      <c r="BO18" s="228"/>
      <c r="BP18" s="228"/>
      <c r="BQ18" s="228"/>
      <c r="BR18" s="228"/>
      <c r="BS18" s="228"/>
      <c r="BT18" s="228"/>
      <c r="BU18" s="228"/>
      <c r="BV18" s="228"/>
      <c r="BW18" s="228"/>
      <c r="BX18" s="228"/>
      <c r="BY18" s="228"/>
      <c r="BZ18" s="228"/>
      <c r="CA18" s="228"/>
      <c r="CB18" s="228"/>
      <c r="CC18" s="228"/>
      <c r="CD18" s="228"/>
      <c r="CE18" s="228"/>
      <c r="CF18" s="228"/>
      <c r="CG18" s="228"/>
    </row>
    <row r="19" spans="1:85" s="249" customFormat="1" ht="21.75" customHeight="1">
      <c r="A19" s="69" t="str">
        <f ca="1">IF(ROWS($1:6)&gt;COUNT(Dong),"",OFFSET(TH!E$1,SMALL(Dong,ROWS($1:6)),))</f>
        <v/>
      </c>
      <c r="B19" s="265" t="str">
        <f ca="1">IF(ROWS($1:6)&gt;COUNT(Dong),"",OFFSET(TH!G$1,SMALL(Dong,ROWS($1:6)),))</f>
        <v/>
      </c>
      <c r="C19" s="243" t="str">
        <f t="shared" ca="1" si="0"/>
        <v/>
      </c>
      <c r="D19" s="243" t="str">
        <f ca="1">IF(ROWS($1:6)&gt;COUNT(Dong),"",OFFSET(TH!D$1,SMALL(Dong,ROWS($1:6)),))</f>
        <v/>
      </c>
      <c r="E19" s="244" t="str">
        <f t="shared" ca="1" si="1"/>
        <v/>
      </c>
      <c r="F19" s="244" t="str">
        <f t="shared" ca="1" si="2"/>
        <v/>
      </c>
      <c r="G19" s="245" t="str">
        <f ca="1">IF(ROWS($1:6)&gt;COUNT(Dong),"",OFFSET(TH!F$1,SMALL(Dong,ROWS($1:6)),))</f>
        <v/>
      </c>
      <c r="H19" s="246" t="str">
        <f ca="1">IF(ROWS($1:6)&gt;COUNT(Dong),"",OFFSET(TH!K$1,SMALL(Dong,ROWS($1:6)),))</f>
        <v/>
      </c>
      <c r="I19" s="246" t="str">
        <f ca="1">IF(ROWS($1:6)&gt;COUNT(Dong),"",OFFSET(TH!J$1,SMALL(Dong,ROWS($1:6)),))</f>
        <v/>
      </c>
      <c r="J19" s="250">
        <f t="shared" ca="1" si="3"/>
        <v>0</v>
      </c>
      <c r="K19" s="247"/>
      <c r="L19" s="248"/>
      <c r="M19" s="228"/>
      <c r="N19" s="228"/>
      <c r="O19" s="228"/>
      <c r="P19" s="228"/>
      <c r="Q19" s="228"/>
      <c r="R19" s="228"/>
      <c r="S19" s="228"/>
      <c r="T19" s="228"/>
      <c r="U19" s="228"/>
      <c r="V19" s="228"/>
      <c r="W19" s="228"/>
      <c r="X19" s="228"/>
      <c r="Y19" s="228"/>
      <c r="Z19" s="228"/>
      <c r="AA19" s="228"/>
      <c r="AB19" s="228"/>
      <c r="AC19" s="228"/>
      <c r="AD19" s="228"/>
      <c r="AE19" s="228"/>
      <c r="AF19" s="228"/>
      <c r="AG19" s="228"/>
      <c r="AH19" s="228"/>
      <c r="AI19" s="228"/>
      <c r="AJ19" s="228"/>
      <c r="AK19" s="228"/>
      <c r="AL19" s="228"/>
      <c r="AM19" s="228"/>
      <c r="AN19" s="228"/>
      <c r="AO19" s="228"/>
      <c r="AP19" s="228"/>
      <c r="AQ19" s="228"/>
      <c r="AR19" s="228"/>
      <c r="AS19" s="228"/>
      <c r="AT19" s="228"/>
      <c r="AU19" s="228"/>
      <c r="AV19" s="228"/>
      <c r="AW19" s="228"/>
      <c r="AX19" s="228"/>
      <c r="AY19" s="228"/>
      <c r="AZ19" s="228"/>
      <c r="BA19" s="228"/>
      <c r="BB19" s="228"/>
      <c r="BC19" s="228"/>
      <c r="BD19" s="228"/>
      <c r="BE19" s="228"/>
      <c r="BF19" s="228"/>
      <c r="BG19" s="228"/>
      <c r="BH19" s="228"/>
      <c r="BI19" s="228"/>
      <c r="BJ19" s="228"/>
      <c r="BK19" s="228"/>
      <c r="BL19" s="228"/>
      <c r="BM19" s="228"/>
      <c r="BN19" s="228"/>
      <c r="BO19" s="228"/>
      <c r="BP19" s="228"/>
      <c r="BQ19" s="228"/>
      <c r="BR19" s="228"/>
      <c r="BS19" s="228"/>
      <c r="BT19" s="228"/>
      <c r="BU19" s="228"/>
      <c r="BV19" s="228"/>
      <c r="BW19" s="228"/>
      <c r="BX19" s="228"/>
      <c r="BY19" s="228"/>
      <c r="BZ19" s="228"/>
      <c r="CA19" s="228"/>
      <c r="CB19" s="228"/>
      <c r="CC19" s="228"/>
      <c r="CD19" s="228"/>
      <c r="CE19" s="228"/>
      <c r="CF19" s="228"/>
      <c r="CG19" s="228"/>
    </row>
    <row r="20" spans="1:85" s="249" customFormat="1" ht="21.75" customHeight="1">
      <c r="A20" s="69" t="str">
        <f ca="1">IF(ROWS($1:7)&gt;COUNT(Dong),"",OFFSET(TH!E$1,SMALL(Dong,ROWS($1:7)),))</f>
        <v/>
      </c>
      <c r="B20" s="265" t="str">
        <f ca="1">IF(ROWS($1:7)&gt;COUNT(Dong),"",OFFSET(TH!G$1,SMALL(Dong,ROWS($1:7)),))</f>
        <v/>
      </c>
      <c r="C20" s="243" t="str">
        <f t="shared" ca="1" si="0"/>
        <v/>
      </c>
      <c r="D20" s="243" t="str">
        <f ca="1">IF(ROWS($1:7)&gt;COUNT(Dong),"",OFFSET(TH!D$1,SMALL(Dong,ROWS($1:7)),))</f>
        <v/>
      </c>
      <c r="E20" s="244" t="str">
        <f t="shared" ca="1" si="1"/>
        <v/>
      </c>
      <c r="F20" s="244" t="str">
        <f t="shared" ca="1" si="2"/>
        <v/>
      </c>
      <c r="G20" s="245" t="str">
        <f ca="1">IF(ROWS($1:7)&gt;COUNT(Dong),"",OFFSET(TH!F$1,SMALL(Dong,ROWS($1:7)),))</f>
        <v/>
      </c>
      <c r="H20" s="246" t="str">
        <f ca="1">IF(ROWS($1:7)&gt;COUNT(Dong),"",OFFSET(TH!K$1,SMALL(Dong,ROWS($1:7)),))</f>
        <v/>
      </c>
      <c r="I20" s="246" t="str">
        <f ca="1">IF(ROWS($1:7)&gt;COUNT(Dong),"",OFFSET(TH!J$1,SMALL(Dong,ROWS($1:7)),))</f>
        <v/>
      </c>
      <c r="J20" s="250">
        <f t="shared" ca="1" si="3"/>
        <v>0</v>
      </c>
      <c r="K20" s="247"/>
      <c r="L20" s="24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c r="AM20" s="228"/>
      <c r="AN20" s="228"/>
      <c r="AO20" s="228"/>
      <c r="AP20" s="228"/>
      <c r="AQ20" s="228"/>
      <c r="AR20" s="228"/>
      <c r="AS20" s="228"/>
      <c r="AT20" s="228"/>
      <c r="AU20" s="228"/>
      <c r="AV20" s="228"/>
      <c r="AW20" s="228"/>
      <c r="AX20" s="228"/>
      <c r="AY20" s="228"/>
      <c r="AZ20" s="228"/>
      <c r="BA20" s="228"/>
      <c r="BB20" s="228"/>
      <c r="BC20" s="228"/>
      <c r="BD20" s="228"/>
      <c r="BE20" s="228"/>
      <c r="BF20" s="228"/>
      <c r="BG20" s="228"/>
      <c r="BH20" s="228"/>
      <c r="BI20" s="228"/>
      <c r="BJ20" s="228"/>
      <c r="BK20" s="228"/>
      <c r="BL20" s="228"/>
      <c r="BM20" s="228"/>
      <c r="BN20" s="228"/>
      <c r="BO20" s="228"/>
      <c r="BP20" s="228"/>
      <c r="BQ20" s="228"/>
      <c r="BR20" s="228"/>
      <c r="BS20" s="228"/>
      <c r="BT20" s="228"/>
      <c r="BU20" s="228"/>
      <c r="BV20" s="228"/>
      <c r="BW20" s="228"/>
      <c r="BX20" s="228"/>
      <c r="BY20" s="228"/>
      <c r="BZ20" s="228"/>
      <c r="CA20" s="228"/>
      <c r="CB20" s="228"/>
      <c r="CC20" s="228"/>
      <c r="CD20" s="228"/>
      <c r="CE20" s="228"/>
      <c r="CF20" s="228"/>
      <c r="CG20" s="228"/>
    </row>
    <row r="21" spans="1:85" s="249" customFormat="1" ht="21.75" customHeight="1">
      <c r="A21" s="69" t="str">
        <f ca="1">IF(ROWS($1:8)&gt;COUNT(Dong),"",OFFSET(TH!E$1,SMALL(Dong,ROWS($1:8)),))</f>
        <v/>
      </c>
      <c r="B21" s="265" t="str">
        <f ca="1">IF(ROWS($1:8)&gt;COUNT(Dong),"",OFFSET(TH!G$1,SMALL(Dong,ROWS($1:8)),))</f>
        <v/>
      </c>
      <c r="C21" s="243" t="str">
        <f t="shared" ca="1" si="0"/>
        <v/>
      </c>
      <c r="D21" s="243" t="str">
        <f ca="1">IF(ROWS($1:8)&gt;COUNT(Dong),"",OFFSET(TH!D$1,SMALL(Dong,ROWS($1:8)),))</f>
        <v/>
      </c>
      <c r="E21" s="244" t="str">
        <f t="shared" ca="1" si="1"/>
        <v/>
      </c>
      <c r="F21" s="244" t="str">
        <f t="shared" ca="1" si="2"/>
        <v/>
      </c>
      <c r="G21" s="245" t="str">
        <f ca="1">IF(ROWS($1:8)&gt;COUNT(Dong),"",OFFSET(TH!F$1,SMALL(Dong,ROWS($1:8)),))</f>
        <v/>
      </c>
      <c r="H21" s="246" t="str">
        <f ca="1">IF(ROWS($1:8)&gt;COUNT(Dong),"",OFFSET(TH!K$1,SMALL(Dong,ROWS($1:8)),))</f>
        <v/>
      </c>
      <c r="I21" s="246" t="str">
        <f ca="1">IF(ROWS($1:8)&gt;COUNT(Dong),"",OFFSET(TH!J$1,SMALL(Dong,ROWS($1:8)),))</f>
        <v/>
      </c>
      <c r="J21" s="250">
        <f t="shared" ca="1" si="3"/>
        <v>0</v>
      </c>
      <c r="K21" s="247"/>
      <c r="L21" s="24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228"/>
      <c r="BJ21" s="228"/>
      <c r="BK21" s="228"/>
      <c r="BL21" s="228"/>
      <c r="BM21" s="228"/>
      <c r="BN21" s="228"/>
      <c r="BO21" s="228"/>
      <c r="BP21" s="228"/>
      <c r="BQ21" s="228"/>
      <c r="BR21" s="228"/>
      <c r="BS21" s="228"/>
      <c r="BT21" s="228"/>
      <c r="BU21" s="228"/>
      <c r="BV21" s="228"/>
      <c r="BW21" s="228"/>
      <c r="BX21" s="228"/>
      <c r="BY21" s="228"/>
      <c r="BZ21" s="228"/>
      <c r="CA21" s="228"/>
      <c r="CB21" s="228"/>
      <c r="CC21" s="228"/>
      <c r="CD21" s="228"/>
      <c r="CE21" s="228"/>
      <c r="CF21" s="228"/>
      <c r="CG21" s="228"/>
    </row>
    <row r="22" spans="1:85" s="249" customFormat="1" ht="21.75" customHeight="1">
      <c r="A22" s="69" t="str">
        <f ca="1">IF(ROWS($1:9)&gt;COUNT(Dong),"",OFFSET(TH!E$1,SMALL(Dong,ROWS($1:9)),))</f>
        <v/>
      </c>
      <c r="B22" s="265" t="str">
        <f ca="1">IF(ROWS($1:9)&gt;COUNT(Dong),"",OFFSET(TH!G$1,SMALL(Dong,ROWS($1:9)),))</f>
        <v/>
      </c>
      <c r="C22" s="243" t="str">
        <f t="shared" ca="1" si="0"/>
        <v/>
      </c>
      <c r="D22" s="243" t="str">
        <f ca="1">IF(ROWS($1:9)&gt;COUNT(Dong),"",OFFSET(TH!D$1,SMALL(Dong,ROWS($1:9)),))</f>
        <v/>
      </c>
      <c r="E22" s="244" t="str">
        <f t="shared" ca="1" si="1"/>
        <v/>
      </c>
      <c r="F22" s="244" t="str">
        <f t="shared" ca="1" si="2"/>
        <v/>
      </c>
      <c r="G22" s="245" t="str">
        <f ca="1">IF(ROWS($1:9)&gt;COUNT(Dong),"",OFFSET(TH!F$1,SMALL(Dong,ROWS($1:9)),))</f>
        <v/>
      </c>
      <c r="H22" s="246" t="str">
        <f ca="1">IF(ROWS($1:9)&gt;COUNT(Dong),"",OFFSET(TH!K$1,SMALL(Dong,ROWS($1:9)),))</f>
        <v/>
      </c>
      <c r="I22" s="246" t="str">
        <f ca="1">IF(ROWS($1:9)&gt;COUNT(Dong),"",OFFSET(TH!J$1,SMALL(Dong,ROWS($1:9)),))</f>
        <v/>
      </c>
      <c r="J22" s="250">
        <f t="shared" ca="1" si="3"/>
        <v>0</v>
      </c>
      <c r="K22" s="247"/>
      <c r="L22" s="248"/>
      <c r="M22" s="228"/>
      <c r="N22" s="228"/>
      <c r="O22" s="228"/>
      <c r="P22" s="228"/>
      <c r="Q22" s="228"/>
      <c r="R22" s="228"/>
      <c r="S22" s="228"/>
      <c r="T22" s="228"/>
      <c r="U22" s="228"/>
      <c r="V22" s="228"/>
      <c r="W22" s="228"/>
      <c r="X22" s="228"/>
      <c r="Y22" s="228"/>
      <c r="Z22" s="228"/>
      <c r="AA22" s="228"/>
      <c r="AB22" s="228"/>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228"/>
      <c r="BE22" s="228"/>
      <c r="BF22" s="228"/>
      <c r="BG22" s="228"/>
      <c r="BH22" s="228"/>
      <c r="BI22" s="228"/>
      <c r="BJ22" s="228"/>
      <c r="BK22" s="228"/>
      <c r="BL22" s="228"/>
      <c r="BM22" s="228"/>
      <c r="BN22" s="228"/>
      <c r="BO22" s="228"/>
      <c r="BP22" s="228"/>
      <c r="BQ22" s="228"/>
      <c r="BR22" s="228"/>
      <c r="BS22" s="228"/>
      <c r="BT22" s="228"/>
      <c r="BU22" s="228"/>
      <c r="BV22" s="228"/>
      <c r="BW22" s="228"/>
      <c r="BX22" s="228"/>
      <c r="BY22" s="228"/>
      <c r="BZ22" s="228"/>
      <c r="CA22" s="228"/>
      <c r="CB22" s="228"/>
      <c r="CC22" s="228"/>
      <c r="CD22" s="228"/>
      <c r="CE22" s="228"/>
      <c r="CF22" s="228"/>
      <c r="CG22" s="228"/>
    </row>
    <row r="23" spans="1:85" s="249" customFormat="1" ht="21.75" customHeight="1">
      <c r="A23" s="69" t="str">
        <f ca="1">IF(ROWS($1:10)&gt;COUNT(Dong),"",OFFSET(TH!E$1,SMALL(Dong,ROWS($1:10)),))</f>
        <v/>
      </c>
      <c r="B23" s="265" t="str">
        <f ca="1">IF(ROWS($1:10)&gt;COUNT(Dong),"",OFFSET(TH!G$1,SMALL(Dong,ROWS($1:10)),))</f>
        <v/>
      </c>
      <c r="C23" s="243" t="str">
        <f t="shared" ca="1" si="0"/>
        <v/>
      </c>
      <c r="D23" s="243" t="str">
        <f ca="1">IF(ROWS($1:10)&gt;COUNT(Dong),"",OFFSET(TH!D$1,SMALL(Dong,ROWS($1:10)),))</f>
        <v/>
      </c>
      <c r="E23" s="244" t="str">
        <f t="shared" ca="1" si="1"/>
        <v/>
      </c>
      <c r="F23" s="244" t="str">
        <f t="shared" ca="1" si="2"/>
        <v/>
      </c>
      <c r="G23" s="245" t="str">
        <f ca="1">IF(ROWS($1:10)&gt;COUNT(Dong),"",OFFSET(TH!F$1,SMALL(Dong,ROWS($1:10)),))</f>
        <v/>
      </c>
      <c r="H23" s="246" t="str">
        <f ca="1">IF(ROWS($1:10)&gt;COUNT(Dong),"",OFFSET(TH!K$1,SMALL(Dong,ROWS($1:10)),))</f>
        <v/>
      </c>
      <c r="I23" s="246" t="str">
        <f ca="1">IF(ROWS($1:10)&gt;COUNT(Dong),"",OFFSET(TH!J$1,SMALL(Dong,ROWS($1:10)),))</f>
        <v/>
      </c>
      <c r="J23" s="250">
        <f t="shared" ca="1" si="3"/>
        <v>0</v>
      </c>
      <c r="K23" s="247"/>
      <c r="L23" s="24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8"/>
      <c r="BG23" s="228"/>
      <c r="BH23" s="228"/>
      <c r="BI23" s="228"/>
      <c r="BJ23" s="228"/>
      <c r="BK23" s="228"/>
      <c r="BL23" s="228"/>
      <c r="BM23" s="228"/>
      <c r="BN23" s="228"/>
      <c r="BO23" s="228"/>
      <c r="BP23" s="228"/>
      <c r="BQ23" s="228"/>
      <c r="BR23" s="228"/>
      <c r="BS23" s="228"/>
      <c r="BT23" s="228"/>
      <c r="BU23" s="228"/>
      <c r="BV23" s="228"/>
      <c r="BW23" s="228"/>
      <c r="BX23" s="228"/>
      <c r="BY23" s="228"/>
      <c r="BZ23" s="228"/>
      <c r="CA23" s="228"/>
      <c r="CB23" s="228"/>
      <c r="CC23" s="228"/>
      <c r="CD23" s="228"/>
      <c r="CE23" s="228"/>
      <c r="CF23" s="228"/>
      <c r="CG23" s="228"/>
    </row>
    <row r="24" spans="1:85" s="249" customFormat="1" ht="21.75" customHeight="1">
      <c r="A24" s="69" t="str">
        <f ca="1">IF(ROWS($1:11)&gt;COUNT(Dong),"",OFFSET(TH!E$1,SMALL(Dong,ROWS($1:11)),))</f>
        <v/>
      </c>
      <c r="B24" s="265" t="str">
        <f ca="1">IF(ROWS($1:11)&gt;COUNT(Dong),"",OFFSET(TH!G$1,SMALL(Dong,ROWS($1:11)),))</f>
        <v/>
      </c>
      <c r="C24" s="243" t="str">
        <f t="shared" ca="1" si="0"/>
        <v/>
      </c>
      <c r="D24" s="243" t="str">
        <f ca="1">IF(ROWS($1:11)&gt;COUNT(Dong),"",OFFSET(TH!D$1,SMALL(Dong,ROWS($1:11)),))</f>
        <v/>
      </c>
      <c r="E24" s="244" t="str">
        <f t="shared" ca="1" si="1"/>
        <v/>
      </c>
      <c r="F24" s="244" t="str">
        <f t="shared" ca="1" si="2"/>
        <v/>
      </c>
      <c r="G24" s="245" t="str">
        <f ca="1">IF(ROWS($1:11)&gt;COUNT(Dong),"",OFFSET(TH!F$1,SMALL(Dong,ROWS($1:11)),))</f>
        <v/>
      </c>
      <c r="H24" s="246" t="str">
        <f ca="1">IF(ROWS($1:11)&gt;COUNT(Dong),"",OFFSET(TH!K$1,SMALL(Dong,ROWS($1:11)),))</f>
        <v/>
      </c>
      <c r="I24" s="246" t="str">
        <f ca="1">IF(ROWS($1:11)&gt;COUNT(Dong),"",OFFSET(TH!J$1,SMALL(Dong,ROWS($1:11)),))</f>
        <v/>
      </c>
      <c r="J24" s="250">
        <f t="shared" ca="1" si="3"/>
        <v>0</v>
      </c>
      <c r="K24" s="247"/>
      <c r="L24" s="24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228"/>
      <c r="BJ24" s="228"/>
      <c r="BK24" s="228"/>
      <c r="BL24" s="228"/>
      <c r="BM24" s="228"/>
      <c r="BN24" s="228"/>
      <c r="BO24" s="228"/>
      <c r="BP24" s="228"/>
      <c r="BQ24" s="228"/>
      <c r="BR24" s="228"/>
      <c r="BS24" s="228"/>
      <c r="BT24" s="228"/>
      <c r="BU24" s="228"/>
      <c r="BV24" s="228"/>
      <c r="BW24" s="228"/>
      <c r="BX24" s="228"/>
      <c r="BY24" s="228"/>
      <c r="BZ24" s="228"/>
      <c r="CA24" s="228"/>
      <c r="CB24" s="228"/>
      <c r="CC24" s="228"/>
      <c r="CD24" s="228"/>
      <c r="CE24" s="228"/>
      <c r="CF24" s="228"/>
      <c r="CG24" s="228"/>
    </row>
    <row r="25" spans="1:85" s="249" customFormat="1" ht="21.75" customHeight="1">
      <c r="A25" s="69" t="str">
        <f ca="1">IF(ROWS($1:12)&gt;COUNT(Dong),"",OFFSET(TH!E$1,SMALL(Dong,ROWS($1:12)),))</f>
        <v/>
      </c>
      <c r="B25" s="265" t="str">
        <f ca="1">IF(ROWS($1:12)&gt;COUNT(Dong),"",OFFSET(TH!G$1,SMALL(Dong,ROWS($1:12)),))</f>
        <v/>
      </c>
      <c r="C25" s="243" t="str">
        <f t="shared" ca="1" si="0"/>
        <v/>
      </c>
      <c r="D25" s="243" t="str">
        <f ca="1">IF(ROWS($1:12)&gt;COUNT(Dong),"",OFFSET(TH!D$1,SMALL(Dong,ROWS($1:12)),))</f>
        <v/>
      </c>
      <c r="E25" s="244" t="str">
        <f t="shared" ca="1" si="1"/>
        <v/>
      </c>
      <c r="F25" s="244" t="str">
        <f t="shared" ca="1" si="2"/>
        <v/>
      </c>
      <c r="G25" s="245" t="str">
        <f ca="1">IF(ROWS($1:12)&gt;COUNT(Dong),"",OFFSET(TH!F$1,SMALL(Dong,ROWS($1:12)),))</f>
        <v/>
      </c>
      <c r="H25" s="246" t="str">
        <f ca="1">IF(ROWS($1:12)&gt;COUNT(Dong),"",OFFSET(TH!K$1,SMALL(Dong,ROWS($1:12)),))</f>
        <v/>
      </c>
      <c r="I25" s="246" t="str">
        <f ca="1">IF(ROWS($1:12)&gt;COUNT(Dong),"",OFFSET(TH!J$1,SMALL(Dong,ROWS($1:12)),))</f>
        <v/>
      </c>
      <c r="J25" s="250">
        <f t="shared" ca="1" si="3"/>
        <v>0</v>
      </c>
      <c r="K25" s="247"/>
      <c r="L25" s="24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228"/>
      <c r="BJ25" s="228"/>
      <c r="BK25" s="228"/>
      <c r="BL25" s="228"/>
      <c r="BM25" s="228"/>
      <c r="BN25" s="228"/>
      <c r="BO25" s="228"/>
      <c r="BP25" s="228"/>
      <c r="BQ25" s="228"/>
      <c r="BR25" s="228"/>
      <c r="BS25" s="228"/>
      <c r="BT25" s="228"/>
      <c r="BU25" s="228"/>
      <c r="BV25" s="228"/>
      <c r="BW25" s="228"/>
      <c r="BX25" s="228"/>
      <c r="BY25" s="228"/>
      <c r="BZ25" s="228"/>
      <c r="CA25" s="228"/>
      <c r="CB25" s="228"/>
      <c r="CC25" s="228"/>
      <c r="CD25" s="228"/>
      <c r="CE25" s="228"/>
      <c r="CF25" s="228"/>
      <c r="CG25" s="228"/>
    </row>
    <row r="26" spans="1:85" s="249" customFormat="1" ht="21.75" customHeight="1">
      <c r="A26" s="69" t="str">
        <f ca="1">IF(ROWS($1:13)&gt;COUNT(Dong),"",OFFSET(TH!E$1,SMALL(Dong,ROWS($1:13)),))</f>
        <v/>
      </c>
      <c r="B26" s="265" t="str">
        <f ca="1">IF(ROWS($1:13)&gt;COUNT(Dong),"",OFFSET(TH!G$1,SMALL(Dong,ROWS($1:13)),))</f>
        <v/>
      </c>
      <c r="C26" s="243" t="str">
        <f t="shared" ca="1" si="0"/>
        <v/>
      </c>
      <c r="D26" s="243" t="str">
        <f ca="1">IF(ROWS($1:13)&gt;COUNT(Dong),"",OFFSET(TH!D$1,SMALL(Dong,ROWS($1:13)),))</f>
        <v/>
      </c>
      <c r="E26" s="244" t="str">
        <f t="shared" ca="1" si="1"/>
        <v/>
      </c>
      <c r="F26" s="244" t="str">
        <f t="shared" ca="1" si="2"/>
        <v/>
      </c>
      <c r="G26" s="245" t="str">
        <f ca="1">IF(ROWS($1:13)&gt;COUNT(Dong),"",OFFSET(TH!F$1,SMALL(Dong,ROWS($1:13)),))</f>
        <v/>
      </c>
      <c r="H26" s="246" t="str">
        <f ca="1">IF(ROWS($1:13)&gt;COUNT(Dong),"",OFFSET(TH!K$1,SMALL(Dong,ROWS($1:13)),))</f>
        <v/>
      </c>
      <c r="I26" s="246" t="str">
        <f ca="1">IF(ROWS($1:13)&gt;COUNT(Dong),"",OFFSET(TH!J$1,SMALL(Dong,ROWS($1:13)),))</f>
        <v/>
      </c>
      <c r="J26" s="250">
        <f t="shared" ca="1" si="3"/>
        <v>0</v>
      </c>
      <c r="K26" s="247"/>
      <c r="L26" s="24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228"/>
      <c r="BK26" s="228"/>
      <c r="BL26" s="228"/>
      <c r="BM26" s="228"/>
      <c r="BN26" s="228"/>
      <c r="BO26" s="228"/>
      <c r="BP26" s="228"/>
      <c r="BQ26" s="228"/>
      <c r="BR26" s="228"/>
      <c r="BS26" s="228"/>
      <c r="BT26" s="228"/>
      <c r="BU26" s="228"/>
      <c r="BV26" s="228"/>
      <c r="BW26" s="228"/>
      <c r="BX26" s="228"/>
      <c r="BY26" s="228"/>
      <c r="BZ26" s="228"/>
      <c r="CA26" s="228"/>
      <c r="CB26" s="228"/>
      <c r="CC26" s="228"/>
      <c r="CD26" s="228"/>
      <c r="CE26" s="228"/>
      <c r="CF26" s="228"/>
      <c r="CG26" s="228"/>
    </row>
    <row r="27" spans="1:85" s="249" customFormat="1" ht="21.75" customHeight="1">
      <c r="A27" s="69" t="str">
        <f ca="1">IF(ROWS($1:14)&gt;COUNT(Dong),"",OFFSET(TH!E$1,SMALL(Dong,ROWS($1:14)),))</f>
        <v/>
      </c>
      <c r="B27" s="265" t="str">
        <f ca="1">IF(ROWS($1:14)&gt;COUNT(Dong),"",OFFSET(TH!G$1,SMALL(Dong,ROWS($1:14)),))</f>
        <v/>
      </c>
      <c r="C27" s="243" t="str">
        <f t="shared" ca="1" si="0"/>
        <v/>
      </c>
      <c r="D27" s="243" t="str">
        <f ca="1">IF(ROWS($1:14)&gt;COUNT(Dong),"",OFFSET(TH!D$1,SMALL(Dong,ROWS($1:14)),))</f>
        <v/>
      </c>
      <c r="E27" s="244" t="str">
        <f t="shared" ca="1" si="1"/>
        <v/>
      </c>
      <c r="F27" s="244" t="str">
        <f t="shared" ca="1" si="2"/>
        <v/>
      </c>
      <c r="G27" s="245" t="str">
        <f ca="1">IF(ROWS($1:14)&gt;COUNT(Dong),"",OFFSET(TH!F$1,SMALL(Dong,ROWS($1:14)),))</f>
        <v/>
      </c>
      <c r="H27" s="246" t="str">
        <f ca="1">IF(ROWS($1:14)&gt;COUNT(Dong),"",OFFSET(TH!K$1,SMALL(Dong,ROWS($1:14)),))</f>
        <v/>
      </c>
      <c r="I27" s="246" t="str">
        <f ca="1">IF(ROWS($1:14)&gt;COUNT(Dong),"",OFFSET(TH!J$1,SMALL(Dong,ROWS($1:14)),))</f>
        <v/>
      </c>
      <c r="J27" s="250">
        <f t="shared" ca="1" si="3"/>
        <v>0</v>
      </c>
      <c r="K27" s="247"/>
      <c r="L27" s="24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8"/>
      <c r="BG27" s="228"/>
      <c r="BH27" s="228"/>
      <c r="BI27" s="228"/>
      <c r="BJ27" s="228"/>
      <c r="BK27" s="228"/>
      <c r="BL27" s="228"/>
      <c r="BM27" s="228"/>
      <c r="BN27" s="228"/>
      <c r="BO27" s="228"/>
      <c r="BP27" s="228"/>
      <c r="BQ27" s="228"/>
      <c r="BR27" s="228"/>
      <c r="BS27" s="228"/>
      <c r="BT27" s="228"/>
      <c r="BU27" s="228"/>
      <c r="BV27" s="228"/>
      <c r="BW27" s="228"/>
      <c r="BX27" s="228"/>
      <c r="BY27" s="228"/>
      <c r="BZ27" s="228"/>
      <c r="CA27" s="228"/>
      <c r="CB27" s="228"/>
      <c r="CC27" s="228"/>
      <c r="CD27" s="228"/>
      <c r="CE27" s="228"/>
      <c r="CF27" s="228"/>
      <c r="CG27" s="228"/>
    </row>
    <row r="28" spans="1:85" s="249" customFormat="1" ht="21.75" customHeight="1">
      <c r="A28" s="69" t="str">
        <f ca="1">IF(ROWS($1:15)&gt;COUNT(Dong),"",OFFSET(TH!E$1,SMALL(Dong,ROWS($1:15)),))</f>
        <v/>
      </c>
      <c r="B28" s="265" t="str">
        <f ca="1">IF(ROWS($1:15)&gt;COUNT(Dong),"",OFFSET(TH!G$1,SMALL(Dong,ROWS($1:15)),))</f>
        <v/>
      </c>
      <c r="C28" s="243" t="str">
        <f t="shared" ca="1" si="0"/>
        <v/>
      </c>
      <c r="D28" s="243" t="str">
        <f ca="1">IF(ROWS($1:15)&gt;COUNT(Dong),"",OFFSET(TH!D$1,SMALL(Dong,ROWS($1:15)),))</f>
        <v/>
      </c>
      <c r="E28" s="244" t="str">
        <f t="shared" ca="1" si="1"/>
        <v/>
      </c>
      <c r="F28" s="244" t="str">
        <f t="shared" ca="1" si="2"/>
        <v/>
      </c>
      <c r="G28" s="245" t="str">
        <f ca="1">IF(ROWS($1:15)&gt;COUNT(Dong),"",OFFSET(TH!F$1,SMALL(Dong,ROWS($1:15)),))</f>
        <v/>
      </c>
      <c r="H28" s="246" t="str">
        <f ca="1">IF(ROWS($1:15)&gt;COUNT(Dong),"",OFFSET(TH!K$1,SMALL(Dong,ROWS($1:15)),))</f>
        <v/>
      </c>
      <c r="I28" s="246" t="str">
        <f ca="1">IF(ROWS($1:15)&gt;COUNT(Dong),"",OFFSET(TH!J$1,SMALL(Dong,ROWS($1:15)),))</f>
        <v/>
      </c>
      <c r="J28" s="250">
        <f t="shared" ca="1" si="3"/>
        <v>0</v>
      </c>
      <c r="K28" s="247"/>
      <c r="L28" s="248"/>
      <c r="M28" s="228"/>
      <c r="N28" s="228"/>
      <c r="O28" s="228"/>
      <c r="P28" s="228"/>
      <c r="Q28" s="228"/>
      <c r="R28" s="228"/>
      <c r="S28" s="228"/>
      <c r="T28" s="228"/>
      <c r="U28" s="228"/>
      <c r="V28" s="228"/>
      <c r="W28" s="228"/>
      <c r="X28" s="228"/>
      <c r="Y28" s="228"/>
      <c r="Z28" s="228"/>
      <c r="AA28" s="228"/>
      <c r="AB28" s="228"/>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228"/>
      <c r="BE28" s="228"/>
      <c r="BF28" s="228"/>
      <c r="BG28" s="228"/>
      <c r="BH28" s="228"/>
      <c r="BI28" s="228"/>
      <c r="BJ28" s="228"/>
      <c r="BK28" s="228"/>
      <c r="BL28" s="228"/>
      <c r="BM28" s="228"/>
      <c r="BN28" s="228"/>
      <c r="BO28" s="228"/>
      <c r="BP28" s="228"/>
      <c r="BQ28" s="228"/>
      <c r="BR28" s="228"/>
      <c r="BS28" s="228"/>
      <c r="BT28" s="228"/>
      <c r="BU28" s="228"/>
      <c r="BV28" s="228"/>
      <c r="BW28" s="228"/>
      <c r="BX28" s="228"/>
      <c r="BY28" s="228"/>
      <c r="BZ28" s="228"/>
      <c r="CA28" s="228"/>
      <c r="CB28" s="228"/>
      <c r="CC28" s="228"/>
      <c r="CD28" s="228"/>
      <c r="CE28" s="228"/>
      <c r="CF28" s="228"/>
      <c r="CG28" s="228"/>
    </row>
    <row r="29" spans="1:85" s="249" customFormat="1" ht="21.75" customHeight="1">
      <c r="A29" s="69" t="str">
        <f ca="1">IF(ROWS($1:16)&gt;COUNT(Dong),"",OFFSET(TH!E$1,SMALL(Dong,ROWS($1:16)),))</f>
        <v/>
      </c>
      <c r="B29" s="265" t="str">
        <f ca="1">IF(ROWS($1:16)&gt;COUNT(Dong),"",OFFSET(TH!G$1,SMALL(Dong,ROWS($1:16)),))</f>
        <v/>
      </c>
      <c r="C29" s="243" t="str">
        <f t="shared" ca="1" si="0"/>
        <v/>
      </c>
      <c r="D29" s="243" t="str">
        <f ca="1">IF(ROWS($1:16)&gt;COUNT(Dong),"",OFFSET(TH!D$1,SMALL(Dong,ROWS($1:16)),))</f>
        <v/>
      </c>
      <c r="E29" s="244" t="str">
        <f t="shared" ca="1" si="1"/>
        <v/>
      </c>
      <c r="F29" s="244" t="str">
        <f t="shared" ca="1" si="2"/>
        <v/>
      </c>
      <c r="G29" s="245" t="str">
        <f ca="1">IF(ROWS($1:16)&gt;COUNT(Dong),"",OFFSET(TH!F$1,SMALL(Dong,ROWS($1:16)),))</f>
        <v/>
      </c>
      <c r="H29" s="246" t="str">
        <f ca="1">IF(ROWS($1:16)&gt;COUNT(Dong),"",OFFSET(TH!K$1,SMALL(Dong,ROWS($1:16)),))</f>
        <v/>
      </c>
      <c r="I29" s="246" t="str">
        <f ca="1">IF(ROWS($1:16)&gt;COUNT(Dong),"",OFFSET(TH!J$1,SMALL(Dong,ROWS($1:16)),))</f>
        <v/>
      </c>
      <c r="J29" s="250">
        <f t="shared" ca="1" si="3"/>
        <v>0</v>
      </c>
      <c r="K29" s="247"/>
      <c r="L29" s="24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228"/>
      <c r="BJ29" s="228"/>
      <c r="BK29" s="228"/>
      <c r="BL29" s="228"/>
      <c r="BM29" s="228"/>
      <c r="BN29" s="228"/>
      <c r="BO29" s="228"/>
      <c r="BP29" s="228"/>
      <c r="BQ29" s="228"/>
      <c r="BR29" s="228"/>
      <c r="BS29" s="228"/>
      <c r="BT29" s="228"/>
      <c r="BU29" s="228"/>
      <c r="BV29" s="228"/>
      <c r="BW29" s="228"/>
      <c r="BX29" s="228"/>
      <c r="BY29" s="228"/>
      <c r="BZ29" s="228"/>
      <c r="CA29" s="228"/>
      <c r="CB29" s="228"/>
      <c r="CC29" s="228"/>
      <c r="CD29" s="228"/>
      <c r="CE29" s="228"/>
      <c r="CF29" s="228"/>
      <c r="CG29" s="228"/>
    </row>
    <row r="30" spans="1:85" s="249" customFormat="1" ht="21.75" customHeight="1">
      <c r="A30" s="69" t="str">
        <f ca="1">IF(ROWS($1:17)&gt;COUNT(Dong),"",OFFSET(TH!E$1,SMALL(Dong,ROWS($1:17)),))</f>
        <v/>
      </c>
      <c r="B30" s="265" t="str">
        <f ca="1">IF(ROWS($1:17)&gt;COUNT(Dong),"",OFFSET(TH!G$1,SMALL(Dong,ROWS($1:17)),))</f>
        <v/>
      </c>
      <c r="C30" s="243" t="str">
        <f t="shared" ca="1" si="0"/>
        <v/>
      </c>
      <c r="D30" s="243" t="str">
        <f ca="1">IF(ROWS($1:17)&gt;COUNT(Dong),"",OFFSET(TH!D$1,SMALL(Dong,ROWS($1:17)),))</f>
        <v/>
      </c>
      <c r="E30" s="244" t="str">
        <f t="shared" ca="1" si="1"/>
        <v/>
      </c>
      <c r="F30" s="244" t="str">
        <f t="shared" ca="1" si="2"/>
        <v/>
      </c>
      <c r="G30" s="245" t="str">
        <f ca="1">IF(ROWS($1:17)&gt;COUNT(Dong),"",OFFSET(TH!F$1,SMALL(Dong,ROWS($1:17)),))</f>
        <v/>
      </c>
      <c r="H30" s="246" t="str">
        <f ca="1">IF(ROWS($1:17)&gt;COUNT(Dong),"",OFFSET(TH!K$1,SMALL(Dong,ROWS($1:17)),))</f>
        <v/>
      </c>
      <c r="I30" s="246" t="str">
        <f ca="1">IF(ROWS($1:17)&gt;COUNT(Dong),"",OFFSET(TH!J$1,SMALL(Dong,ROWS($1:17)),))</f>
        <v/>
      </c>
      <c r="J30" s="250">
        <f t="shared" ca="1" si="3"/>
        <v>0</v>
      </c>
      <c r="K30" s="247"/>
      <c r="L30" s="24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228"/>
      <c r="BI30" s="228"/>
      <c r="BJ30" s="228"/>
      <c r="BK30" s="228"/>
      <c r="BL30" s="228"/>
      <c r="BM30" s="228"/>
      <c r="BN30" s="228"/>
      <c r="BO30" s="228"/>
      <c r="BP30" s="228"/>
      <c r="BQ30" s="228"/>
      <c r="BR30" s="228"/>
      <c r="BS30" s="228"/>
      <c r="BT30" s="228"/>
      <c r="BU30" s="228"/>
      <c r="BV30" s="228"/>
      <c r="BW30" s="228"/>
      <c r="BX30" s="228"/>
      <c r="BY30" s="228"/>
      <c r="BZ30" s="228"/>
      <c r="CA30" s="228"/>
      <c r="CB30" s="228"/>
      <c r="CC30" s="228"/>
      <c r="CD30" s="228"/>
      <c r="CE30" s="228"/>
      <c r="CF30" s="228"/>
      <c r="CG30" s="228"/>
    </row>
    <row r="31" spans="1:85" s="249" customFormat="1" ht="21.75" customHeight="1">
      <c r="A31" s="69" t="str">
        <f ca="1">IF(ROWS($1:18)&gt;COUNT(Dong),"",OFFSET(TH!E$1,SMALL(Dong,ROWS($1:18)),))</f>
        <v/>
      </c>
      <c r="B31" s="265" t="str">
        <f ca="1">IF(ROWS($1:18)&gt;COUNT(Dong),"",OFFSET(TH!G$1,SMALL(Dong,ROWS($1:18)),))</f>
        <v/>
      </c>
      <c r="C31" s="243" t="str">
        <f t="shared" ca="1" si="0"/>
        <v/>
      </c>
      <c r="D31" s="243" t="str">
        <f ca="1">IF(ROWS($1:18)&gt;COUNT(Dong),"",OFFSET(TH!D$1,SMALL(Dong,ROWS($1:18)),))</f>
        <v/>
      </c>
      <c r="E31" s="244" t="str">
        <f t="shared" ca="1" si="1"/>
        <v/>
      </c>
      <c r="F31" s="244" t="str">
        <f t="shared" ca="1" si="2"/>
        <v/>
      </c>
      <c r="G31" s="245" t="str">
        <f ca="1">IF(ROWS($1:18)&gt;COUNT(Dong),"",OFFSET(TH!F$1,SMALL(Dong,ROWS($1:18)),))</f>
        <v/>
      </c>
      <c r="H31" s="246" t="str">
        <f ca="1">IF(ROWS($1:18)&gt;COUNT(Dong),"",OFFSET(TH!K$1,SMALL(Dong,ROWS($1:18)),))</f>
        <v/>
      </c>
      <c r="I31" s="246" t="str">
        <f ca="1">IF(ROWS($1:18)&gt;COUNT(Dong),"",OFFSET(TH!J$1,SMALL(Dong,ROWS($1:18)),))</f>
        <v/>
      </c>
      <c r="J31" s="250">
        <f t="shared" ca="1" si="3"/>
        <v>0</v>
      </c>
      <c r="K31" s="247"/>
      <c r="L31" s="24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228"/>
      <c r="BI31" s="228"/>
      <c r="BJ31" s="228"/>
      <c r="BK31" s="228"/>
      <c r="BL31" s="228"/>
      <c r="BM31" s="228"/>
      <c r="BN31" s="228"/>
      <c r="BO31" s="228"/>
      <c r="BP31" s="228"/>
      <c r="BQ31" s="228"/>
      <c r="BR31" s="228"/>
      <c r="BS31" s="228"/>
      <c r="BT31" s="228"/>
      <c r="BU31" s="228"/>
      <c r="BV31" s="228"/>
      <c r="BW31" s="228"/>
      <c r="BX31" s="228"/>
      <c r="BY31" s="228"/>
      <c r="BZ31" s="228"/>
      <c r="CA31" s="228"/>
      <c r="CB31" s="228"/>
      <c r="CC31" s="228"/>
      <c r="CD31" s="228"/>
      <c r="CE31" s="228"/>
      <c r="CF31" s="228"/>
      <c r="CG31" s="228"/>
    </row>
    <row r="32" spans="1:85" s="249" customFormat="1" ht="21.75" customHeight="1">
      <c r="A32" s="69" t="str">
        <f ca="1">IF(ROWS($1:19)&gt;COUNT(Dong),"",OFFSET(TH!E$1,SMALL(Dong,ROWS($1:19)),))</f>
        <v/>
      </c>
      <c r="B32" s="265" t="str">
        <f ca="1">IF(ROWS($1:19)&gt;COUNT(Dong),"",OFFSET(TH!G$1,SMALL(Dong,ROWS($1:19)),))</f>
        <v/>
      </c>
      <c r="C32" s="243" t="str">
        <f t="shared" ca="1" si="0"/>
        <v/>
      </c>
      <c r="D32" s="243" t="str">
        <f ca="1">IF(ROWS($1:19)&gt;COUNT(Dong),"",OFFSET(TH!D$1,SMALL(Dong,ROWS($1:19)),))</f>
        <v/>
      </c>
      <c r="E32" s="244" t="str">
        <f t="shared" ca="1" si="1"/>
        <v/>
      </c>
      <c r="F32" s="244" t="str">
        <f t="shared" ca="1" si="2"/>
        <v/>
      </c>
      <c r="G32" s="245" t="str">
        <f ca="1">IF(ROWS($1:19)&gt;COUNT(Dong),"",OFFSET(TH!F$1,SMALL(Dong,ROWS($1:19)),))</f>
        <v/>
      </c>
      <c r="H32" s="246" t="str">
        <f ca="1">IF(ROWS($1:19)&gt;COUNT(Dong),"",OFFSET(TH!K$1,SMALL(Dong,ROWS($1:19)),))</f>
        <v/>
      </c>
      <c r="I32" s="246" t="str">
        <f ca="1">IF(ROWS($1:19)&gt;COUNT(Dong),"",OFFSET(TH!J$1,SMALL(Dong,ROWS($1:19)),))</f>
        <v/>
      </c>
      <c r="J32" s="250">
        <f t="shared" ca="1" si="3"/>
        <v>0</v>
      </c>
      <c r="K32" s="247"/>
      <c r="L32" s="24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8"/>
      <c r="BE32" s="228"/>
      <c r="BF32" s="228"/>
      <c r="BG32" s="228"/>
      <c r="BH32" s="228"/>
      <c r="BI32" s="228"/>
      <c r="BJ32" s="228"/>
      <c r="BK32" s="228"/>
      <c r="BL32" s="228"/>
      <c r="BM32" s="228"/>
      <c r="BN32" s="228"/>
      <c r="BO32" s="228"/>
      <c r="BP32" s="228"/>
      <c r="BQ32" s="228"/>
      <c r="BR32" s="228"/>
      <c r="BS32" s="228"/>
      <c r="BT32" s="228"/>
      <c r="BU32" s="228"/>
      <c r="BV32" s="228"/>
      <c r="BW32" s="228"/>
      <c r="BX32" s="228"/>
      <c r="BY32" s="228"/>
      <c r="BZ32" s="228"/>
      <c r="CA32" s="228"/>
      <c r="CB32" s="228"/>
      <c r="CC32" s="228"/>
      <c r="CD32" s="228"/>
      <c r="CE32" s="228"/>
      <c r="CF32" s="228"/>
      <c r="CG32" s="228"/>
    </row>
    <row r="33" spans="1:85" s="249" customFormat="1" ht="21.75" customHeight="1">
      <c r="A33" s="69" t="str">
        <f ca="1">IF(ROWS($1:20)&gt;COUNT(Dong),"",OFFSET(TH!E$1,SMALL(Dong,ROWS($1:20)),))</f>
        <v/>
      </c>
      <c r="B33" s="265" t="str">
        <f ca="1">IF(ROWS($1:20)&gt;COUNT(Dong),"",OFFSET(TH!G$1,SMALL(Dong,ROWS($1:20)),))</f>
        <v/>
      </c>
      <c r="C33" s="243" t="str">
        <f t="shared" ca="1" si="0"/>
        <v/>
      </c>
      <c r="D33" s="243" t="str">
        <f ca="1">IF(ROWS($1:20)&gt;COUNT(Dong),"",OFFSET(TH!D$1,SMALL(Dong,ROWS($1:20)),))</f>
        <v/>
      </c>
      <c r="E33" s="244" t="str">
        <f t="shared" ca="1" si="1"/>
        <v/>
      </c>
      <c r="F33" s="244" t="str">
        <f t="shared" ca="1" si="2"/>
        <v/>
      </c>
      <c r="G33" s="245" t="str">
        <f ca="1">IF(ROWS($1:20)&gt;COUNT(Dong),"",OFFSET(TH!F$1,SMALL(Dong,ROWS($1:20)),))</f>
        <v/>
      </c>
      <c r="H33" s="246" t="str">
        <f ca="1">IF(ROWS($1:20)&gt;COUNT(Dong),"",OFFSET(TH!K$1,SMALL(Dong,ROWS($1:20)),))</f>
        <v/>
      </c>
      <c r="I33" s="246" t="str">
        <f ca="1">IF(ROWS($1:20)&gt;COUNT(Dong),"",OFFSET(TH!J$1,SMALL(Dong,ROWS($1:20)),))</f>
        <v/>
      </c>
      <c r="J33" s="250">
        <f t="shared" ca="1" si="3"/>
        <v>0</v>
      </c>
      <c r="K33" s="247"/>
      <c r="L33" s="24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8"/>
      <c r="BE33" s="228"/>
      <c r="BF33" s="228"/>
      <c r="BG33" s="228"/>
      <c r="BH33" s="228"/>
      <c r="BI33" s="228"/>
      <c r="BJ33" s="228"/>
      <c r="BK33" s="228"/>
      <c r="BL33" s="228"/>
      <c r="BM33" s="228"/>
      <c r="BN33" s="228"/>
      <c r="BO33" s="228"/>
      <c r="BP33" s="228"/>
      <c r="BQ33" s="228"/>
      <c r="BR33" s="228"/>
      <c r="BS33" s="228"/>
      <c r="BT33" s="228"/>
      <c r="BU33" s="228"/>
      <c r="BV33" s="228"/>
      <c r="BW33" s="228"/>
      <c r="BX33" s="228"/>
      <c r="BY33" s="228"/>
      <c r="BZ33" s="228"/>
      <c r="CA33" s="228"/>
      <c r="CB33" s="228"/>
      <c r="CC33" s="228"/>
      <c r="CD33" s="228"/>
      <c r="CE33" s="228"/>
      <c r="CF33" s="228"/>
      <c r="CG33" s="228"/>
    </row>
    <row r="34" spans="1:85" s="249" customFormat="1" ht="21.75" customHeight="1">
      <c r="A34" s="69" t="str">
        <f ca="1">IF(ROWS($1:21)&gt;COUNT(Dong),"",OFFSET(TH!E$1,SMALL(Dong,ROWS($1:21)),))</f>
        <v/>
      </c>
      <c r="B34" s="265" t="str">
        <f ca="1">IF(ROWS($1:21)&gt;COUNT(Dong),"",OFFSET(TH!G$1,SMALL(Dong,ROWS($1:21)),))</f>
        <v/>
      </c>
      <c r="C34" s="243" t="str">
        <f t="shared" ca="1" si="0"/>
        <v/>
      </c>
      <c r="D34" s="243" t="str">
        <f ca="1">IF(ROWS($1:21)&gt;COUNT(Dong),"",OFFSET(TH!D$1,SMALL(Dong,ROWS($1:21)),))</f>
        <v/>
      </c>
      <c r="E34" s="244" t="str">
        <f t="shared" ca="1" si="1"/>
        <v/>
      </c>
      <c r="F34" s="244" t="str">
        <f t="shared" ca="1" si="2"/>
        <v/>
      </c>
      <c r="G34" s="245" t="str">
        <f ca="1">IF(ROWS($1:21)&gt;COUNT(Dong),"",OFFSET(TH!F$1,SMALL(Dong,ROWS($1:21)),))</f>
        <v/>
      </c>
      <c r="H34" s="246" t="str">
        <f ca="1">IF(ROWS($1:21)&gt;COUNT(Dong),"",OFFSET(TH!K$1,SMALL(Dong,ROWS($1:21)),))</f>
        <v/>
      </c>
      <c r="I34" s="246" t="str">
        <f ca="1">IF(ROWS($1:21)&gt;COUNT(Dong),"",OFFSET(TH!J$1,SMALL(Dong,ROWS($1:21)),))</f>
        <v/>
      </c>
      <c r="J34" s="250">
        <f t="shared" ca="1" si="3"/>
        <v>0</v>
      </c>
      <c r="K34" s="247"/>
      <c r="L34" s="248"/>
      <c r="M34" s="228"/>
      <c r="N34" s="228"/>
      <c r="O34" s="228"/>
      <c r="P34" s="228"/>
      <c r="Q34" s="228"/>
      <c r="R34" s="228"/>
      <c r="S34" s="228"/>
      <c r="T34" s="228"/>
      <c r="U34" s="228"/>
      <c r="V34" s="228"/>
      <c r="W34" s="228"/>
      <c r="X34" s="228"/>
      <c r="Y34" s="228"/>
      <c r="Z34" s="228"/>
      <c r="AA34" s="228"/>
      <c r="AB34" s="228"/>
      <c r="AC34" s="228"/>
      <c r="AD34" s="228"/>
      <c r="AE34" s="228"/>
      <c r="AF34" s="228"/>
      <c r="AG34" s="228"/>
      <c r="AH34" s="228"/>
      <c r="AI34" s="228"/>
      <c r="AJ34" s="228"/>
      <c r="AK34" s="228"/>
      <c r="AL34" s="228"/>
      <c r="AM34" s="228"/>
      <c r="AN34" s="228"/>
      <c r="AO34" s="228"/>
      <c r="AP34" s="228"/>
      <c r="AQ34" s="228"/>
      <c r="AR34" s="228"/>
      <c r="AS34" s="228"/>
      <c r="AT34" s="228"/>
      <c r="AU34" s="228"/>
      <c r="AV34" s="228"/>
      <c r="AW34" s="228"/>
      <c r="AX34" s="228"/>
      <c r="AY34" s="228"/>
      <c r="AZ34" s="228"/>
      <c r="BA34" s="228"/>
      <c r="BB34" s="228"/>
      <c r="BC34" s="228"/>
      <c r="BD34" s="228"/>
      <c r="BE34" s="228"/>
      <c r="BF34" s="228"/>
      <c r="BG34" s="228"/>
      <c r="BH34" s="228"/>
      <c r="BI34" s="228"/>
      <c r="BJ34" s="228"/>
      <c r="BK34" s="228"/>
      <c r="BL34" s="228"/>
      <c r="BM34" s="228"/>
      <c r="BN34" s="228"/>
      <c r="BO34" s="228"/>
      <c r="BP34" s="228"/>
      <c r="BQ34" s="228"/>
      <c r="BR34" s="228"/>
      <c r="BS34" s="228"/>
      <c r="BT34" s="228"/>
      <c r="BU34" s="228"/>
      <c r="BV34" s="228"/>
      <c r="BW34" s="228"/>
      <c r="BX34" s="228"/>
      <c r="BY34" s="228"/>
      <c r="BZ34" s="228"/>
      <c r="CA34" s="228"/>
      <c r="CB34" s="228"/>
      <c r="CC34" s="228"/>
      <c r="CD34" s="228"/>
      <c r="CE34" s="228"/>
      <c r="CF34" s="228"/>
      <c r="CG34" s="228"/>
    </row>
    <row r="35" spans="1:85" s="249" customFormat="1" ht="21.75" customHeight="1">
      <c r="A35" s="69" t="str">
        <f ca="1">IF(ROWS($1:22)&gt;COUNT(Dong),"",OFFSET(TH!E$1,SMALL(Dong,ROWS($1:22)),))</f>
        <v/>
      </c>
      <c r="B35" s="265" t="str">
        <f ca="1">IF(ROWS($1:22)&gt;COUNT(Dong),"",OFFSET(TH!G$1,SMALL(Dong,ROWS($1:22)),))</f>
        <v/>
      </c>
      <c r="C35" s="243" t="str">
        <f t="shared" ca="1" si="0"/>
        <v/>
      </c>
      <c r="D35" s="243" t="str">
        <f ca="1">IF(ROWS($1:22)&gt;COUNT(Dong),"",OFFSET(TH!D$1,SMALL(Dong,ROWS($1:22)),))</f>
        <v/>
      </c>
      <c r="E35" s="244" t="str">
        <f t="shared" ca="1" si="1"/>
        <v/>
      </c>
      <c r="F35" s="244" t="str">
        <f t="shared" ca="1" si="2"/>
        <v/>
      </c>
      <c r="G35" s="245" t="str">
        <f ca="1">IF(ROWS($1:22)&gt;COUNT(Dong),"",OFFSET(TH!F$1,SMALL(Dong,ROWS($1:22)),))</f>
        <v/>
      </c>
      <c r="H35" s="246" t="str">
        <f ca="1">IF(ROWS($1:22)&gt;COUNT(Dong),"",OFFSET(TH!K$1,SMALL(Dong,ROWS($1:22)),))</f>
        <v/>
      </c>
      <c r="I35" s="246" t="str">
        <f ca="1">IF(ROWS($1:22)&gt;COUNT(Dong),"",OFFSET(TH!J$1,SMALL(Dong,ROWS($1:22)),))</f>
        <v/>
      </c>
      <c r="J35" s="250">
        <f t="shared" ca="1" si="3"/>
        <v>0</v>
      </c>
      <c r="K35" s="247"/>
      <c r="L35" s="24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8"/>
      <c r="AL35" s="228"/>
      <c r="AM35" s="228"/>
      <c r="AN35" s="228"/>
      <c r="AO35" s="228"/>
      <c r="AP35" s="228"/>
      <c r="AQ35" s="228"/>
      <c r="AR35" s="228"/>
      <c r="AS35" s="228"/>
      <c r="AT35" s="228"/>
      <c r="AU35" s="228"/>
      <c r="AV35" s="228"/>
      <c r="AW35" s="228"/>
      <c r="AX35" s="228"/>
      <c r="AY35" s="228"/>
      <c r="AZ35" s="228"/>
      <c r="BA35" s="228"/>
      <c r="BB35" s="228"/>
      <c r="BC35" s="228"/>
      <c r="BD35" s="228"/>
      <c r="BE35" s="228"/>
      <c r="BF35" s="228"/>
      <c r="BG35" s="228"/>
      <c r="BH35" s="228"/>
      <c r="BI35" s="228"/>
      <c r="BJ35" s="228"/>
      <c r="BK35" s="228"/>
      <c r="BL35" s="228"/>
      <c r="BM35" s="228"/>
      <c r="BN35" s="228"/>
      <c r="BO35" s="228"/>
      <c r="BP35" s="228"/>
      <c r="BQ35" s="228"/>
      <c r="BR35" s="228"/>
      <c r="BS35" s="228"/>
      <c r="BT35" s="228"/>
      <c r="BU35" s="228"/>
      <c r="BV35" s="228"/>
      <c r="BW35" s="228"/>
      <c r="BX35" s="228"/>
      <c r="BY35" s="228"/>
      <c r="BZ35" s="228"/>
      <c r="CA35" s="228"/>
      <c r="CB35" s="228"/>
      <c r="CC35" s="228"/>
      <c r="CD35" s="228"/>
      <c r="CE35" s="228"/>
      <c r="CF35" s="228"/>
      <c r="CG35" s="228"/>
    </row>
    <row r="36" spans="1:85" s="249" customFormat="1" ht="21.75" customHeight="1">
      <c r="A36" s="69" t="str">
        <f ca="1">IF(ROWS($1:23)&gt;COUNT(Dong),"",OFFSET(TH!E$1,SMALL(Dong,ROWS($1:23)),))</f>
        <v/>
      </c>
      <c r="B36" s="265" t="str">
        <f ca="1">IF(ROWS($1:23)&gt;COUNT(Dong),"",OFFSET(TH!G$1,SMALL(Dong,ROWS($1:23)),))</f>
        <v/>
      </c>
      <c r="C36" s="243" t="str">
        <f t="shared" ca="1" si="0"/>
        <v/>
      </c>
      <c r="D36" s="243" t="str">
        <f ca="1">IF(ROWS($1:23)&gt;COUNT(Dong),"",OFFSET(TH!D$1,SMALL(Dong,ROWS($1:23)),))</f>
        <v/>
      </c>
      <c r="E36" s="244" t="str">
        <f t="shared" ca="1" si="1"/>
        <v/>
      </c>
      <c r="F36" s="244" t="str">
        <f t="shared" ca="1" si="2"/>
        <v/>
      </c>
      <c r="G36" s="245" t="str">
        <f ca="1">IF(ROWS($1:23)&gt;COUNT(Dong),"",OFFSET(TH!F$1,SMALL(Dong,ROWS($1:23)),))</f>
        <v/>
      </c>
      <c r="H36" s="246" t="str">
        <f ca="1">IF(ROWS($1:23)&gt;COUNT(Dong),"",OFFSET(TH!K$1,SMALL(Dong,ROWS($1:23)),))</f>
        <v/>
      </c>
      <c r="I36" s="246" t="str">
        <f ca="1">IF(ROWS($1:23)&gt;COUNT(Dong),"",OFFSET(TH!J$1,SMALL(Dong,ROWS($1:23)),))</f>
        <v/>
      </c>
      <c r="J36" s="250">
        <f t="shared" ca="1" si="3"/>
        <v>0</v>
      </c>
      <c r="K36" s="247"/>
      <c r="L36" s="248"/>
      <c r="M36" s="228"/>
      <c r="N36" s="228"/>
      <c r="O36" s="228"/>
      <c r="P36" s="228"/>
      <c r="Q36" s="228"/>
      <c r="R36" s="228"/>
      <c r="S36" s="228"/>
      <c r="T36" s="228"/>
      <c r="U36" s="228"/>
      <c r="V36" s="228"/>
      <c r="W36" s="228"/>
      <c r="X36" s="228"/>
      <c r="Y36" s="228"/>
      <c r="Z36" s="228"/>
      <c r="AA36" s="228"/>
      <c r="AB36" s="228"/>
      <c r="AC36" s="228"/>
      <c r="AD36" s="228"/>
      <c r="AE36" s="228"/>
      <c r="AF36" s="228"/>
      <c r="AG36" s="228"/>
      <c r="AH36" s="228"/>
      <c r="AI36" s="228"/>
      <c r="AJ36" s="228"/>
      <c r="AK36" s="228"/>
      <c r="AL36" s="228"/>
      <c r="AM36" s="228"/>
      <c r="AN36" s="228"/>
      <c r="AO36" s="228"/>
      <c r="AP36" s="228"/>
      <c r="AQ36" s="228"/>
      <c r="AR36" s="228"/>
      <c r="AS36" s="228"/>
      <c r="AT36" s="228"/>
      <c r="AU36" s="228"/>
      <c r="AV36" s="228"/>
      <c r="AW36" s="228"/>
      <c r="AX36" s="228"/>
      <c r="AY36" s="228"/>
      <c r="AZ36" s="228"/>
      <c r="BA36" s="228"/>
      <c r="BB36" s="228"/>
      <c r="BC36" s="228"/>
      <c r="BD36" s="228"/>
      <c r="BE36" s="228"/>
      <c r="BF36" s="228"/>
      <c r="BG36" s="228"/>
      <c r="BH36" s="228"/>
      <c r="BI36" s="228"/>
      <c r="BJ36" s="228"/>
      <c r="BK36" s="228"/>
      <c r="BL36" s="228"/>
      <c r="BM36" s="228"/>
      <c r="BN36" s="228"/>
      <c r="BO36" s="228"/>
      <c r="BP36" s="228"/>
      <c r="BQ36" s="228"/>
      <c r="BR36" s="228"/>
      <c r="BS36" s="228"/>
      <c r="BT36" s="228"/>
      <c r="BU36" s="228"/>
      <c r="BV36" s="228"/>
      <c r="BW36" s="228"/>
      <c r="BX36" s="228"/>
      <c r="BY36" s="228"/>
      <c r="BZ36" s="228"/>
      <c r="CA36" s="228"/>
      <c r="CB36" s="228"/>
      <c r="CC36" s="228"/>
      <c r="CD36" s="228"/>
      <c r="CE36" s="228"/>
      <c r="CF36" s="228"/>
      <c r="CG36" s="228"/>
    </row>
    <row r="37" spans="1:85" s="249" customFormat="1" ht="21.75" customHeight="1">
      <c r="A37" s="69" t="str">
        <f ca="1">IF(ROWS($1:24)&gt;COUNT(Dong),"",OFFSET(TH!E$1,SMALL(Dong,ROWS($1:24)),))</f>
        <v/>
      </c>
      <c r="B37" s="265" t="str">
        <f ca="1">IF(ROWS($1:24)&gt;COUNT(Dong),"",OFFSET(TH!G$1,SMALL(Dong,ROWS($1:24)),))</f>
        <v/>
      </c>
      <c r="C37" s="243" t="str">
        <f t="shared" ca="1" si="0"/>
        <v/>
      </c>
      <c r="D37" s="243" t="str">
        <f ca="1">IF(ROWS($1:24)&gt;COUNT(Dong),"",OFFSET(TH!D$1,SMALL(Dong,ROWS($1:24)),))</f>
        <v/>
      </c>
      <c r="E37" s="244" t="str">
        <f t="shared" ca="1" si="1"/>
        <v/>
      </c>
      <c r="F37" s="244" t="str">
        <f t="shared" ca="1" si="2"/>
        <v/>
      </c>
      <c r="G37" s="245" t="str">
        <f ca="1">IF(ROWS($1:24)&gt;COUNT(Dong),"",OFFSET(TH!F$1,SMALL(Dong,ROWS($1:24)),))</f>
        <v/>
      </c>
      <c r="H37" s="246" t="str">
        <f ca="1">IF(ROWS($1:24)&gt;COUNT(Dong),"",OFFSET(TH!K$1,SMALL(Dong,ROWS($1:24)),))</f>
        <v/>
      </c>
      <c r="I37" s="246" t="str">
        <f ca="1">IF(ROWS($1:24)&gt;COUNT(Dong),"",OFFSET(TH!J$1,SMALL(Dong,ROWS($1:24)),))</f>
        <v/>
      </c>
      <c r="J37" s="250">
        <f t="shared" ca="1" si="3"/>
        <v>0</v>
      </c>
      <c r="K37" s="247"/>
      <c r="L37" s="248"/>
      <c r="M37" s="228"/>
      <c r="N37" s="228"/>
      <c r="O37" s="228"/>
      <c r="P37" s="228"/>
      <c r="Q37" s="228"/>
      <c r="R37" s="228"/>
      <c r="S37" s="228"/>
      <c r="T37" s="228"/>
      <c r="U37" s="228"/>
      <c r="V37" s="228"/>
      <c r="W37" s="228"/>
      <c r="X37" s="228"/>
      <c r="Y37" s="228"/>
      <c r="Z37" s="228"/>
      <c r="AA37" s="228"/>
      <c r="AB37" s="228"/>
      <c r="AC37" s="228"/>
      <c r="AD37" s="228"/>
      <c r="AE37" s="228"/>
      <c r="AF37" s="228"/>
      <c r="AG37" s="228"/>
      <c r="AH37" s="228"/>
      <c r="AI37" s="228"/>
      <c r="AJ37" s="228"/>
      <c r="AK37" s="228"/>
      <c r="AL37" s="228"/>
      <c r="AM37" s="228"/>
      <c r="AN37" s="228"/>
      <c r="AO37" s="228"/>
      <c r="AP37" s="228"/>
      <c r="AQ37" s="228"/>
      <c r="AR37" s="228"/>
      <c r="AS37" s="228"/>
      <c r="AT37" s="228"/>
      <c r="AU37" s="228"/>
      <c r="AV37" s="228"/>
      <c r="AW37" s="228"/>
      <c r="AX37" s="228"/>
      <c r="AY37" s="228"/>
      <c r="AZ37" s="228"/>
      <c r="BA37" s="228"/>
      <c r="BB37" s="228"/>
      <c r="BC37" s="228"/>
      <c r="BD37" s="228"/>
      <c r="BE37" s="228"/>
      <c r="BF37" s="228"/>
      <c r="BG37" s="228"/>
      <c r="BH37" s="228"/>
      <c r="BI37" s="228"/>
      <c r="BJ37" s="228"/>
      <c r="BK37" s="228"/>
      <c r="BL37" s="228"/>
      <c r="BM37" s="228"/>
      <c r="BN37" s="228"/>
      <c r="BO37" s="228"/>
      <c r="BP37" s="228"/>
      <c r="BQ37" s="228"/>
      <c r="BR37" s="228"/>
      <c r="BS37" s="228"/>
      <c r="BT37" s="228"/>
      <c r="BU37" s="228"/>
      <c r="BV37" s="228"/>
      <c r="BW37" s="228"/>
      <c r="BX37" s="228"/>
      <c r="BY37" s="228"/>
      <c r="BZ37" s="228"/>
      <c r="CA37" s="228"/>
      <c r="CB37" s="228"/>
      <c r="CC37" s="228"/>
      <c r="CD37" s="228"/>
      <c r="CE37" s="228"/>
      <c r="CF37" s="228"/>
      <c r="CG37" s="228"/>
    </row>
    <row r="38" spans="1:85" s="249" customFormat="1" ht="21.75" customHeight="1">
      <c r="A38" s="69" t="str">
        <f ca="1">IF(ROWS($1:25)&gt;COUNT(Dong),"",OFFSET(TH!E$1,SMALL(Dong,ROWS($1:25)),))</f>
        <v/>
      </c>
      <c r="B38" s="265" t="str">
        <f ca="1">IF(ROWS($1:25)&gt;COUNT(Dong),"",OFFSET(TH!G$1,SMALL(Dong,ROWS($1:25)),))</f>
        <v/>
      </c>
      <c r="C38" s="243" t="str">
        <f t="shared" ca="1" si="0"/>
        <v/>
      </c>
      <c r="D38" s="243" t="str">
        <f ca="1">IF(ROWS($1:25)&gt;COUNT(Dong),"",OFFSET(TH!D$1,SMALL(Dong,ROWS($1:25)),))</f>
        <v/>
      </c>
      <c r="E38" s="244" t="str">
        <f t="shared" ca="1" si="1"/>
        <v/>
      </c>
      <c r="F38" s="244" t="str">
        <f t="shared" ca="1" si="2"/>
        <v/>
      </c>
      <c r="G38" s="245" t="str">
        <f ca="1">IF(ROWS($1:25)&gt;COUNT(Dong),"",OFFSET(TH!F$1,SMALL(Dong,ROWS($1:25)),))</f>
        <v/>
      </c>
      <c r="H38" s="246" t="str">
        <f ca="1">IF(ROWS($1:25)&gt;COUNT(Dong),"",OFFSET(TH!K$1,SMALL(Dong,ROWS($1:25)),))</f>
        <v/>
      </c>
      <c r="I38" s="246" t="str">
        <f ca="1">IF(ROWS($1:25)&gt;COUNT(Dong),"",OFFSET(TH!J$1,SMALL(Dong,ROWS($1:25)),))</f>
        <v/>
      </c>
      <c r="J38" s="250">
        <f t="shared" ca="1" si="3"/>
        <v>0</v>
      </c>
      <c r="K38" s="247"/>
      <c r="L38" s="248"/>
      <c r="M38" s="228"/>
      <c r="N38" s="228"/>
      <c r="O38" s="228"/>
      <c r="P38" s="228"/>
      <c r="Q38" s="228"/>
      <c r="R38" s="228"/>
      <c r="S38" s="228"/>
      <c r="T38" s="228"/>
      <c r="U38" s="228"/>
      <c r="V38" s="228"/>
      <c r="W38" s="228"/>
      <c r="X38" s="228"/>
      <c r="Y38" s="228"/>
      <c r="Z38" s="228"/>
      <c r="AA38" s="228"/>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228"/>
      <c r="BE38" s="228"/>
      <c r="BF38" s="228"/>
      <c r="BG38" s="228"/>
      <c r="BH38" s="228"/>
      <c r="BI38" s="228"/>
      <c r="BJ38" s="228"/>
      <c r="BK38" s="228"/>
      <c r="BL38" s="228"/>
      <c r="BM38" s="228"/>
      <c r="BN38" s="228"/>
      <c r="BO38" s="228"/>
      <c r="BP38" s="228"/>
      <c r="BQ38" s="228"/>
      <c r="BR38" s="228"/>
      <c r="BS38" s="228"/>
      <c r="BT38" s="228"/>
      <c r="BU38" s="228"/>
      <c r="BV38" s="228"/>
      <c r="BW38" s="228"/>
      <c r="BX38" s="228"/>
      <c r="BY38" s="228"/>
      <c r="BZ38" s="228"/>
      <c r="CA38" s="228"/>
      <c r="CB38" s="228"/>
      <c r="CC38" s="228"/>
      <c r="CD38" s="228"/>
      <c r="CE38" s="228"/>
      <c r="CF38" s="228"/>
      <c r="CG38" s="228"/>
    </row>
    <row r="39" spans="1:85" s="249" customFormat="1" ht="21.75" customHeight="1">
      <c r="A39" s="69" t="str">
        <f ca="1">IF(ROWS($1:26)&gt;COUNT(Dong),"",OFFSET(TH!E$1,SMALL(Dong,ROWS($1:26)),))</f>
        <v/>
      </c>
      <c r="B39" s="265" t="str">
        <f ca="1">IF(ROWS($1:26)&gt;COUNT(Dong),"",OFFSET(TH!G$1,SMALL(Dong,ROWS($1:26)),))</f>
        <v/>
      </c>
      <c r="C39" s="243" t="str">
        <f t="shared" ca="1" si="0"/>
        <v/>
      </c>
      <c r="D39" s="243" t="str">
        <f ca="1">IF(ROWS($1:26)&gt;COUNT(Dong),"",OFFSET(TH!D$1,SMALL(Dong,ROWS($1:26)),))</f>
        <v/>
      </c>
      <c r="E39" s="244" t="str">
        <f t="shared" ca="1" si="1"/>
        <v/>
      </c>
      <c r="F39" s="244" t="str">
        <f t="shared" ca="1" si="2"/>
        <v/>
      </c>
      <c r="G39" s="245" t="str">
        <f ca="1">IF(ROWS($1:26)&gt;COUNT(Dong),"",OFFSET(TH!F$1,SMALL(Dong,ROWS($1:26)),))</f>
        <v/>
      </c>
      <c r="H39" s="246" t="str">
        <f ca="1">IF(ROWS($1:26)&gt;COUNT(Dong),"",OFFSET(TH!K$1,SMALL(Dong,ROWS($1:26)),))</f>
        <v/>
      </c>
      <c r="I39" s="246" t="str">
        <f ca="1">IF(ROWS($1:26)&gt;COUNT(Dong),"",OFFSET(TH!J$1,SMALL(Dong,ROWS($1:26)),))</f>
        <v/>
      </c>
      <c r="J39" s="250">
        <f t="shared" ca="1" si="3"/>
        <v>0</v>
      </c>
      <c r="K39" s="247"/>
      <c r="L39" s="248"/>
      <c r="M39" s="228"/>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228"/>
      <c r="AW39" s="228"/>
      <c r="AX39" s="228"/>
      <c r="AY39" s="228"/>
      <c r="AZ39" s="228"/>
      <c r="BA39" s="228"/>
      <c r="BB39" s="228"/>
      <c r="BC39" s="228"/>
      <c r="BD39" s="228"/>
      <c r="BE39" s="228"/>
      <c r="BF39" s="228"/>
      <c r="BG39" s="228"/>
      <c r="BH39" s="228"/>
      <c r="BI39" s="228"/>
      <c r="BJ39" s="228"/>
      <c r="BK39" s="228"/>
      <c r="BL39" s="228"/>
      <c r="BM39" s="228"/>
      <c r="BN39" s="228"/>
      <c r="BO39" s="228"/>
      <c r="BP39" s="228"/>
      <c r="BQ39" s="228"/>
      <c r="BR39" s="228"/>
      <c r="BS39" s="228"/>
      <c r="BT39" s="228"/>
      <c r="BU39" s="228"/>
      <c r="BV39" s="228"/>
      <c r="BW39" s="228"/>
      <c r="BX39" s="228"/>
      <c r="BY39" s="228"/>
      <c r="BZ39" s="228"/>
      <c r="CA39" s="228"/>
      <c r="CB39" s="228"/>
      <c r="CC39" s="228"/>
      <c r="CD39" s="228"/>
      <c r="CE39" s="228"/>
      <c r="CF39" s="228"/>
      <c r="CG39" s="228"/>
    </row>
    <row r="40" spans="1:85" s="249" customFormat="1" ht="21.75" customHeight="1">
      <c r="A40" s="69" t="str">
        <f ca="1">IF(ROWS($1:27)&gt;COUNT(Dong),"",OFFSET(TH!E$1,SMALL(Dong,ROWS($1:27)),))</f>
        <v/>
      </c>
      <c r="B40" s="265" t="str">
        <f ca="1">IF(ROWS($1:27)&gt;COUNT(Dong),"",OFFSET(TH!G$1,SMALL(Dong,ROWS($1:27)),))</f>
        <v/>
      </c>
      <c r="C40" s="243" t="str">
        <f t="shared" ca="1" si="0"/>
        <v/>
      </c>
      <c r="D40" s="243" t="str">
        <f ca="1">IF(ROWS($1:27)&gt;COUNT(Dong),"",OFFSET(TH!D$1,SMALL(Dong,ROWS($1:27)),))</f>
        <v/>
      </c>
      <c r="E40" s="244" t="str">
        <f t="shared" ca="1" si="1"/>
        <v/>
      </c>
      <c r="F40" s="244" t="str">
        <f t="shared" ca="1" si="2"/>
        <v/>
      </c>
      <c r="G40" s="245" t="str">
        <f ca="1">IF(ROWS($1:27)&gt;COUNT(Dong),"",OFFSET(TH!F$1,SMALL(Dong,ROWS($1:27)),))</f>
        <v/>
      </c>
      <c r="H40" s="246" t="str">
        <f ca="1">IF(ROWS($1:27)&gt;COUNT(Dong),"",OFFSET(TH!K$1,SMALL(Dong,ROWS($1:27)),))</f>
        <v/>
      </c>
      <c r="I40" s="246" t="str">
        <f ca="1">IF(ROWS($1:27)&gt;COUNT(Dong),"",OFFSET(TH!J$1,SMALL(Dong,ROWS($1:27)),))</f>
        <v/>
      </c>
      <c r="J40" s="250">
        <f t="shared" ca="1" si="3"/>
        <v>0</v>
      </c>
      <c r="K40" s="247"/>
      <c r="L40" s="248"/>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8"/>
      <c r="AQ40" s="228"/>
      <c r="AR40" s="228"/>
      <c r="AS40" s="228"/>
      <c r="AT40" s="228"/>
      <c r="AU40" s="228"/>
      <c r="AV40" s="228"/>
      <c r="AW40" s="228"/>
      <c r="AX40" s="228"/>
      <c r="AY40" s="228"/>
      <c r="AZ40" s="228"/>
      <c r="BA40" s="228"/>
      <c r="BB40" s="228"/>
      <c r="BC40" s="228"/>
      <c r="BD40" s="228"/>
      <c r="BE40" s="228"/>
      <c r="BF40" s="228"/>
      <c r="BG40" s="228"/>
      <c r="BH40" s="228"/>
      <c r="BI40" s="228"/>
      <c r="BJ40" s="228"/>
      <c r="BK40" s="228"/>
      <c r="BL40" s="228"/>
      <c r="BM40" s="228"/>
      <c r="BN40" s="228"/>
      <c r="BO40" s="228"/>
      <c r="BP40" s="228"/>
      <c r="BQ40" s="228"/>
      <c r="BR40" s="228"/>
      <c r="BS40" s="228"/>
      <c r="BT40" s="228"/>
      <c r="BU40" s="228"/>
      <c r="BV40" s="228"/>
      <c r="BW40" s="228"/>
      <c r="BX40" s="228"/>
      <c r="BY40" s="228"/>
      <c r="BZ40" s="228"/>
      <c r="CA40" s="228"/>
      <c r="CB40" s="228"/>
      <c r="CC40" s="228"/>
      <c r="CD40" s="228"/>
      <c r="CE40" s="228"/>
      <c r="CF40" s="228"/>
      <c r="CG40" s="228"/>
    </row>
    <row r="41" spans="1:85" s="249" customFormat="1" ht="21.75" customHeight="1">
      <c r="A41" s="69" t="str">
        <f ca="1">IF(ROWS($1:28)&gt;COUNT(Dong),"",OFFSET(TH!E$1,SMALL(Dong,ROWS($1:28)),))</f>
        <v/>
      </c>
      <c r="B41" s="265" t="str">
        <f ca="1">IF(ROWS($1:28)&gt;COUNT(Dong),"",OFFSET(TH!G$1,SMALL(Dong,ROWS($1:28)),))</f>
        <v/>
      </c>
      <c r="C41" s="243" t="str">
        <f t="shared" ca="1" si="0"/>
        <v/>
      </c>
      <c r="D41" s="243" t="str">
        <f ca="1">IF(ROWS($1:28)&gt;COUNT(Dong),"",OFFSET(TH!D$1,SMALL(Dong,ROWS($1:28)),))</f>
        <v/>
      </c>
      <c r="E41" s="244" t="str">
        <f t="shared" ca="1" si="1"/>
        <v/>
      </c>
      <c r="F41" s="244" t="str">
        <f t="shared" ca="1" si="2"/>
        <v/>
      </c>
      <c r="G41" s="245" t="str">
        <f ca="1">IF(ROWS($1:28)&gt;COUNT(Dong),"",OFFSET(TH!F$1,SMALL(Dong,ROWS($1:28)),))</f>
        <v/>
      </c>
      <c r="H41" s="246" t="str">
        <f ca="1">IF(ROWS($1:28)&gt;COUNT(Dong),"",OFFSET(TH!K$1,SMALL(Dong,ROWS($1:28)),))</f>
        <v/>
      </c>
      <c r="I41" s="246" t="str">
        <f ca="1">IF(ROWS($1:28)&gt;COUNT(Dong),"",OFFSET(TH!J$1,SMALL(Dong,ROWS($1:28)),))</f>
        <v/>
      </c>
      <c r="J41" s="250">
        <f t="shared" ca="1" si="3"/>
        <v>0</v>
      </c>
      <c r="K41" s="247"/>
      <c r="L41" s="248"/>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228"/>
      <c r="AW41" s="228"/>
      <c r="AX41" s="228"/>
      <c r="AY41" s="228"/>
      <c r="AZ41" s="228"/>
      <c r="BA41" s="228"/>
      <c r="BB41" s="228"/>
      <c r="BC41" s="228"/>
      <c r="BD41" s="228"/>
      <c r="BE41" s="228"/>
      <c r="BF41" s="228"/>
      <c r="BG41" s="228"/>
      <c r="BH41" s="228"/>
      <c r="BI41" s="228"/>
      <c r="BJ41" s="228"/>
      <c r="BK41" s="228"/>
      <c r="BL41" s="228"/>
      <c r="BM41" s="228"/>
      <c r="BN41" s="228"/>
      <c r="BO41" s="228"/>
      <c r="BP41" s="228"/>
      <c r="BQ41" s="228"/>
      <c r="BR41" s="228"/>
      <c r="BS41" s="228"/>
      <c r="BT41" s="228"/>
      <c r="BU41" s="228"/>
      <c r="BV41" s="228"/>
      <c r="BW41" s="228"/>
      <c r="BX41" s="228"/>
      <c r="BY41" s="228"/>
      <c r="BZ41" s="228"/>
      <c r="CA41" s="228"/>
      <c r="CB41" s="228"/>
      <c r="CC41" s="228"/>
      <c r="CD41" s="228"/>
      <c r="CE41" s="228"/>
      <c r="CF41" s="228"/>
      <c r="CG41" s="228"/>
    </row>
    <row r="42" spans="1:85" s="249" customFormat="1" ht="21.75" customHeight="1">
      <c r="A42" s="69" t="str">
        <f ca="1">IF(ROWS($1:29)&gt;COUNT(Dong),"",OFFSET(TH!E$1,SMALL(Dong,ROWS($1:29)),))</f>
        <v/>
      </c>
      <c r="B42" s="265" t="str">
        <f ca="1">IF(ROWS($1:29)&gt;COUNT(Dong),"",OFFSET(TH!G$1,SMALL(Dong,ROWS($1:29)),))</f>
        <v/>
      </c>
      <c r="C42" s="243" t="str">
        <f t="shared" ca="1" si="0"/>
        <v/>
      </c>
      <c r="D42" s="243" t="str">
        <f ca="1">IF(ROWS($1:29)&gt;COUNT(Dong),"",OFFSET(TH!D$1,SMALL(Dong,ROWS($1:29)),))</f>
        <v/>
      </c>
      <c r="E42" s="244" t="str">
        <f t="shared" ca="1" si="1"/>
        <v/>
      </c>
      <c r="F42" s="244" t="str">
        <f t="shared" ca="1" si="2"/>
        <v/>
      </c>
      <c r="G42" s="245" t="str">
        <f ca="1">IF(ROWS($1:29)&gt;COUNT(Dong),"",OFFSET(TH!F$1,SMALL(Dong,ROWS($1:29)),))</f>
        <v/>
      </c>
      <c r="H42" s="246" t="str">
        <f ca="1">IF(ROWS($1:29)&gt;COUNT(Dong),"",OFFSET(TH!K$1,SMALL(Dong,ROWS($1:29)),))</f>
        <v/>
      </c>
      <c r="I42" s="246" t="str">
        <f ca="1">IF(ROWS($1:29)&gt;COUNT(Dong),"",OFFSET(TH!J$1,SMALL(Dong,ROWS($1:29)),))</f>
        <v/>
      </c>
      <c r="J42" s="250">
        <f t="shared" ca="1" si="3"/>
        <v>0</v>
      </c>
      <c r="K42" s="247"/>
      <c r="L42" s="248"/>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8"/>
      <c r="AL42" s="228"/>
      <c r="AM42" s="228"/>
      <c r="AN42" s="228"/>
      <c r="AO42" s="228"/>
      <c r="AP42" s="228"/>
      <c r="AQ42" s="228"/>
      <c r="AR42" s="228"/>
      <c r="AS42" s="228"/>
      <c r="AT42" s="228"/>
      <c r="AU42" s="228"/>
      <c r="AV42" s="228"/>
      <c r="AW42" s="228"/>
      <c r="AX42" s="228"/>
      <c r="AY42" s="228"/>
      <c r="AZ42" s="228"/>
      <c r="BA42" s="228"/>
      <c r="BB42" s="228"/>
      <c r="BC42" s="228"/>
      <c r="BD42" s="228"/>
      <c r="BE42" s="228"/>
      <c r="BF42" s="228"/>
      <c r="BG42" s="228"/>
      <c r="BH42" s="228"/>
      <c r="BI42" s="228"/>
      <c r="BJ42" s="228"/>
      <c r="BK42" s="228"/>
      <c r="BL42" s="228"/>
      <c r="BM42" s="228"/>
      <c r="BN42" s="228"/>
      <c r="BO42" s="228"/>
      <c r="BP42" s="228"/>
      <c r="BQ42" s="228"/>
      <c r="BR42" s="228"/>
      <c r="BS42" s="228"/>
      <c r="BT42" s="228"/>
      <c r="BU42" s="228"/>
      <c r="BV42" s="228"/>
      <c r="BW42" s="228"/>
      <c r="BX42" s="228"/>
      <c r="BY42" s="228"/>
      <c r="BZ42" s="228"/>
      <c r="CA42" s="228"/>
      <c r="CB42" s="228"/>
      <c r="CC42" s="228"/>
      <c r="CD42" s="228"/>
      <c r="CE42" s="228"/>
      <c r="CF42" s="228"/>
      <c r="CG42" s="228"/>
    </row>
    <row r="43" spans="1:85" s="249" customFormat="1" ht="21.75" customHeight="1">
      <c r="A43" s="69" t="str">
        <f ca="1">IF(ROWS($1:30)&gt;COUNT(Dong),"",OFFSET(TH!E$1,SMALL(Dong,ROWS($1:30)),))</f>
        <v/>
      </c>
      <c r="B43" s="265" t="str">
        <f ca="1">IF(ROWS($1:30)&gt;COUNT(Dong),"",OFFSET(TH!G$1,SMALL(Dong,ROWS($1:30)),))</f>
        <v/>
      </c>
      <c r="C43" s="243" t="str">
        <f t="shared" ca="1" si="0"/>
        <v/>
      </c>
      <c r="D43" s="243" t="str">
        <f ca="1">IF(ROWS($1:30)&gt;COUNT(Dong),"",OFFSET(TH!D$1,SMALL(Dong,ROWS($1:30)),))</f>
        <v/>
      </c>
      <c r="E43" s="244" t="str">
        <f t="shared" ca="1" si="1"/>
        <v/>
      </c>
      <c r="F43" s="244" t="str">
        <f t="shared" ca="1" si="2"/>
        <v/>
      </c>
      <c r="G43" s="245" t="str">
        <f ca="1">IF(ROWS($1:30)&gt;COUNT(Dong),"",OFFSET(TH!F$1,SMALL(Dong,ROWS($1:30)),))</f>
        <v/>
      </c>
      <c r="H43" s="246" t="str">
        <f ca="1">IF(ROWS($1:30)&gt;COUNT(Dong),"",OFFSET(TH!K$1,SMALL(Dong,ROWS($1:30)),))</f>
        <v/>
      </c>
      <c r="I43" s="246" t="str">
        <f ca="1">IF(ROWS($1:30)&gt;COUNT(Dong),"",OFFSET(TH!J$1,SMALL(Dong,ROWS($1:30)),))</f>
        <v/>
      </c>
      <c r="J43" s="250">
        <f t="shared" ca="1" si="3"/>
        <v>0</v>
      </c>
      <c r="K43" s="247"/>
      <c r="L43" s="24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8"/>
      <c r="AP43" s="228"/>
      <c r="AQ43" s="228"/>
      <c r="AR43" s="228"/>
      <c r="AS43" s="228"/>
      <c r="AT43" s="228"/>
      <c r="AU43" s="228"/>
      <c r="AV43" s="228"/>
      <c r="AW43" s="228"/>
      <c r="AX43" s="228"/>
      <c r="AY43" s="228"/>
      <c r="AZ43" s="228"/>
      <c r="BA43" s="228"/>
      <c r="BB43" s="228"/>
      <c r="BC43" s="228"/>
      <c r="BD43" s="228"/>
      <c r="BE43" s="228"/>
      <c r="BF43" s="228"/>
      <c r="BG43" s="228"/>
      <c r="BH43" s="228"/>
      <c r="BI43" s="228"/>
      <c r="BJ43" s="228"/>
      <c r="BK43" s="228"/>
      <c r="BL43" s="228"/>
      <c r="BM43" s="228"/>
      <c r="BN43" s="228"/>
      <c r="BO43" s="228"/>
      <c r="BP43" s="228"/>
      <c r="BQ43" s="228"/>
      <c r="BR43" s="228"/>
      <c r="BS43" s="228"/>
      <c r="BT43" s="228"/>
      <c r="BU43" s="228"/>
      <c r="BV43" s="228"/>
      <c r="BW43" s="228"/>
      <c r="BX43" s="228"/>
      <c r="BY43" s="228"/>
      <c r="BZ43" s="228"/>
      <c r="CA43" s="228"/>
      <c r="CB43" s="228"/>
      <c r="CC43" s="228"/>
      <c r="CD43" s="228"/>
      <c r="CE43" s="228"/>
      <c r="CF43" s="228"/>
      <c r="CG43" s="228"/>
    </row>
    <row r="44" spans="1:85" s="249" customFormat="1" ht="21.75" customHeight="1">
      <c r="A44" s="69" t="str">
        <f ca="1">IF(ROWS($1:31)&gt;COUNT(Dong),"",OFFSET(TH!E$1,SMALL(Dong,ROWS($1:31)),))</f>
        <v/>
      </c>
      <c r="B44" s="265" t="str">
        <f ca="1">IF(ROWS($1:31)&gt;COUNT(Dong),"",OFFSET(TH!G$1,SMALL(Dong,ROWS($1:31)),))</f>
        <v/>
      </c>
      <c r="C44" s="243" t="str">
        <f t="shared" ca="1" si="0"/>
        <v/>
      </c>
      <c r="D44" s="243" t="str">
        <f ca="1">IF(ROWS($1:31)&gt;COUNT(Dong),"",OFFSET(TH!D$1,SMALL(Dong,ROWS($1:31)),))</f>
        <v/>
      </c>
      <c r="E44" s="244" t="str">
        <f t="shared" ca="1" si="1"/>
        <v/>
      </c>
      <c r="F44" s="244" t="str">
        <f t="shared" ca="1" si="2"/>
        <v/>
      </c>
      <c r="G44" s="245" t="str">
        <f ca="1">IF(ROWS($1:31)&gt;COUNT(Dong),"",OFFSET(TH!F$1,SMALL(Dong,ROWS($1:31)),))</f>
        <v/>
      </c>
      <c r="H44" s="246" t="str">
        <f ca="1">IF(ROWS($1:31)&gt;COUNT(Dong),"",OFFSET(TH!K$1,SMALL(Dong,ROWS($1:31)),))</f>
        <v/>
      </c>
      <c r="I44" s="246" t="str">
        <f ca="1">IF(ROWS($1:31)&gt;COUNT(Dong),"",OFFSET(TH!J$1,SMALL(Dong,ROWS($1:31)),))</f>
        <v/>
      </c>
      <c r="J44" s="250">
        <f t="shared" ca="1" si="3"/>
        <v>0</v>
      </c>
      <c r="K44" s="247"/>
      <c r="L44" s="248"/>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228"/>
      <c r="AW44" s="228"/>
      <c r="AX44" s="228"/>
      <c r="AY44" s="228"/>
      <c r="AZ44" s="228"/>
      <c r="BA44" s="228"/>
      <c r="BB44" s="228"/>
      <c r="BC44" s="228"/>
      <c r="BD44" s="228"/>
      <c r="BE44" s="228"/>
      <c r="BF44" s="228"/>
      <c r="BG44" s="228"/>
      <c r="BH44" s="228"/>
      <c r="BI44" s="228"/>
      <c r="BJ44" s="228"/>
      <c r="BK44" s="228"/>
      <c r="BL44" s="228"/>
      <c r="BM44" s="228"/>
      <c r="BN44" s="228"/>
      <c r="BO44" s="228"/>
      <c r="BP44" s="228"/>
      <c r="BQ44" s="228"/>
      <c r="BR44" s="228"/>
      <c r="BS44" s="228"/>
      <c r="BT44" s="228"/>
      <c r="BU44" s="228"/>
      <c r="BV44" s="228"/>
      <c r="BW44" s="228"/>
      <c r="BX44" s="228"/>
      <c r="BY44" s="228"/>
      <c r="BZ44" s="228"/>
      <c r="CA44" s="228"/>
      <c r="CB44" s="228"/>
      <c r="CC44" s="228"/>
      <c r="CD44" s="228"/>
      <c r="CE44" s="228"/>
      <c r="CF44" s="228"/>
      <c r="CG44" s="228"/>
    </row>
    <row r="45" spans="1:85" s="249" customFormat="1" ht="21.75" customHeight="1">
      <c r="A45" s="69" t="str">
        <f ca="1">IF(ROWS($1:32)&gt;COUNT(Dong),"",OFFSET(TH!E$1,SMALL(Dong,ROWS($1:32)),))</f>
        <v/>
      </c>
      <c r="B45" s="265" t="str">
        <f ca="1">IF(ROWS($1:32)&gt;COUNT(Dong),"",OFFSET(TH!G$1,SMALL(Dong,ROWS($1:32)),))</f>
        <v/>
      </c>
      <c r="C45" s="243" t="str">
        <f t="shared" ca="1" si="0"/>
        <v/>
      </c>
      <c r="D45" s="243" t="str">
        <f ca="1">IF(ROWS($1:32)&gt;COUNT(Dong),"",OFFSET(TH!D$1,SMALL(Dong,ROWS($1:32)),))</f>
        <v/>
      </c>
      <c r="E45" s="244" t="str">
        <f t="shared" ca="1" si="1"/>
        <v/>
      </c>
      <c r="F45" s="244" t="str">
        <f t="shared" ca="1" si="2"/>
        <v/>
      </c>
      <c r="G45" s="245" t="str">
        <f ca="1">IF(ROWS($1:32)&gt;COUNT(Dong),"",OFFSET(TH!F$1,SMALL(Dong,ROWS($1:32)),))</f>
        <v/>
      </c>
      <c r="H45" s="246" t="str">
        <f ca="1">IF(ROWS($1:32)&gt;COUNT(Dong),"",OFFSET(TH!K$1,SMALL(Dong,ROWS($1:32)),))</f>
        <v/>
      </c>
      <c r="I45" s="246" t="str">
        <f ca="1">IF(ROWS($1:32)&gt;COUNT(Dong),"",OFFSET(TH!J$1,SMALL(Dong,ROWS($1:32)),))</f>
        <v/>
      </c>
      <c r="J45" s="250">
        <f t="shared" ca="1" si="3"/>
        <v>0</v>
      </c>
      <c r="K45" s="247"/>
      <c r="L45" s="248"/>
      <c r="M45" s="228"/>
      <c r="N45" s="228"/>
      <c r="O45" s="228"/>
      <c r="P45" s="228"/>
      <c r="Q45" s="228"/>
      <c r="R45" s="228"/>
      <c r="S45" s="228"/>
      <c r="T45" s="228"/>
      <c r="U45" s="228"/>
      <c r="V45" s="228"/>
      <c r="W45" s="228"/>
      <c r="X45" s="228"/>
      <c r="Y45" s="228"/>
      <c r="Z45" s="228"/>
      <c r="AA45" s="228"/>
      <c r="AB45" s="228"/>
      <c r="AC45" s="228"/>
      <c r="AD45" s="228"/>
      <c r="AE45" s="228"/>
      <c r="AF45" s="228"/>
      <c r="AG45" s="228"/>
      <c r="AH45" s="228"/>
      <c r="AI45" s="228"/>
      <c r="AJ45" s="228"/>
      <c r="AK45" s="228"/>
      <c r="AL45" s="228"/>
      <c r="AM45" s="228"/>
      <c r="AN45" s="228"/>
      <c r="AO45" s="228"/>
      <c r="AP45" s="228"/>
      <c r="AQ45" s="228"/>
      <c r="AR45" s="228"/>
      <c r="AS45" s="228"/>
      <c r="AT45" s="228"/>
      <c r="AU45" s="228"/>
      <c r="AV45" s="228"/>
      <c r="AW45" s="228"/>
      <c r="AX45" s="228"/>
      <c r="AY45" s="228"/>
      <c r="AZ45" s="228"/>
      <c r="BA45" s="228"/>
      <c r="BB45" s="228"/>
      <c r="BC45" s="228"/>
      <c r="BD45" s="228"/>
      <c r="BE45" s="228"/>
      <c r="BF45" s="228"/>
      <c r="BG45" s="228"/>
      <c r="BH45" s="228"/>
      <c r="BI45" s="228"/>
      <c r="BJ45" s="228"/>
      <c r="BK45" s="228"/>
      <c r="BL45" s="228"/>
      <c r="BM45" s="228"/>
      <c r="BN45" s="228"/>
      <c r="BO45" s="228"/>
      <c r="BP45" s="228"/>
      <c r="BQ45" s="228"/>
      <c r="BR45" s="228"/>
      <c r="BS45" s="228"/>
      <c r="BT45" s="228"/>
      <c r="BU45" s="228"/>
      <c r="BV45" s="228"/>
      <c r="BW45" s="228"/>
      <c r="BX45" s="228"/>
      <c r="BY45" s="228"/>
      <c r="BZ45" s="228"/>
      <c r="CA45" s="228"/>
      <c r="CB45" s="228"/>
      <c r="CC45" s="228"/>
      <c r="CD45" s="228"/>
      <c r="CE45" s="228"/>
      <c r="CF45" s="228"/>
      <c r="CG45" s="228"/>
    </row>
    <row r="46" spans="1:85" s="249" customFormat="1" ht="21.75" customHeight="1">
      <c r="A46" s="69" t="str">
        <f ca="1">IF(ROWS($1:33)&gt;COUNT(Dong),"",OFFSET(TH!E$1,SMALL(Dong,ROWS($1:33)),))</f>
        <v/>
      </c>
      <c r="B46" s="265" t="str">
        <f ca="1">IF(ROWS($1:33)&gt;COUNT(Dong),"",OFFSET(TH!G$1,SMALL(Dong,ROWS($1:33)),))</f>
        <v/>
      </c>
      <c r="C46" s="243" t="str">
        <f t="shared" ca="1" si="0"/>
        <v/>
      </c>
      <c r="D46" s="243" t="str">
        <f ca="1">IF(ROWS($1:33)&gt;COUNT(Dong),"",OFFSET(TH!D$1,SMALL(Dong,ROWS($1:33)),))</f>
        <v/>
      </c>
      <c r="E46" s="244" t="str">
        <f t="shared" ca="1" si="1"/>
        <v/>
      </c>
      <c r="F46" s="244" t="str">
        <f t="shared" ca="1" si="2"/>
        <v/>
      </c>
      <c r="G46" s="245" t="str">
        <f ca="1">IF(ROWS($1:33)&gt;COUNT(Dong),"",OFFSET(TH!F$1,SMALL(Dong,ROWS($1:33)),))</f>
        <v/>
      </c>
      <c r="H46" s="246" t="str">
        <f ca="1">IF(ROWS($1:33)&gt;COUNT(Dong),"",OFFSET(TH!K$1,SMALL(Dong,ROWS($1:33)),))</f>
        <v/>
      </c>
      <c r="I46" s="246" t="str">
        <f ca="1">IF(ROWS($1:33)&gt;COUNT(Dong),"",OFFSET(TH!J$1,SMALL(Dong,ROWS($1:33)),))</f>
        <v/>
      </c>
      <c r="J46" s="250">
        <f t="shared" ca="1" si="3"/>
        <v>0</v>
      </c>
      <c r="K46" s="247"/>
      <c r="L46" s="248"/>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228"/>
      <c r="AW46" s="228"/>
      <c r="AX46" s="228"/>
      <c r="AY46" s="228"/>
      <c r="AZ46" s="228"/>
      <c r="BA46" s="228"/>
      <c r="BB46" s="228"/>
      <c r="BC46" s="228"/>
      <c r="BD46" s="228"/>
      <c r="BE46" s="228"/>
      <c r="BF46" s="228"/>
      <c r="BG46" s="228"/>
      <c r="BH46" s="228"/>
      <c r="BI46" s="228"/>
      <c r="BJ46" s="228"/>
      <c r="BK46" s="228"/>
      <c r="BL46" s="228"/>
      <c r="BM46" s="228"/>
      <c r="BN46" s="228"/>
      <c r="BO46" s="228"/>
      <c r="BP46" s="228"/>
      <c r="BQ46" s="228"/>
      <c r="BR46" s="228"/>
      <c r="BS46" s="228"/>
      <c r="BT46" s="228"/>
      <c r="BU46" s="228"/>
      <c r="BV46" s="228"/>
      <c r="BW46" s="228"/>
      <c r="BX46" s="228"/>
      <c r="BY46" s="228"/>
      <c r="BZ46" s="228"/>
      <c r="CA46" s="228"/>
      <c r="CB46" s="228"/>
      <c r="CC46" s="228"/>
      <c r="CD46" s="228"/>
      <c r="CE46" s="228"/>
      <c r="CF46" s="228"/>
      <c r="CG46" s="228"/>
    </row>
    <row r="47" spans="1:85" s="249" customFormat="1" ht="21.75" customHeight="1">
      <c r="A47" s="69" t="str">
        <f ca="1">IF(ROWS($1:34)&gt;COUNT(Dong),"",OFFSET(TH!E$1,SMALL(Dong,ROWS($1:34)),))</f>
        <v/>
      </c>
      <c r="B47" s="265" t="str">
        <f ca="1">IF(ROWS($1:34)&gt;COUNT(Dong),"",OFFSET(TH!G$1,SMALL(Dong,ROWS($1:34)),))</f>
        <v/>
      </c>
      <c r="C47" s="243" t="str">
        <f t="shared" ca="1" si="0"/>
        <v/>
      </c>
      <c r="D47" s="243" t="str">
        <f ca="1">IF(ROWS($1:34)&gt;COUNT(Dong),"",OFFSET(TH!D$1,SMALL(Dong,ROWS($1:34)),))</f>
        <v/>
      </c>
      <c r="E47" s="244" t="str">
        <f t="shared" ca="1" si="1"/>
        <v/>
      </c>
      <c r="F47" s="244" t="str">
        <f t="shared" ca="1" si="2"/>
        <v/>
      </c>
      <c r="G47" s="245" t="str">
        <f ca="1">IF(ROWS($1:34)&gt;COUNT(Dong),"",OFFSET(TH!F$1,SMALL(Dong,ROWS($1:34)),))</f>
        <v/>
      </c>
      <c r="H47" s="246" t="str">
        <f ca="1">IF(ROWS($1:34)&gt;COUNT(Dong),"",OFFSET(TH!K$1,SMALL(Dong,ROWS($1:34)),))</f>
        <v/>
      </c>
      <c r="I47" s="246" t="str">
        <f ca="1">IF(ROWS($1:34)&gt;COUNT(Dong),"",OFFSET(TH!J$1,SMALL(Dong,ROWS($1:34)),))</f>
        <v/>
      </c>
      <c r="J47" s="250">
        <f t="shared" ca="1" si="3"/>
        <v>0</v>
      </c>
      <c r="K47" s="247"/>
      <c r="L47" s="248"/>
      <c r="M47" s="228"/>
      <c r="N47" s="228"/>
      <c r="O47" s="228"/>
      <c r="P47" s="228"/>
      <c r="Q47" s="228"/>
      <c r="R47" s="228"/>
      <c r="S47" s="228"/>
      <c r="T47" s="228"/>
      <c r="U47" s="228"/>
      <c r="V47" s="228"/>
      <c r="W47" s="228"/>
      <c r="X47" s="228"/>
      <c r="Y47" s="228"/>
      <c r="Z47" s="228"/>
      <c r="AA47" s="228"/>
      <c r="AB47" s="228"/>
      <c r="AC47" s="228"/>
      <c r="AD47" s="228"/>
      <c r="AE47" s="228"/>
      <c r="AF47" s="228"/>
      <c r="AG47" s="228"/>
      <c r="AH47" s="228"/>
      <c r="AI47" s="228"/>
      <c r="AJ47" s="228"/>
      <c r="AK47" s="228"/>
      <c r="AL47" s="228"/>
      <c r="AM47" s="228"/>
      <c r="AN47" s="228"/>
      <c r="AO47" s="228"/>
      <c r="AP47" s="228"/>
      <c r="AQ47" s="228"/>
      <c r="AR47" s="228"/>
      <c r="AS47" s="228"/>
      <c r="AT47" s="228"/>
      <c r="AU47" s="228"/>
      <c r="AV47" s="228"/>
      <c r="AW47" s="228"/>
      <c r="AX47" s="228"/>
      <c r="AY47" s="228"/>
      <c r="AZ47" s="228"/>
      <c r="BA47" s="228"/>
      <c r="BB47" s="228"/>
      <c r="BC47" s="228"/>
      <c r="BD47" s="228"/>
      <c r="BE47" s="228"/>
      <c r="BF47" s="228"/>
      <c r="BG47" s="228"/>
      <c r="BH47" s="228"/>
      <c r="BI47" s="228"/>
      <c r="BJ47" s="228"/>
      <c r="BK47" s="228"/>
      <c r="BL47" s="228"/>
      <c r="BM47" s="228"/>
      <c r="BN47" s="228"/>
      <c r="BO47" s="228"/>
      <c r="BP47" s="228"/>
      <c r="BQ47" s="228"/>
      <c r="BR47" s="228"/>
      <c r="BS47" s="228"/>
      <c r="BT47" s="228"/>
      <c r="BU47" s="228"/>
      <c r="BV47" s="228"/>
      <c r="BW47" s="228"/>
      <c r="BX47" s="228"/>
      <c r="BY47" s="228"/>
      <c r="BZ47" s="228"/>
      <c r="CA47" s="228"/>
      <c r="CB47" s="228"/>
      <c r="CC47" s="228"/>
      <c r="CD47" s="228"/>
      <c r="CE47" s="228"/>
      <c r="CF47" s="228"/>
      <c r="CG47" s="228"/>
    </row>
    <row r="48" spans="1:85" s="249" customFormat="1" ht="21.75" customHeight="1">
      <c r="A48" s="69" t="str">
        <f ca="1">IF(ROWS($1:35)&gt;COUNT(Dong),"",OFFSET(TH!E$1,SMALL(Dong,ROWS($1:35)),))</f>
        <v/>
      </c>
      <c r="B48" s="265" t="str">
        <f ca="1">IF(ROWS($1:35)&gt;COUNT(Dong),"",OFFSET(TH!G$1,SMALL(Dong,ROWS($1:35)),))</f>
        <v/>
      </c>
      <c r="C48" s="243" t="str">
        <f t="shared" ca="1" si="0"/>
        <v/>
      </c>
      <c r="D48" s="243" t="str">
        <f ca="1">IF(ROWS($1:35)&gt;COUNT(Dong),"",OFFSET(TH!D$1,SMALL(Dong,ROWS($1:35)),))</f>
        <v/>
      </c>
      <c r="E48" s="244" t="str">
        <f t="shared" ca="1" si="1"/>
        <v/>
      </c>
      <c r="F48" s="244" t="str">
        <f t="shared" ca="1" si="2"/>
        <v/>
      </c>
      <c r="G48" s="245" t="str">
        <f ca="1">IF(ROWS($1:35)&gt;COUNT(Dong),"",OFFSET(TH!F$1,SMALL(Dong,ROWS($1:35)),))</f>
        <v/>
      </c>
      <c r="H48" s="246" t="str">
        <f ca="1">IF(ROWS($1:35)&gt;COUNT(Dong),"",OFFSET(TH!K$1,SMALL(Dong,ROWS($1:35)),))</f>
        <v/>
      </c>
      <c r="I48" s="246" t="str">
        <f ca="1">IF(ROWS($1:35)&gt;COUNT(Dong),"",OFFSET(TH!J$1,SMALL(Dong,ROWS($1:35)),))</f>
        <v/>
      </c>
      <c r="J48" s="250">
        <f t="shared" ca="1" si="3"/>
        <v>0</v>
      </c>
      <c r="K48" s="247"/>
      <c r="L48" s="248"/>
      <c r="M48" s="228"/>
      <c r="N48" s="228"/>
      <c r="O48" s="228"/>
      <c r="P48" s="228"/>
      <c r="Q48" s="228"/>
      <c r="R48" s="228"/>
      <c r="S48" s="228"/>
      <c r="T48" s="228"/>
      <c r="U48" s="228"/>
      <c r="V48" s="228"/>
      <c r="W48" s="228"/>
      <c r="X48" s="228"/>
      <c r="Y48" s="228"/>
      <c r="Z48" s="228"/>
      <c r="AA48" s="228"/>
      <c r="AB48" s="228"/>
      <c r="AC48" s="228"/>
      <c r="AD48" s="228"/>
      <c r="AE48" s="228"/>
      <c r="AF48" s="228"/>
      <c r="AG48" s="228"/>
      <c r="AH48" s="228"/>
      <c r="AI48" s="228"/>
      <c r="AJ48" s="228"/>
      <c r="AK48" s="228"/>
      <c r="AL48" s="228"/>
      <c r="AM48" s="228"/>
      <c r="AN48" s="228"/>
      <c r="AO48" s="228"/>
      <c r="AP48" s="228"/>
      <c r="AQ48" s="228"/>
      <c r="AR48" s="228"/>
      <c r="AS48" s="228"/>
      <c r="AT48" s="228"/>
      <c r="AU48" s="228"/>
      <c r="AV48" s="228"/>
      <c r="AW48" s="228"/>
      <c r="AX48" s="228"/>
      <c r="AY48" s="228"/>
      <c r="AZ48" s="228"/>
      <c r="BA48" s="228"/>
      <c r="BB48" s="228"/>
      <c r="BC48" s="228"/>
      <c r="BD48" s="228"/>
      <c r="BE48" s="228"/>
      <c r="BF48" s="228"/>
      <c r="BG48" s="228"/>
      <c r="BH48" s="228"/>
      <c r="BI48" s="228"/>
      <c r="BJ48" s="228"/>
      <c r="BK48" s="228"/>
      <c r="BL48" s="228"/>
      <c r="BM48" s="228"/>
      <c r="BN48" s="228"/>
      <c r="BO48" s="228"/>
      <c r="BP48" s="228"/>
      <c r="BQ48" s="228"/>
      <c r="BR48" s="228"/>
      <c r="BS48" s="228"/>
      <c r="BT48" s="228"/>
      <c r="BU48" s="228"/>
      <c r="BV48" s="228"/>
      <c r="BW48" s="228"/>
      <c r="BX48" s="228"/>
      <c r="BY48" s="228"/>
      <c r="BZ48" s="228"/>
      <c r="CA48" s="228"/>
      <c r="CB48" s="228"/>
      <c r="CC48" s="228"/>
      <c r="CD48" s="228"/>
      <c r="CE48" s="228"/>
      <c r="CF48" s="228"/>
      <c r="CG48" s="228"/>
    </row>
    <row r="49" spans="1:85" s="249" customFormat="1" ht="21.75" customHeight="1">
      <c r="A49" s="69" t="str">
        <f ca="1">IF(ROWS($1:36)&gt;COUNT(Dong),"",OFFSET(TH!E$1,SMALL(Dong,ROWS($1:36)),))</f>
        <v/>
      </c>
      <c r="B49" s="265" t="str">
        <f ca="1">IF(ROWS($1:36)&gt;COUNT(Dong),"",OFFSET(TH!G$1,SMALL(Dong,ROWS($1:36)),))</f>
        <v/>
      </c>
      <c r="C49" s="243" t="str">
        <f t="shared" ca="1" si="0"/>
        <v/>
      </c>
      <c r="D49" s="243" t="str">
        <f ca="1">IF(ROWS($1:36)&gt;COUNT(Dong),"",OFFSET(TH!D$1,SMALL(Dong,ROWS($1:36)),))</f>
        <v/>
      </c>
      <c r="E49" s="244" t="str">
        <f t="shared" ca="1" si="1"/>
        <v/>
      </c>
      <c r="F49" s="244" t="str">
        <f t="shared" ca="1" si="2"/>
        <v/>
      </c>
      <c r="G49" s="245" t="str">
        <f ca="1">IF(ROWS($1:36)&gt;COUNT(Dong),"",OFFSET(TH!F$1,SMALL(Dong,ROWS($1:36)),))</f>
        <v/>
      </c>
      <c r="H49" s="246" t="str">
        <f ca="1">IF(ROWS($1:36)&gt;COUNT(Dong),"",OFFSET(TH!K$1,SMALL(Dong,ROWS($1:36)),))</f>
        <v/>
      </c>
      <c r="I49" s="246" t="str">
        <f ca="1">IF(ROWS($1:36)&gt;COUNT(Dong),"",OFFSET(TH!J$1,SMALL(Dong,ROWS($1:36)),))</f>
        <v/>
      </c>
      <c r="J49" s="250">
        <f t="shared" ca="1" si="3"/>
        <v>0</v>
      </c>
      <c r="K49" s="247"/>
      <c r="L49" s="248"/>
      <c r="M49" s="228"/>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228"/>
      <c r="AL49" s="228"/>
      <c r="AM49" s="228"/>
      <c r="AN49" s="228"/>
      <c r="AO49" s="228"/>
      <c r="AP49" s="228"/>
      <c r="AQ49" s="228"/>
      <c r="AR49" s="228"/>
      <c r="AS49" s="228"/>
      <c r="AT49" s="228"/>
      <c r="AU49" s="228"/>
      <c r="AV49" s="228"/>
      <c r="AW49" s="228"/>
      <c r="AX49" s="228"/>
      <c r="AY49" s="228"/>
      <c r="AZ49" s="228"/>
      <c r="BA49" s="228"/>
      <c r="BB49" s="228"/>
      <c r="BC49" s="228"/>
      <c r="BD49" s="228"/>
      <c r="BE49" s="228"/>
      <c r="BF49" s="228"/>
      <c r="BG49" s="228"/>
      <c r="BH49" s="228"/>
      <c r="BI49" s="228"/>
      <c r="BJ49" s="228"/>
      <c r="BK49" s="228"/>
      <c r="BL49" s="228"/>
      <c r="BM49" s="228"/>
      <c r="BN49" s="228"/>
      <c r="BO49" s="228"/>
      <c r="BP49" s="228"/>
      <c r="BQ49" s="228"/>
      <c r="BR49" s="228"/>
      <c r="BS49" s="228"/>
      <c r="BT49" s="228"/>
      <c r="BU49" s="228"/>
      <c r="BV49" s="228"/>
      <c r="BW49" s="228"/>
      <c r="BX49" s="228"/>
      <c r="BY49" s="228"/>
      <c r="BZ49" s="228"/>
      <c r="CA49" s="228"/>
      <c r="CB49" s="228"/>
      <c r="CC49" s="228"/>
      <c r="CD49" s="228"/>
      <c r="CE49" s="228"/>
      <c r="CF49" s="228"/>
      <c r="CG49" s="228"/>
    </row>
    <row r="50" spans="1:85" s="249" customFormat="1" ht="21.75" customHeight="1">
      <c r="A50" s="69" t="str">
        <f ca="1">IF(ROWS($1:37)&gt;COUNT(Dong),"",OFFSET(TH!E$1,SMALL(Dong,ROWS($1:37)),))</f>
        <v/>
      </c>
      <c r="B50" s="265" t="str">
        <f ca="1">IF(ROWS($1:37)&gt;COUNT(Dong),"",OFFSET(TH!G$1,SMALL(Dong,ROWS($1:37)),))</f>
        <v/>
      </c>
      <c r="C50" s="243" t="str">
        <f t="shared" ca="1" si="0"/>
        <v/>
      </c>
      <c r="D50" s="243" t="str">
        <f ca="1">IF(ROWS($1:37)&gt;COUNT(Dong),"",OFFSET(TH!D$1,SMALL(Dong,ROWS($1:37)),))</f>
        <v/>
      </c>
      <c r="E50" s="244" t="str">
        <f t="shared" ca="1" si="1"/>
        <v/>
      </c>
      <c r="F50" s="244" t="str">
        <f t="shared" ca="1" si="2"/>
        <v/>
      </c>
      <c r="G50" s="245" t="str">
        <f ca="1">IF(ROWS($1:37)&gt;COUNT(Dong),"",OFFSET(TH!F$1,SMALL(Dong,ROWS($1:37)),))</f>
        <v/>
      </c>
      <c r="H50" s="246" t="str">
        <f ca="1">IF(ROWS($1:37)&gt;COUNT(Dong),"",OFFSET(TH!K$1,SMALL(Dong,ROWS($1:37)),))</f>
        <v/>
      </c>
      <c r="I50" s="246" t="str">
        <f ca="1">IF(ROWS($1:37)&gt;COUNT(Dong),"",OFFSET(TH!J$1,SMALL(Dong,ROWS($1:37)),))</f>
        <v/>
      </c>
      <c r="J50" s="250">
        <f t="shared" ca="1" si="3"/>
        <v>0</v>
      </c>
      <c r="K50" s="247"/>
      <c r="L50" s="248"/>
      <c r="M50" s="228"/>
      <c r="N50" s="228"/>
      <c r="O50" s="228"/>
      <c r="P50" s="228"/>
      <c r="Q50" s="228"/>
      <c r="R50" s="228"/>
      <c r="S50" s="228"/>
      <c r="T50" s="228"/>
      <c r="U50" s="228"/>
      <c r="V50" s="228"/>
      <c r="W50" s="228"/>
      <c r="X50" s="228"/>
      <c r="Y50" s="228"/>
      <c r="Z50" s="228"/>
      <c r="AA50" s="228"/>
      <c r="AB50" s="228"/>
      <c r="AC50" s="228"/>
      <c r="AD50" s="228"/>
      <c r="AE50" s="228"/>
      <c r="AF50" s="228"/>
      <c r="AG50" s="228"/>
      <c r="AH50" s="228"/>
      <c r="AI50" s="228"/>
      <c r="AJ50" s="228"/>
      <c r="AK50" s="228"/>
      <c r="AL50" s="228"/>
      <c r="AM50" s="228"/>
      <c r="AN50" s="228"/>
      <c r="AO50" s="228"/>
      <c r="AP50" s="228"/>
      <c r="AQ50" s="228"/>
      <c r="AR50" s="228"/>
      <c r="AS50" s="228"/>
      <c r="AT50" s="228"/>
      <c r="AU50" s="228"/>
      <c r="AV50" s="228"/>
      <c r="AW50" s="228"/>
      <c r="AX50" s="228"/>
      <c r="AY50" s="228"/>
      <c r="AZ50" s="228"/>
      <c r="BA50" s="228"/>
      <c r="BB50" s="228"/>
      <c r="BC50" s="228"/>
      <c r="BD50" s="228"/>
      <c r="BE50" s="228"/>
      <c r="BF50" s="228"/>
      <c r="BG50" s="228"/>
      <c r="BH50" s="228"/>
      <c r="BI50" s="228"/>
      <c r="BJ50" s="228"/>
      <c r="BK50" s="228"/>
      <c r="BL50" s="228"/>
      <c r="BM50" s="228"/>
      <c r="BN50" s="228"/>
      <c r="BO50" s="228"/>
      <c r="BP50" s="228"/>
      <c r="BQ50" s="228"/>
      <c r="BR50" s="228"/>
      <c r="BS50" s="228"/>
      <c r="BT50" s="228"/>
      <c r="BU50" s="228"/>
      <c r="BV50" s="228"/>
      <c r="BW50" s="228"/>
      <c r="BX50" s="228"/>
      <c r="BY50" s="228"/>
      <c r="BZ50" s="228"/>
      <c r="CA50" s="228"/>
      <c r="CB50" s="228"/>
      <c r="CC50" s="228"/>
      <c r="CD50" s="228"/>
      <c r="CE50" s="228"/>
      <c r="CF50" s="228"/>
      <c r="CG50" s="228"/>
    </row>
    <row r="51" spans="1:85" s="249" customFormat="1" ht="21.75" customHeight="1">
      <c r="A51" s="69" t="str">
        <f ca="1">IF(ROWS($1:38)&gt;COUNT(Dong),"",OFFSET(TH!E$1,SMALL(Dong,ROWS($1:38)),))</f>
        <v/>
      </c>
      <c r="B51" s="265" t="str">
        <f ca="1">IF(ROWS($1:38)&gt;COUNT(Dong),"",OFFSET(TH!G$1,SMALL(Dong,ROWS($1:38)),))</f>
        <v/>
      </c>
      <c r="C51" s="243" t="str">
        <f t="shared" ca="1" si="0"/>
        <v/>
      </c>
      <c r="D51" s="243" t="str">
        <f ca="1">IF(ROWS($1:38)&gt;COUNT(Dong),"",OFFSET(TH!D$1,SMALL(Dong,ROWS($1:38)),))</f>
        <v/>
      </c>
      <c r="E51" s="244" t="str">
        <f t="shared" ca="1" si="1"/>
        <v/>
      </c>
      <c r="F51" s="244" t="str">
        <f t="shared" ca="1" si="2"/>
        <v/>
      </c>
      <c r="G51" s="245" t="str">
        <f ca="1">IF(ROWS($1:38)&gt;COUNT(Dong),"",OFFSET(TH!F$1,SMALL(Dong,ROWS($1:38)),))</f>
        <v/>
      </c>
      <c r="H51" s="246" t="str">
        <f ca="1">IF(ROWS($1:38)&gt;COUNT(Dong),"",OFFSET(TH!K$1,SMALL(Dong,ROWS($1:38)),))</f>
        <v/>
      </c>
      <c r="I51" s="246" t="str">
        <f ca="1">IF(ROWS($1:38)&gt;COUNT(Dong),"",OFFSET(TH!J$1,SMALL(Dong,ROWS($1:38)),))</f>
        <v/>
      </c>
      <c r="J51" s="250">
        <f t="shared" ca="1" si="3"/>
        <v>0</v>
      </c>
      <c r="K51" s="247"/>
      <c r="L51" s="248"/>
      <c r="M51" s="228"/>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228"/>
      <c r="AK51" s="228"/>
      <c r="AL51" s="228"/>
      <c r="AM51" s="228"/>
      <c r="AN51" s="228"/>
      <c r="AO51" s="228"/>
      <c r="AP51" s="228"/>
      <c r="AQ51" s="228"/>
      <c r="AR51" s="228"/>
      <c r="AS51" s="228"/>
      <c r="AT51" s="228"/>
      <c r="AU51" s="228"/>
      <c r="AV51" s="228"/>
      <c r="AW51" s="228"/>
      <c r="AX51" s="228"/>
      <c r="AY51" s="228"/>
      <c r="AZ51" s="228"/>
      <c r="BA51" s="228"/>
      <c r="BB51" s="228"/>
      <c r="BC51" s="228"/>
      <c r="BD51" s="228"/>
      <c r="BE51" s="228"/>
      <c r="BF51" s="228"/>
      <c r="BG51" s="228"/>
      <c r="BH51" s="228"/>
      <c r="BI51" s="228"/>
      <c r="BJ51" s="228"/>
      <c r="BK51" s="228"/>
      <c r="BL51" s="228"/>
      <c r="BM51" s="228"/>
      <c r="BN51" s="228"/>
      <c r="BO51" s="228"/>
      <c r="BP51" s="228"/>
      <c r="BQ51" s="228"/>
      <c r="BR51" s="228"/>
      <c r="BS51" s="228"/>
      <c r="BT51" s="228"/>
      <c r="BU51" s="228"/>
      <c r="BV51" s="228"/>
      <c r="BW51" s="228"/>
      <c r="BX51" s="228"/>
      <c r="BY51" s="228"/>
      <c r="BZ51" s="228"/>
      <c r="CA51" s="228"/>
      <c r="CB51" s="228"/>
      <c r="CC51" s="228"/>
      <c r="CD51" s="228"/>
      <c r="CE51" s="228"/>
      <c r="CF51" s="228"/>
      <c r="CG51" s="228"/>
    </row>
    <row r="52" spans="1:85" s="249" customFormat="1" ht="21.75" customHeight="1">
      <c r="A52" s="69" t="str">
        <f ca="1">IF(ROWS($1:39)&gt;COUNT(Dong),"",OFFSET(TH!E$1,SMALL(Dong,ROWS($1:39)),))</f>
        <v/>
      </c>
      <c r="B52" s="265" t="str">
        <f ca="1">IF(ROWS($1:39)&gt;COUNT(Dong),"",OFFSET(TH!G$1,SMALL(Dong,ROWS($1:39)),))</f>
        <v/>
      </c>
      <c r="C52" s="243" t="str">
        <f t="shared" ca="1" si="0"/>
        <v/>
      </c>
      <c r="D52" s="243" t="str">
        <f ca="1">IF(ROWS($1:39)&gt;COUNT(Dong),"",OFFSET(TH!D$1,SMALL(Dong,ROWS($1:39)),))</f>
        <v/>
      </c>
      <c r="E52" s="244" t="str">
        <f t="shared" ca="1" si="1"/>
        <v/>
      </c>
      <c r="F52" s="244" t="str">
        <f t="shared" ca="1" si="2"/>
        <v/>
      </c>
      <c r="G52" s="245" t="str">
        <f ca="1">IF(ROWS($1:39)&gt;COUNT(Dong),"",OFFSET(TH!F$1,SMALL(Dong,ROWS($1:39)),))</f>
        <v/>
      </c>
      <c r="H52" s="246" t="str">
        <f ca="1">IF(ROWS($1:39)&gt;COUNT(Dong),"",OFFSET(TH!K$1,SMALL(Dong,ROWS($1:39)),))</f>
        <v/>
      </c>
      <c r="I52" s="246" t="str">
        <f ca="1">IF(ROWS($1:39)&gt;COUNT(Dong),"",OFFSET(TH!J$1,SMALL(Dong,ROWS($1:39)),))</f>
        <v/>
      </c>
      <c r="J52" s="250">
        <f t="shared" ca="1" si="3"/>
        <v>0</v>
      </c>
      <c r="K52" s="247"/>
      <c r="L52" s="248"/>
      <c r="M52" s="228"/>
      <c r="N52" s="228"/>
      <c r="O52" s="228"/>
      <c r="P52" s="228"/>
      <c r="Q52" s="228"/>
      <c r="R52" s="228"/>
      <c r="S52" s="228"/>
      <c r="T52" s="228"/>
      <c r="U52" s="228"/>
      <c r="V52" s="228"/>
      <c r="W52" s="228"/>
      <c r="X52" s="228"/>
      <c r="Y52" s="228"/>
      <c r="Z52" s="228"/>
      <c r="AA52" s="228"/>
      <c r="AB52" s="228"/>
      <c r="AC52" s="228"/>
      <c r="AD52" s="228"/>
      <c r="AE52" s="228"/>
      <c r="AF52" s="228"/>
      <c r="AG52" s="228"/>
      <c r="AH52" s="228"/>
      <c r="AI52" s="228"/>
      <c r="AJ52" s="228"/>
      <c r="AK52" s="228"/>
      <c r="AL52" s="228"/>
      <c r="AM52" s="228"/>
      <c r="AN52" s="228"/>
      <c r="AO52" s="228"/>
      <c r="AP52" s="228"/>
      <c r="AQ52" s="228"/>
      <c r="AR52" s="228"/>
      <c r="AS52" s="228"/>
      <c r="AT52" s="228"/>
      <c r="AU52" s="228"/>
      <c r="AV52" s="228"/>
      <c r="AW52" s="228"/>
      <c r="AX52" s="228"/>
      <c r="AY52" s="228"/>
      <c r="AZ52" s="228"/>
      <c r="BA52" s="228"/>
      <c r="BB52" s="228"/>
      <c r="BC52" s="228"/>
      <c r="BD52" s="228"/>
      <c r="BE52" s="228"/>
      <c r="BF52" s="228"/>
      <c r="BG52" s="228"/>
      <c r="BH52" s="228"/>
      <c r="BI52" s="228"/>
      <c r="BJ52" s="228"/>
      <c r="BK52" s="228"/>
      <c r="BL52" s="228"/>
      <c r="BM52" s="228"/>
      <c r="BN52" s="228"/>
      <c r="BO52" s="228"/>
      <c r="BP52" s="228"/>
      <c r="BQ52" s="228"/>
      <c r="BR52" s="228"/>
      <c r="BS52" s="228"/>
      <c r="BT52" s="228"/>
      <c r="BU52" s="228"/>
      <c r="BV52" s="228"/>
      <c r="BW52" s="228"/>
      <c r="BX52" s="228"/>
      <c r="BY52" s="228"/>
      <c r="BZ52" s="228"/>
      <c r="CA52" s="228"/>
      <c r="CB52" s="228"/>
      <c r="CC52" s="228"/>
      <c r="CD52" s="228"/>
      <c r="CE52" s="228"/>
      <c r="CF52" s="228"/>
      <c r="CG52" s="228"/>
    </row>
    <row r="53" spans="1:85" s="249" customFormat="1" ht="21.75" customHeight="1">
      <c r="A53" s="69" t="str">
        <f ca="1">IF(ROWS($1:40)&gt;COUNT(Dong),"",OFFSET(TH!E$1,SMALL(Dong,ROWS($1:40)),))</f>
        <v/>
      </c>
      <c r="B53" s="265" t="str">
        <f ca="1">IF(ROWS($1:40)&gt;COUNT(Dong),"",OFFSET(TH!G$1,SMALL(Dong,ROWS($1:40)),))</f>
        <v/>
      </c>
      <c r="C53" s="243" t="str">
        <f t="shared" ca="1" si="0"/>
        <v/>
      </c>
      <c r="D53" s="243" t="str">
        <f ca="1">IF(ROWS($1:40)&gt;COUNT(Dong),"",OFFSET(TH!D$1,SMALL(Dong,ROWS($1:40)),))</f>
        <v/>
      </c>
      <c r="E53" s="244" t="str">
        <f t="shared" ca="1" si="1"/>
        <v/>
      </c>
      <c r="F53" s="244" t="str">
        <f t="shared" ca="1" si="2"/>
        <v/>
      </c>
      <c r="G53" s="245" t="str">
        <f ca="1">IF(ROWS($1:40)&gt;COUNT(Dong),"",OFFSET(TH!F$1,SMALL(Dong,ROWS($1:40)),))</f>
        <v/>
      </c>
      <c r="H53" s="246" t="str">
        <f ca="1">IF(ROWS($1:40)&gt;COUNT(Dong),"",OFFSET(TH!K$1,SMALL(Dong,ROWS($1:40)),))</f>
        <v/>
      </c>
      <c r="I53" s="246" t="str">
        <f ca="1">IF(ROWS($1:40)&gt;COUNT(Dong),"",OFFSET(TH!J$1,SMALL(Dong,ROWS($1:40)),))</f>
        <v/>
      </c>
      <c r="J53" s="250">
        <f t="shared" ca="1" si="3"/>
        <v>0</v>
      </c>
      <c r="K53" s="247"/>
      <c r="L53" s="248"/>
      <c r="M53" s="228"/>
      <c r="N53" s="228"/>
      <c r="O53" s="228"/>
      <c r="P53" s="228"/>
      <c r="Q53" s="228"/>
      <c r="R53" s="228"/>
      <c r="S53" s="228"/>
      <c r="T53" s="228"/>
      <c r="U53" s="228"/>
      <c r="V53" s="228"/>
      <c r="W53" s="228"/>
      <c r="X53" s="228"/>
      <c r="Y53" s="228"/>
      <c r="Z53" s="228"/>
      <c r="AA53" s="228"/>
      <c r="AB53" s="228"/>
      <c r="AC53" s="228"/>
      <c r="AD53" s="228"/>
      <c r="AE53" s="228"/>
      <c r="AF53" s="228"/>
      <c r="AG53" s="228"/>
      <c r="AH53" s="228"/>
      <c r="AI53" s="228"/>
      <c r="AJ53" s="228"/>
      <c r="AK53" s="228"/>
      <c r="AL53" s="228"/>
      <c r="AM53" s="228"/>
      <c r="AN53" s="228"/>
      <c r="AO53" s="228"/>
      <c r="AP53" s="228"/>
      <c r="AQ53" s="228"/>
      <c r="AR53" s="228"/>
      <c r="AS53" s="228"/>
      <c r="AT53" s="228"/>
      <c r="AU53" s="228"/>
      <c r="AV53" s="228"/>
      <c r="AW53" s="228"/>
      <c r="AX53" s="228"/>
      <c r="AY53" s="228"/>
      <c r="AZ53" s="228"/>
      <c r="BA53" s="228"/>
      <c r="BB53" s="228"/>
      <c r="BC53" s="228"/>
      <c r="BD53" s="228"/>
      <c r="BE53" s="228"/>
      <c r="BF53" s="228"/>
      <c r="BG53" s="228"/>
      <c r="BH53" s="228"/>
      <c r="BI53" s="228"/>
      <c r="BJ53" s="228"/>
      <c r="BK53" s="228"/>
      <c r="BL53" s="228"/>
      <c r="BM53" s="228"/>
      <c r="BN53" s="228"/>
      <c r="BO53" s="228"/>
      <c r="BP53" s="228"/>
      <c r="BQ53" s="228"/>
      <c r="BR53" s="228"/>
      <c r="BS53" s="228"/>
      <c r="BT53" s="228"/>
      <c r="BU53" s="228"/>
      <c r="BV53" s="228"/>
      <c r="BW53" s="228"/>
      <c r="BX53" s="228"/>
      <c r="BY53" s="228"/>
      <c r="BZ53" s="228"/>
      <c r="CA53" s="228"/>
      <c r="CB53" s="228"/>
      <c r="CC53" s="228"/>
      <c r="CD53" s="228"/>
      <c r="CE53" s="228"/>
      <c r="CF53" s="228"/>
      <c r="CG53" s="228"/>
    </row>
    <row r="54" spans="1:85" s="249" customFormat="1" ht="21.75" customHeight="1">
      <c r="A54" s="69" t="str">
        <f ca="1">IF(ROWS($1:41)&gt;COUNT(Dong),"",OFFSET(TH!E$1,SMALL(Dong,ROWS($1:41)),))</f>
        <v/>
      </c>
      <c r="B54" s="265" t="str">
        <f ca="1">IF(ROWS($1:41)&gt;COUNT(Dong),"",OFFSET(TH!G$1,SMALL(Dong,ROWS($1:41)),))</f>
        <v/>
      </c>
      <c r="C54" s="243" t="str">
        <f t="shared" ca="1" si="0"/>
        <v/>
      </c>
      <c r="D54" s="243" t="str">
        <f ca="1">IF(ROWS($1:41)&gt;COUNT(Dong),"",OFFSET(TH!D$1,SMALL(Dong,ROWS($1:41)),))</f>
        <v/>
      </c>
      <c r="E54" s="244" t="str">
        <f t="shared" ca="1" si="1"/>
        <v/>
      </c>
      <c r="F54" s="244" t="str">
        <f t="shared" ca="1" si="2"/>
        <v/>
      </c>
      <c r="G54" s="245" t="str">
        <f ca="1">IF(ROWS($1:41)&gt;COUNT(Dong),"",OFFSET(TH!F$1,SMALL(Dong,ROWS($1:41)),))</f>
        <v/>
      </c>
      <c r="H54" s="246" t="str">
        <f ca="1">IF(ROWS($1:41)&gt;COUNT(Dong),"",OFFSET(TH!K$1,SMALL(Dong,ROWS($1:41)),))</f>
        <v/>
      </c>
      <c r="I54" s="246" t="str">
        <f ca="1">IF(ROWS($1:41)&gt;COUNT(Dong),"",OFFSET(TH!J$1,SMALL(Dong,ROWS($1:41)),))</f>
        <v/>
      </c>
      <c r="J54" s="250">
        <f t="shared" ca="1" si="3"/>
        <v>0</v>
      </c>
      <c r="K54" s="247"/>
      <c r="L54" s="248"/>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228"/>
      <c r="AW54" s="228"/>
      <c r="AX54" s="228"/>
      <c r="AY54" s="228"/>
      <c r="AZ54" s="228"/>
      <c r="BA54" s="228"/>
      <c r="BB54" s="228"/>
      <c r="BC54" s="228"/>
      <c r="BD54" s="228"/>
      <c r="BE54" s="228"/>
      <c r="BF54" s="228"/>
      <c r="BG54" s="228"/>
      <c r="BH54" s="228"/>
      <c r="BI54" s="228"/>
      <c r="BJ54" s="228"/>
      <c r="BK54" s="228"/>
      <c r="BL54" s="228"/>
      <c r="BM54" s="228"/>
      <c r="BN54" s="228"/>
      <c r="BO54" s="228"/>
      <c r="BP54" s="228"/>
      <c r="BQ54" s="228"/>
      <c r="BR54" s="228"/>
      <c r="BS54" s="228"/>
      <c r="BT54" s="228"/>
      <c r="BU54" s="228"/>
      <c r="BV54" s="228"/>
      <c r="BW54" s="228"/>
      <c r="BX54" s="228"/>
      <c r="BY54" s="228"/>
      <c r="BZ54" s="228"/>
      <c r="CA54" s="228"/>
      <c r="CB54" s="228"/>
      <c r="CC54" s="228"/>
      <c r="CD54" s="228"/>
      <c r="CE54" s="228"/>
      <c r="CF54" s="228"/>
      <c r="CG54" s="228"/>
    </row>
    <row r="55" spans="1:85" s="249" customFormat="1" ht="21.75" customHeight="1">
      <c r="A55" s="69" t="str">
        <f ca="1">IF(ROWS($1:42)&gt;COUNT(Dong),"",OFFSET(TH!E$1,SMALL(Dong,ROWS($1:42)),))</f>
        <v/>
      </c>
      <c r="B55" s="265" t="str">
        <f ca="1">IF(ROWS($1:42)&gt;COUNT(Dong),"",OFFSET(TH!G$1,SMALL(Dong,ROWS($1:42)),))</f>
        <v/>
      </c>
      <c r="C55" s="243" t="str">
        <f t="shared" ca="1" si="0"/>
        <v/>
      </c>
      <c r="D55" s="243" t="str">
        <f ca="1">IF(ROWS($1:42)&gt;COUNT(Dong),"",OFFSET(TH!D$1,SMALL(Dong,ROWS($1:42)),))</f>
        <v/>
      </c>
      <c r="E55" s="244" t="str">
        <f t="shared" ca="1" si="1"/>
        <v/>
      </c>
      <c r="F55" s="244" t="str">
        <f t="shared" ca="1" si="2"/>
        <v/>
      </c>
      <c r="G55" s="245" t="str">
        <f ca="1">IF(ROWS($1:42)&gt;COUNT(Dong),"",OFFSET(TH!F$1,SMALL(Dong,ROWS($1:42)),))</f>
        <v/>
      </c>
      <c r="H55" s="246" t="str">
        <f ca="1">IF(ROWS($1:42)&gt;COUNT(Dong),"",OFFSET(TH!K$1,SMALL(Dong,ROWS($1:42)),))</f>
        <v/>
      </c>
      <c r="I55" s="246" t="str">
        <f ca="1">IF(ROWS($1:42)&gt;COUNT(Dong),"",OFFSET(TH!J$1,SMALL(Dong,ROWS($1:42)),))</f>
        <v/>
      </c>
      <c r="J55" s="250">
        <f t="shared" ca="1" si="3"/>
        <v>0</v>
      </c>
      <c r="K55" s="247"/>
      <c r="L55" s="24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8"/>
      <c r="BE55" s="228"/>
      <c r="BF55" s="228"/>
      <c r="BG55" s="228"/>
      <c r="BH55" s="228"/>
      <c r="BI55" s="228"/>
      <c r="BJ55" s="228"/>
      <c r="BK55" s="228"/>
      <c r="BL55" s="228"/>
      <c r="BM55" s="228"/>
      <c r="BN55" s="228"/>
      <c r="BO55" s="228"/>
      <c r="BP55" s="228"/>
      <c r="BQ55" s="228"/>
      <c r="BR55" s="228"/>
      <c r="BS55" s="228"/>
      <c r="BT55" s="228"/>
      <c r="BU55" s="228"/>
      <c r="BV55" s="228"/>
      <c r="BW55" s="228"/>
      <c r="BX55" s="228"/>
      <c r="BY55" s="228"/>
      <c r="BZ55" s="228"/>
      <c r="CA55" s="228"/>
      <c r="CB55" s="228"/>
      <c r="CC55" s="228"/>
      <c r="CD55" s="228"/>
      <c r="CE55" s="228"/>
      <c r="CF55" s="228"/>
      <c r="CG55" s="228"/>
    </row>
    <row r="56" spans="1:85" s="249" customFormat="1" ht="21.75" customHeight="1">
      <c r="A56" s="69" t="str">
        <f ca="1">IF(ROWS($1:43)&gt;COUNT(Dong),"",OFFSET(TH!E$1,SMALL(Dong,ROWS($1:43)),))</f>
        <v/>
      </c>
      <c r="B56" s="265" t="str">
        <f ca="1">IF(ROWS($1:43)&gt;COUNT(Dong),"",OFFSET(TH!G$1,SMALL(Dong,ROWS($1:43)),))</f>
        <v/>
      </c>
      <c r="C56" s="243" t="str">
        <f t="shared" ca="1" si="0"/>
        <v/>
      </c>
      <c r="D56" s="243" t="str">
        <f ca="1">IF(ROWS($1:43)&gt;COUNT(Dong),"",OFFSET(TH!D$1,SMALL(Dong,ROWS($1:43)),))</f>
        <v/>
      </c>
      <c r="E56" s="244" t="str">
        <f t="shared" ca="1" si="1"/>
        <v/>
      </c>
      <c r="F56" s="244" t="str">
        <f t="shared" ca="1" si="2"/>
        <v/>
      </c>
      <c r="G56" s="245" t="str">
        <f ca="1">IF(ROWS($1:43)&gt;COUNT(Dong),"",OFFSET(TH!F$1,SMALL(Dong,ROWS($1:43)),))</f>
        <v/>
      </c>
      <c r="H56" s="246" t="str">
        <f ca="1">IF(ROWS($1:43)&gt;COUNT(Dong),"",OFFSET(TH!K$1,SMALL(Dong,ROWS($1:43)),))</f>
        <v/>
      </c>
      <c r="I56" s="246" t="str">
        <f ca="1">IF(ROWS($1:43)&gt;COUNT(Dong),"",OFFSET(TH!J$1,SMALL(Dong,ROWS($1:43)),))</f>
        <v/>
      </c>
      <c r="J56" s="250">
        <f t="shared" ca="1" si="3"/>
        <v>0</v>
      </c>
      <c r="K56" s="247"/>
      <c r="L56" s="248"/>
      <c r="M56" s="228"/>
      <c r="N56" s="228"/>
      <c r="O56" s="228"/>
      <c r="P56" s="228"/>
      <c r="Q56" s="228"/>
      <c r="R56" s="228"/>
      <c r="S56" s="228"/>
      <c r="T56" s="228"/>
      <c r="U56" s="228"/>
      <c r="V56" s="228"/>
      <c r="W56" s="228"/>
      <c r="X56" s="228"/>
      <c r="Y56" s="228"/>
      <c r="Z56" s="228"/>
      <c r="AA56" s="228"/>
      <c r="AB56" s="228"/>
      <c r="AC56" s="228"/>
      <c r="AD56" s="228"/>
      <c r="AE56" s="228"/>
      <c r="AF56" s="228"/>
      <c r="AG56" s="228"/>
      <c r="AH56" s="228"/>
      <c r="AI56" s="228"/>
      <c r="AJ56" s="228"/>
      <c r="AK56" s="228"/>
      <c r="AL56" s="228"/>
      <c r="AM56" s="228"/>
      <c r="AN56" s="228"/>
      <c r="AO56" s="228"/>
      <c r="AP56" s="228"/>
      <c r="AQ56" s="228"/>
      <c r="AR56" s="228"/>
      <c r="AS56" s="228"/>
      <c r="AT56" s="228"/>
      <c r="AU56" s="228"/>
      <c r="AV56" s="228"/>
      <c r="AW56" s="228"/>
      <c r="AX56" s="228"/>
      <c r="AY56" s="228"/>
      <c r="AZ56" s="228"/>
      <c r="BA56" s="228"/>
      <c r="BB56" s="228"/>
      <c r="BC56" s="228"/>
      <c r="BD56" s="228"/>
      <c r="BE56" s="228"/>
      <c r="BF56" s="228"/>
      <c r="BG56" s="228"/>
      <c r="BH56" s="228"/>
      <c r="BI56" s="228"/>
      <c r="BJ56" s="228"/>
      <c r="BK56" s="228"/>
      <c r="BL56" s="228"/>
      <c r="BM56" s="228"/>
      <c r="BN56" s="228"/>
      <c r="BO56" s="228"/>
      <c r="BP56" s="228"/>
      <c r="BQ56" s="228"/>
      <c r="BR56" s="228"/>
      <c r="BS56" s="228"/>
      <c r="BT56" s="228"/>
      <c r="BU56" s="228"/>
      <c r="BV56" s="228"/>
      <c r="BW56" s="228"/>
      <c r="BX56" s="228"/>
      <c r="BY56" s="228"/>
      <c r="BZ56" s="228"/>
      <c r="CA56" s="228"/>
      <c r="CB56" s="228"/>
      <c r="CC56" s="228"/>
      <c r="CD56" s="228"/>
      <c r="CE56" s="228"/>
      <c r="CF56" s="228"/>
      <c r="CG56" s="228"/>
    </row>
    <row r="57" spans="1:85" s="249" customFormat="1" ht="21.75" customHeight="1">
      <c r="A57" s="69" t="str">
        <f ca="1">IF(ROWS($1:44)&gt;COUNT(Dong),"",OFFSET(TH!E$1,SMALL(Dong,ROWS($1:44)),))</f>
        <v/>
      </c>
      <c r="B57" s="265" t="str">
        <f ca="1">IF(ROWS($1:44)&gt;COUNT(Dong),"",OFFSET(TH!G$1,SMALL(Dong,ROWS($1:44)),))</f>
        <v/>
      </c>
      <c r="C57" s="243" t="str">
        <f t="shared" ca="1" si="0"/>
        <v/>
      </c>
      <c r="D57" s="243" t="str">
        <f ca="1">IF(ROWS($1:44)&gt;COUNT(Dong),"",OFFSET(TH!D$1,SMALL(Dong,ROWS($1:44)),))</f>
        <v/>
      </c>
      <c r="E57" s="244" t="str">
        <f t="shared" ca="1" si="1"/>
        <v/>
      </c>
      <c r="F57" s="244" t="str">
        <f t="shared" ca="1" si="2"/>
        <v/>
      </c>
      <c r="G57" s="245" t="str">
        <f ca="1">IF(ROWS($1:44)&gt;COUNT(Dong),"",OFFSET(TH!F$1,SMALL(Dong,ROWS($1:44)),))</f>
        <v/>
      </c>
      <c r="H57" s="246" t="str">
        <f ca="1">IF(ROWS($1:44)&gt;COUNT(Dong),"",OFFSET(TH!K$1,SMALL(Dong,ROWS($1:44)),))</f>
        <v/>
      </c>
      <c r="I57" s="246" t="str">
        <f ca="1">IF(ROWS($1:44)&gt;COUNT(Dong),"",OFFSET(TH!J$1,SMALL(Dong,ROWS($1:44)),))</f>
        <v/>
      </c>
      <c r="J57" s="250">
        <f t="shared" ca="1" si="3"/>
        <v>0</v>
      </c>
      <c r="K57" s="247"/>
      <c r="L57" s="248"/>
      <c r="M57" s="228"/>
      <c r="N57" s="228"/>
      <c r="O57" s="228"/>
      <c r="P57" s="228"/>
      <c r="Q57" s="228"/>
      <c r="R57" s="228"/>
      <c r="S57" s="228"/>
      <c r="T57" s="228"/>
      <c r="U57" s="228"/>
      <c r="V57" s="228"/>
      <c r="W57" s="228"/>
      <c r="X57" s="228"/>
      <c r="Y57" s="228"/>
      <c r="Z57" s="228"/>
      <c r="AA57" s="228"/>
      <c r="AB57" s="228"/>
      <c r="AC57" s="228"/>
      <c r="AD57" s="228"/>
      <c r="AE57" s="228"/>
      <c r="AF57" s="228"/>
      <c r="AG57" s="228"/>
      <c r="AH57" s="228"/>
      <c r="AI57" s="228"/>
      <c r="AJ57" s="228"/>
      <c r="AK57" s="228"/>
      <c r="AL57" s="228"/>
      <c r="AM57" s="228"/>
      <c r="AN57" s="228"/>
      <c r="AO57" s="228"/>
      <c r="AP57" s="228"/>
      <c r="AQ57" s="228"/>
      <c r="AR57" s="228"/>
      <c r="AS57" s="228"/>
      <c r="AT57" s="228"/>
      <c r="AU57" s="228"/>
      <c r="AV57" s="228"/>
      <c r="AW57" s="228"/>
      <c r="AX57" s="228"/>
      <c r="AY57" s="228"/>
      <c r="AZ57" s="228"/>
      <c r="BA57" s="228"/>
      <c r="BB57" s="228"/>
      <c r="BC57" s="228"/>
      <c r="BD57" s="228"/>
      <c r="BE57" s="228"/>
      <c r="BF57" s="228"/>
      <c r="BG57" s="228"/>
      <c r="BH57" s="228"/>
      <c r="BI57" s="228"/>
      <c r="BJ57" s="228"/>
      <c r="BK57" s="228"/>
      <c r="BL57" s="228"/>
      <c r="BM57" s="228"/>
      <c r="BN57" s="228"/>
      <c r="BO57" s="228"/>
      <c r="BP57" s="228"/>
      <c r="BQ57" s="228"/>
      <c r="BR57" s="228"/>
      <c r="BS57" s="228"/>
      <c r="BT57" s="228"/>
      <c r="BU57" s="228"/>
      <c r="BV57" s="228"/>
      <c r="BW57" s="228"/>
      <c r="BX57" s="228"/>
      <c r="BY57" s="228"/>
      <c r="BZ57" s="228"/>
      <c r="CA57" s="228"/>
      <c r="CB57" s="228"/>
      <c r="CC57" s="228"/>
      <c r="CD57" s="228"/>
      <c r="CE57" s="228"/>
      <c r="CF57" s="228"/>
      <c r="CG57" s="228"/>
    </row>
    <row r="58" spans="1:85" s="249" customFormat="1" ht="21.75" customHeight="1">
      <c r="A58" s="69" t="str">
        <f ca="1">IF(ROWS($1:45)&gt;COUNT(Dong),"",OFFSET(TH!E$1,SMALL(Dong,ROWS($1:45)),))</f>
        <v/>
      </c>
      <c r="B58" s="265" t="str">
        <f ca="1">IF(ROWS($1:45)&gt;COUNT(Dong),"",OFFSET(TH!G$1,SMALL(Dong,ROWS($1:45)),))</f>
        <v/>
      </c>
      <c r="C58" s="243" t="str">
        <f t="shared" ca="1" si="0"/>
        <v/>
      </c>
      <c r="D58" s="243" t="str">
        <f ca="1">IF(ROWS($1:45)&gt;COUNT(Dong),"",OFFSET(TH!D$1,SMALL(Dong,ROWS($1:45)),))</f>
        <v/>
      </c>
      <c r="E58" s="244" t="str">
        <f t="shared" ca="1" si="1"/>
        <v/>
      </c>
      <c r="F58" s="244" t="str">
        <f t="shared" ca="1" si="2"/>
        <v/>
      </c>
      <c r="G58" s="245" t="str">
        <f ca="1">IF(ROWS($1:45)&gt;COUNT(Dong),"",OFFSET(TH!F$1,SMALL(Dong,ROWS($1:45)),))</f>
        <v/>
      </c>
      <c r="H58" s="246" t="str">
        <f ca="1">IF(ROWS($1:45)&gt;COUNT(Dong),"",OFFSET(TH!K$1,SMALL(Dong,ROWS($1:45)),))</f>
        <v/>
      </c>
      <c r="I58" s="246" t="str">
        <f ca="1">IF(ROWS($1:45)&gt;COUNT(Dong),"",OFFSET(TH!J$1,SMALL(Dong,ROWS($1:45)),))</f>
        <v/>
      </c>
      <c r="J58" s="250">
        <f t="shared" ca="1" si="3"/>
        <v>0</v>
      </c>
      <c r="K58" s="247"/>
      <c r="L58" s="248"/>
      <c r="M58" s="228"/>
      <c r="N58" s="228"/>
      <c r="O58" s="228"/>
      <c r="P58" s="228"/>
      <c r="Q58" s="228"/>
      <c r="R58" s="228"/>
      <c r="S58" s="228"/>
      <c r="T58" s="228"/>
      <c r="U58" s="228"/>
      <c r="V58" s="228"/>
      <c r="W58" s="228"/>
      <c r="X58" s="228"/>
      <c r="Y58" s="228"/>
      <c r="Z58" s="228"/>
      <c r="AA58" s="228"/>
      <c r="AB58" s="228"/>
      <c r="AC58" s="228"/>
      <c r="AD58" s="228"/>
      <c r="AE58" s="228"/>
      <c r="AF58" s="228"/>
      <c r="AG58" s="228"/>
      <c r="AH58" s="228"/>
      <c r="AI58" s="228"/>
      <c r="AJ58" s="228"/>
      <c r="AK58" s="228"/>
      <c r="AL58" s="228"/>
      <c r="AM58" s="228"/>
      <c r="AN58" s="228"/>
      <c r="AO58" s="228"/>
      <c r="AP58" s="228"/>
      <c r="AQ58" s="228"/>
      <c r="AR58" s="228"/>
      <c r="AS58" s="228"/>
      <c r="AT58" s="228"/>
      <c r="AU58" s="228"/>
      <c r="AV58" s="228"/>
      <c r="AW58" s="228"/>
      <c r="AX58" s="228"/>
      <c r="AY58" s="228"/>
      <c r="AZ58" s="228"/>
      <c r="BA58" s="228"/>
      <c r="BB58" s="228"/>
      <c r="BC58" s="228"/>
      <c r="BD58" s="228"/>
      <c r="BE58" s="228"/>
      <c r="BF58" s="228"/>
      <c r="BG58" s="228"/>
      <c r="BH58" s="228"/>
      <c r="BI58" s="228"/>
      <c r="BJ58" s="228"/>
      <c r="BK58" s="228"/>
      <c r="BL58" s="228"/>
      <c r="BM58" s="228"/>
      <c r="BN58" s="228"/>
      <c r="BO58" s="228"/>
      <c r="BP58" s="228"/>
      <c r="BQ58" s="228"/>
      <c r="BR58" s="228"/>
      <c r="BS58" s="228"/>
      <c r="BT58" s="228"/>
      <c r="BU58" s="228"/>
      <c r="BV58" s="228"/>
      <c r="BW58" s="228"/>
      <c r="BX58" s="228"/>
      <c r="BY58" s="228"/>
      <c r="BZ58" s="228"/>
      <c r="CA58" s="228"/>
      <c r="CB58" s="228"/>
      <c r="CC58" s="228"/>
      <c r="CD58" s="228"/>
      <c r="CE58" s="228"/>
      <c r="CF58" s="228"/>
      <c r="CG58" s="228"/>
    </row>
    <row r="59" spans="1:85" s="249" customFormat="1" ht="21.75" customHeight="1">
      <c r="A59" s="69" t="str">
        <f ca="1">IF(ROWS($1:46)&gt;COUNT(Dong),"",OFFSET(TH!E$1,SMALL(Dong,ROWS($1:46)),))</f>
        <v/>
      </c>
      <c r="B59" s="265" t="str">
        <f ca="1">IF(ROWS($1:46)&gt;COUNT(Dong),"",OFFSET(TH!G$1,SMALL(Dong,ROWS($1:46)),))</f>
        <v/>
      </c>
      <c r="C59" s="243" t="str">
        <f t="shared" ca="1" si="0"/>
        <v/>
      </c>
      <c r="D59" s="243" t="str">
        <f ca="1">IF(ROWS($1:46)&gt;COUNT(Dong),"",OFFSET(TH!D$1,SMALL(Dong,ROWS($1:46)),))</f>
        <v/>
      </c>
      <c r="E59" s="244" t="str">
        <f t="shared" ca="1" si="1"/>
        <v/>
      </c>
      <c r="F59" s="244" t="str">
        <f t="shared" ca="1" si="2"/>
        <v/>
      </c>
      <c r="G59" s="245" t="str">
        <f ca="1">IF(ROWS($1:46)&gt;COUNT(Dong),"",OFFSET(TH!F$1,SMALL(Dong,ROWS($1:46)),))</f>
        <v/>
      </c>
      <c r="H59" s="246" t="str">
        <f ca="1">IF(ROWS($1:46)&gt;COUNT(Dong),"",OFFSET(TH!K$1,SMALL(Dong,ROWS($1:46)),))</f>
        <v/>
      </c>
      <c r="I59" s="246" t="str">
        <f ca="1">IF(ROWS($1:46)&gt;COUNT(Dong),"",OFFSET(TH!J$1,SMALL(Dong,ROWS($1:46)),))</f>
        <v/>
      </c>
      <c r="J59" s="250">
        <f t="shared" ca="1" si="3"/>
        <v>0</v>
      </c>
      <c r="K59" s="247"/>
      <c r="L59" s="248"/>
      <c r="M59" s="228"/>
      <c r="N59" s="228"/>
      <c r="O59" s="228"/>
      <c r="P59" s="228"/>
      <c r="Q59" s="228"/>
      <c r="R59" s="228"/>
      <c r="S59" s="228"/>
      <c r="T59" s="228"/>
      <c r="U59" s="228"/>
      <c r="V59" s="228"/>
      <c r="W59" s="228"/>
      <c r="X59" s="228"/>
      <c r="Y59" s="228"/>
      <c r="Z59" s="228"/>
      <c r="AA59" s="228"/>
      <c r="AB59" s="228"/>
      <c r="AC59" s="228"/>
      <c r="AD59" s="228"/>
      <c r="AE59" s="228"/>
      <c r="AF59" s="228"/>
      <c r="AG59" s="228"/>
      <c r="AH59" s="228"/>
      <c r="AI59" s="228"/>
      <c r="AJ59" s="228"/>
      <c r="AK59" s="228"/>
      <c r="AL59" s="228"/>
      <c r="AM59" s="228"/>
      <c r="AN59" s="228"/>
      <c r="AO59" s="228"/>
      <c r="AP59" s="228"/>
      <c r="AQ59" s="228"/>
      <c r="AR59" s="228"/>
      <c r="AS59" s="228"/>
      <c r="AT59" s="228"/>
      <c r="AU59" s="228"/>
      <c r="AV59" s="228"/>
      <c r="AW59" s="228"/>
      <c r="AX59" s="228"/>
      <c r="AY59" s="228"/>
      <c r="AZ59" s="228"/>
      <c r="BA59" s="228"/>
      <c r="BB59" s="228"/>
      <c r="BC59" s="228"/>
      <c r="BD59" s="228"/>
      <c r="BE59" s="228"/>
      <c r="BF59" s="228"/>
      <c r="BG59" s="228"/>
      <c r="BH59" s="228"/>
      <c r="BI59" s="228"/>
      <c r="BJ59" s="228"/>
      <c r="BK59" s="228"/>
      <c r="BL59" s="228"/>
      <c r="BM59" s="228"/>
      <c r="BN59" s="228"/>
      <c r="BO59" s="228"/>
      <c r="BP59" s="228"/>
      <c r="BQ59" s="228"/>
      <c r="BR59" s="228"/>
      <c r="BS59" s="228"/>
      <c r="BT59" s="228"/>
      <c r="BU59" s="228"/>
      <c r="BV59" s="228"/>
      <c r="BW59" s="228"/>
      <c r="BX59" s="228"/>
      <c r="BY59" s="228"/>
      <c r="BZ59" s="228"/>
      <c r="CA59" s="228"/>
      <c r="CB59" s="228"/>
      <c r="CC59" s="228"/>
      <c r="CD59" s="228"/>
      <c r="CE59" s="228"/>
      <c r="CF59" s="228"/>
      <c r="CG59" s="228"/>
    </row>
    <row r="60" spans="1:85" s="249" customFormat="1" ht="21.75" customHeight="1">
      <c r="A60" s="69" t="str">
        <f ca="1">IF(ROWS($1:47)&gt;COUNT(Dong),"",OFFSET(TH!E$1,SMALL(Dong,ROWS($1:47)),))</f>
        <v/>
      </c>
      <c r="B60" s="265" t="str">
        <f ca="1">IF(ROWS($1:47)&gt;COUNT(Dong),"",OFFSET(TH!G$1,SMALL(Dong,ROWS($1:47)),))</f>
        <v/>
      </c>
      <c r="C60" s="243" t="str">
        <f t="shared" ca="1" si="0"/>
        <v/>
      </c>
      <c r="D60" s="243" t="str">
        <f ca="1">IF(ROWS($1:47)&gt;COUNT(Dong),"",OFFSET(TH!D$1,SMALL(Dong,ROWS($1:47)),))</f>
        <v/>
      </c>
      <c r="E60" s="244" t="str">
        <f t="shared" ca="1" si="1"/>
        <v/>
      </c>
      <c r="F60" s="244" t="str">
        <f t="shared" ca="1" si="2"/>
        <v/>
      </c>
      <c r="G60" s="245" t="str">
        <f ca="1">IF(ROWS($1:47)&gt;COUNT(Dong),"",OFFSET(TH!F$1,SMALL(Dong,ROWS($1:47)),))</f>
        <v/>
      </c>
      <c r="H60" s="246" t="str">
        <f ca="1">IF(ROWS($1:47)&gt;COUNT(Dong),"",OFFSET(TH!K$1,SMALL(Dong,ROWS($1:47)),))</f>
        <v/>
      </c>
      <c r="I60" s="246" t="str">
        <f ca="1">IF(ROWS($1:47)&gt;COUNT(Dong),"",OFFSET(TH!J$1,SMALL(Dong,ROWS($1:47)),))</f>
        <v/>
      </c>
      <c r="J60" s="250">
        <f t="shared" ca="1" si="3"/>
        <v>0</v>
      </c>
      <c r="K60" s="247"/>
      <c r="L60" s="248"/>
      <c r="M60" s="228"/>
      <c r="N60" s="228"/>
      <c r="O60" s="228"/>
      <c r="P60" s="228"/>
      <c r="Q60" s="228"/>
      <c r="R60" s="228"/>
      <c r="S60" s="228"/>
      <c r="T60" s="228"/>
      <c r="U60" s="228"/>
      <c r="V60" s="228"/>
      <c r="W60" s="228"/>
      <c r="X60" s="228"/>
      <c r="Y60" s="228"/>
      <c r="Z60" s="228"/>
      <c r="AA60" s="228"/>
      <c r="AB60" s="228"/>
      <c r="AC60" s="228"/>
      <c r="AD60" s="228"/>
      <c r="AE60" s="228"/>
      <c r="AF60" s="228"/>
      <c r="AG60" s="228"/>
      <c r="AH60" s="228"/>
      <c r="AI60" s="228"/>
      <c r="AJ60" s="228"/>
      <c r="AK60" s="228"/>
      <c r="AL60" s="228"/>
      <c r="AM60" s="228"/>
      <c r="AN60" s="228"/>
      <c r="AO60" s="228"/>
      <c r="AP60" s="228"/>
      <c r="AQ60" s="228"/>
      <c r="AR60" s="228"/>
      <c r="AS60" s="228"/>
      <c r="AT60" s="228"/>
      <c r="AU60" s="228"/>
      <c r="AV60" s="228"/>
      <c r="AW60" s="228"/>
      <c r="AX60" s="228"/>
      <c r="AY60" s="228"/>
      <c r="AZ60" s="228"/>
      <c r="BA60" s="228"/>
      <c r="BB60" s="228"/>
      <c r="BC60" s="228"/>
      <c r="BD60" s="228"/>
      <c r="BE60" s="228"/>
      <c r="BF60" s="228"/>
      <c r="BG60" s="228"/>
      <c r="BH60" s="228"/>
      <c r="BI60" s="228"/>
      <c r="BJ60" s="228"/>
      <c r="BK60" s="228"/>
      <c r="BL60" s="228"/>
      <c r="BM60" s="228"/>
      <c r="BN60" s="228"/>
      <c r="BO60" s="228"/>
      <c r="BP60" s="228"/>
      <c r="BQ60" s="228"/>
      <c r="BR60" s="228"/>
      <c r="BS60" s="228"/>
      <c r="BT60" s="228"/>
      <c r="BU60" s="228"/>
      <c r="BV60" s="228"/>
      <c r="BW60" s="228"/>
      <c r="BX60" s="228"/>
      <c r="BY60" s="228"/>
      <c r="BZ60" s="228"/>
      <c r="CA60" s="228"/>
      <c r="CB60" s="228"/>
      <c r="CC60" s="228"/>
      <c r="CD60" s="228"/>
      <c r="CE60" s="228"/>
      <c r="CF60" s="228"/>
      <c r="CG60" s="228"/>
    </row>
    <row r="61" spans="1:85" s="249" customFormat="1" ht="21.75" customHeight="1">
      <c r="A61" s="69" t="str">
        <f ca="1">IF(ROWS($1:48)&gt;COUNT(Dong),"",OFFSET(TH!E$1,SMALL(Dong,ROWS($1:48)),))</f>
        <v/>
      </c>
      <c r="B61" s="265" t="str">
        <f ca="1">IF(ROWS($1:48)&gt;COUNT(Dong),"",OFFSET(TH!G$1,SMALL(Dong,ROWS($1:48)),))</f>
        <v/>
      </c>
      <c r="C61" s="243" t="str">
        <f t="shared" ca="1" si="0"/>
        <v/>
      </c>
      <c r="D61" s="243" t="str">
        <f ca="1">IF(ROWS($1:48)&gt;COUNT(Dong),"",OFFSET(TH!D$1,SMALL(Dong,ROWS($1:48)),))</f>
        <v/>
      </c>
      <c r="E61" s="244" t="str">
        <f t="shared" ca="1" si="1"/>
        <v/>
      </c>
      <c r="F61" s="244" t="str">
        <f t="shared" ca="1" si="2"/>
        <v/>
      </c>
      <c r="G61" s="245" t="str">
        <f ca="1">IF(ROWS($1:48)&gt;COUNT(Dong),"",OFFSET(TH!F$1,SMALL(Dong,ROWS($1:48)),))</f>
        <v/>
      </c>
      <c r="H61" s="246" t="str">
        <f ca="1">IF(ROWS($1:48)&gt;COUNT(Dong),"",OFFSET(TH!K$1,SMALL(Dong,ROWS($1:48)),))</f>
        <v/>
      </c>
      <c r="I61" s="246" t="str">
        <f ca="1">IF(ROWS($1:48)&gt;COUNT(Dong),"",OFFSET(TH!J$1,SMALL(Dong,ROWS($1:48)),))</f>
        <v/>
      </c>
      <c r="J61" s="250">
        <f t="shared" ca="1" si="3"/>
        <v>0</v>
      </c>
      <c r="K61" s="247"/>
      <c r="L61" s="248"/>
      <c r="M61" s="228"/>
      <c r="N61" s="228"/>
      <c r="O61" s="228"/>
      <c r="P61" s="228"/>
      <c r="Q61" s="228"/>
      <c r="R61" s="228"/>
      <c r="S61" s="228"/>
      <c r="T61" s="228"/>
      <c r="U61" s="228"/>
      <c r="V61" s="228"/>
      <c r="W61" s="228"/>
      <c r="X61" s="228"/>
      <c r="Y61" s="228"/>
      <c r="Z61" s="228"/>
      <c r="AA61" s="228"/>
      <c r="AB61" s="228"/>
      <c r="AC61" s="228"/>
      <c r="AD61" s="228"/>
      <c r="AE61" s="228"/>
      <c r="AF61" s="228"/>
      <c r="AG61" s="228"/>
      <c r="AH61" s="228"/>
      <c r="AI61" s="228"/>
      <c r="AJ61" s="228"/>
      <c r="AK61" s="228"/>
      <c r="AL61" s="228"/>
      <c r="AM61" s="228"/>
      <c r="AN61" s="228"/>
      <c r="AO61" s="228"/>
      <c r="AP61" s="228"/>
      <c r="AQ61" s="228"/>
      <c r="AR61" s="228"/>
      <c r="AS61" s="228"/>
      <c r="AT61" s="228"/>
      <c r="AU61" s="228"/>
      <c r="AV61" s="228"/>
      <c r="AW61" s="228"/>
      <c r="AX61" s="228"/>
      <c r="AY61" s="228"/>
      <c r="AZ61" s="228"/>
      <c r="BA61" s="228"/>
      <c r="BB61" s="228"/>
      <c r="BC61" s="228"/>
      <c r="BD61" s="228"/>
      <c r="BE61" s="228"/>
      <c r="BF61" s="228"/>
      <c r="BG61" s="228"/>
      <c r="BH61" s="228"/>
      <c r="BI61" s="228"/>
      <c r="BJ61" s="228"/>
      <c r="BK61" s="228"/>
      <c r="BL61" s="228"/>
      <c r="BM61" s="228"/>
      <c r="BN61" s="228"/>
      <c r="BO61" s="228"/>
      <c r="BP61" s="228"/>
      <c r="BQ61" s="228"/>
      <c r="BR61" s="228"/>
      <c r="BS61" s="228"/>
      <c r="BT61" s="228"/>
      <c r="BU61" s="228"/>
      <c r="BV61" s="228"/>
      <c r="BW61" s="228"/>
      <c r="BX61" s="228"/>
      <c r="BY61" s="228"/>
      <c r="BZ61" s="228"/>
      <c r="CA61" s="228"/>
      <c r="CB61" s="228"/>
      <c r="CC61" s="228"/>
      <c r="CD61" s="228"/>
      <c r="CE61" s="228"/>
      <c r="CF61" s="228"/>
      <c r="CG61" s="228"/>
    </row>
    <row r="62" spans="1:85" ht="24" customHeight="1">
      <c r="A62" s="229" t="s">
        <v>220</v>
      </c>
      <c r="E62" s="251">
        <f ca="1">SUM(J14:J61)</f>
        <v>0</v>
      </c>
      <c r="F62" s="251"/>
      <c r="J62" s="426"/>
      <c r="N62" s="429">
        <f ca="1">SUBTOTAL(9,J14:J61)</f>
        <v>0</v>
      </c>
    </row>
    <row r="63" spans="1:85">
      <c r="E63" s="252"/>
      <c r="F63" s="231"/>
      <c r="J63" s="253" t="str">
        <f xml:space="preserve"> IF(OR($M$11=1,$M$11=4,$M$11=6,$M$11=9,$M$11=11),"Ngày  30  tháng  "&amp;$M$11&amp;"  năm 2016",IF(OR($M$11=3,$M$11=5,$M$11=7,$M$11=8,$M$11=10,$M$11=12),"Ngày  31  tháng  "&amp;$M$11&amp;"  năm 2016","Ngày  29  tháng  "&amp;$M$11&amp;"  năm 2016"))</f>
        <v>Ngày  30  tháng  1  năm 2016</v>
      </c>
      <c r="K63" s="254"/>
    </row>
    <row r="64" spans="1:85">
      <c r="B64" s="255" t="s">
        <v>221</v>
      </c>
      <c r="C64" s="255"/>
      <c r="D64" s="255"/>
      <c r="J64" s="256" t="s">
        <v>222</v>
      </c>
    </row>
    <row r="65" spans="1:11">
      <c r="B65" s="257" t="s">
        <v>223</v>
      </c>
      <c r="C65" s="257"/>
      <c r="D65" s="257"/>
      <c r="F65" s="258"/>
      <c r="J65" s="259" t="s">
        <v>224</v>
      </c>
    </row>
    <row r="66" spans="1:11">
      <c r="B66" s="257"/>
      <c r="C66" s="257"/>
      <c r="D66" s="257"/>
      <c r="F66" s="258"/>
      <c r="I66" s="259"/>
    </row>
    <row r="67" spans="1:11">
      <c r="B67" s="257"/>
      <c r="C67" s="257"/>
      <c r="D67" s="257"/>
      <c r="F67" s="258"/>
      <c r="I67" s="259"/>
    </row>
    <row r="68" spans="1:11">
      <c r="B68" s="252"/>
      <c r="F68" s="252"/>
      <c r="J68" s="40">
        <f ca="1">SUBTOTAL(9,J14:J67)</f>
        <v>0</v>
      </c>
    </row>
    <row r="69" spans="1:11" ht="36.75" customHeight="1">
      <c r="B69" s="260"/>
      <c r="C69" s="260"/>
      <c r="D69" s="260"/>
      <c r="E69" s="261"/>
      <c r="H69" s="538"/>
      <c r="I69" s="538"/>
      <c r="J69" s="538"/>
    </row>
    <row r="71" spans="1:11">
      <c r="A71" s="262" t="s">
        <v>225</v>
      </c>
    </row>
    <row r="72" spans="1:11" ht="33.75" customHeight="1">
      <c r="A72" s="539" t="s">
        <v>226</v>
      </c>
      <c r="B72" s="540"/>
      <c r="C72" s="540"/>
      <c r="D72" s="540"/>
      <c r="E72" s="540"/>
      <c r="F72" s="540"/>
      <c r="G72" s="540"/>
      <c r="H72" s="540"/>
      <c r="I72" s="540"/>
      <c r="J72" s="540"/>
      <c r="K72" s="540"/>
    </row>
    <row r="73" spans="1:11" ht="33.75" customHeight="1">
      <c r="A73" s="539" t="s">
        <v>227</v>
      </c>
      <c r="B73" s="539"/>
      <c r="C73" s="539"/>
      <c r="D73" s="539"/>
      <c r="E73" s="539"/>
      <c r="F73" s="539"/>
      <c r="G73" s="539"/>
      <c r="H73" s="539"/>
      <c r="I73" s="539"/>
      <c r="J73" s="539"/>
      <c r="K73" s="539"/>
    </row>
  </sheetData>
  <autoFilter ref="A13:CH65"/>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289"/>
  <sheetViews>
    <sheetView workbookViewId="0">
      <pane xSplit="3" ySplit="1" topLeftCell="D5" activePane="bottomRight" state="frozen"/>
      <selection activeCell="Q126" sqref="Q126"/>
      <selection pane="topRight" activeCell="Q126" sqref="Q126"/>
      <selection pane="bottomLeft" activeCell="Q126" sqref="Q126"/>
      <selection pane="bottomRight" activeCell="N22" sqref="N22"/>
    </sheetView>
  </sheetViews>
  <sheetFormatPr defaultColWidth="10.28515625" defaultRowHeight="12.75"/>
  <cols>
    <col min="1" max="1" width="4.7109375" style="279" customWidth="1"/>
    <col min="2" max="2" width="23" style="279" customWidth="1"/>
    <col min="3" max="3" width="6.7109375" style="279" customWidth="1"/>
    <col min="4" max="5" width="8.85546875" style="279" customWidth="1"/>
    <col min="6" max="6" width="9.140625" style="279" customWidth="1"/>
    <col min="7" max="7" width="14.28515625" style="279" customWidth="1"/>
    <col min="8" max="11" width="13.7109375" style="279" customWidth="1"/>
    <col min="12" max="12" width="11.85546875" style="279" customWidth="1"/>
    <col min="13" max="13" width="13.7109375" style="279" hidden="1" customWidth="1"/>
    <col min="14" max="14" width="14.5703125" style="279" customWidth="1"/>
    <col min="15" max="15" width="7.28515625" style="279" customWidth="1"/>
    <col min="16" max="16" width="7.7109375" style="279" customWidth="1"/>
    <col min="17" max="17" width="3.42578125" style="280" customWidth="1"/>
    <col min="18" max="18" width="23" style="279" customWidth="1"/>
    <col min="19" max="19" width="10.140625" style="281" customWidth="1"/>
    <col min="20" max="21" width="7.5703125" style="282" customWidth="1"/>
    <col min="22" max="22" width="12.140625" style="279" customWidth="1"/>
    <col min="23" max="23" width="7.7109375" style="279" customWidth="1"/>
    <col min="24" max="16384" width="10.28515625" style="279"/>
  </cols>
  <sheetData>
    <row r="1" spans="1:25">
      <c r="B1" s="279">
        <v>1</v>
      </c>
      <c r="C1" s="279">
        <v>2</v>
      </c>
      <c r="D1" s="279">
        <v>3</v>
      </c>
      <c r="E1" s="279">
        <v>4</v>
      </c>
      <c r="F1" s="279">
        <v>5</v>
      </c>
      <c r="G1" s="279">
        <v>6</v>
      </c>
      <c r="H1" s="279">
        <v>8</v>
      </c>
      <c r="I1" s="279">
        <v>7</v>
      </c>
      <c r="J1" s="279">
        <v>9</v>
      </c>
      <c r="K1" s="279">
        <v>10</v>
      </c>
      <c r="L1" s="279">
        <v>11</v>
      </c>
      <c r="M1" s="279">
        <v>12</v>
      </c>
      <c r="N1" s="279">
        <v>13</v>
      </c>
      <c r="O1" s="279">
        <v>14</v>
      </c>
      <c r="P1" s="279">
        <v>15</v>
      </c>
    </row>
    <row r="2" spans="1:25" ht="18" customHeight="1">
      <c r="A2" s="283" t="s">
        <v>230</v>
      </c>
      <c r="B2" s="283"/>
      <c r="C2" s="284"/>
      <c r="D2" s="285"/>
      <c r="E2" s="285"/>
      <c r="F2" s="285"/>
      <c r="G2" s="282"/>
      <c r="H2" s="282"/>
      <c r="I2" s="282"/>
      <c r="J2" s="282"/>
      <c r="K2" s="282"/>
      <c r="L2" s="286"/>
      <c r="M2" s="282"/>
      <c r="N2" s="282"/>
      <c r="O2" s="287"/>
      <c r="P2" s="282"/>
      <c r="Q2" s="288"/>
      <c r="R2" s="282"/>
      <c r="S2" s="289"/>
    </row>
    <row r="3" spans="1:25" ht="18.75" customHeight="1">
      <c r="A3" s="290" t="s">
        <v>277</v>
      </c>
      <c r="B3" s="290"/>
      <c r="C3" s="290"/>
      <c r="D3" s="290"/>
      <c r="E3" s="290"/>
      <c r="F3" s="290"/>
      <c r="G3" s="290"/>
      <c r="H3" s="290"/>
      <c r="I3" s="290"/>
      <c r="J3" s="290"/>
      <c r="K3" s="290"/>
      <c r="L3" s="290"/>
      <c r="M3" s="290"/>
      <c r="N3" s="290"/>
      <c r="O3" s="290"/>
      <c r="P3" s="290"/>
      <c r="Q3" s="288"/>
      <c r="R3" s="282"/>
      <c r="S3" s="289"/>
    </row>
    <row r="4" spans="1:25" ht="18.75" customHeight="1">
      <c r="A4" s="291"/>
      <c r="B4" s="291"/>
      <c r="C4" s="292"/>
      <c r="D4" s="291"/>
      <c r="E4" s="291"/>
      <c r="F4" s="291"/>
      <c r="G4" s="291"/>
      <c r="H4" s="291"/>
      <c r="I4" s="291"/>
      <c r="J4" s="291"/>
      <c r="K4" s="291"/>
      <c r="L4" s="290"/>
      <c r="M4" s="291"/>
      <c r="N4" s="291"/>
      <c r="O4" s="293"/>
      <c r="P4" s="291"/>
      <c r="Q4" s="288"/>
      <c r="R4" s="282"/>
      <c r="S4" s="289"/>
    </row>
    <row r="5" spans="1:25" ht="12.75" customHeight="1">
      <c r="A5" s="294"/>
      <c r="B5" s="294"/>
      <c r="C5" s="295"/>
      <c r="D5" s="294"/>
      <c r="E5" s="294"/>
      <c r="F5" s="294"/>
      <c r="G5" s="294"/>
      <c r="H5" s="294"/>
      <c r="I5" s="294"/>
      <c r="J5" s="294"/>
      <c r="K5" s="294"/>
      <c r="L5" s="294"/>
      <c r="M5" s="294"/>
      <c r="N5" s="294"/>
      <c r="O5" s="296"/>
      <c r="P5" s="294"/>
      <c r="Q5" s="288"/>
      <c r="R5" s="297"/>
      <c r="S5" s="557"/>
      <c r="T5" s="557"/>
      <c r="U5" s="298"/>
      <c r="V5" s="557"/>
      <c r="W5" s="557"/>
      <c r="X5" s="297"/>
      <c r="Y5" s="297"/>
    </row>
    <row r="6" spans="1:25" s="305" customFormat="1" ht="30.75" customHeight="1">
      <c r="A6" s="299" t="s">
        <v>30</v>
      </c>
      <c r="B6" s="299" t="s">
        <v>231</v>
      </c>
      <c r="C6" s="300" t="s">
        <v>232</v>
      </c>
      <c r="D6" s="301" t="s">
        <v>233</v>
      </c>
      <c r="E6" s="301" t="s">
        <v>242</v>
      </c>
      <c r="F6" s="301" t="s">
        <v>234</v>
      </c>
      <c r="G6" s="301" t="s">
        <v>235</v>
      </c>
      <c r="H6" s="301" t="s">
        <v>237</v>
      </c>
      <c r="I6" s="301" t="s">
        <v>236</v>
      </c>
      <c r="J6" s="301" t="s">
        <v>238</v>
      </c>
      <c r="K6" s="302" t="s">
        <v>351</v>
      </c>
      <c r="L6" s="301" t="s">
        <v>239</v>
      </c>
      <c r="M6" s="302" t="s">
        <v>240</v>
      </c>
      <c r="N6" s="301" t="s">
        <v>241</v>
      </c>
      <c r="O6" s="303" t="s">
        <v>242</v>
      </c>
      <c r="P6" s="301" t="s">
        <v>243</v>
      </c>
      <c r="Q6" s="304"/>
      <c r="R6" s="299" t="s">
        <v>231</v>
      </c>
      <c r="S6" s="301" t="s">
        <v>68</v>
      </c>
      <c r="T6" s="301" t="s">
        <v>53</v>
      </c>
      <c r="U6" s="301" t="s">
        <v>234</v>
      </c>
      <c r="V6" s="301" t="s">
        <v>89</v>
      </c>
      <c r="W6" s="299" t="s">
        <v>89</v>
      </c>
    </row>
    <row r="7" spans="1:25">
      <c r="A7" s="306">
        <f>IF(B7&lt;&gt;"",ROW()-(ROW()-1),"")</f>
        <v>1</v>
      </c>
      <c r="B7" s="37" t="s">
        <v>132</v>
      </c>
      <c r="C7" s="315">
        <v>11</v>
      </c>
      <c r="D7" s="68">
        <f>ROUND(C7*O7,0)</f>
        <v>78100</v>
      </c>
      <c r="E7" s="68"/>
      <c r="F7" s="68">
        <v>16000</v>
      </c>
      <c r="G7" s="308">
        <f>(D7+E7)*F7</f>
        <v>1249600000</v>
      </c>
      <c r="H7" s="68">
        <f>IF($D$11&lt;&gt;0,H$11/($D$11+$E$11/5)*($D7+$E7/5),0)</f>
        <v>0</v>
      </c>
      <c r="I7" s="68">
        <f>IF($D$11&lt;&gt;0,I$11/$D$11*$D7,0)</f>
        <v>8411243.9714285713</v>
      </c>
      <c r="J7" s="68">
        <f t="shared" ref="J7:K9" si="0">IF($D$11&lt;&gt;0,J$11/$D$11*$D7,0)</f>
        <v>0</v>
      </c>
      <c r="K7" s="68">
        <f t="shared" si="0"/>
        <v>19111717.114285715</v>
      </c>
      <c r="L7" s="68">
        <f>V18+V19</f>
        <v>7800000</v>
      </c>
      <c r="M7" s="68"/>
      <c r="N7" s="308">
        <f>G7+I7+H7+J7+L7+K7+M7</f>
        <v>1284922961.0857143</v>
      </c>
      <c r="O7" s="68">
        <v>7100</v>
      </c>
      <c r="P7" s="68">
        <f>IF(O7&lt;&gt;"",N7/O7,"")</f>
        <v>180975.06494164991</v>
      </c>
      <c r="Q7" s="309"/>
      <c r="R7" s="310" t="s">
        <v>39</v>
      </c>
      <c r="S7" s="311">
        <v>42371</v>
      </c>
      <c r="T7" s="312">
        <v>100</v>
      </c>
      <c r="U7" s="313">
        <v>35444.444444444445</v>
      </c>
      <c r="V7" s="308">
        <f>ROUND(T7*U7,0)</f>
        <v>3544444</v>
      </c>
      <c r="W7" s="314"/>
    </row>
    <row r="8" spans="1:25">
      <c r="A8" s="306">
        <f>IF(B8&lt;&gt;"",A7+1,"")</f>
        <v>2</v>
      </c>
      <c r="B8" s="37" t="s">
        <v>308</v>
      </c>
      <c r="C8" s="315">
        <v>8</v>
      </c>
      <c r="D8" s="68">
        <f>ROUND(C8*O8,0)</f>
        <v>38400</v>
      </c>
      <c r="E8" s="68"/>
      <c r="F8" s="68">
        <v>18500</v>
      </c>
      <c r="G8" s="308">
        <f t="shared" ref="G8:G9" si="1">(D8+E8)*F8</f>
        <v>710400000</v>
      </c>
      <c r="H8" s="68">
        <f t="shared" ref="H8:H9" si="2">IF($D$11&lt;&gt;0,H$11/($D$11+$E$11/5)*($D8+$E8/5),0)</f>
        <v>0</v>
      </c>
      <c r="I8" s="68">
        <f t="shared" ref="I8:I9" si="3">IF($D$11&lt;&gt;0,I$11/$D$11*$D8,0)</f>
        <v>4135618.0346076461</v>
      </c>
      <c r="J8" s="68">
        <f t="shared" si="0"/>
        <v>0</v>
      </c>
      <c r="K8" s="68">
        <f t="shared" si="0"/>
        <v>9396798.1714285724</v>
      </c>
      <c r="L8" s="68">
        <f>V20</f>
        <v>11346000</v>
      </c>
      <c r="M8" s="68"/>
      <c r="N8" s="308">
        <f t="shared" ref="N8:N9" si="4">G8+I8+H8+J8+L8+K8+M8</f>
        <v>735278416.20603621</v>
      </c>
      <c r="O8" s="316">
        <v>4800</v>
      </c>
      <c r="P8" s="68">
        <f>IF(O8&lt;&gt;"",N8/O8,"")</f>
        <v>153183.00337625755</v>
      </c>
      <c r="Q8" s="309"/>
      <c r="R8" s="317" t="s">
        <v>47</v>
      </c>
      <c r="S8" s="311">
        <v>42371</v>
      </c>
      <c r="T8" s="312">
        <v>20</v>
      </c>
      <c r="U8" s="318">
        <v>46741.2</v>
      </c>
      <c r="V8" s="308">
        <f t="shared" ref="V8:V15" si="5">ROUND(T8*U8,0)</f>
        <v>934824</v>
      </c>
      <c r="W8" s="319"/>
    </row>
    <row r="9" spans="1:25">
      <c r="A9" s="306">
        <f>IF(B9&lt;&gt;"",A8+1,"")</f>
        <v>3</v>
      </c>
      <c r="B9" s="307" t="s">
        <v>265</v>
      </c>
      <c r="C9" s="315">
        <v>11</v>
      </c>
      <c r="D9" s="68">
        <f>ROUND(C9*O9,0)</f>
        <v>132000</v>
      </c>
      <c r="E9" s="68"/>
      <c r="F9" s="68">
        <v>14500</v>
      </c>
      <c r="G9" s="308">
        <f t="shared" si="1"/>
        <v>1914000000</v>
      </c>
      <c r="H9" s="68">
        <f t="shared" si="2"/>
        <v>0</v>
      </c>
      <c r="I9" s="68">
        <f t="shared" si="3"/>
        <v>14216186.993963784</v>
      </c>
      <c r="J9" s="68">
        <f t="shared" si="0"/>
        <v>0</v>
      </c>
      <c r="K9" s="68">
        <f t="shared" si="0"/>
        <v>32301493.714285716</v>
      </c>
      <c r="L9" s="68">
        <f>V21+V22</f>
        <v>15225000</v>
      </c>
      <c r="M9" s="68"/>
      <c r="N9" s="308">
        <f t="shared" si="4"/>
        <v>1975742680.7082493</v>
      </c>
      <c r="O9" s="316">
        <v>12000</v>
      </c>
      <c r="P9" s="68">
        <f>IF(O9&lt;&gt;"",N9/O9,"")</f>
        <v>164645.22339235412</v>
      </c>
      <c r="Q9" s="309"/>
      <c r="R9" s="317" t="s">
        <v>40</v>
      </c>
      <c r="S9" s="311">
        <v>42371</v>
      </c>
      <c r="T9" s="312">
        <v>150</v>
      </c>
      <c r="U9" s="318">
        <v>11666.673333333334</v>
      </c>
      <c r="V9" s="308">
        <f t="shared" si="5"/>
        <v>1750001</v>
      </c>
      <c r="W9" s="319"/>
    </row>
    <row r="10" spans="1:25" s="329" customFormat="1">
      <c r="A10" s="306" t="str">
        <f>IF(B10&lt;&gt;"",#REF!+1,"")</f>
        <v/>
      </c>
      <c r="B10" s="320"/>
      <c r="C10" s="321"/>
      <c r="D10" s="68"/>
      <c r="E10" s="428"/>
      <c r="F10" s="322"/>
      <c r="G10" s="323"/>
      <c r="H10" s="68"/>
      <c r="I10" s="322"/>
      <c r="J10" s="324"/>
      <c r="K10" s="322"/>
      <c r="L10" s="325"/>
      <c r="M10" s="322"/>
      <c r="N10" s="308"/>
      <c r="O10" s="327"/>
      <c r="P10" s="68" t="str">
        <f>IF(B10&lt;&gt;"",N10/O10,"")</f>
        <v/>
      </c>
      <c r="Q10" s="328"/>
      <c r="R10" s="317" t="s">
        <v>55</v>
      </c>
      <c r="S10" s="311">
        <v>42376</v>
      </c>
      <c r="T10" s="312">
        <v>100</v>
      </c>
      <c r="U10" s="318">
        <v>21979.791919191921</v>
      </c>
      <c r="V10" s="308">
        <f t="shared" si="5"/>
        <v>2197979</v>
      </c>
      <c r="W10" s="319"/>
    </row>
    <row r="11" spans="1:25" s="283" customFormat="1">
      <c r="A11" s="330"/>
      <c r="B11" s="331" t="s">
        <v>244</v>
      </c>
      <c r="C11" s="332"/>
      <c r="D11" s="333">
        <f>SUM(D7:D10)</f>
        <v>248500</v>
      </c>
      <c r="E11" s="333"/>
      <c r="F11" s="333"/>
      <c r="G11" s="333">
        <f>SUM(G7:G10)</f>
        <v>3874000000</v>
      </c>
      <c r="H11" s="334"/>
      <c r="I11" s="334">
        <f>V17</f>
        <v>26763049</v>
      </c>
      <c r="J11" s="334"/>
      <c r="K11" s="334">
        <v>60810009</v>
      </c>
      <c r="L11" s="333">
        <f>ROUND(SUM(L7:L10),0)</f>
        <v>34371000</v>
      </c>
      <c r="M11" s="333">
        <f>ROUND(SUM(M7:M10),0)</f>
        <v>0</v>
      </c>
      <c r="N11" s="333">
        <f>ROUND(SUM(N7:N10),0)</f>
        <v>3995944058</v>
      </c>
      <c r="O11" s="333">
        <f>ROUND(SUM(O7:O10),0)</f>
        <v>23900</v>
      </c>
      <c r="P11" s="333"/>
      <c r="Q11" s="288"/>
      <c r="R11" s="317" t="s">
        <v>41</v>
      </c>
      <c r="S11" s="311"/>
      <c r="T11" s="312"/>
      <c r="U11" s="318">
        <v>3500</v>
      </c>
      <c r="V11" s="308">
        <f t="shared" si="5"/>
        <v>0</v>
      </c>
      <c r="W11" s="319"/>
    </row>
    <row r="12" spans="1:25" s="283" customFormat="1">
      <c r="A12" s="335"/>
      <c r="B12" s="336"/>
      <c r="C12" s="292"/>
      <c r="D12" s="337"/>
      <c r="E12" s="337"/>
      <c r="F12" s="337"/>
      <c r="G12" s="337"/>
      <c r="H12" s="337"/>
      <c r="I12" s="290"/>
      <c r="J12" s="337"/>
      <c r="K12" s="337"/>
      <c r="L12" s="337"/>
      <c r="M12" s="337"/>
      <c r="N12" s="337"/>
      <c r="O12" s="337"/>
      <c r="P12" s="337"/>
      <c r="Q12" s="288"/>
      <c r="R12" s="317" t="s">
        <v>88</v>
      </c>
      <c r="S12" s="311">
        <v>42376</v>
      </c>
      <c r="T12" s="312">
        <v>810</v>
      </c>
      <c r="U12" s="318">
        <v>14899.999259259259</v>
      </c>
      <c r="V12" s="308">
        <f t="shared" si="5"/>
        <v>12068999</v>
      </c>
      <c r="W12" s="319"/>
    </row>
    <row r="13" spans="1:25" s="283" customFormat="1">
      <c r="A13" s="335"/>
      <c r="B13" s="336"/>
      <c r="C13" s="292"/>
      <c r="D13" s="337"/>
      <c r="E13" s="337"/>
      <c r="F13" s="337"/>
      <c r="G13" s="338"/>
      <c r="H13" s="337"/>
      <c r="I13" s="290"/>
      <c r="J13" s="337"/>
      <c r="K13" s="337"/>
      <c r="L13" s="337"/>
      <c r="M13" s="337"/>
      <c r="N13" s="337"/>
      <c r="O13" s="337"/>
      <c r="P13" s="337"/>
      <c r="Q13" s="288"/>
      <c r="R13" s="414" t="s">
        <v>99</v>
      </c>
      <c r="S13" s="311">
        <v>42384</v>
      </c>
      <c r="T13" s="414">
        <v>125</v>
      </c>
      <c r="U13" s="416">
        <v>33950</v>
      </c>
      <c r="V13" s="308">
        <f t="shared" si="5"/>
        <v>4243750</v>
      </c>
      <c r="W13" s="319"/>
    </row>
    <row r="14" spans="1:25" s="283" customFormat="1">
      <c r="A14" s="335"/>
      <c r="B14" s="336"/>
      <c r="C14" s="292"/>
      <c r="D14" s="337"/>
      <c r="E14" s="337"/>
      <c r="F14" s="337"/>
      <c r="G14" s="338"/>
      <c r="H14" s="337"/>
      <c r="I14" s="290"/>
      <c r="J14" s="337"/>
      <c r="K14" s="337"/>
      <c r="L14" s="337"/>
      <c r="M14" s="337"/>
      <c r="N14" s="337"/>
      <c r="O14" s="337"/>
      <c r="P14" s="337"/>
      <c r="Q14" s="288"/>
      <c r="R14" s="317" t="s">
        <v>38</v>
      </c>
      <c r="S14" s="311">
        <v>42384</v>
      </c>
      <c r="T14" s="312">
        <v>200</v>
      </c>
      <c r="U14" s="318">
        <v>8500</v>
      </c>
      <c r="V14" s="308">
        <f t="shared" si="5"/>
        <v>1700000</v>
      </c>
      <c r="W14" s="319"/>
    </row>
    <row r="15" spans="1:25" s="283" customFormat="1">
      <c r="A15" s="335"/>
      <c r="B15" s="336"/>
      <c r="C15" s="292"/>
      <c r="D15" s="337"/>
      <c r="E15" s="337"/>
      <c r="F15" s="337"/>
      <c r="G15" s="338"/>
      <c r="H15" s="337"/>
      <c r="I15" s="290"/>
      <c r="J15" s="337"/>
      <c r="K15" s="337"/>
      <c r="L15" s="337"/>
      <c r="M15" s="337"/>
      <c r="N15" s="337"/>
      <c r="O15" s="337"/>
      <c r="P15" s="337"/>
      <c r="Q15" s="279"/>
      <c r="R15" s="317" t="s">
        <v>51</v>
      </c>
      <c r="S15" s="311">
        <v>42384</v>
      </c>
      <c r="T15" s="339">
        <v>1000</v>
      </c>
      <c r="U15" s="339">
        <v>323.05155766077667</v>
      </c>
      <c r="V15" s="308">
        <f t="shared" si="5"/>
        <v>323052</v>
      </c>
      <c r="W15" s="319"/>
    </row>
    <row r="16" spans="1:25" s="283" customFormat="1">
      <c r="A16" s="335"/>
      <c r="B16" s="336"/>
      <c r="C16" s="292"/>
      <c r="D16" s="337"/>
      <c r="E16" s="337"/>
      <c r="F16" s="337"/>
      <c r="G16" s="338"/>
      <c r="H16" s="337"/>
      <c r="I16" s="290"/>
      <c r="J16" s="337"/>
      <c r="K16" s="337"/>
      <c r="L16" s="337"/>
      <c r="M16" s="337"/>
      <c r="N16" s="337"/>
      <c r="O16" s="337"/>
      <c r="P16" s="337"/>
      <c r="Q16" s="279"/>
      <c r="R16" s="342"/>
      <c r="S16" s="311"/>
      <c r="T16" s="343"/>
      <c r="U16" s="343"/>
      <c r="V16" s="343"/>
      <c r="W16" s="319"/>
    </row>
    <row r="17" spans="1:24" s="283" customFormat="1">
      <c r="A17" s="335"/>
      <c r="B17" s="336"/>
      <c r="C17" s="292"/>
      <c r="D17" s="337"/>
      <c r="E17" s="337"/>
      <c r="F17" s="337"/>
      <c r="G17" s="337"/>
      <c r="H17" s="337"/>
      <c r="I17" s="290"/>
      <c r="J17" s="337"/>
      <c r="K17" s="337"/>
      <c r="L17" s="337"/>
      <c r="M17" s="337"/>
      <c r="N17" s="337"/>
      <c r="O17" s="337"/>
      <c r="P17" s="337"/>
      <c r="Q17" s="279"/>
      <c r="R17" s="558"/>
      <c r="S17" s="558"/>
      <c r="T17" s="558"/>
      <c r="U17" s="344"/>
      <c r="V17" s="345">
        <f>SUM(V7:V16)</f>
        <v>26763049</v>
      </c>
      <c r="W17" s="345">
        <f>SUM(W7:W16)</f>
        <v>0</v>
      </c>
    </row>
    <row r="18" spans="1:24">
      <c r="G18" s="297"/>
      <c r="H18" s="297"/>
      <c r="I18" s="346"/>
      <c r="N18" s="347"/>
      <c r="O18" s="337"/>
      <c r="R18" s="339" t="s">
        <v>299</v>
      </c>
      <c r="S18" s="311">
        <v>42388</v>
      </c>
      <c r="T18" s="312">
        <v>400</v>
      </c>
      <c r="U18" s="312">
        <v>17000</v>
      </c>
      <c r="V18" s="308">
        <f t="shared" ref="V18:V22" si="6">ROUND(T18*U18,0)</f>
        <v>6800000</v>
      </c>
      <c r="W18" s="324"/>
    </row>
    <row r="19" spans="1:24">
      <c r="G19" s="297"/>
      <c r="H19" s="297"/>
      <c r="I19" s="346"/>
      <c r="N19" s="347"/>
      <c r="O19" s="337"/>
      <c r="R19" s="339" t="s">
        <v>300</v>
      </c>
      <c r="S19" s="311">
        <v>42388</v>
      </c>
      <c r="T19" s="312">
        <v>400</v>
      </c>
      <c r="U19" s="318">
        <v>2500</v>
      </c>
      <c r="V19" s="308">
        <f t="shared" si="6"/>
        <v>1000000</v>
      </c>
      <c r="W19" s="324"/>
    </row>
    <row r="20" spans="1:24">
      <c r="G20" s="297"/>
      <c r="H20" s="297"/>
      <c r="I20" s="346"/>
      <c r="N20" s="347"/>
      <c r="O20" s="337"/>
      <c r="R20" s="339" t="s">
        <v>301</v>
      </c>
      <c r="S20" s="311">
        <v>42391</v>
      </c>
      <c r="T20" s="318">
        <v>620</v>
      </c>
      <c r="U20" s="318">
        <v>18300</v>
      </c>
      <c r="V20" s="308">
        <f t="shared" si="6"/>
        <v>11346000</v>
      </c>
      <c r="W20" s="324"/>
    </row>
    <row r="21" spans="1:24">
      <c r="G21" s="297"/>
      <c r="H21" s="297"/>
      <c r="I21" s="346"/>
      <c r="N21" s="347"/>
      <c r="O21" s="337"/>
      <c r="R21" s="317" t="s">
        <v>297</v>
      </c>
      <c r="S21" s="311">
        <v>42398</v>
      </c>
      <c r="T21" s="318">
        <v>1150</v>
      </c>
      <c r="U21" s="318">
        <v>12000</v>
      </c>
      <c r="V21" s="308">
        <f t="shared" si="6"/>
        <v>13800000</v>
      </c>
      <c r="W21" s="324"/>
    </row>
    <row r="22" spans="1:24">
      <c r="G22" s="297"/>
      <c r="H22" s="297"/>
      <c r="I22" s="346"/>
      <c r="N22" s="347"/>
      <c r="O22" s="337"/>
      <c r="R22" s="339" t="s">
        <v>298</v>
      </c>
      <c r="S22" s="311">
        <v>42398</v>
      </c>
      <c r="T22" s="318">
        <v>150</v>
      </c>
      <c r="U22" s="318">
        <v>9500</v>
      </c>
      <c r="V22" s="308">
        <f t="shared" si="6"/>
        <v>1425000</v>
      </c>
      <c r="W22" s="324"/>
    </row>
    <row r="23" spans="1:24" ht="18" customHeight="1">
      <c r="A23" s="283" t="s">
        <v>230</v>
      </c>
      <c r="B23" s="283"/>
      <c r="C23" s="284"/>
      <c r="D23" s="285"/>
      <c r="E23" s="285"/>
      <c r="F23" s="285"/>
      <c r="G23" s="282"/>
      <c r="H23" s="282"/>
      <c r="I23" s="282"/>
      <c r="J23" s="282"/>
      <c r="K23" s="282"/>
      <c r="L23" s="286"/>
      <c r="M23" s="282"/>
      <c r="N23" s="282"/>
      <c r="O23" s="287"/>
      <c r="P23" s="282"/>
      <c r="Q23" s="288"/>
      <c r="R23" s="466"/>
      <c r="S23" s="467"/>
      <c r="T23" s="468"/>
      <c r="U23" s="468"/>
      <c r="V23" s="468"/>
      <c r="W23" s="469"/>
      <c r="X23" s="297"/>
    </row>
    <row r="24" spans="1:24" ht="18.75" customHeight="1">
      <c r="A24" s="290" t="s">
        <v>278</v>
      </c>
      <c r="B24" s="290"/>
      <c r="C24" s="290"/>
      <c r="D24" s="290"/>
      <c r="E24" s="290"/>
      <c r="F24" s="290"/>
      <c r="G24" s="290"/>
      <c r="H24" s="290"/>
      <c r="I24" s="290"/>
      <c r="J24" s="290"/>
      <c r="K24" s="290"/>
      <c r="L24" s="290"/>
      <c r="M24" s="290"/>
      <c r="N24" s="290"/>
      <c r="O24" s="290"/>
      <c r="P24" s="290"/>
      <c r="Q24" s="288"/>
      <c r="R24" s="350"/>
      <c r="S24" s="351"/>
      <c r="T24" s="298"/>
      <c r="U24" s="298"/>
      <c r="V24" s="349"/>
    </row>
    <row r="25" spans="1:24" ht="18.75" customHeight="1">
      <c r="A25" s="291"/>
      <c r="B25" s="291"/>
      <c r="C25" s="292"/>
      <c r="D25" s="291"/>
      <c r="E25" s="291"/>
      <c r="F25" s="291"/>
      <c r="G25" s="291"/>
      <c r="H25" s="291"/>
      <c r="I25" s="291"/>
      <c r="J25" s="291"/>
      <c r="K25" s="291"/>
      <c r="L25" s="290"/>
      <c r="M25" s="291"/>
      <c r="N25" s="291"/>
      <c r="O25" s="293"/>
      <c r="P25" s="291"/>
      <c r="Q25" s="288"/>
      <c r="R25" s="282"/>
      <c r="S25" s="289"/>
    </row>
    <row r="26" spans="1:24" ht="12.75" customHeight="1">
      <c r="A26" s="294"/>
      <c r="B26" s="294"/>
      <c r="C26" s="295"/>
      <c r="D26" s="294"/>
      <c r="E26" s="294"/>
      <c r="F26" s="294"/>
      <c r="G26" s="294"/>
      <c r="H26" s="294"/>
      <c r="I26" s="294"/>
      <c r="J26" s="294"/>
      <c r="K26" s="294"/>
      <c r="L26" s="294"/>
      <c r="M26" s="294"/>
      <c r="N26" s="294"/>
      <c r="O26" s="296"/>
      <c r="P26" s="294"/>
      <c r="Q26" s="288"/>
      <c r="R26" s="282"/>
      <c r="S26" s="289"/>
    </row>
    <row r="27" spans="1:24" s="305" customFormat="1" ht="30.75" customHeight="1">
      <c r="A27" s="299" t="s">
        <v>30</v>
      </c>
      <c r="B27" s="299" t="s">
        <v>231</v>
      </c>
      <c r="C27" s="300" t="s">
        <v>232</v>
      </c>
      <c r="D27" s="301" t="s">
        <v>233</v>
      </c>
      <c r="E27" s="301" t="s">
        <v>242</v>
      </c>
      <c r="F27" s="301" t="s">
        <v>234</v>
      </c>
      <c r="G27" s="301" t="s">
        <v>235</v>
      </c>
      <c r="H27" s="301" t="s">
        <v>237</v>
      </c>
      <c r="I27" s="301" t="s">
        <v>236</v>
      </c>
      <c r="J27" s="301" t="s">
        <v>238</v>
      </c>
      <c r="K27" s="302" t="s">
        <v>351</v>
      </c>
      <c r="L27" s="301" t="s">
        <v>239</v>
      </c>
      <c r="M27" s="302" t="s">
        <v>240</v>
      </c>
      <c r="N27" s="301" t="s">
        <v>241</v>
      </c>
      <c r="O27" s="303" t="s">
        <v>242</v>
      </c>
      <c r="P27" s="301" t="s">
        <v>243</v>
      </c>
      <c r="Q27" s="304"/>
      <c r="R27" s="299" t="s">
        <v>231</v>
      </c>
      <c r="S27" s="301" t="s">
        <v>68</v>
      </c>
      <c r="T27" s="301" t="s">
        <v>53</v>
      </c>
      <c r="U27" s="301" t="s">
        <v>234</v>
      </c>
      <c r="V27" s="301" t="s">
        <v>89</v>
      </c>
      <c r="W27" s="299" t="s">
        <v>89</v>
      </c>
    </row>
    <row r="28" spans="1:24">
      <c r="A28" s="306">
        <f>IF(B28&lt;&gt;"",ROW()-(ROW()-1),"")</f>
        <v>1</v>
      </c>
      <c r="B28" s="307" t="s">
        <v>265</v>
      </c>
      <c r="C28" s="315">
        <v>11</v>
      </c>
      <c r="D28" s="68">
        <f>ROUND(C28*O28,0)</f>
        <v>88000</v>
      </c>
      <c r="E28" s="68"/>
      <c r="F28" s="68">
        <v>13500</v>
      </c>
      <c r="G28" s="308">
        <f>(D28+E28)*F28</f>
        <v>1188000000</v>
      </c>
      <c r="H28" s="68">
        <f>IF($D$31&lt;&gt;0,H$31/($D$31+$E$31/5)*($D28+$E28/5),0)</f>
        <v>0</v>
      </c>
      <c r="I28" s="68">
        <f t="shared" ref="I28:K29" si="7">IF($D$31&lt;&gt;0,I$31/$D$31*$D28,0)</f>
        <v>12786701</v>
      </c>
      <c r="J28" s="68">
        <f t="shared" si="7"/>
        <v>0</v>
      </c>
      <c r="K28" s="68">
        <f t="shared" si="7"/>
        <v>60810009</v>
      </c>
      <c r="L28" s="68">
        <f>V38</f>
        <v>14452156</v>
      </c>
      <c r="M28" s="68"/>
      <c r="N28" s="308">
        <f>SUM(G28:L28)</f>
        <v>1276048866</v>
      </c>
      <c r="O28" s="68">
        <v>8000</v>
      </c>
      <c r="P28" s="68">
        <f>IF(O28&lt;&gt;"",N28/O28,"")</f>
        <v>159506.10824999999</v>
      </c>
      <c r="Q28" s="328"/>
      <c r="R28" s="310" t="s">
        <v>39</v>
      </c>
      <c r="S28" s="311"/>
      <c r="T28" s="312">
        <v>20</v>
      </c>
      <c r="U28" s="313">
        <v>35444.444444444445</v>
      </c>
      <c r="V28" s="308">
        <f t="shared" ref="V28:V35" si="8">ROUND(T28*U28,0)</f>
        <v>708889</v>
      </c>
      <c r="W28" s="314"/>
    </row>
    <row r="29" spans="1:24">
      <c r="A29" s="306" t="str">
        <f>IF(B29&lt;&gt;"",A28+1,"")</f>
        <v/>
      </c>
      <c r="B29" s="317"/>
      <c r="C29" s="315">
        <f>IF(ISNA(VLOOKUP(B29,NXT!$Q$61:$S$81,2,0)),0,VLOOKUP(B29,NXT!$Q$61:$S$81,2,0))</f>
        <v>0</v>
      </c>
      <c r="D29" s="68">
        <f>ROUND(C29*O29,0)</f>
        <v>0</v>
      </c>
      <c r="E29" s="68"/>
      <c r="F29" s="68"/>
      <c r="G29" s="308">
        <f>(D29+E29)*F29</f>
        <v>0</v>
      </c>
      <c r="H29" s="68">
        <f>IF($D$31&lt;&gt;0,H$31/($D$31+$E$31/5)*($D29+$E29/5),0)</f>
        <v>0</v>
      </c>
      <c r="I29" s="68">
        <f t="shared" si="7"/>
        <v>0</v>
      </c>
      <c r="J29" s="68">
        <f t="shared" si="7"/>
        <v>0</v>
      </c>
      <c r="K29" s="68">
        <f t="shared" si="7"/>
        <v>0</v>
      </c>
      <c r="L29" s="68"/>
      <c r="M29" s="68"/>
      <c r="N29" s="308">
        <f>SUM(G29:L29)</f>
        <v>0</v>
      </c>
      <c r="O29" s="316"/>
      <c r="P29" s="68" t="str">
        <f t="shared" ref="P29" si="9">IF(O29&lt;&gt;"",N29/O29,"")</f>
        <v/>
      </c>
      <c r="Q29" s="328"/>
      <c r="R29" s="317" t="s">
        <v>47</v>
      </c>
      <c r="S29" s="311"/>
      <c r="T29" s="312">
        <v>5</v>
      </c>
      <c r="U29" s="312">
        <v>46741.2</v>
      </c>
      <c r="V29" s="308">
        <f t="shared" si="8"/>
        <v>233706</v>
      </c>
      <c r="W29" s="319"/>
    </row>
    <row r="30" spans="1:24" s="329" customFormat="1">
      <c r="A30" s="306" t="str">
        <f>IF(B30&lt;&gt;"",#REF!+1,"")</f>
        <v/>
      </c>
      <c r="B30" s="353"/>
      <c r="C30" s="354"/>
      <c r="D30" s="355"/>
      <c r="E30" s="355"/>
      <c r="F30" s="355"/>
      <c r="G30" s="356"/>
      <c r="H30" s="326"/>
      <c r="I30" s="355"/>
      <c r="J30" s="357"/>
      <c r="K30" s="355"/>
      <c r="L30" s="358"/>
      <c r="M30" s="355"/>
      <c r="N30" s="326"/>
      <c r="O30" s="359"/>
      <c r="P30" s="355"/>
      <c r="Q30" s="328"/>
      <c r="R30" s="317" t="s">
        <v>40</v>
      </c>
      <c r="S30" s="311"/>
      <c r="T30" s="312">
        <v>150</v>
      </c>
      <c r="U30" s="318">
        <v>11666.673333333334</v>
      </c>
      <c r="V30" s="308">
        <f t="shared" si="8"/>
        <v>1750001</v>
      </c>
      <c r="W30" s="319"/>
    </row>
    <row r="31" spans="1:24" s="283" customFormat="1">
      <c r="A31" s="330"/>
      <c r="B31" s="331" t="s">
        <v>244</v>
      </c>
      <c r="C31" s="332"/>
      <c r="D31" s="333">
        <f>SUM(D28:D30)</f>
        <v>88000</v>
      </c>
      <c r="E31" s="333">
        <f>SUM(E28:E30)</f>
        <v>0</v>
      </c>
      <c r="F31" s="333"/>
      <c r="G31" s="333">
        <f>SUM(G28:G30)</f>
        <v>1188000000</v>
      </c>
      <c r="H31" s="334"/>
      <c r="I31" s="334">
        <f>$V$37</f>
        <v>12786701</v>
      </c>
      <c r="J31" s="334"/>
      <c r="K31" s="334">
        <v>60810009</v>
      </c>
      <c r="L31" s="333">
        <f>ROUND(SUM(L28:L30),0)</f>
        <v>14452156</v>
      </c>
      <c r="M31" s="333">
        <f>ROUND(SUM(M28:M30),0)</f>
        <v>0</v>
      </c>
      <c r="N31" s="333">
        <f>ROUND(SUM(N28:N30),0)</f>
        <v>1276048866</v>
      </c>
      <c r="O31" s="333">
        <f>ROUND(SUM(O28:O30),0)</f>
        <v>8000</v>
      </c>
      <c r="P31" s="333"/>
      <c r="Q31" s="288"/>
      <c r="R31" s="317" t="s">
        <v>55</v>
      </c>
      <c r="S31" s="311"/>
      <c r="T31" s="312">
        <v>45</v>
      </c>
      <c r="U31" s="318">
        <v>21979.791919191921</v>
      </c>
      <c r="V31" s="308">
        <f t="shared" si="8"/>
        <v>989091</v>
      </c>
      <c r="W31" s="319"/>
    </row>
    <row r="32" spans="1:24" s="283" customFormat="1">
      <c r="A32" s="335"/>
      <c r="B32" s="336"/>
      <c r="C32" s="292"/>
      <c r="D32" s="337"/>
      <c r="E32" s="337"/>
      <c r="F32" s="337"/>
      <c r="G32" s="337"/>
      <c r="H32" s="337"/>
      <c r="I32" s="290"/>
      <c r="J32" s="337"/>
      <c r="K32" s="337"/>
      <c r="L32" s="337"/>
      <c r="M32" s="337"/>
      <c r="N32" s="337"/>
      <c r="O32" s="337"/>
      <c r="P32" s="337"/>
      <c r="Q32" s="288"/>
      <c r="R32" s="317" t="s">
        <v>41</v>
      </c>
      <c r="S32" s="311"/>
      <c r="T32" s="312"/>
      <c r="U32" s="312">
        <v>3500</v>
      </c>
      <c r="V32" s="308">
        <f t="shared" si="8"/>
        <v>0</v>
      </c>
      <c r="W32" s="340"/>
    </row>
    <row r="33" spans="1:23" s="283" customFormat="1">
      <c r="A33" s="335"/>
      <c r="B33" s="336"/>
      <c r="C33" s="292"/>
      <c r="D33" s="337"/>
      <c r="E33" s="337"/>
      <c r="F33" s="337"/>
      <c r="G33" s="337"/>
      <c r="H33" s="337"/>
      <c r="I33" s="290"/>
      <c r="J33" s="337"/>
      <c r="K33" s="337"/>
      <c r="L33" s="337"/>
      <c r="M33" s="337"/>
      <c r="N33" s="337"/>
      <c r="O33" s="337"/>
      <c r="P33" s="337"/>
      <c r="Q33" s="288"/>
      <c r="R33" s="317" t="s">
        <v>88</v>
      </c>
      <c r="S33" s="311"/>
      <c r="T33" s="312">
        <v>540</v>
      </c>
      <c r="U33" s="312">
        <v>14900</v>
      </c>
      <c r="V33" s="308">
        <f t="shared" si="8"/>
        <v>8046000</v>
      </c>
      <c r="W33" s="340"/>
    </row>
    <row r="34" spans="1:23" s="283" customFormat="1">
      <c r="A34" s="335"/>
      <c r="B34" s="336"/>
      <c r="C34" s="292"/>
      <c r="D34" s="337"/>
      <c r="E34" s="337"/>
      <c r="F34" s="337"/>
      <c r="G34" s="337"/>
      <c r="H34" s="337"/>
      <c r="I34" s="290"/>
      <c r="J34" s="337"/>
      <c r="K34" s="337"/>
      <c r="L34" s="337"/>
      <c r="M34" s="337"/>
      <c r="N34" s="337"/>
      <c r="O34" s="337"/>
      <c r="P34" s="337"/>
      <c r="Q34" s="288"/>
      <c r="R34" s="317" t="s">
        <v>38</v>
      </c>
      <c r="S34" s="311"/>
      <c r="T34" s="312">
        <v>100</v>
      </c>
      <c r="U34" s="312">
        <v>8500</v>
      </c>
      <c r="V34" s="308">
        <f t="shared" si="8"/>
        <v>850000</v>
      </c>
      <c r="W34" s="340"/>
    </row>
    <row r="35" spans="1:23" s="283" customFormat="1">
      <c r="A35" s="335"/>
      <c r="B35" s="336"/>
      <c r="C35" s="292"/>
      <c r="D35" s="337"/>
      <c r="E35" s="337"/>
      <c r="F35" s="337"/>
      <c r="G35" s="337"/>
      <c r="H35" s="337"/>
      <c r="I35" s="290"/>
      <c r="J35" s="337"/>
      <c r="K35" s="337"/>
      <c r="L35" s="337"/>
      <c r="M35" s="337"/>
      <c r="N35" s="337"/>
      <c r="O35" s="337"/>
      <c r="P35" s="337"/>
      <c r="Q35" s="288"/>
      <c r="R35" s="317" t="s">
        <v>51</v>
      </c>
      <c r="S35" s="311"/>
      <c r="T35" s="312">
        <v>647</v>
      </c>
      <c r="U35" s="339">
        <v>323.05155766077667</v>
      </c>
      <c r="V35" s="308">
        <f t="shared" si="8"/>
        <v>209014</v>
      </c>
      <c r="W35" s="340"/>
    </row>
    <row r="36" spans="1:23">
      <c r="R36" s="342"/>
      <c r="S36" s="311"/>
      <c r="T36" s="343"/>
      <c r="U36" s="312"/>
      <c r="V36" s="343"/>
      <c r="W36" s="340"/>
    </row>
    <row r="37" spans="1:23">
      <c r="R37" s="360"/>
      <c r="S37" s="361"/>
      <c r="T37" s="362"/>
      <c r="U37" s="462"/>
      <c r="V37" s="345">
        <f>SUM(V28:V36)</f>
        <v>12786701</v>
      </c>
      <c r="W37" s="345">
        <f>SUM(W28:W36)</f>
        <v>0</v>
      </c>
    </row>
    <row r="38" spans="1:23">
      <c r="R38" s="363" t="s">
        <v>85</v>
      </c>
      <c r="S38" s="311"/>
      <c r="T38" s="312">
        <v>2500</v>
      </c>
      <c r="U38" s="312">
        <v>5780.8622078968574</v>
      </c>
      <c r="V38" s="308">
        <f t="shared" ref="V38:V40" si="10">ROUND(T38*U38,0)</f>
        <v>14452156</v>
      </c>
      <c r="W38" s="314"/>
    </row>
    <row r="39" spans="1:23">
      <c r="R39" s="363"/>
      <c r="S39" s="311"/>
      <c r="T39" s="312"/>
      <c r="U39" s="312"/>
      <c r="V39" s="308">
        <f t="shared" si="10"/>
        <v>0</v>
      </c>
      <c r="W39" s="314"/>
    </row>
    <row r="40" spans="1:23">
      <c r="R40" s="363"/>
      <c r="S40" s="311"/>
      <c r="T40" s="312"/>
      <c r="U40" s="312"/>
      <c r="V40" s="308">
        <f t="shared" si="10"/>
        <v>0</v>
      </c>
      <c r="W40" s="314"/>
    </row>
    <row r="41" spans="1:23" ht="18" customHeight="1">
      <c r="A41" s="283" t="s">
        <v>230</v>
      </c>
      <c r="B41" s="283"/>
      <c r="C41" s="284"/>
      <c r="D41" s="285"/>
      <c r="E41" s="285"/>
      <c r="F41" s="285"/>
      <c r="G41" s="282"/>
      <c r="H41" s="282"/>
      <c r="I41" s="282"/>
      <c r="J41" s="282"/>
      <c r="K41" s="282"/>
      <c r="L41" s="286"/>
      <c r="M41" s="282"/>
      <c r="N41" s="282"/>
      <c r="O41" s="287"/>
      <c r="P41" s="282"/>
      <c r="Q41" s="288"/>
      <c r="R41" s="288"/>
      <c r="S41" s="364"/>
      <c r="T41" s="298"/>
      <c r="U41" s="298"/>
      <c r="V41" s="298"/>
      <c r="W41" s="352"/>
    </row>
    <row r="42" spans="1:23" ht="18.75" customHeight="1">
      <c r="A42" s="290" t="s">
        <v>279</v>
      </c>
      <c r="B42" s="290"/>
      <c r="C42" s="290"/>
      <c r="D42" s="290"/>
      <c r="E42" s="290"/>
      <c r="F42" s="290"/>
      <c r="G42" s="290"/>
      <c r="H42" s="290"/>
      <c r="I42" s="290"/>
      <c r="J42" s="290"/>
      <c r="K42" s="290"/>
      <c r="L42" s="290"/>
      <c r="M42" s="290"/>
      <c r="N42" s="290"/>
      <c r="O42" s="290"/>
      <c r="P42" s="290"/>
      <c r="Q42" s="288"/>
      <c r="R42" s="350"/>
      <c r="S42" s="351"/>
      <c r="T42" s="298"/>
      <c r="U42" s="298"/>
      <c r="V42" s="349"/>
      <c r="W42" s="352"/>
    </row>
    <row r="43" spans="1:23" ht="18.75" customHeight="1">
      <c r="A43" s="291"/>
      <c r="B43" s="291"/>
      <c r="C43" s="292"/>
      <c r="D43" s="291"/>
      <c r="E43" s="291"/>
      <c r="F43" s="291"/>
      <c r="G43" s="291"/>
      <c r="H43" s="291"/>
      <c r="I43" s="291"/>
      <c r="J43" s="291"/>
      <c r="K43" s="291"/>
      <c r="L43" s="290"/>
      <c r="M43" s="291"/>
      <c r="N43" s="291"/>
      <c r="O43" s="293"/>
      <c r="P43" s="291"/>
      <c r="Q43" s="288"/>
      <c r="R43" s="350"/>
      <c r="S43" s="351"/>
      <c r="T43" s="298"/>
      <c r="U43" s="298"/>
      <c r="V43" s="349"/>
      <c r="W43" s="352"/>
    </row>
    <row r="44" spans="1:23" ht="12.75" customHeight="1">
      <c r="A44" s="294"/>
      <c r="B44" s="294"/>
      <c r="C44" s="295"/>
      <c r="D44" s="294"/>
      <c r="E44" s="294"/>
      <c r="F44" s="294"/>
      <c r="G44" s="294"/>
      <c r="H44" s="294"/>
      <c r="I44" s="294"/>
      <c r="J44" s="294"/>
      <c r="K44" s="294"/>
      <c r="L44" s="294"/>
      <c r="M44" s="294"/>
      <c r="N44" s="294"/>
      <c r="O44" s="296"/>
      <c r="P44" s="294"/>
      <c r="Q44" s="288"/>
      <c r="R44" s="350"/>
      <c r="S44" s="351"/>
      <c r="T44" s="298"/>
      <c r="U44" s="298"/>
      <c r="V44" s="349"/>
      <c r="W44" s="297"/>
    </row>
    <row r="45" spans="1:23" s="305" customFormat="1" ht="30.75" customHeight="1">
      <c r="A45" s="299" t="s">
        <v>30</v>
      </c>
      <c r="B45" s="299" t="s">
        <v>231</v>
      </c>
      <c r="C45" s="300" t="s">
        <v>232</v>
      </c>
      <c r="D45" s="301" t="s">
        <v>233</v>
      </c>
      <c r="E45" s="301" t="s">
        <v>242</v>
      </c>
      <c r="F45" s="301" t="s">
        <v>234</v>
      </c>
      <c r="G45" s="301" t="s">
        <v>235</v>
      </c>
      <c r="H45" s="301" t="s">
        <v>237</v>
      </c>
      <c r="I45" s="301" t="s">
        <v>236</v>
      </c>
      <c r="J45" s="301" t="s">
        <v>238</v>
      </c>
      <c r="K45" s="302" t="s">
        <v>351</v>
      </c>
      <c r="L45" s="301" t="s">
        <v>239</v>
      </c>
      <c r="M45" s="302" t="s">
        <v>240</v>
      </c>
      <c r="N45" s="301" t="s">
        <v>241</v>
      </c>
      <c r="O45" s="303" t="s">
        <v>242</v>
      </c>
      <c r="P45" s="301" t="s">
        <v>243</v>
      </c>
      <c r="Q45" s="304"/>
      <c r="R45" s="299" t="s">
        <v>231</v>
      </c>
      <c r="S45" s="301" t="s">
        <v>68</v>
      </c>
      <c r="T45" s="301" t="s">
        <v>53</v>
      </c>
      <c r="U45" s="301" t="s">
        <v>234</v>
      </c>
      <c r="V45" s="301" t="s">
        <v>89</v>
      </c>
      <c r="W45" s="299" t="s">
        <v>89</v>
      </c>
    </row>
    <row r="46" spans="1:23">
      <c r="A46" s="306">
        <f>IF(B46&lt;&gt;"",ROW()-(ROW()-1),"")</f>
        <v>1</v>
      </c>
      <c r="B46" s="307" t="s">
        <v>265</v>
      </c>
      <c r="C46" s="315">
        <v>0</v>
      </c>
      <c r="D46" s="68">
        <f t="shared" ref="D46:D49" si="11">ROUND(C46*O46,0)</f>
        <v>0</v>
      </c>
      <c r="E46" s="68">
        <v>8000</v>
      </c>
      <c r="F46" s="68">
        <f>P28</f>
        <v>159506.10824999999</v>
      </c>
      <c r="G46" s="308">
        <f>(D46+E46)*F46</f>
        <v>1276048866</v>
      </c>
      <c r="H46" s="68">
        <f>IF($D$51&lt;&gt;0,H$51/($D$51+$E$51/5)*($D46+$E46/5),0)</f>
        <v>0</v>
      </c>
      <c r="I46" s="68">
        <f t="shared" ref="I46:K49" si="12">IF($D$51&lt;&gt;0,I$51/$D$51*$D46,0)</f>
        <v>0</v>
      </c>
      <c r="J46" s="68">
        <f t="shared" si="12"/>
        <v>0</v>
      </c>
      <c r="K46" s="68">
        <f t="shared" si="12"/>
        <v>0</v>
      </c>
      <c r="L46" s="68"/>
      <c r="M46" s="68"/>
      <c r="N46" s="308">
        <f>ROUND(SUM(G46:L46),0)</f>
        <v>1276048866</v>
      </c>
      <c r="O46" s="316">
        <v>8000</v>
      </c>
      <c r="P46" s="68">
        <f>IF(O46&lt;&gt;"",N46/O46,"")</f>
        <v>159506.10824999999</v>
      </c>
      <c r="Q46" s="328"/>
      <c r="R46" s="310" t="s">
        <v>39</v>
      </c>
      <c r="S46" s="311"/>
      <c r="T46" s="312"/>
      <c r="U46" s="313"/>
      <c r="V46" s="308">
        <f t="shared" ref="V46:V54" si="13">ROUND(T46*U46,0)</f>
        <v>0</v>
      </c>
      <c r="W46" s="314"/>
    </row>
    <row r="47" spans="1:23">
      <c r="A47" s="306">
        <f t="shared" ref="A47:A49" si="14">IF(B47&lt;&gt;"",A46+1,"")</f>
        <v>2</v>
      </c>
      <c r="B47" s="474" t="s">
        <v>350</v>
      </c>
      <c r="C47" s="315">
        <v>11</v>
      </c>
      <c r="D47" s="68">
        <f t="shared" si="11"/>
        <v>49500</v>
      </c>
      <c r="E47" s="68"/>
      <c r="F47" s="68"/>
      <c r="G47" s="308">
        <f t="shared" ref="G47:G49" si="15">(D47+E47)*F47</f>
        <v>0</v>
      </c>
      <c r="H47" s="68">
        <f>IF($D$51&lt;&gt;0,H$51/($D$51+$E$51/5)*($D47+$E47/5),0)</f>
        <v>0</v>
      </c>
      <c r="I47" s="68">
        <f t="shared" si="12"/>
        <v>0</v>
      </c>
      <c r="J47" s="68">
        <f t="shared" si="12"/>
        <v>0</v>
      </c>
      <c r="K47" s="68">
        <f t="shared" si="12"/>
        <v>0</v>
      </c>
      <c r="L47" s="68"/>
      <c r="M47" s="68"/>
      <c r="N47" s="308">
        <f t="shared" ref="N47:N49" si="16">ROUND(SUM(G47:L47),0)</f>
        <v>0</v>
      </c>
      <c r="O47" s="316">
        <v>4500</v>
      </c>
      <c r="P47" s="68">
        <f t="shared" ref="P47:P49" si="17">IF(O47&lt;&gt;"",N47/O47,"")</f>
        <v>0</v>
      </c>
      <c r="Q47" s="328"/>
      <c r="R47" s="317" t="s">
        <v>47</v>
      </c>
      <c r="S47" s="311"/>
      <c r="T47" s="312"/>
      <c r="U47" s="318"/>
      <c r="V47" s="308">
        <f t="shared" si="13"/>
        <v>0</v>
      </c>
      <c r="W47" s="319"/>
    </row>
    <row r="48" spans="1:23">
      <c r="A48" s="306" t="str">
        <f t="shared" si="14"/>
        <v/>
      </c>
      <c r="B48" s="307"/>
      <c r="C48" s="315">
        <f>IF(ISNA(VLOOKUP(B48,NXT!$Q$61:$S$81,2,0)),0,VLOOKUP(B48,NXT!$Q$61:$S$81,2,0))</f>
        <v>0</v>
      </c>
      <c r="D48" s="68">
        <f t="shared" si="11"/>
        <v>0</v>
      </c>
      <c r="E48" s="68"/>
      <c r="F48" s="68"/>
      <c r="G48" s="308">
        <f t="shared" si="15"/>
        <v>0</v>
      </c>
      <c r="H48" s="68">
        <f>IF($D$51&lt;&gt;0,H$51/($D$51+$E$51/5)*($D48+$E48/5),0)</f>
        <v>0</v>
      </c>
      <c r="I48" s="68">
        <f t="shared" si="12"/>
        <v>0</v>
      </c>
      <c r="J48" s="68">
        <f t="shared" si="12"/>
        <v>0</v>
      </c>
      <c r="K48" s="68">
        <f t="shared" si="12"/>
        <v>0</v>
      </c>
      <c r="L48" s="68"/>
      <c r="M48" s="68"/>
      <c r="N48" s="308">
        <f t="shared" si="16"/>
        <v>0</v>
      </c>
      <c r="O48" s="316"/>
      <c r="P48" s="68" t="str">
        <f t="shared" si="17"/>
        <v/>
      </c>
      <c r="Q48" s="328"/>
      <c r="R48" s="317" t="s">
        <v>40</v>
      </c>
      <c r="S48" s="311"/>
      <c r="T48" s="312"/>
      <c r="U48" s="318"/>
      <c r="V48" s="308">
        <f t="shared" si="13"/>
        <v>0</v>
      </c>
      <c r="W48" s="319"/>
    </row>
    <row r="49" spans="1:23">
      <c r="A49" s="306" t="str">
        <f t="shared" si="14"/>
        <v/>
      </c>
      <c r="B49" s="307"/>
      <c r="C49" s="315">
        <f>IF(ISNA(VLOOKUP(B49,NXT!$Q$61:$S$81,2,0)),0,VLOOKUP(B49,NXT!$Q$61:$S$81,2,0))</f>
        <v>0</v>
      </c>
      <c r="D49" s="68">
        <f t="shared" si="11"/>
        <v>0</v>
      </c>
      <c r="E49" s="68"/>
      <c r="F49" s="68"/>
      <c r="G49" s="308">
        <f t="shared" si="15"/>
        <v>0</v>
      </c>
      <c r="H49" s="68">
        <f>IF($D$51&lt;&gt;0,H$51/($D$51+$E$51/5)*($D49+$E49/5),0)</f>
        <v>0</v>
      </c>
      <c r="I49" s="68">
        <f t="shared" si="12"/>
        <v>0</v>
      </c>
      <c r="J49" s="68">
        <f t="shared" si="12"/>
        <v>0</v>
      </c>
      <c r="K49" s="68">
        <f t="shared" si="12"/>
        <v>0</v>
      </c>
      <c r="L49" s="68"/>
      <c r="M49" s="68"/>
      <c r="N49" s="308">
        <f t="shared" si="16"/>
        <v>0</v>
      </c>
      <c r="O49" s="316"/>
      <c r="P49" s="68" t="str">
        <f t="shared" si="17"/>
        <v/>
      </c>
      <c r="Q49" s="328"/>
      <c r="R49" s="317" t="s">
        <v>55</v>
      </c>
      <c r="S49" s="311"/>
      <c r="T49" s="339"/>
      <c r="U49" s="318"/>
      <c r="V49" s="308">
        <f t="shared" si="13"/>
        <v>0</v>
      </c>
      <c r="W49" s="319"/>
    </row>
    <row r="50" spans="1:23">
      <c r="A50" s="306" t="str">
        <f>IF(B50&lt;&gt;"",#REF!+1,"")</f>
        <v/>
      </c>
      <c r="B50" s="320"/>
      <c r="C50" s="321"/>
      <c r="D50" s="322"/>
      <c r="E50" s="322"/>
      <c r="F50" s="322"/>
      <c r="G50" s="323"/>
      <c r="H50" s="365"/>
      <c r="I50" s="322"/>
      <c r="J50" s="324"/>
      <c r="K50" s="322"/>
      <c r="L50" s="325"/>
      <c r="M50" s="322"/>
      <c r="N50" s="365"/>
      <c r="O50" s="327"/>
      <c r="P50" s="322"/>
      <c r="Q50" s="328"/>
      <c r="R50" s="317" t="s">
        <v>41</v>
      </c>
      <c r="S50" s="311"/>
      <c r="T50" s="339"/>
      <c r="U50" s="339"/>
      <c r="V50" s="308">
        <f t="shared" si="13"/>
        <v>0</v>
      </c>
      <c r="W50" s="319"/>
    </row>
    <row r="51" spans="1:23" s="329" customFormat="1">
      <c r="A51" s="330"/>
      <c r="B51" s="331" t="s">
        <v>244</v>
      </c>
      <c r="C51" s="332"/>
      <c r="D51" s="333">
        <f>SUM(D46:D50)</f>
        <v>49500</v>
      </c>
      <c r="E51" s="333">
        <f>SUM(E46:E50)</f>
        <v>8000</v>
      </c>
      <c r="F51" s="333"/>
      <c r="G51" s="333">
        <f>SUM(G46:G50)</f>
        <v>1276048866</v>
      </c>
      <c r="H51" s="334"/>
      <c r="I51" s="334">
        <f>V56</f>
        <v>0</v>
      </c>
      <c r="J51" s="334"/>
      <c r="K51" s="334"/>
      <c r="L51" s="333">
        <f>ROUND(SUM(L46:L50),0)</f>
        <v>0</v>
      </c>
      <c r="M51" s="333">
        <f>ROUND(SUM(M46:M50),0)</f>
        <v>0</v>
      </c>
      <c r="N51" s="333">
        <f>ROUND(SUM(N46:N50),0)</f>
        <v>1276048866</v>
      </c>
      <c r="O51" s="333">
        <f>ROUND(SUM(O46:O50),0)</f>
        <v>12500</v>
      </c>
      <c r="P51" s="333"/>
      <c r="Q51" s="328"/>
      <c r="R51" s="317" t="s">
        <v>88</v>
      </c>
      <c r="S51" s="311"/>
      <c r="T51" s="339"/>
      <c r="U51" s="318"/>
      <c r="V51" s="308">
        <f t="shared" si="13"/>
        <v>0</v>
      </c>
      <c r="W51" s="319"/>
    </row>
    <row r="52" spans="1:23" s="283" customFormat="1">
      <c r="A52" s="335"/>
      <c r="B52" s="336"/>
      <c r="C52" s="292"/>
      <c r="D52" s="337"/>
      <c r="E52" s="337"/>
      <c r="F52" s="337"/>
      <c r="G52" s="337"/>
      <c r="H52" s="290"/>
      <c r="I52" s="290"/>
      <c r="J52" s="290"/>
      <c r="K52" s="290"/>
      <c r="L52" s="290"/>
      <c r="M52" s="337"/>
      <c r="N52" s="337"/>
      <c r="O52" s="337"/>
      <c r="P52" s="337"/>
      <c r="Q52" s="288"/>
      <c r="R52" s="414" t="s">
        <v>99</v>
      </c>
      <c r="S52" s="348"/>
      <c r="T52" s="339"/>
      <c r="U52" s="318"/>
      <c r="V52" s="308">
        <f t="shared" si="13"/>
        <v>0</v>
      </c>
      <c r="W52" s="319"/>
    </row>
    <row r="53" spans="1:23" s="283" customFormat="1">
      <c r="A53" s="335"/>
      <c r="B53" s="336"/>
      <c r="C53" s="292"/>
      <c r="D53" s="337"/>
      <c r="E53" s="337"/>
      <c r="F53" s="337"/>
      <c r="G53" s="337"/>
      <c r="H53" s="290"/>
      <c r="I53" s="290"/>
      <c r="J53" s="290"/>
      <c r="K53" s="290"/>
      <c r="L53" s="290"/>
      <c r="M53" s="337"/>
      <c r="N53" s="337"/>
      <c r="O53" s="337"/>
      <c r="P53" s="337"/>
      <c r="Q53" s="288"/>
      <c r="R53" s="317" t="s">
        <v>38</v>
      </c>
      <c r="S53" s="311"/>
      <c r="T53" s="339"/>
      <c r="U53" s="318"/>
      <c r="V53" s="308">
        <f t="shared" si="13"/>
        <v>0</v>
      </c>
      <c r="W53" s="319"/>
    </row>
    <row r="54" spans="1:23" s="283" customFormat="1">
      <c r="A54" s="335"/>
      <c r="B54" s="336"/>
      <c r="C54" s="292"/>
      <c r="D54" s="337"/>
      <c r="E54" s="337"/>
      <c r="F54" s="337"/>
      <c r="G54" s="337"/>
      <c r="H54" s="290"/>
      <c r="I54" s="290"/>
      <c r="J54" s="290"/>
      <c r="K54" s="290"/>
      <c r="L54" s="290"/>
      <c r="M54" s="337"/>
      <c r="N54" s="337"/>
      <c r="O54" s="337"/>
      <c r="P54" s="337"/>
      <c r="Q54" s="288"/>
      <c r="R54" s="317" t="s">
        <v>51</v>
      </c>
      <c r="S54" s="311"/>
      <c r="T54" s="339"/>
      <c r="U54" s="318"/>
      <c r="V54" s="308">
        <f t="shared" si="13"/>
        <v>0</v>
      </c>
      <c r="W54" s="319"/>
    </row>
    <row r="55" spans="1:23" s="283" customFormat="1">
      <c r="A55" s="335"/>
      <c r="B55" s="336"/>
      <c r="C55" s="292"/>
      <c r="D55" s="337"/>
      <c r="E55" s="337"/>
      <c r="F55" s="337"/>
      <c r="G55" s="337"/>
      <c r="H55" s="337"/>
      <c r="I55" s="290"/>
      <c r="J55" s="337"/>
      <c r="K55" s="337"/>
      <c r="L55" s="337"/>
      <c r="M55" s="337"/>
      <c r="N55" s="337"/>
      <c r="O55" s="337"/>
      <c r="P55" s="337"/>
      <c r="Q55" s="288"/>
      <c r="R55" s="366"/>
      <c r="S55" s="367"/>
      <c r="T55" s="368"/>
      <c r="U55" s="368"/>
      <c r="V55" s="368"/>
      <c r="W55" s="369"/>
    </row>
    <row r="56" spans="1:23" s="283" customFormat="1">
      <c r="A56" s="335"/>
      <c r="B56" s="336"/>
      <c r="C56" s="292"/>
      <c r="D56" s="337"/>
      <c r="E56" s="337"/>
      <c r="F56" s="337"/>
      <c r="G56" s="337"/>
      <c r="H56" s="337"/>
      <c r="I56" s="290"/>
      <c r="J56" s="337"/>
      <c r="K56" s="337"/>
      <c r="L56" s="337"/>
      <c r="M56" s="337"/>
      <c r="N56" s="337"/>
      <c r="O56" s="337"/>
      <c r="P56" s="337"/>
      <c r="Q56" s="288"/>
      <c r="R56" s="360"/>
      <c r="S56" s="361"/>
      <c r="T56" s="362"/>
      <c r="U56" s="344"/>
      <c r="V56" s="345">
        <f>SUM(V46:V55)</f>
        <v>0</v>
      </c>
      <c r="W56" s="345">
        <f>SUM(W46:W52)</f>
        <v>0</v>
      </c>
    </row>
    <row r="57" spans="1:23" s="283" customFormat="1">
      <c r="A57" s="335"/>
      <c r="B57" s="336"/>
      <c r="C57" s="292"/>
      <c r="D57" s="337"/>
      <c r="E57" s="337"/>
      <c r="F57" s="337"/>
      <c r="G57" s="338"/>
      <c r="H57" s="337"/>
      <c r="I57" s="290"/>
      <c r="J57" s="337"/>
      <c r="K57" s="337"/>
      <c r="L57" s="337"/>
      <c r="M57" s="337"/>
      <c r="N57" s="370"/>
      <c r="O57" s="337"/>
      <c r="P57" s="337"/>
      <c r="Q57" s="288"/>
      <c r="R57" s="363"/>
      <c r="S57" s="311"/>
      <c r="T57" s="312"/>
      <c r="U57" s="312"/>
      <c r="V57" s="308">
        <f t="shared" ref="V57:V62" si="18">ROUND(T57*U57,0)</f>
        <v>0</v>
      </c>
      <c r="W57" s="308"/>
    </row>
    <row r="58" spans="1:23" s="283" customFormat="1">
      <c r="A58" s="335"/>
      <c r="B58" s="336"/>
      <c r="C58" s="292"/>
      <c r="D58" s="337"/>
      <c r="E58" s="337"/>
      <c r="F58" s="337"/>
      <c r="G58" s="337"/>
      <c r="H58" s="337"/>
      <c r="I58" s="290"/>
      <c r="J58" s="337"/>
      <c r="K58" s="337"/>
      <c r="L58" s="337"/>
      <c r="M58" s="337"/>
      <c r="N58" s="337"/>
      <c r="O58" s="337"/>
      <c r="P58" s="337"/>
      <c r="Q58" s="288"/>
      <c r="R58" s="363"/>
      <c r="S58" s="311"/>
      <c r="T58" s="318"/>
      <c r="U58" s="318"/>
      <c r="V58" s="308">
        <f t="shared" si="18"/>
        <v>0</v>
      </c>
      <c r="W58" s="324"/>
    </row>
    <row r="59" spans="1:23" s="283" customFormat="1">
      <c r="A59" s="335"/>
      <c r="B59" s="336"/>
      <c r="C59" s="292"/>
      <c r="D59" s="337"/>
      <c r="E59" s="337"/>
      <c r="F59" s="337"/>
      <c r="G59" s="337"/>
      <c r="H59" s="337"/>
      <c r="I59" s="290"/>
      <c r="J59" s="337"/>
      <c r="K59" s="337"/>
      <c r="L59" s="337"/>
      <c r="M59" s="337"/>
      <c r="N59" s="337"/>
      <c r="O59" s="337"/>
      <c r="P59" s="337"/>
      <c r="Q59" s="288"/>
      <c r="R59" s="363"/>
      <c r="S59" s="311"/>
      <c r="T59" s="318"/>
      <c r="U59" s="318"/>
      <c r="V59" s="308">
        <f t="shared" si="18"/>
        <v>0</v>
      </c>
      <c r="W59" s="324"/>
    </row>
    <row r="60" spans="1:23" s="283" customFormat="1">
      <c r="A60" s="279"/>
      <c r="B60" s="279"/>
      <c r="C60" s="279"/>
      <c r="D60" s="279"/>
      <c r="E60" s="279"/>
      <c r="F60" s="279"/>
      <c r="G60" s="279"/>
      <c r="H60" s="279"/>
      <c r="I60" s="279"/>
      <c r="J60" s="279"/>
      <c r="K60" s="279"/>
      <c r="L60" s="279"/>
      <c r="M60" s="279"/>
      <c r="N60" s="279"/>
      <c r="O60" s="279"/>
      <c r="P60" s="279"/>
      <c r="Q60" s="288"/>
      <c r="R60" s="363"/>
      <c r="S60" s="311"/>
      <c r="T60" s="318"/>
      <c r="U60" s="318"/>
      <c r="V60" s="308">
        <f t="shared" si="18"/>
        <v>0</v>
      </c>
      <c r="W60" s="324"/>
    </row>
    <row r="61" spans="1:23">
      <c r="R61" s="363"/>
      <c r="S61" s="311"/>
      <c r="T61" s="318"/>
      <c r="U61" s="318"/>
      <c r="V61" s="308">
        <f t="shared" si="18"/>
        <v>0</v>
      </c>
      <c r="W61" s="324"/>
    </row>
    <row r="62" spans="1:23">
      <c r="R62" s="363"/>
      <c r="S62" s="311"/>
      <c r="T62" s="312"/>
      <c r="U62" s="312"/>
      <c r="V62" s="308">
        <f t="shared" si="18"/>
        <v>0</v>
      </c>
      <c r="W62" s="324"/>
    </row>
    <row r="63" spans="1:23" ht="18" customHeight="1">
      <c r="A63" s="283" t="s">
        <v>230</v>
      </c>
      <c r="B63" s="283"/>
      <c r="C63" s="284"/>
      <c r="D63" s="285"/>
      <c r="E63" s="285"/>
      <c r="F63" s="285"/>
      <c r="G63" s="282"/>
      <c r="H63" s="282"/>
      <c r="I63" s="282"/>
      <c r="J63" s="282"/>
      <c r="K63" s="282"/>
      <c r="L63" s="286"/>
      <c r="M63" s="282"/>
      <c r="N63" s="282"/>
      <c r="O63" s="287"/>
      <c r="P63" s="282"/>
      <c r="Q63" s="288"/>
      <c r="R63" s="282"/>
      <c r="S63" s="289"/>
    </row>
    <row r="64" spans="1:23" ht="18.75" customHeight="1">
      <c r="A64" s="290" t="s">
        <v>280</v>
      </c>
      <c r="B64" s="290"/>
      <c r="C64" s="290"/>
      <c r="D64" s="290"/>
      <c r="E64" s="290"/>
      <c r="F64" s="290"/>
      <c r="G64" s="290"/>
      <c r="H64" s="290"/>
      <c r="I64" s="290"/>
      <c r="J64" s="290"/>
      <c r="K64" s="290"/>
      <c r="L64" s="290"/>
      <c r="M64" s="290"/>
      <c r="N64" s="290"/>
      <c r="O64" s="290"/>
      <c r="P64" s="290"/>
      <c r="Q64" s="288"/>
      <c r="R64" s="282"/>
      <c r="S64" s="289"/>
    </row>
    <row r="65" spans="1:23" ht="18.75" customHeight="1">
      <c r="A65" s="291"/>
      <c r="B65" s="291"/>
      <c r="C65" s="292"/>
      <c r="D65" s="291"/>
      <c r="E65" s="291"/>
      <c r="F65" s="291"/>
      <c r="G65" s="291"/>
      <c r="H65" s="291"/>
      <c r="I65" s="291"/>
      <c r="J65" s="291"/>
      <c r="K65" s="291"/>
      <c r="L65" s="290"/>
      <c r="M65" s="291"/>
      <c r="N65" s="291"/>
      <c r="O65" s="293"/>
      <c r="P65" s="291"/>
      <c r="Q65" s="288"/>
      <c r="R65" s="282"/>
      <c r="S65" s="289"/>
    </row>
    <row r="66" spans="1:23" ht="12.75" customHeight="1">
      <c r="A66" s="294"/>
      <c r="B66" s="294"/>
      <c r="C66" s="295"/>
      <c r="D66" s="294"/>
      <c r="E66" s="294"/>
      <c r="F66" s="294"/>
      <c r="G66" s="294"/>
      <c r="H66" s="294"/>
      <c r="I66" s="294"/>
      <c r="J66" s="294"/>
      <c r="K66" s="294"/>
      <c r="L66" s="294"/>
      <c r="M66" s="294"/>
      <c r="N66" s="294"/>
      <c r="O66" s="296"/>
      <c r="P66" s="294"/>
      <c r="Q66" s="288"/>
      <c r="R66" s="282"/>
      <c r="S66" s="289"/>
    </row>
    <row r="67" spans="1:23" s="305" customFormat="1" ht="30.75" customHeight="1">
      <c r="A67" s="299" t="s">
        <v>30</v>
      </c>
      <c r="B67" s="299" t="s">
        <v>231</v>
      </c>
      <c r="C67" s="300" t="s">
        <v>232</v>
      </c>
      <c r="D67" s="301" t="s">
        <v>233</v>
      </c>
      <c r="E67" s="301" t="s">
        <v>242</v>
      </c>
      <c r="F67" s="301" t="s">
        <v>234</v>
      </c>
      <c r="G67" s="301" t="s">
        <v>235</v>
      </c>
      <c r="H67" s="301" t="s">
        <v>237</v>
      </c>
      <c r="I67" s="301" t="s">
        <v>236</v>
      </c>
      <c r="J67" s="301" t="s">
        <v>238</v>
      </c>
      <c r="K67" s="302" t="s">
        <v>351</v>
      </c>
      <c r="L67" s="301" t="s">
        <v>239</v>
      </c>
      <c r="M67" s="302" t="s">
        <v>240</v>
      </c>
      <c r="N67" s="301" t="s">
        <v>241</v>
      </c>
      <c r="O67" s="303" t="s">
        <v>242</v>
      </c>
      <c r="P67" s="301" t="s">
        <v>243</v>
      </c>
      <c r="Q67" s="304"/>
      <c r="R67" s="299" t="s">
        <v>231</v>
      </c>
      <c r="S67" s="301" t="s">
        <v>68</v>
      </c>
      <c r="T67" s="301" t="s">
        <v>53</v>
      </c>
      <c r="U67" s="301" t="s">
        <v>234</v>
      </c>
      <c r="V67" s="301" t="s">
        <v>89</v>
      </c>
      <c r="W67" s="299" t="s">
        <v>89</v>
      </c>
    </row>
    <row r="68" spans="1:23">
      <c r="A68" s="410" t="str">
        <f>IF(B68&lt;&gt;"",ROW()-(ROW()-1),"")</f>
        <v/>
      </c>
      <c r="B68" s="411"/>
      <c r="C68" s="315">
        <f>IF(ISNA(VLOOKUP(B68,NXT!$Q$61:$S$81,2,0)),0,VLOOKUP(B68,NXT!$Q$61:$S$81,2,0))</f>
        <v>0</v>
      </c>
      <c r="D68" s="68">
        <f>ROUND(C68*O68,0)</f>
        <v>0</v>
      </c>
      <c r="E68" s="68"/>
      <c r="F68" s="68"/>
      <c r="G68" s="308">
        <f>(D68+E68)*F68</f>
        <v>0</v>
      </c>
      <c r="H68" s="68">
        <f>IF($D$71&lt;&gt;0,H$71/($D$71+$E$71/5)*($D68+$E68/5),0)</f>
        <v>0</v>
      </c>
      <c r="I68" s="68">
        <f t="shared" ref="I68:K69" si="19">IF($D$71&lt;&gt;0,I$71/$D$71*$D68,0)</f>
        <v>0</v>
      </c>
      <c r="J68" s="68">
        <f t="shared" si="19"/>
        <v>0</v>
      </c>
      <c r="K68" s="68">
        <f t="shared" si="19"/>
        <v>0</v>
      </c>
      <c r="L68" s="308"/>
      <c r="M68" s="68" t="e">
        <f>34560000/($O$68+#REF!+#REF!)*O68</f>
        <v>#REF!</v>
      </c>
      <c r="N68" s="308">
        <f>ROUND(SUM(G68:L68),0)</f>
        <v>0</v>
      </c>
      <c r="O68" s="68"/>
      <c r="P68" s="68">
        <f t="shared" ref="P68:P69" si="20">IF(N68&lt;&gt;0,N68/O68,0)</f>
        <v>0</v>
      </c>
      <c r="Q68" s="328"/>
      <c r="R68" s="310"/>
      <c r="S68" s="371"/>
      <c r="T68" s="312"/>
      <c r="U68" s="313"/>
      <c r="V68" s="308">
        <f t="shared" ref="V68:V78" si="21">ROUND(T68*U68,0)</f>
        <v>0</v>
      </c>
      <c r="W68" s="308"/>
    </row>
    <row r="69" spans="1:23">
      <c r="A69" s="412" t="str">
        <f t="shared" ref="A69" si="22">IF(B69&lt;&gt;"",A68+1,"")</f>
        <v/>
      </c>
      <c r="B69" s="37"/>
      <c r="C69" s="315">
        <f>IF(ISNA(VLOOKUP(B69,NXT!$Q$61:$S$81,2,0)),0,VLOOKUP(B69,NXT!$Q$61:$S$81,2,0))</f>
        <v>0</v>
      </c>
      <c r="D69" s="68">
        <f>ROUND(C69*O69,0)</f>
        <v>0</v>
      </c>
      <c r="E69" s="68"/>
      <c r="F69" s="68"/>
      <c r="G69" s="308">
        <f>(D69+E69)*F69</f>
        <v>0</v>
      </c>
      <c r="H69" s="68">
        <f>IF($D$71&lt;&gt;0,H$71/($D$71+$E$71/5)*($D69+$E69/5),0)</f>
        <v>0</v>
      </c>
      <c r="I69" s="68">
        <f t="shared" si="19"/>
        <v>0</v>
      </c>
      <c r="J69" s="68">
        <f t="shared" si="19"/>
        <v>0</v>
      </c>
      <c r="K69" s="68">
        <f t="shared" si="19"/>
        <v>0</v>
      </c>
      <c r="L69" s="308"/>
      <c r="M69" s="68"/>
      <c r="N69" s="308">
        <f>ROUND(SUM(G69:L69),0)</f>
        <v>0</v>
      </c>
      <c r="O69" s="316"/>
      <c r="P69" s="68">
        <f t="shared" si="20"/>
        <v>0</v>
      </c>
      <c r="Q69" s="328"/>
      <c r="R69" s="317"/>
      <c r="S69" s="371"/>
      <c r="T69" s="312"/>
      <c r="U69" s="318"/>
      <c r="V69" s="308">
        <f t="shared" si="21"/>
        <v>0</v>
      </c>
      <c r="W69" s="324"/>
    </row>
    <row r="70" spans="1:23">
      <c r="A70" s="306" t="str">
        <f>IF(B70&lt;&gt;"",#REF!+1,"")</f>
        <v/>
      </c>
      <c r="B70" s="320"/>
      <c r="C70" s="321"/>
      <c r="D70" s="322"/>
      <c r="E70" s="322"/>
      <c r="F70" s="322"/>
      <c r="G70" s="323"/>
      <c r="H70" s="365"/>
      <c r="I70" s="322"/>
      <c r="J70" s="324"/>
      <c r="K70" s="322"/>
      <c r="L70" s="325"/>
      <c r="M70" s="322"/>
      <c r="N70" s="326"/>
      <c r="O70" s="327"/>
      <c r="P70" s="322"/>
      <c r="Q70" s="328"/>
      <c r="R70" s="317"/>
      <c r="S70" s="371"/>
      <c r="T70" s="312"/>
      <c r="U70" s="318"/>
      <c r="V70" s="308">
        <f t="shared" si="21"/>
        <v>0</v>
      </c>
      <c r="W70" s="324"/>
    </row>
    <row r="71" spans="1:23" s="329" customFormat="1">
      <c r="A71" s="330"/>
      <c r="B71" s="331" t="s">
        <v>244</v>
      </c>
      <c r="C71" s="332"/>
      <c r="D71" s="333">
        <f>SUM(D68:D69)</f>
        <v>0</v>
      </c>
      <c r="E71" s="333"/>
      <c r="F71" s="333"/>
      <c r="G71" s="333">
        <f>SUM(G68:G69)</f>
        <v>0</v>
      </c>
      <c r="H71" s="334"/>
      <c r="I71" s="334">
        <f>V80</f>
        <v>0</v>
      </c>
      <c r="J71" s="334"/>
      <c r="K71" s="334"/>
      <c r="L71" s="333">
        <f>ROUND(SUM(L68:L70),0)</f>
        <v>0</v>
      </c>
      <c r="M71" s="333" t="e">
        <f>ROUND(SUM(M68:M70),0)</f>
        <v>#REF!</v>
      </c>
      <c r="N71" s="333">
        <f>ROUND(SUM(N68:N70),0)</f>
        <v>0</v>
      </c>
      <c r="O71" s="333">
        <f>ROUND(SUM(O68:O70),0)</f>
        <v>0</v>
      </c>
      <c r="P71" s="333"/>
      <c r="Q71" s="328"/>
      <c r="R71" s="317"/>
      <c r="S71" s="371"/>
      <c r="T71" s="339"/>
      <c r="U71" s="318"/>
      <c r="V71" s="308">
        <f t="shared" si="21"/>
        <v>0</v>
      </c>
      <c r="W71" s="324"/>
    </row>
    <row r="72" spans="1:23" s="283" customFormat="1">
      <c r="A72" s="279"/>
      <c r="B72" s="279"/>
      <c r="C72" s="279"/>
      <c r="D72" s="279"/>
      <c r="E72" s="279"/>
      <c r="F72" s="279"/>
      <c r="G72" s="279"/>
      <c r="H72" s="279"/>
      <c r="I72" s="279"/>
      <c r="J72" s="279"/>
      <c r="K72" s="279"/>
      <c r="L72" s="279"/>
      <c r="M72" s="279"/>
      <c r="N72" s="279"/>
      <c r="O72" s="279"/>
      <c r="P72" s="279"/>
      <c r="Q72" s="328"/>
      <c r="R72" s="317"/>
      <c r="S72" s="371"/>
      <c r="T72" s="312"/>
      <c r="U72" s="318"/>
      <c r="V72" s="308">
        <f t="shared" si="21"/>
        <v>0</v>
      </c>
      <c r="W72" s="324"/>
    </row>
    <row r="73" spans="1:23">
      <c r="Q73" s="328"/>
      <c r="R73" s="317"/>
      <c r="S73" s="371"/>
      <c r="T73" s="312"/>
      <c r="U73" s="318"/>
      <c r="V73" s="308">
        <f t="shared" si="21"/>
        <v>0</v>
      </c>
      <c r="W73" s="324"/>
    </row>
    <row r="74" spans="1:23">
      <c r="Q74" s="328"/>
      <c r="R74" s="317"/>
      <c r="S74" s="371"/>
      <c r="T74" s="312"/>
      <c r="U74" s="318"/>
      <c r="V74" s="308">
        <f t="shared" si="21"/>
        <v>0</v>
      </c>
      <c r="W74" s="324"/>
    </row>
    <row r="75" spans="1:23">
      <c r="Q75" s="328"/>
      <c r="R75" s="317"/>
      <c r="S75" s="371"/>
      <c r="T75" s="339"/>
      <c r="U75" s="339"/>
      <c r="V75" s="308">
        <f t="shared" si="21"/>
        <v>0</v>
      </c>
      <c r="W75" s="324"/>
    </row>
    <row r="76" spans="1:23">
      <c r="Q76" s="328"/>
      <c r="R76" s="317"/>
      <c r="S76" s="372"/>
      <c r="T76" s="339"/>
      <c r="U76" s="318"/>
      <c r="V76" s="308">
        <f t="shared" si="21"/>
        <v>0</v>
      </c>
      <c r="W76" s="324"/>
    </row>
    <row r="77" spans="1:23">
      <c r="Q77" s="328"/>
      <c r="R77" s="341"/>
      <c r="S77" s="372"/>
      <c r="T77" s="339"/>
      <c r="U77" s="318"/>
      <c r="V77" s="308">
        <f t="shared" si="21"/>
        <v>0</v>
      </c>
      <c r="W77" s="324"/>
    </row>
    <row r="78" spans="1:23">
      <c r="Q78" s="328"/>
      <c r="R78" s="317"/>
      <c r="S78" s="372"/>
      <c r="T78" s="339"/>
      <c r="U78" s="318"/>
      <c r="V78" s="308">
        <f t="shared" si="21"/>
        <v>0</v>
      </c>
      <c r="W78" s="324"/>
    </row>
    <row r="79" spans="1:23">
      <c r="Q79" s="328"/>
      <c r="R79" s="373"/>
      <c r="S79" s="311"/>
      <c r="T79" s="312"/>
      <c r="U79" s="312"/>
      <c r="V79" s="324"/>
      <c r="W79" s="324"/>
    </row>
    <row r="80" spans="1:23">
      <c r="R80" s="360"/>
      <c r="S80" s="361"/>
      <c r="T80" s="362"/>
      <c r="U80" s="374"/>
      <c r="V80" s="345">
        <f>SUM(V68:V79)</f>
        <v>0</v>
      </c>
      <c r="W80" s="345">
        <f>SUM(W68:W79)</f>
        <v>0</v>
      </c>
    </row>
    <row r="81" spans="1:23">
      <c r="R81" s="363"/>
      <c r="S81" s="371"/>
      <c r="T81" s="312"/>
      <c r="U81" s="312"/>
      <c r="V81" s="308">
        <f t="shared" ref="V81:V84" si="23">ROUND(T81*U81,0)</f>
        <v>0</v>
      </c>
      <c r="W81" s="308"/>
    </row>
    <row r="82" spans="1:23">
      <c r="R82" s="317"/>
      <c r="S82" s="371"/>
      <c r="T82" s="318"/>
      <c r="U82" s="318"/>
      <c r="V82" s="308">
        <f t="shared" si="23"/>
        <v>0</v>
      </c>
      <c r="W82" s="324"/>
    </row>
    <row r="83" spans="1:23">
      <c r="R83" s="339"/>
      <c r="S83" s="311"/>
      <c r="T83" s="318"/>
      <c r="U83" s="318"/>
      <c r="V83" s="308">
        <f t="shared" si="23"/>
        <v>0</v>
      </c>
      <c r="W83" s="324"/>
    </row>
    <row r="84" spans="1:23">
      <c r="R84" s="339"/>
      <c r="S84" s="311"/>
      <c r="T84" s="318"/>
      <c r="U84" s="318"/>
      <c r="V84" s="308">
        <f t="shared" si="23"/>
        <v>0</v>
      </c>
      <c r="W84" s="324"/>
    </row>
    <row r="85" spans="1:23" ht="18" customHeight="1">
      <c r="A85" s="283" t="s">
        <v>230</v>
      </c>
      <c r="B85" s="283"/>
      <c r="C85" s="284"/>
      <c r="D85" s="285"/>
      <c r="E85" s="285"/>
      <c r="F85" s="285"/>
      <c r="G85" s="282"/>
      <c r="H85" s="282"/>
      <c r="I85" s="282"/>
      <c r="J85" s="282"/>
      <c r="K85" s="282"/>
      <c r="L85" s="286"/>
      <c r="M85" s="282"/>
      <c r="N85" s="282"/>
      <c r="O85" s="287"/>
      <c r="P85" s="282"/>
      <c r="Q85" s="288"/>
      <c r="R85" s="282"/>
      <c r="S85" s="289"/>
    </row>
    <row r="86" spans="1:23" ht="18.75" customHeight="1">
      <c r="A86" s="290" t="s">
        <v>281</v>
      </c>
      <c r="B86" s="290"/>
      <c r="C86" s="290"/>
      <c r="D86" s="290"/>
      <c r="E86" s="290"/>
      <c r="F86" s="290"/>
      <c r="G86" s="290"/>
      <c r="H86" s="290"/>
      <c r="I86" s="290"/>
      <c r="J86" s="290"/>
      <c r="K86" s="290"/>
      <c r="L86" s="290"/>
      <c r="M86" s="290"/>
      <c r="N86" s="290"/>
      <c r="O86" s="290"/>
      <c r="P86" s="290"/>
      <c r="Q86" s="288"/>
      <c r="R86" s="282"/>
      <c r="S86" s="289"/>
    </row>
    <row r="87" spans="1:23" ht="18.75" customHeight="1">
      <c r="A87" s="291"/>
      <c r="B87" s="291"/>
      <c r="C87" s="292"/>
      <c r="D87" s="291"/>
      <c r="E87" s="291"/>
      <c r="F87" s="291"/>
      <c r="G87" s="291"/>
      <c r="H87" s="291"/>
      <c r="I87" s="291"/>
      <c r="J87" s="291"/>
      <c r="K87" s="291"/>
      <c r="L87" s="290"/>
      <c r="M87" s="291"/>
      <c r="N87" s="291"/>
      <c r="O87" s="293"/>
      <c r="P87" s="291"/>
      <c r="Q87" s="288"/>
      <c r="R87" s="282"/>
      <c r="S87" s="289"/>
    </row>
    <row r="88" spans="1:23" ht="12.75" customHeight="1">
      <c r="A88" s="294"/>
      <c r="B88" s="294"/>
      <c r="C88" s="295"/>
      <c r="D88" s="294"/>
      <c r="E88" s="294"/>
      <c r="F88" s="294"/>
      <c r="G88" s="294"/>
      <c r="H88" s="294"/>
      <c r="I88" s="294"/>
      <c r="J88" s="294"/>
      <c r="K88" s="294"/>
      <c r="L88" s="294"/>
      <c r="M88" s="294"/>
      <c r="N88" s="294"/>
      <c r="O88" s="296"/>
      <c r="P88" s="294"/>
      <c r="Q88" s="288"/>
      <c r="R88" s="282"/>
      <c r="S88" s="289"/>
    </row>
    <row r="89" spans="1:23" s="305" customFormat="1" ht="30.75" customHeight="1">
      <c r="A89" s="299" t="s">
        <v>30</v>
      </c>
      <c r="B89" s="299" t="s">
        <v>231</v>
      </c>
      <c r="C89" s="300" t="s">
        <v>232</v>
      </c>
      <c r="D89" s="301" t="s">
        <v>233</v>
      </c>
      <c r="E89" s="301" t="s">
        <v>242</v>
      </c>
      <c r="F89" s="301" t="s">
        <v>234</v>
      </c>
      <c r="G89" s="301" t="s">
        <v>235</v>
      </c>
      <c r="H89" s="301" t="s">
        <v>237</v>
      </c>
      <c r="I89" s="301" t="s">
        <v>236</v>
      </c>
      <c r="J89" s="301" t="s">
        <v>238</v>
      </c>
      <c r="K89" s="302" t="s">
        <v>351</v>
      </c>
      <c r="L89" s="301" t="s">
        <v>239</v>
      </c>
      <c r="M89" s="302" t="s">
        <v>240</v>
      </c>
      <c r="N89" s="301" t="s">
        <v>241</v>
      </c>
      <c r="O89" s="303" t="s">
        <v>242</v>
      </c>
      <c r="P89" s="301" t="s">
        <v>243</v>
      </c>
      <c r="Q89" s="304"/>
      <c r="R89" s="299" t="s">
        <v>231</v>
      </c>
      <c r="S89" s="301" t="s">
        <v>68</v>
      </c>
      <c r="T89" s="301" t="s">
        <v>53</v>
      </c>
      <c r="U89" s="301" t="s">
        <v>234</v>
      </c>
      <c r="V89" s="301" t="s">
        <v>89</v>
      </c>
      <c r="W89" s="299" t="s">
        <v>89</v>
      </c>
    </row>
    <row r="90" spans="1:23">
      <c r="A90" s="306" t="str">
        <f>IF(B90&lt;&gt;"",ROW()-(ROW()-1),"")</f>
        <v/>
      </c>
      <c r="B90" s="37"/>
      <c r="C90" s="315">
        <f>IF(ISNA(VLOOKUP(B90,NXT!$Q$61:$S$81,2,0)),0,VLOOKUP(B90,NXT!$Q$61:$S$81,2,0))</f>
        <v>0</v>
      </c>
      <c r="D90" s="68">
        <f>ROUND(C90*O90,0)</f>
        <v>0</v>
      </c>
      <c r="E90" s="68"/>
      <c r="F90" s="68"/>
      <c r="G90" s="308">
        <f>(D90+E90)*F90</f>
        <v>0</v>
      </c>
      <c r="H90" s="68">
        <f>IF($D$93&lt;&gt;0,H$93/($D$93+$E$93/5)*($D90+$E90/5),0)</f>
        <v>0</v>
      </c>
      <c r="I90" s="68">
        <f t="shared" ref="I90:K91" si="24">IF($D$93&lt;&gt;0,I$93/$D$93*$D90,0)</f>
        <v>0</v>
      </c>
      <c r="J90" s="68">
        <f t="shared" si="24"/>
        <v>0</v>
      </c>
      <c r="K90" s="68">
        <f t="shared" si="24"/>
        <v>0</v>
      </c>
      <c r="L90" s="308"/>
      <c r="M90" s="68" t="e">
        <f>34560000/($O$68+#REF!+#REF!)*O90</f>
        <v>#REF!</v>
      </c>
      <c r="N90" s="308">
        <f>ROUND(SUM(G90:L90),0)</f>
        <v>0</v>
      </c>
      <c r="O90" s="68"/>
      <c r="P90" s="68">
        <f t="shared" ref="P90:P91" si="25">IF(N90&lt;&gt;0,N90/O90,0)</f>
        <v>0</v>
      </c>
      <c r="Q90" s="328"/>
      <c r="R90" s="317"/>
      <c r="S90" s="371"/>
      <c r="T90" s="312"/>
      <c r="U90" s="318"/>
      <c r="V90" s="308">
        <f t="shared" ref="V90:V96" si="26">ROUND(T90*U90,0)</f>
        <v>0</v>
      </c>
      <c r="W90" s="324"/>
    </row>
    <row r="91" spans="1:23">
      <c r="A91" s="306" t="str">
        <f t="shared" ref="A91" si="27">IF(B91&lt;&gt;"",A90+1,"")</f>
        <v/>
      </c>
      <c r="B91" s="41"/>
      <c r="C91" s="315">
        <f>IF(ISNA(VLOOKUP(B91,NXT!$Q$61:$S$81,2,0)),0,VLOOKUP(B91,NXT!$Q$61:$S$81,2,0))</f>
        <v>0</v>
      </c>
      <c r="D91" s="68">
        <f>ROUND(C91*O91,0)</f>
        <v>0</v>
      </c>
      <c r="E91" s="68"/>
      <c r="F91" s="68"/>
      <c r="G91" s="308">
        <f t="shared" ref="G91" si="28">(D91+E91)*F91</f>
        <v>0</v>
      </c>
      <c r="H91" s="68">
        <f>IF($D$93&lt;&gt;0,H$93/($D$93+$E$93/5)*($D91+$E91/5),0)</f>
        <v>0</v>
      </c>
      <c r="I91" s="68">
        <f t="shared" si="24"/>
        <v>0</v>
      </c>
      <c r="J91" s="68">
        <f t="shared" si="24"/>
        <v>0</v>
      </c>
      <c r="K91" s="68">
        <f t="shared" si="24"/>
        <v>0</v>
      </c>
      <c r="L91" s="68"/>
      <c r="M91" s="68"/>
      <c r="N91" s="308">
        <f>ROUND(SUM(G91:L91),0)</f>
        <v>0</v>
      </c>
      <c r="O91" s="316"/>
      <c r="P91" s="68">
        <f t="shared" si="25"/>
        <v>0</v>
      </c>
      <c r="Q91" s="328"/>
      <c r="R91" s="317"/>
      <c r="S91" s="371"/>
      <c r="T91" s="312"/>
      <c r="U91" s="318"/>
      <c r="V91" s="308">
        <f t="shared" si="26"/>
        <v>0</v>
      </c>
      <c r="W91" s="324"/>
    </row>
    <row r="92" spans="1:23" s="329" customFormat="1">
      <c r="A92" s="306" t="str">
        <f>IF(B92&lt;&gt;"",#REF!+1,"")</f>
        <v/>
      </c>
      <c r="B92" s="320"/>
      <c r="C92" s="321"/>
      <c r="D92" s="322"/>
      <c r="E92" s="322"/>
      <c r="F92" s="322"/>
      <c r="G92" s="323"/>
      <c r="H92" s="365"/>
      <c r="I92" s="322"/>
      <c r="J92" s="324"/>
      <c r="K92" s="322"/>
      <c r="L92" s="325"/>
      <c r="M92" s="322"/>
      <c r="N92" s="326"/>
      <c r="O92" s="327"/>
      <c r="P92" s="322"/>
      <c r="Q92" s="328"/>
      <c r="R92" s="317"/>
      <c r="S92" s="371"/>
      <c r="T92" s="312"/>
      <c r="U92" s="318"/>
      <c r="V92" s="308">
        <f t="shared" si="26"/>
        <v>0</v>
      </c>
      <c r="W92" s="324"/>
    </row>
    <row r="93" spans="1:23" s="283" customFormat="1">
      <c r="A93" s="330"/>
      <c r="B93" s="331" t="s">
        <v>244</v>
      </c>
      <c r="C93" s="332"/>
      <c r="D93" s="333">
        <f>SUM(D90:D91)</f>
        <v>0</v>
      </c>
      <c r="E93" s="333">
        <f>SUM(E90:E91)</f>
        <v>0</v>
      </c>
      <c r="F93" s="333"/>
      <c r="G93" s="333">
        <f>SUM(G90:G91)</f>
        <v>0</v>
      </c>
      <c r="H93" s="334"/>
      <c r="I93" s="334">
        <f>V98</f>
        <v>0</v>
      </c>
      <c r="J93" s="334"/>
      <c r="K93" s="334"/>
      <c r="L93" s="333">
        <f>ROUND(SUM(L90:L92),0)</f>
        <v>0</v>
      </c>
      <c r="M93" s="333" t="e">
        <f>ROUND(SUM(M90:M92),0)</f>
        <v>#REF!</v>
      </c>
      <c r="N93" s="333">
        <f>ROUND(SUM(N90:N92),0)</f>
        <v>0</v>
      </c>
      <c r="O93" s="333">
        <f>ROUND(SUM(O90:O92),0)</f>
        <v>0</v>
      </c>
      <c r="P93" s="333"/>
      <c r="Q93" s="328"/>
      <c r="R93" s="317"/>
      <c r="S93" s="371"/>
      <c r="T93" s="339"/>
      <c r="U93" s="339"/>
      <c r="V93" s="308">
        <f t="shared" si="26"/>
        <v>0</v>
      </c>
      <c r="W93" s="324"/>
    </row>
    <row r="94" spans="1:23">
      <c r="Q94" s="328"/>
      <c r="R94" s="317"/>
      <c r="S94" s="372"/>
      <c r="T94" s="339"/>
      <c r="U94" s="318"/>
      <c r="V94" s="308">
        <f t="shared" si="26"/>
        <v>0</v>
      </c>
      <c r="W94" s="324"/>
    </row>
    <row r="95" spans="1:23">
      <c r="Q95" s="328"/>
      <c r="R95" s="341"/>
      <c r="S95" s="372"/>
      <c r="T95" s="339"/>
      <c r="U95" s="318"/>
      <c r="V95" s="308">
        <f t="shared" si="26"/>
        <v>0</v>
      </c>
      <c r="W95" s="324"/>
    </row>
    <row r="96" spans="1:23">
      <c r="Q96" s="328"/>
      <c r="R96" s="317"/>
      <c r="S96" s="372"/>
      <c r="T96" s="339"/>
      <c r="U96" s="318"/>
      <c r="V96" s="308">
        <f t="shared" si="26"/>
        <v>0</v>
      </c>
      <c r="W96" s="324"/>
    </row>
    <row r="97" spans="1:23">
      <c r="Q97" s="328"/>
      <c r="R97" s="373"/>
      <c r="S97" s="311"/>
      <c r="T97" s="312"/>
      <c r="U97" s="312"/>
      <c r="V97" s="324"/>
      <c r="W97" s="324"/>
    </row>
    <row r="98" spans="1:23">
      <c r="R98" s="360"/>
      <c r="S98" s="361"/>
      <c r="T98" s="362"/>
      <c r="U98" s="374"/>
      <c r="V98" s="333">
        <f>SUM(V90:V97)</f>
        <v>0</v>
      </c>
      <c r="W98" s="345">
        <f>SUM(W90:W97)</f>
        <v>0</v>
      </c>
    </row>
    <row r="99" spans="1:23">
      <c r="R99" s="363"/>
      <c r="S99" s="371"/>
      <c r="T99" s="312"/>
      <c r="U99" s="312"/>
      <c r="V99" s="308">
        <f t="shared" ref="V99:V103" si="29">ROUND(T99*U99,0)</f>
        <v>0</v>
      </c>
      <c r="W99" s="308"/>
    </row>
    <row r="100" spans="1:23">
      <c r="R100" s="413"/>
      <c r="S100" s="371"/>
      <c r="T100" s="318"/>
      <c r="U100" s="318"/>
      <c r="V100" s="308">
        <f t="shared" si="29"/>
        <v>0</v>
      </c>
      <c r="W100" s="324"/>
    </row>
    <row r="101" spans="1:23">
      <c r="R101" s="317"/>
      <c r="S101" s="371"/>
      <c r="T101" s="318"/>
      <c r="U101" s="318"/>
      <c r="V101" s="308">
        <f t="shared" si="29"/>
        <v>0</v>
      </c>
      <c r="W101" s="324"/>
    </row>
    <row r="102" spans="1:23">
      <c r="R102" s="339"/>
      <c r="S102" s="311"/>
      <c r="T102" s="318"/>
      <c r="U102" s="318"/>
      <c r="V102" s="308">
        <f t="shared" si="29"/>
        <v>0</v>
      </c>
      <c r="W102" s="324"/>
    </row>
    <row r="103" spans="1:23">
      <c r="R103" s="339"/>
      <c r="S103" s="311"/>
      <c r="T103" s="318"/>
      <c r="U103" s="318"/>
      <c r="V103" s="308">
        <f t="shared" si="29"/>
        <v>0</v>
      </c>
      <c r="W103" s="324"/>
    </row>
    <row r="104" spans="1:23">
      <c r="R104" s="288"/>
      <c r="S104" s="364"/>
      <c r="T104" s="298"/>
      <c r="U104" s="298"/>
      <c r="V104" s="337"/>
      <c r="W104" s="352"/>
    </row>
    <row r="105" spans="1:23" ht="18" customHeight="1">
      <c r="A105" s="283" t="s">
        <v>230</v>
      </c>
      <c r="B105" s="283"/>
      <c r="C105" s="284"/>
      <c r="D105" s="285"/>
      <c r="E105" s="285"/>
      <c r="F105" s="285"/>
      <c r="G105" s="282"/>
      <c r="H105" s="282"/>
      <c r="I105" s="282"/>
      <c r="J105" s="282"/>
      <c r="K105" s="282"/>
      <c r="L105" s="286"/>
      <c r="M105" s="282"/>
      <c r="N105" s="282"/>
      <c r="O105" s="287"/>
      <c r="P105" s="282"/>
      <c r="Q105" s="288"/>
      <c r="R105" s="282"/>
      <c r="S105" s="289"/>
    </row>
    <row r="106" spans="1:23" ht="18.75" customHeight="1">
      <c r="A106" s="290" t="s">
        <v>282</v>
      </c>
      <c r="B106" s="290"/>
      <c r="C106" s="290"/>
      <c r="D106" s="290"/>
      <c r="E106" s="290"/>
      <c r="F106" s="290"/>
      <c r="G106" s="290"/>
      <c r="H106" s="290"/>
      <c r="I106" s="290"/>
      <c r="J106" s="290"/>
      <c r="K106" s="290"/>
      <c r="L106" s="290"/>
      <c r="M106" s="290"/>
      <c r="N106" s="290"/>
      <c r="O106" s="290"/>
      <c r="P106" s="290"/>
      <c r="Q106" s="288"/>
      <c r="R106" s="282"/>
      <c r="S106" s="289"/>
    </row>
    <row r="107" spans="1:23" ht="18.75" customHeight="1">
      <c r="A107" s="291"/>
      <c r="B107" s="291"/>
      <c r="C107" s="292"/>
      <c r="D107" s="291"/>
      <c r="E107" s="291"/>
      <c r="F107" s="291"/>
      <c r="G107" s="291"/>
      <c r="H107" s="291"/>
      <c r="I107" s="291"/>
      <c r="J107" s="291"/>
      <c r="K107" s="291"/>
      <c r="L107" s="290"/>
      <c r="M107" s="291"/>
      <c r="N107" s="291"/>
      <c r="O107" s="293"/>
      <c r="P107" s="291"/>
      <c r="Q107" s="288"/>
      <c r="R107" s="282"/>
      <c r="S107" s="289"/>
    </row>
    <row r="108" spans="1:23" ht="12.75" customHeight="1">
      <c r="A108" s="294"/>
      <c r="B108" s="294"/>
      <c r="C108" s="295"/>
      <c r="D108" s="294"/>
      <c r="E108" s="294"/>
      <c r="F108" s="294"/>
      <c r="G108" s="294"/>
      <c r="H108" s="294"/>
      <c r="I108" s="294"/>
      <c r="J108" s="294"/>
      <c r="K108" s="294"/>
      <c r="L108" s="294"/>
      <c r="M108" s="294"/>
      <c r="N108" s="294"/>
      <c r="O108" s="296"/>
      <c r="P108" s="294"/>
      <c r="Q108" s="288"/>
      <c r="R108" s="282"/>
      <c r="S108" s="289"/>
    </row>
    <row r="109" spans="1:23" s="305" customFormat="1" ht="30.75" customHeight="1">
      <c r="A109" s="299" t="s">
        <v>30</v>
      </c>
      <c r="B109" s="299" t="s">
        <v>231</v>
      </c>
      <c r="C109" s="300" t="s">
        <v>232</v>
      </c>
      <c r="D109" s="301" t="s">
        <v>233</v>
      </c>
      <c r="E109" s="301" t="s">
        <v>242</v>
      </c>
      <c r="F109" s="301" t="s">
        <v>234</v>
      </c>
      <c r="G109" s="301" t="s">
        <v>235</v>
      </c>
      <c r="H109" s="301" t="s">
        <v>237</v>
      </c>
      <c r="I109" s="301" t="s">
        <v>236</v>
      </c>
      <c r="J109" s="301" t="s">
        <v>238</v>
      </c>
      <c r="K109" s="302" t="s">
        <v>351</v>
      </c>
      <c r="L109" s="301" t="s">
        <v>239</v>
      </c>
      <c r="M109" s="302" t="s">
        <v>240</v>
      </c>
      <c r="N109" s="301" t="s">
        <v>241</v>
      </c>
      <c r="O109" s="303" t="s">
        <v>242</v>
      </c>
      <c r="P109" s="301" t="s">
        <v>243</v>
      </c>
      <c r="Q109" s="304"/>
      <c r="R109" s="299" t="s">
        <v>231</v>
      </c>
      <c r="S109" s="301" t="s">
        <v>68</v>
      </c>
      <c r="T109" s="301" t="s">
        <v>53</v>
      </c>
      <c r="U109" s="301" t="s">
        <v>234</v>
      </c>
      <c r="V109" s="301" t="s">
        <v>89</v>
      </c>
      <c r="W109" s="299" t="s">
        <v>89</v>
      </c>
    </row>
    <row r="110" spans="1:23">
      <c r="A110" s="306" t="str">
        <f>IF(B110&lt;&gt;"",ROW()-(ROW()-1),"")</f>
        <v/>
      </c>
      <c r="B110" s="376"/>
      <c r="C110" s="315">
        <f>IF(ISNA(VLOOKUP(B110,NXT!$Q$61:$S$81,2,0)),0,VLOOKUP(B110,NXT!$Q$61:$S$81,2,0))</f>
        <v>0</v>
      </c>
      <c r="D110" s="68">
        <f>ROUND(C110*O110,0)</f>
        <v>0</v>
      </c>
      <c r="E110" s="68"/>
      <c r="F110" s="68"/>
      <c r="G110" s="308">
        <f t="shared" ref="G110:G113" si="30">D110*F110</f>
        <v>0</v>
      </c>
      <c r="H110" s="68">
        <f>IF($D$115&lt;&gt;0,H$115/($D$115+$E$115/5)*($D110+$E110/5),0)</f>
        <v>0</v>
      </c>
      <c r="I110" s="68">
        <f>IF($D$115&lt;&gt;0,I$115/$D$115*$D110,0)</f>
        <v>0</v>
      </c>
      <c r="J110" s="68">
        <f t="shared" ref="J110:K113" si="31">IF($D$115&lt;&gt;0,J$115/$D$115*$D110,0)</f>
        <v>0</v>
      </c>
      <c r="K110" s="68">
        <f t="shared" si="31"/>
        <v>0</v>
      </c>
      <c r="L110" s="308"/>
      <c r="M110" s="68" t="e">
        <f>34560000/($O$68+#REF!+#REF!)*O110</f>
        <v>#REF!</v>
      </c>
      <c r="N110" s="308">
        <f>ROUND(SUM(G110:L110),0)</f>
        <v>0</v>
      </c>
      <c r="O110" s="68"/>
      <c r="P110" s="68">
        <f t="shared" ref="P110:P113" si="32">IF(N110&lt;&gt;0,N110/O110,0)</f>
        <v>0</v>
      </c>
      <c r="Q110" s="328"/>
      <c r="R110" s="310"/>
      <c r="S110" s="371"/>
      <c r="T110" s="312"/>
      <c r="U110" s="313"/>
      <c r="V110" s="308">
        <f t="shared" ref="V110:V122" si="33">ROUND(T110*U110,0)</f>
        <v>0</v>
      </c>
      <c r="W110" s="308"/>
    </row>
    <row r="111" spans="1:23">
      <c r="A111" s="306" t="str">
        <f t="shared" ref="A111:A113" si="34">IF(B111&lt;&gt;"",A110+1,"")</f>
        <v/>
      </c>
      <c r="B111" s="307"/>
      <c r="C111" s="315">
        <f>IF(ISNA(VLOOKUP(B111,NXT!$Q$61:$S$81,2,0)),0,VLOOKUP(B111,NXT!$Q$61:$S$81,2,0))</f>
        <v>0</v>
      </c>
      <c r="D111" s="68">
        <f>ROUND(C111*O111,0)</f>
        <v>0</v>
      </c>
      <c r="E111" s="68"/>
      <c r="F111" s="68"/>
      <c r="G111" s="308">
        <f t="shared" si="30"/>
        <v>0</v>
      </c>
      <c r="H111" s="68">
        <f>IF($D$115&lt;&gt;0,H$115/($D$115+$E$115/5)*($D111+$E111/5),0)</f>
        <v>0</v>
      </c>
      <c r="I111" s="68">
        <f>IF($D$115&lt;&gt;0,I$115/$D$115*$D111,0)</f>
        <v>0</v>
      </c>
      <c r="J111" s="68">
        <f t="shared" si="31"/>
        <v>0</v>
      </c>
      <c r="K111" s="68">
        <f t="shared" si="31"/>
        <v>0</v>
      </c>
      <c r="L111" s="68"/>
      <c r="M111" s="68"/>
      <c r="N111" s="308">
        <f>ROUND(SUM(G111:L111),0)</f>
        <v>0</v>
      </c>
      <c r="O111" s="316"/>
      <c r="P111" s="68">
        <f t="shared" si="32"/>
        <v>0</v>
      </c>
      <c r="Q111" s="328"/>
      <c r="R111" s="317"/>
      <c r="S111" s="371"/>
      <c r="T111" s="312"/>
      <c r="U111" s="318"/>
      <c r="V111" s="308">
        <f t="shared" si="33"/>
        <v>0</v>
      </c>
      <c r="W111" s="324"/>
    </row>
    <row r="112" spans="1:23">
      <c r="A112" s="306" t="str">
        <f t="shared" si="34"/>
        <v/>
      </c>
      <c r="B112" s="307"/>
      <c r="C112" s="315">
        <f>IF(ISNA(VLOOKUP(B112,NXT!$Q$61:$S$81,2,0)),0,VLOOKUP(B112,NXT!$Q$61:$S$81,2,0))</f>
        <v>0</v>
      </c>
      <c r="D112" s="68">
        <f>ROUND(C112*O112,0)</f>
        <v>0</v>
      </c>
      <c r="E112" s="68"/>
      <c r="F112" s="68"/>
      <c r="G112" s="308">
        <f>D112*F112</f>
        <v>0</v>
      </c>
      <c r="H112" s="68">
        <f>IF($D$115&lt;&gt;0,H$115/($D$115+$E$115/5)*($D112+$E112/5),0)</f>
        <v>0</v>
      </c>
      <c r="I112" s="68">
        <f>IF($D$115&lt;&gt;0,I$115/$D$115*$D112,0)</f>
        <v>0</v>
      </c>
      <c r="J112" s="68">
        <f t="shared" si="31"/>
        <v>0</v>
      </c>
      <c r="K112" s="68">
        <f t="shared" si="31"/>
        <v>0</v>
      </c>
      <c r="L112" s="68"/>
      <c r="M112" s="68">
        <v>25840000</v>
      </c>
      <c r="N112" s="308">
        <f>ROUND(SUM(G112:L112),0)</f>
        <v>0</v>
      </c>
      <c r="O112" s="316"/>
      <c r="P112" s="68">
        <f t="shared" si="32"/>
        <v>0</v>
      </c>
      <c r="Q112" s="328"/>
      <c r="R112" s="317"/>
      <c r="S112" s="371"/>
      <c r="T112" s="312"/>
      <c r="U112" s="318"/>
      <c r="V112" s="308">
        <f t="shared" si="33"/>
        <v>0</v>
      </c>
      <c r="W112" s="324"/>
    </row>
    <row r="113" spans="1:23">
      <c r="A113" s="306" t="str">
        <f t="shared" si="34"/>
        <v/>
      </c>
      <c r="B113" s="41"/>
      <c r="C113" s="315">
        <f>IF(ISNA(VLOOKUP(B113,NXT!$Q$61:$S$81,2,0)),0,VLOOKUP(B113,NXT!$Q$61:$S$81,2,0))</f>
        <v>0</v>
      </c>
      <c r="D113" s="68">
        <f>ROUND(C113*O113,0)</f>
        <v>0</v>
      </c>
      <c r="E113" s="68"/>
      <c r="F113" s="68"/>
      <c r="G113" s="308">
        <f t="shared" si="30"/>
        <v>0</v>
      </c>
      <c r="H113" s="68">
        <f>IF($D$115&lt;&gt;0,H$115/($D$115+$E$115/5)*($D113+$E113/5),0)</f>
        <v>0</v>
      </c>
      <c r="I113" s="68">
        <f>IF($D$115&lt;&gt;0,I$115/$D$115*$D113,0)</f>
        <v>0</v>
      </c>
      <c r="J113" s="68">
        <f t="shared" si="31"/>
        <v>0</v>
      </c>
      <c r="K113" s="68">
        <f t="shared" si="31"/>
        <v>0</v>
      </c>
      <c r="L113" s="68"/>
      <c r="M113" s="68" t="e">
        <f>34560000/($O$68+#REF!+#REF!)*O113</f>
        <v>#REF!</v>
      </c>
      <c r="N113" s="308">
        <f>ROUND(SUM(G113:L113),0)</f>
        <v>0</v>
      </c>
      <c r="O113" s="316"/>
      <c r="P113" s="68">
        <f t="shared" si="32"/>
        <v>0</v>
      </c>
      <c r="Q113" s="328"/>
      <c r="R113" s="317"/>
      <c r="S113" s="371"/>
      <c r="T113" s="339"/>
      <c r="U113" s="318"/>
      <c r="V113" s="308">
        <f t="shared" si="33"/>
        <v>0</v>
      </c>
      <c r="W113" s="324"/>
    </row>
    <row r="114" spans="1:23">
      <c r="A114" s="306" t="str">
        <f>IF(B114&lt;&gt;"",#REF!+1,"")</f>
        <v/>
      </c>
      <c r="B114" s="320"/>
      <c r="C114" s="321"/>
      <c r="D114" s="322"/>
      <c r="E114" s="322"/>
      <c r="F114" s="322"/>
      <c r="G114" s="323"/>
      <c r="H114" s="365"/>
      <c r="I114" s="322"/>
      <c r="J114" s="324"/>
      <c r="K114" s="322"/>
      <c r="L114" s="325"/>
      <c r="M114" s="322"/>
      <c r="N114" s="308"/>
      <c r="O114" s="327"/>
      <c r="P114" s="322"/>
      <c r="Q114" s="328"/>
      <c r="R114" s="317"/>
      <c r="S114" s="371"/>
      <c r="T114" s="312"/>
      <c r="U114" s="318"/>
      <c r="V114" s="308">
        <f t="shared" si="33"/>
        <v>0</v>
      </c>
      <c r="W114" s="324"/>
    </row>
    <row r="115" spans="1:23">
      <c r="A115" s="330"/>
      <c r="B115" s="331" t="s">
        <v>244</v>
      </c>
      <c r="C115" s="332"/>
      <c r="D115" s="333">
        <f>SUM(D110:D113)</f>
        <v>0</v>
      </c>
      <c r="E115" s="333"/>
      <c r="F115" s="333"/>
      <c r="G115" s="333">
        <f>SUM(G110:G113)</f>
        <v>0</v>
      </c>
      <c r="H115" s="334"/>
      <c r="I115" s="334">
        <f>V124</f>
        <v>0</v>
      </c>
      <c r="J115" s="334"/>
      <c r="K115" s="334"/>
      <c r="L115" s="333">
        <f>ROUND(SUM(L110:L114),0)</f>
        <v>0</v>
      </c>
      <c r="M115" s="333" t="e">
        <f>ROUND(SUM(M110:M114),0)</f>
        <v>#REF!</v>
      </c>
      <c r="N115" s="333">
        <f>ROUND(SUM(N110:N114),0)</f>
        <v>0</v>
      </c>
      <c r="O115" s="333">
        <f>ROUND(SUM(O110:O114),0)</f>
        <v>0</v>
      </c>
      <c r="P115" s="333"/>
      <c r="Q115" s="328"/>
      <c r="R115" s="317"/>
      <c r="S115" s="371"/>
      <c r="T115" s="312"/>
      <c r="U115" s="318"/>
      <c r="V115" s="308">
        <f t="shared" si="33"/>
        <v>0</v>
      </c>
      <c r="W115" s="324"/>
    </row>
    <row r="116" spans="1:23" s="329" customFormat="1">
      <c r="A116" s="279"/>
      <c r="B116" s="279"/>
      <c r="C116" s="279"/>
      <c r="D116" s="279"/>
      <c r="E116" s="279"/>
      <c r="F116" s="279"/>
      <c r="G116" s="279"/>
      <c r="H116" s="279"/>
      <c r="I116" s="279"/>
      <c r="J116" s="279"/>
      <c r="K116" s="279"/>
      <c r="L116" s="279"/>
      <c r="M116" s="279"/>
      <c r="N116" s="279"/>
      <c r="O116" s="279"/>
      <c r="P116" s="279"/>
      <c r="Q116" s="328"/>
      <c r="R116" s="317"/>
      <c r="S116" s="371"/>
      <c r="T116" s="312"/>
      <c r="U116" s="318"/>
      <c r="V116" s="308">
        <f t="shared" si="33"/>
        <v>0</v>
      </c>
      <c r="W116" s="324"/>
    </row>
    <row r="117" spans="1:23" s="283" customFormat="1">
      <c r="A117" s="279"/>
      <c r="B117" s="279"/>
      <c r="C117" s="279"/>
      <c r="D117" s="279"/>
      <c r="E117" s="279"/>
      <c r="F117" s="279"/>
      <c r="G117" s="279"/>
      <c r="H117" s="279"/>
      <c r="I117" s="279"/>
      <c r="J117" s="279"/>
      <c r="K117" s="279"/>
      <c r="L117" s="279"/>
      <c r="M117" s="279"/>
      <c r="N117" s="279"/>
      <c r="O117" s="279"/>
      <c r="P117" s="279"/>
      <c r="Q117" s="328"/>
      <c r="R117" s="317"/>
      <c r="S117" s="371"/>
      <c r="T117" s="339"/>
      <c r="U117" s="339"/>
      <c r="V117" s="308">
        <f t="shared" si="33"/>
        <v>0</v>
      </c>
      <c r="W117" s="324"/>
    </row>
    <row r="118" spans="1:23">
      <c r="Q118" s="328"/>
      <c r="R118" s="317"/>
      <c r="S118" s="372"/>
      <c r="T118" s="339"/>
      <c r="U118" s="318"/>
      <c r="V118" s="308">
        <f t="shared" si="33"/>
        <v>0</v>
      </c>
      <c r="W118" s="324"/>
    </row>
    <row r="119" spans="1:23">
      <c r="Q119" s="328"/>
      <c r="R119" s="37"/>
      <c r="S119" s="372"/>
      <c r="T119" s="312"/>
      <c r="U119" s="312"/>
      <c r="V119" s="308">
        <f t="shared" si="33"/>
        <v>0</v>
      </c>
      <c r="W119" s="324"/>
    </row>
    <row r="120" spans="1:23">
      <c r="Q120" s="328"/>
      <c r="R120" s="317"/>
      <c r="S120" s="372"/>
      <c r="T120" s="312"/>
      <c r="U120" s="312"/>
      <c r="V120" s="308">
        <f t="shared" si="33"/>
        <v>0</v>
      </c>
      <c r="W120" s="324"/>
    </row>
    <row r="121" spans="1:23">
      <c r="Q121" s="328"/>
      <c r="R121" s="341"/>
      <c r="S121" s="372"/>
      <c r="T121" s="339"/>
      <c r="U121" s="318"/>
      <c r="V121" s="308">
        <f t="shared" si="33"/>
        <v>0</v>
      </c>
      <c r="W121" s="324"/>
    </row>
    <row r="122" spans="1:23">
      <c r="Q122" s="328"/>
      <c r="R122" s="317"/>
      <c r="S122" s="371"/>
      <c r="T122" s="339"/>
      <c r="U122" s="318"/>
      <c r="V122" s="308">
        <f t="shared" si="33"/>
        <v>0</v>
      </c>
      <c r="W122" s="324"/>
    </row>
    <row r="123" spans="1:23">
      <c r="Q123" s="328"/>
      <c r="R123" s="37"/>
      <c r="S123" s="311"/>
      <c r="T123" s="312"/>
      <c r="U123" s="312"/>
      <c r="V123" s="308"/>
      <c r="W123" s="324"/>
    </row>
    <row r="124" spans="1:23">
      <c r="R124" s="360"/>
      <c r="S124" s="361"/>
      <c r="T124" s="362"/>
      <c r="U124" s="374"/>
      <c r="V124" s="333">
        <f>SUM(V110:V123)</f>
        <v>0</v>
      </c>
      <c r="W124" s="345">
        <f>SUM(W110:W123)</f>
        <v>0</v>
      </c>
    </row>
    <row r="125" spans="1:23">
      <c r="R125" s="363"/>
      <c r="S125" s="371"/>
      <c r="T125" s="312"/>
      <c r="U125" s="312"/>
      <c r="V125" s="308">
        <f t="shared" ref="V125:V131" si="35">ROUND(T125*U125,0)</f>
        <v>0</v>
      </c>
      <c r="W125" s="308"/>
    </row>
    <row r="126" spans="1:23">
      <c r="R126" s="317"/>
      <c r="S126" s="371"/>
      <c r="T126" s="318"/>
      <c r="U126" s="318"/>
      <c r="V126" s="308">
        <f t="shared" si="35"/>
        <v>0</v>
      </c>
      <c r="W126" s="324"/>
    </row>
    <row r="127" spans="1:23">
      <c r="R127" s="317"/>
      <c r="S127" s="371"/>
      <c r="T127" s="318"/>
      <c r="U127" s="318"/>
      <c r="V127" s="308">
        <f t="shared" si="35"/>
        <v>0</v>
      </c>
      <c r="W127" s="324"/>
    </row>
    <row r="128" spans="1:23">
      <c r="R128" s="317"/>
      <c r="S128" s="371"/>
      <c r="T128" s="318"/>
      <c r="U128" s="318"/>
      <c r="V128" s="308">
        <f t="shared" si="35"/>
        <v>0</v>
      </c>
      <c r="W128" s="324"/>
    </row>
    <row r="129" spans="1:23">
      <c r="R129" s="363"/>
      <c r="S129" s="371"/>
      <c r="T129" s="312"/>
      <c r="U129" s="312"/>
      <c r="V129" s="308">
        <f t="shared" si="35"/>
        <v>0</v>
      </c>
      <c r="W129" s="324"/>
    </row>
    <row r="130" spans="1:23">
      <c r="R130" s="339"/>
      <c r="S130" s="311"/>
      <c r="T130" s="318"/>
      <c r="U130" s="318"/>
      <c r="V130" s="308">
        <f t="shared" si="35"/>
        <v>0</v>
      </c>
      <c r="W130" s="324"/>
    </row>
    <row r="131" spans="1:23">
      <c r="R131" s="339"/>
      <c r="S131" s="311"/>
      <c r="T131" s="318"/>
      <c r="U131" s="318"/>
      <c r="V131" s="308">
        <f t="shared" si="35"/>
        <v>0</v>
      </c>
      <c r="W131" s="324"/>
    </row>
    <row r="132" spans="1:23" ht="12.75" customHeight="1">
      <c r="A132" s="298"/>
      <c r="B132" s="298"/>
      <c r="C132" s="377"/>
      <c r="D132" s="298"/>
      <c r="E132" s="427"/>
      <c r="F132" s="298"/>
      <c r="G132" s="298"/>
      <c r="H132" s="298"/>
      <c r="I132" s="298"/>
      <c r="J132" s="298"/>
      <c r="K132" s="298"/>
      <c r="L132" s="298"/>
      <c r="M132" s="298"/>
      <c r="N132" s="298"/>
      <c r="O132" s="351"/>
      <c r="P132" s="298"/>
      <c r="Q132" s="288"/>
      <c r="R132" s="282"/>
      <c r="S132" s="289"/>
    </row>
    <row r="133" spans="1:23" ht="18" customHeight="1">
      <c r="A133" s="283" t="s">
        <v>230</v>
      </c>
      <c r="B133" s="283"/>
      <c r="C133" s="378"/>
      <c r="D133" s="285"/>
      <c r="E133" s="285"/>
      <c r="F133" s="285"/>
      <c r="G133" s="282"/>
      <c r="H133" s="282"/>
      <c r="I133" s="282"/>
      <c r="J133" s="282"/>
      <c r="K133" s="282"/>
      <c r="L133" s="286"/>
      <c r="M133" s="282"/>
      <c r="N133" s="282"/>
      <c r="O133" s="287"/>
      <c r="P133" s="282"/>
      <c r="Q133" s="288"/>
      <c r="R133" s="282"/>
      <c r="S133" s="289"/>
    </row>
    <row r="134" spans="1:23" ht="18.75" customHeight="1">
      <c r="A134" s="290" t="s">
        <v>283</v>
      </c>
      <c r="B134" s="290"/>
      <c r="C134" s="290"/>
      <c r="D134" s="290"/>
      <c r="E134" s="290"/>
      <c r="F134" s="290"/>
      <c r="G134" s="290"/>
      <c r="H134" s="290"/>
      <c r="I134" s="290"/>
      <c r="J134" s="290"/>
      <c r="K134" s="290"/>
      <c r="L134" s="290"/>
      <c r="M134" s="290"/>
      <c r="N134" s="290"/>
      <c r="O134" s="290"/>
      <c r="P134" s="290"/>
      <c r="Q134" s="288"/>
      <c r="R134" s="282"/>
      <c r="S134" s="289"/>
    </row>
    <row r="135" spans="1:23" ht="18.75" customHeight="1">
      <c r="A135" s="291"/>
      <c r="B135" s="291"/>
      <c r="C135" s="292"/>
      <c r="D135" s="291"/>
      <c r="E135" s="291"/>
      <c r="F135" s="291"/>
      <c r="G135" s="291"/>
      <c r="H135" s="291"/>
      <c r="I135" s="291"/>
      <c r="J135" s="291"/>
      <c r="K135" s="291"/>
      <c r="L135" s="290"/>
      <c r="M135" s="291"/>
      <c r="N135" s="291"/>
      <c r="O135" s="293"/>
      <c r="P135" s="291"/>
      <c r="Q135" s="288"/>
      <c r="R135" s="282"/>
      <c r="S135" s="289"/>
    </row>
    <row r="136" spans="1:23" ht="12.75" customHeight="1">
      <c r="A136" s="294"/>
      <c r="B136" s="294"/>
      <c r="C136" s="295"/>
      <c r="D136" s="294"/>
      <c r="E136" s="294"/>
      <c r="F136" s="294"/>
      <c r="G136" s="294"/>
      <c r="H136" s="294"/>
      <c r="I136" s="294"/>
      <c r="J136" s="294"/>
      <c r="K136" s="294"/>
      <c r="L136" s="294"/>
      <c r="M136" s="294"/>
      <c r="N136" s="294"/>
      <c r="O136" s="296"/>
      <c r="P136" s="294"/>
      <c r="Q136" s="288"/>
      <c r="R136" s="282"/>
      <c r="S136" s="289"/>
    </row>
    <row r="137" spans="1:23" s="305" customFormat="1" ht="30.75" customHeight="1">
      <c r="A137" s="299" t="s">
        <v>30</v>
      </c>
      <c r="B137" s="299" t="s">
        <v>231</v>
      </c>
      <c r="C137" s="300" t="s">
        <v>232</v>
      </c>
      <c r="D137" s="301" t="s">
        <v>233</v>
      </c>
      <c r="E137" s="301" t="s">
        <v>242</v>
      </c>
      <c r="F137" s="301" t="s">
        <v>234</v>
      </c>
      <c r="G137" s="301" t="s">
        <v>235</v>
      </c>
      <c r="H137" s="301" t="s">
        <v>237</v>
      </c>
      <c r="I137" s="301" t="s">
        <v>236</v>
      </c>
      <c r="J137" s="301" t="s">
        <v>238</v>
      </c>
      <c r="K137" s="302" t="s">
        <v>351</v>
      </c>
      <c r="L137" s="301" t="s">
        <v>239</v>
      </c>
      <c r="M137" s="302" t="s">
        <v>240</v>
      </c>
      <c r="N137" s="301" t="s">
        <v>241</v>
      </c>
      <c r="O137" s="303" t="s">
        <v>242</v>
      </c>
      <c r="P137" s="301" t="s">
        <v>243</v>
      </c>
      <c r="Q137" s="304"/>
      <c r="R137" s="299" t="s">
        <v>231</v>
      </c>
      <c r="S137" s="301" t="s">
        <v>68</v>
      </c>
      <c r="T137" s="301" t="s">
        <v>53</v>
      </c>
      <c r="U137" s="301" t="s">
        <v>234</v>
      </c>
      <c r="V137" s="301" t="s">
        <v>89</v>
      </c>
      <c r="W137" s="299" t="s">
        <v>89</v>
      </c>
    </row>
    <row r="138" spans="1:23">
      <c r="A138" s="306" t="str">
        <f>IF(B138&lt;&gt;"",ROW()-(ROW()-1),"")</f>
        <v/>
      </c>
      <c r="B138" s="307"/>
      <c r="C138" s="315">
        <f>IF(ISNA(VLOOKUP(B138,NXT!$Q$61:$S$81,2,0)),0,VLOOKUP(B138,NXT!$Q$61:$S$81,2,0))</f>
        <v>0</v>
      </c>
      <c r="D138" s="68">
        <f>ROUND(C138*O138,0)</f>
        <v>0</v>
      </c>
      <c r="E138" s="68"/>
      <c r="F138" s="68"/>
      <c r="G138" s="308">
        <f t="shared" ref="G138:G141" si="36">D138*F138</f>
        <v>0</v>
      </c>
      <c r="H138" s="68">
        <f>IF($D$142&lt;&gt;0,H$142/($D$142+$E$142/5)*($D138+$E138/5),0)</f>
        <v>0</v>
      </c>
      <c r="I138" s="68">
        <f>IF($D$142&lt;&gt;0,I$142/$D$142*$D138,0)</f>
        <v>0</v>
      </c>
      <c r="J138" s="68">
        <f t="shared" ref="J138:K141" si="37">IF($D$142&lt;&gt;0,J$142/$D$142*$D138,0)</f>
        <v>0</v>
      </c>
      <c r="K138" s="68">
        <f t="shared" si="37"/>
        <v>0</v>
      </c>
      <c r="L138" s="308"/>
      <c r="M138" s="68" t="e">
        <f>34560000/($O$68+#REF!+#REF!)*O138</f>
        <v>#REF!</v>
      </c>
      <c r="N138" s="308">
        <f>ROUND(SUM(G138:L138),0)</f>
        <v>0</v>
      </c>
      <c r="O138" s="68"/>
      <c r="P138" s="68">
        <f t="shared" ref="P138:P141" si="38">IF(N138&lt;&gt;0,N138/O138,0)</f>
        <v>0</v>
      </c>
      <c r="Q138" s="328"/>
      <c r="R138" s="310"/>
      <c r="S138" s="371"/>
      <c r="T138" s="312"/>
      <c r="U138" s="313"/>
      <c r="V138" s="308">
        <f t="shared" ref="V138:V147" si="39">ROUND(T138*U138,0)</f>
        <v>0</v>
      </c>
      <c r="W138" s="308"/>
    </row>
    <row r="139" spans="1:23">
      <c r="A139" s="306" t="str">
        <f t="shared" ref="A139:A140" si="40">IF(B139&lt;&gt;"",A138+1,"")</f>
        <v/>
      </c>
      <c r="B139" s="37"/>
      <c r="C139" s="315">
        <f>IF(ISNA(VLOOKUP(B139,NXT!$Q$61:$S$81,2,0)),0,VLOOKUP(B139,NXT!$Q$61:$S$81,2,0))</f>
        <v>0</v>
      </c>
      <c r="D139" s="68">
        <f>ROUND(C139*O139,0)</f>
        <v>0</v>
      </c>
      <c r="E139" s="68"/>
      <c r="F139" s="68"/>
      <c r="G139" s="308">
        <f t="shared" si="36"/>
        <v>0</v>
      </c>
      <c r="H139" s="68">
        <f>IF($D$142&lt;&gt;0,H$142/($D$142+$E$142/5)*($D139+$E139/5),0)</f>
        <v>0</v>
      </c>
      <c r="I139" s="68">
        <f>IF($D$142&lt;&gt;0,I$142/$D$142*$D139,0)</f>
        <v>0</v>
      </c>
      <c r="J139" s="68">
        <f t="shared" si="37"/>
        <v>0</v>
      </c>
      <c r="K139" s="68">
        <f t="shared" si="37"/>
        <v>0</v>
      </c>
      <c r="L139" s="68"/>
      <c r="M139" s="68"/>
      <c r="N139" s="308">
        <f>ROUND(SUM(G139:L139),0)</f>
        <v>0</v>
      </c>
      <c r="O139" s="316"/>
      <c r="P139" s="68">
        <f t="shared" si="38"/>
        <v>0</v>
      </c>
      <c r="Q139" s="328"/>
      <c r="R139" s="317"/>
      <c r="S139" s="371"/>
      <c r="T139" s="312"/>
      <c r="U139" s="318"/>
      <c r="V139" s="308">
        <f t="shared" si="39"/>
        <v>0</v>
      </c>
      <c r="W139" s="324"/>
    </row>
    <row r="140" spans="1:23">
      <c r="A140" s="306" t="str">
        <f t="shared" si="40"/>
        <v/>
      </c>
      <c r="B140" s="307"/>
      <c r="C140" s="315">
        <f>IF(ISNA(VLOOKUP(B140,NXT!$Q$61:$S$81,2,0)),0,VLOOKUP(B140,NXT!$Q$61:$S$81,2,0))</f>
        <v>0</v>
      </c>
      <c r="D140" s="68">
        <f>ROUND(C140*O140,0)</f>
        <v>0</v>
      </c>
      <c r="E140" s="68"/>
      <c r="F140" s="68"/>
      <c r="G140" s="308">
        <f t="shared" si="36"/>
        <v>0</v>
      </c>
      <c r="H140" s="68">
        <f>IF($D$142&lt;&gt;0,H$142/($D$142+$E$142/5)*($D140+$E140/5),0)</f>
        <v>0</v>
      </c>
      <c r="I140" s="68">
        <f>IF($D$142&lt;&gt;0,I$142/$D$142*$D140,0)</f>
        <v>0</v>
      </c>
      <c r="J140" s="68">
        <f t="shared" si="37"/>
        <v>0</v>
      </c>
      <c r="K140" s="68">
        <f t="shared" si="37"/>
        <v>0</v>
      </c>
      <c r="L140" s="68"/>
      <c r="M140" s="68">
        <v>25840000</v>
      </c>
      <c r="N140" s="308">
        <f>ROUND(SUM(G140:L140),0)</f>
        <v>0</v>
      </c>
      <c r="O140" s="316"/>
      <c r="P140" s="68">
        <f t="shared" si="38"/>
        <v>0</v>
      </c>
      <c r="Q140" s="328"/>
      <c r="R140" s="317"/>
      <c r="S140" s="371"/>
      <c r="T140" s="312"/>
      <c r="U140" s="318"/>
      <c r="V140" s="308">
        <f t="shared" si="39"/>
        <v>0</v>
      </c>
      <c r="W140" s="324"/>
    </row>
    <row r="141" spans="1:23">
      <c r="A141" s="306" t="str">
        <f>IF(B141&lt;&gt;"",#REF!+1,"")</f>
        <v/>
      </c>
      <c r="B141" s="307"/>
      <c r="C141" s="315"/>
      <c r="D141" s="68">
        <f>ROUND(C141*O141,0)</f>
        <v>0</v>
      </c>
      <c r="E141" s="68"/>
      <c r="F141" s="68"/>
      <c r="G141" s="308">
        <f t="shared" si="36"/>
        <v>0</v>
      </c>
      <c r="H141" s="68">
        <f>IF($D$142&lt;&gt;0,H$142/($D$142+$E$142/5)*($D141+$E141/5),0)</f>
        <v>0</v>
      </c>
      <c r="I141" s="68">
        <f>IF($D$142&lt;&gt;0,I$142/$D$142*$D141,0)</f>
        <v>0</v>
      </c>
      <c r="J141" s="68">
        <f t="shared" si="37"/>
        <v>0</v>
      </c>
      <c r="K141" s="68">
        <f t="shared" si="37"/>
        <v>0</v>
      </c>
      <c r="L141" s="68"/>
      <c r="M141" s="68" t="e">
        <f>34560000/($O$68+#REF!+#REF!)*O141</f>
        <v>#REF!</v>
      </c>
      <c r="N141" s="308">
        <f>ROUND(SUM(G141:L141),0)</f>
        <v>0</v>
      </c>
      <c r="O141" s="316"/>
      <c r="P141" s="68">
        <f t="shared" si="38"/>
        <v>0</v>
      </c>
      <c r="Q141" s="328"/>
      <c r="R141" s="317"/>
      <c r="S141" s="371"/>
      <c r="T141" s="339"/>
      <c r="U141" s="318"/>
      <c r="V141" s="308">
        <f t="shared" si="39"/>
        <v>0</v>
      </c>
      <c r="W141" s="324"/>
    </row>
    <row r="142" spans="1:23">
      <c r="A142" s="330"/>
      <c r="B142" s="331" t="s">
        <v>244</v>
      </c>
      <c r="C142" s="332"/>
      <c r="D142" s="333">
        <f>SUM(D138:D141)</f>
        <v>0</v>
      </c>
      <c r="E142" s="333"/>
      <c r="F142" s="333"/>
      <c r="G142" s="333">
        <f>SUM(G138:G141)</f>
        <v>0</v>
      </c>
      <c r="H142" s="334"/>
      <c r="I142" s="334">
        <f>V149</f>
        <v>0</v>
      </c>
      <c r="J142" s="334"/>
      <c r="K142" s="334"/>
      <c r="L142" s="333">
        <f>ROUND(SUM(L138:L141),0)</f>
        <v>0</v>
      </c>
      <c r="M142" s="333" t="e">
        <f>ROUND(SUM(M138:M141),0)</f>
        <v>#REF!</v>
      </c>
      <c r="N142" s="333">
        <f>ROUND(SUM(N138:N141),0)</f>
        <v>0</v>
      </c>
      <c r="O142" s="333">
        <f>ROUND(SUM(O138:O141),0)</f>
        <v>0</v>
      </c>
      <c r="P142" s="333"/>
      <c r="Q142" s="328"/>
      <c r="R142" s="317"/>
      <c r="S142" s="371"/>
      <c r="T142" s="312"/>
      <c r="U142" s="318"/>
      <c r="V142" s="308">
        <f t="shared" si="39"/>
        <v>0</v>
      </c>
      <c r="W142" s="324"/>
    </row>
    <row r="143" spans="1:23">
      <c r="Q143" s="328"/>
      <c r="R143" s="317"/>
      <c r="S143" s="371"/>
      <c r="T143" s="312"/>
      <c r="U143" s="318"/>
      <c r="V143" s="308">
        <f t="shared" si="39"/>
        <v>0</v>
      </c>
      <c r="W143" s="324"/>
    </row>
    <row r="144" spans="1:23" s="283" customFormat="1">
      <c r="A144" s="279"/>
      <c r="B144" s="279"/>
      <c r="C144" s="279"/>
      <c r="D144" s="279"/>
      <c r="E144" s="279"/>
      <c r="F144" s="279"/>
      <c r="G144" s="279"/>
      <c r="H144" s="279"/>
      <c r="I144" s="279"/>
      <c r="J144" s="279"/>
      <c r="K144" s="279"/>
      <c r="L144" s="279"/>
      <c r="M144" s="279"/>
      <c r="N144" s="279"/>
      <c r="O144" s="279"/>
      <c r="P144" s="279"/>
      <c r="Q144" s="328"/>
      <c r="R144" s="317"/>
      <c r="S144" s="371"/>
      <c r="T144" s="339"/>
      <c r="U144" s="339"/>
      <c r="V144" s="308">
        <f t="shared" si="39"/>
        <v>0</v>
      </c>
      <c r="W144" s="324"/>
    </row>
    <row r="145" spans="1:23">
      <c r="Q145" s="328"/>
      <c r="R145" s="317"/>
      <c r="S145" s="372"/>
      <c r="T145" s="339"/>
      <c r="U145" s="318"/>
      <c r="V145" s="308">
        <f t="shared" si="39"/>
        <v>0</v>
      </c>
      <c r="W145" s="324"/>
    </row>
    <row r="146" spans="1:23">
      <c r="Q146" s="328"/>
      <c r="R146" s="37"/>
      <c r="S146" s="371"/>
      <c r="T146" s="312"/>
      <c r="U146" s="312"/>
      <c r="V146" s="308">
        <f t="shared" si="39"/>
        <v>0</v>
      </c>
      <c r="W146" s="324"/>
    </row>
    <row r="147" spans="1:23">
      <c r="Q147" s="328"/>
      <c r="R147" s="341"/>
      <c r="S147" s="372"/>
      <c r="T147" s="339"/>
      <c r="U147" s="318"/>
      <c r="V147" s="308">
        <f t="shared" si="39"/>
        <v>0</v>
      </c>
      <c r="W147" s="324"/>
    </row>
    <row r="148" spans="1:23">
      <c r="Q148" s="328"/>
      <c r="R148" s="37"/>
      <c r="S148" s="311"/>
      <c r="T148" s="312"/>
      <c r="U148" s="312"/>
      <c r="V148" s="324"/>
      <c r="W148" s="324"/>
    </row>
    <row r="149" spans="1:23">
      <c r="R149" s="360"/>
      <c r="S149" s="361"/>
      <c r="T149" s="362"/>
      <c r="U149" s="374"/>
      <c r="V149" s="333">
        <f>SUM(V138:V148)</f>
        <v>0</v>
      </c>
      <c r="W149" s="345">
        <f>SUM(W138:W148)</f>
        <v>0</v>
      </c>
    </row>
    <row r="150" spans="1:23">
      <c r="R150" s="363"/>
      <c r="S150" s="371"/>
      <c r="T150" s="312"/>
      <c r="U150" s="312"/>
      <c r="V150" s="308">
        <f t="shared" ref="V150:V155" si="41">ROUND(T150*U150,0)</f>
        <v>0</v>
      </c>
      <c r="W150" s="308"/>
    </row>
    <row r="151" spans="1:23">
      <c r="R151" s="317"/>
      <c r="S151" s="371"/>
      <c r="T151" s="318"/>
      <c r="U151" s="318"/>
      <c r="V151" s="308">
        <f t="shared" si="41"/>
        <v>0</v>
      </c>
      <c r="W151" s="324"/>
    </row>
    <row r="152" spans="1:23">
      <c r="R152" s="317"/>
      <c r="S152" s="371"/>
      <c r="T152" s="318"/>
      <c r="U152" s="318"/>
      <c r="V152" s="308">
        <f t="shared" si="41"/>
        <v>0</v>
      </c>
      <c r="W152" s="324"/>
    </row>
    <row r="153" spans="1:23">
      <c r="R153" s="317"/>
      <c r="S153" s="371"/>
      <c r="T153" s="318"/>
      <c r="U153" s="318"/>
      <c r="V153" s="308">
        <f t="shared" si="41"/>
        <v>0</v>
      </c>
      <c r="W153" s="324"/>
    </row>
    <row r="154" spans="1:23">
      <c r="R154" s="317"/>
      <c r="S154" s="371"/>
      <c r="T154" s="318"/>
      <c r="U154" s="318"/>
      <c r="V154" s="308">
        <f t="shared" si="41"/>
        <v>0</v>
      </c>
      <c r="W154" s="324"/>
    </row>
    <row r="155" spans="1:23">
      <c r="R155" s="339"/>
      <c r="S155" s="311"/>
      <c r="T155" s="318"/>
      <c r="U155" s="318"/>
      <c r="V155" s="308">
        <f t="shared" si="41"/>
        <v>0</v>
      </c>
      <c r="W155" s="324"/>
    </row>
    <row r="156" spans="1:23" ht="16.5" customHeight="1">
      <c r="A156" s="283" t="s">
        <v>230</v>
      </c>
      <c r="B156" s="283"/>
      <c r="C156" s="284"/>
      <c r="D156" s="285"/>
      <c r="E156" s="285"/>
      <c r="F156" s="285"/>
      <c r="G156" s="282"/>
      <c r="H156" s="282"/>
      <c r="I156" s="282"/>
      <c r="J156" s="282"/>
      <c r="K156" s="282"/>
      <c r="L156" s="286"/>
      <c r="M156" s="282"/>
      <c r="N156" s="282"/>
      <c r="O156" s="287"/>
      <c r="P156" s="282"/>
      <c r="R156" s="282"/>
      <c r="S156" s="289"/>
    </row>
    <row r="157" spans="1:23" ht="16.5" customHeight="1">
      <c r="A157" s="290" t="s">
        <v>284</v>
      </c>
      <c r="B157" s="290"/>
      <c r="C157" s="290"/>
      <c r="D157" s="290"/>
      <c r="E157" s="290"/>
      <c r="F157" s="290"/>
      <c r="G157" s="290"/>
      <c r="H157" s="290"/>
      <c r="I157" s="290"/>
      <c r="J157" s="290"/>
      <c r="K157" s="290"/>
      <c r="L157" s="290"/>
      <c r="M157" s="290"/>
      <c r="N157" s="290"/>
      <c r="O157" s="290"/>
      <c r="P157" s="290"/>
      <c r="Q157" s="288"/>
      <c r="R157" s="282"/>
      <c r="S157" s="289"/>
    </row>
    <row r="158" spans="1:23" ht="11.25" customHeight="1">
      <c r="A158" s="291"/>
      <c r="B158" s="291"/>
      <c r="C158" s="292"/>
      <c r="D158" s="291"/>
      <c r="E158" s="291"/>
      <c r="F158" s="291"/>
      <c r="G158" s="291"/>
      <c r="H158" s="291"/>
      <c r="I158" s="291"/>
      <c r="J158" s="291"/>
      <c r="K158" s="291"/>
      <c r="L158" s="290"/>
      <c r="M158" s="291"/>
      <c r="N158" s="291"/>
      <c r="O158" s="293"/>
      <c r="P158" s="291"/>
      <c r="Q158" s="288"/>
      <c r="R158" s="282"/>
      <c r="S158" s="289"/>
    </row>
    <row r="159" spans="1:23" ht="11.25" customHeight="1">
      <c r="A159" s="294"/>
      <c r="B159" s="294"/>
      <c r="C159" s="295"/>
      <c r="D159" s="294"/>
      <c r="E159" s="294"/>
      <c r="F159" s="294"/>
      <c r="G159" s="294"/>
      <c r="H159" s="294"/>
      <c r="I159" s="294"/>
      <c r="J159" s="294"/>
      <c r="K159" s="294"/>
      <c r="L159" s="294"/>
      <c r="M159" s="294"/>
      <c r="N159" s="294"/>
      <c r="O159" s="296"/>
      <c r="P159" s="294"/>
      <c r="Q159" s="288"/>
      <c r="R159" s="282"/>
      <c r="S159" s="289"/>
    </row>
    <row r="160" spans="1:23" ht="28.5" customHeight="1">
      <c r="A160" s="299" t="s">
        <v>30</v>
      </c>
      <c r="B160" s="299" t="s">
        <v>231</v>
      </c>
      <c r="C160" s="300" t="s">
        <v>232</v>
      </c>
      <c r="D160" s="301" t="s">
        <v>233</v>
      </c>
      <c r="E160" s="301" t="s">
        <v>242</v>
      </c>
      <c r="F160" s="301" t="s">
        <v>234</v>
      </c>
      <c r="G160" s="301" t="s">
        <v>235</v>
      </c>
      <c r="H160" s="301" t="s">
        <v>237</v>
      </c>
      <c r="I160" s="301" t="s">
        <v>236</v>
      </c>
      <c r="J160" s="301" t="s">
        <v>238</v>
      </c>
      <c r="K160" s="302" t="s">
        <v>351</v>
      </c>
      <c r="L160" s="301" t="s">
        <v>239</v>
      </c>
      <c r="M160" s="302" t="s">
        <v>240</v>
      </c>
      <c r="N160" s="301" t="s">
        <v>241</v>
      </c>
      <c r="O160" s="303" t="s">
        <v>242</v>
      </c>
      <c r="P160" s="301" t="s">
        <v>243</v>
      </c>
      <c r="Q160" s="288"/>
      <c r="R160" s="299" t="s">
        <v>231</v>
      </c>
      <c r="S160" s="301" t="s">
        <v>68</v>
      </c>
      <c r="T160" s="301" t="s">
        <v>53</v>
      </c>
      <c r="U160" s="301" t="s">
        <v>234</v>
      </c>
      <c r="V160" s="301" t="s">
        <v>89</v>
      </c>
      <c r="W160" s="299" t="s">
        <v>89</v>
      </c>
    </row>
    <row r="161" spans="1:23" s="305" customFormat="1" ht="12" customHeight="1">
      <c r="A161" s="306" t="str">
        <f>IF(B161&lt;&gt;"",ROW()-(ROW()-1),"")</f>
        <v/>
      </c>
      <c r="B161" s="307"/>
      <c r="C161" s="315">
        <f>IF(ISNA(VLOOKUP(B161,NXT!$Q$61:$S$81,2,0)),0,VLOOKUP(B161,NXT!$Q$61:$S$81,2,0))</f>
        <v>0</v>
      </c>
      <c r="D161" s="68">
        <f>ROUND(C161*O161,0)</f>
        <v>0</v>
      </c>
      <c r="E161" s="68"/>
      <c r="F161" s="68"/>
      <c r="G161" s="308">
        <f>(D161+E161)*F161</f>
        <v>0</v>
      </c>
      <c r="H161" s="68">
        <f>IF($D$166&lt;&gt;0,H$166/($D$166+$E$166/5)*($D161+$E161/5),0)</f>
        <v>0</v>
      </c>
      <c r="I161" s="68">
        <f>IF($D$166&lt;&gt;0,I$166/$D$166*$D161,0)</f>
        <v>0</v>
      </c>
      <c r="J161" s="68">
        <f>IF($D$166&lt;&gt;0,J$166/$D$166*$D161,0)</f>
        <v>0</v>
      </c>
      <c r="K161" s="68">
        <f t="shared" ref="J161:K164" si="42">IF($D$166&lt;&gt;0,K$166/$D$166*$D161,0)</f>
        <v>0</v>
      </c>
      <c r="L161" s="308"/>
      <c r="M161" s="68" t="e">
        <f>34560000/($O$68+#REF!+#REF!)*O161</f>
        <v>#REF!</v>
      </c>
      <c r="N161" s="308">
        <f>ROUND(SUM(G161:L161),0)</f>
        <v>0</v>
      </c>
      <c r="O161" s="68"/>
      <c r="P161" s="68">
        <f t="shared" ref="P161:P164" si="43">IF(N161&lt;&gt;0,N161/O161,0)</f>
        <v>0</v>
      </c>
      <c r="Q161" s="304"/>
      <c r="R161" s="310"/>
      <c r="S161" s="371"/>
      <c r="T161" s="312"/>
      <c r="U161" s="313"/>
      <c r="V161" s="308">
        <f t="shared" ref="V161:V171" si="44">ROUND(T161*U161,0)</f>
        <v>0</v>
      </c>
      <c r="W161" s="308"/>
    </row>
    <row r="162" spans="1:23" ht="12" customHeight="1">
      <c r="A162" s="306" t="str">
        <f t="shared" ref="A162:A164" si="45">IF(B162&lt;&gt;"",A161+1,"")</f>
        <v/>
      </c>
      <c r="B162" s="307"/>
      <c r="C162" s="315">
        <f>IF(ISNA(VLOOKUP(B162,NXT!$Q$61:$S$81,2,0)),0,VLOOKUP(B162,NXT!$Q$61:$S$81,2,0))</f>
        <v>0</v>
      </c>
      <c r="D162" s="68">
        <f>ROUND(C162*O162,0)</f>
        <v>0</v>
      </c>
      <c r="E162" s="68"/>
      <c r="F162" s="68"/>
      <c r="G162" s="308">
        <f t="shared" ref="G162:G164" si="46">(D162+E162)*F162</f>
        <v>0</v>
      </c>
      <c r="H162" s="68">
        <f>IF($D$166&lt;&gt;0,H$166/($D$166+$E$166/5)*($D162+$E162/5),0)</f>
        <v>0</v>
      </c>
      <c r="I162" s="68">
        <f>IF($D$166&lt;&gt;0,I$166/$D$166*$D162,0)</f>
        <v>0</v>
      </c>
      <c r="J162" s="68">
        <f t="shared" si="42"/>
        <v>0</v>
      </c>
      <c r="K162" s="68">
        <f t="shared" si="42"/>
        <v>0</v>
      </c>
      <c r="L162" s="68"/>
      <c r="M162" s="68">
        <v>25840000</v>
      </c>
      <c r="N162" s="308">
        <f>ROUND(SUM(G162:L162),0)</f>
        <v>0</v>
      </c>
      <c r="O162" s="316"/>
      <c r="P162" s="68">
        <f t="shared" si="43"/>
        <v>0</v>
      </c>
      <c r="Q162" s="328"/>
      <c r="R162" s="317"/>
      <c r="S162" s="371"/>
      <c r="T162" s="312"/>
      <c r="U162" s="318"/>
      <c r="V162" s="308">
        <f t="shared" si="44"/>
        <v>0</v>
      </c>
      <c r="W162" s="324"/>
    </row>
    <row r="163" spans="1:23" ht="12" customHeight="1">
      <c r="A163" s="306" t="str">
        <f t="shared" si="45"/>
        <v/>
      </c>
      <c r="B163" s="307"/>
      <c r="C163" s="315">
        <f>IF(ISNA(VLOOKUP(B163,NXT!$Q$61:$S$81,2,0)),0,VLOOKUP(B163,NXT!$Q$61:$S$81,2,0))</f>
        <v>0</v>
      </c>
      <c r="D163" s="68">
        <f>ROUND(C163*O163,0)</f>
        <v>0</v>
      </c>
      <c r="E163" s="68"/>
      <c r="F163" s="68"/>
      <c r="G163" s="308">
        <f>(D163+E163)*F163</f>
        <v>0</v>
      </c>
      <c r="H163" s="68">
        <f>IF($D$166&lt;&gt;0,H$166/($D$166+$E$166/5)*($D163+$E163/5),0)</f>
        <v>0</v>
      </c>
      <c r="I163" s="68">
        <f>IF($D$166&lt;&gt;0,I$166/$D$166*$D163,0)</f>
        <v>0</v>
      </c>
      <c r="J163" s="68">
        <f t="shared" si="42"/>
        <v>0</v>
      </c>
      <c r="K163" s="68">
        <f t="shared" si="42"/>
        <v>0</v>
      </c>
      <c r="L163" s="68"/>
      <c r="M163" s="68" t="e">
        <f>34560000/($O$68+#REF!+#REF!)*O163</f>
        <v>#REF!</v>
      </c>
      <c r="N163" s="308">
        <f>ROUND(SUM(G163:L163),0)</f>
        <v>0</v>
      </c>
      <c r="O163" s="316"/>
      <c r="P163" s="68">
        <f>IF(N163&lt;&gt;0,N163/O163,0)</f>
        <v>0</v>
      </c>
      <c r="Q163" s="328"/>
      <c r="R163" s="317"/>
      <c r="S163" s="371"/>
      <c r="T163" s="312"/>
      <c r="U163" s="318"/>
      <c r="V163" s="308">
        <f t="shared" si="44"/>
        <v>0</v>
      </c>
      <c r="W163" s="324"/>
    </row>
    <row r="164" spans="1:23" ht="12" customHeight="1">
      <c r="A164" s="306" t="str">
        <f t="shared" si="45"/>
        <v/>
      </c>
      <c r="B164" s="307"/>
      <c r="C164" s="315">
        <f>IF(ISNA(VLOOKUP(B164,NXT!$Q$61:$S$81,2,0)),0,VLOOKUP(B164,NXT!$Q$61:$S$81,2,0))</f>
        <v>0</v>
      </c>
      <c r="D164" s="68">
        <f>ROUND(C164*O164,0)</f>
        <v>0</v>
      </c>
      <c r="E164" s="68"/>
      <c r="F164" s="68"/>
      <c r="G164" s="308">
        <f t="shared" si="46"/>
        <v>0</v>
      </c>
      <c r="H164" s="68">
        <f>IF($D$166&lt;&gt;0,H$166/($D$166+$E$166/5)*($D164+$E164/5),0)</f>
        <v>0</v>
      </c>
      <c r="I164" s="68">
        <f>IF($D$166&lt;&gt;0,I$166/$D$166*$D164,0)</f>
        <v>0</v>
      </c>
      <c r="J164" s="68">
        <f t="shared" si="42"/>
        <v>0</v>
      </c>
      <c r="K164" s="68">
        <f t="shared" si="42"/>
        <v>0</v>
      </c>
      <c r="L164" s="68"/>
      <c r="M164" s="68" t="e">
        <f>34560000/($O$68+#REF!+#REF!)*O164</f>
        <v>#REF!</v>
      </c>
      <c r="N164" s="308">
        <f>ROUND(SUM(G164:L164),0)</f>
        <v>0</v>
      </c>
      <c r="O164" s="316"/>
      <c r="P164" s="68">
        <f t="shared" si="43"/>
        <v>0</v>
      </c>
      <c r="Q164" s="328"/>
      <c r="R164" s="317"/>
      <c r="S164" s="371"/>
      <c r="T164" s="312"/>
      <c r="U164" s="318"/>
      <c r="V164" s="308">
        <f t="shared" si="44"/>
        <v>0</v>
      </c>
      <c r="W164" s="324"/>
    </row>
    <row r="165" spans="1:23" ht="12" customHeight="1">
      <c r="A165" s="306" t="str">
        <f>IF(B165&lt;&gt;"",#REF!+1,"")</f>
        <v/>
      </c>
      <c r="B165" s="320"/>
      <c r="C165" s="315">
        <f>IF(ISNA(VLOOKUP(B165,NXT!$Q$61:$S$81,2,0)),0,VLOOKUP(B165,NXT!$Q$61:$S$81,2,0))</f>
        <v>0</v>
      </c>
      <c r="D165" s="322"/>
      <c r="E165" s="322"/>
      <c r="F165" s="322"/>
      <c r="G165" s="323"/>
      <c r="H165" s="365"/>
      <c r="I165" s="322"/>
      <c r="J165" s="324"/>
      <c r="K165" s="322"/>
      <c r="L165" s="325"/>
      <c r="M165" s="322"/>
      <c r="N165" s="326"/>
      <c r="O165" s="327"/>
      <c r="P165" s="322"/>
      <c r="Q165" s="328"/>
      <c r="R165" s="317"/>
      <c r="S165" s="371"/>
      <c r="T165" s="312"/>
      <c r="U165" s="312"/>
      <c r="V165" s="308">
        <f t="shared" si="44"/>
        <v>0</v>
      </c>
      <c r="W165" s="324"/>
    </row>
    <row r="166" spans="1:23" ht="12" customHeight="1">
      <c r="A166" s="330"/>
      <c r="B166" s="331" t="s">
        <v>244</v>
      </c>
      <c r="C166" s="332"/>
      <c r="D166" s="333">
        <f>SUM(D161:D164)</f>
        <v>0</v>
      </c>
      <c r="E166" s="333">
        <f>SUM(E161:E164)</f>
        <v>0</v>
      </c>
      <c r="F166" s="333"/>
      <c r="G166" s="333">
        <f>SUM(G161:G164)</f>
        <v>0</v>
      </c>
      <c r="H166" s="334"/>
      <c r="I166" s="334">
        <f>V173</f>
        <v>0</v>
      </c>
      <c r="J166" s="334"/>
      <c r="K166" s="334"/>
      <c r="L166" s="333">
        <f>ROUND(SUM(L161:L165),0)</f>
        <v>0</v>
      </c>
      <c r="M166" s="333" t="e">
        <f>ROUND(SUM(M161:M165),0)</f>
        <v>#REF!</v>
      </c>
      <c r="N166" s="333">
        <f>ROUND(SUM(N161:N165),0)</f>
        <v>0</v>
      </c>
      <c r="O166" s="333">
        <f>ROUND(SUM(O161:O165),0)</f>
        <v>0</v>
      </c>
      <c r="P166" s="333"/>
      <c r="Q166" s="328"/>
      <c r="R166" s="317"/>
      <c r="S166" s="371"/>
      <c r="T166" s="312"/>
      <c r="U166" s="318"/>
      <c r="V166" s="308">
        <f t="shared" si="44"/>
        <v>0</v>
      </c>
      <c r="W166" s="324"/>
    </row>
    <row r="167" spans="1:23" ht="12" customHeight="1">
      <c r="Q167" s="328"/>
      <c r="R167" s="317"/>
      <c r="S167" s="371"/>
      <c r="T167" s="312"/>
      <c r="U167" s="339"/>
      <c r="V167" s="308">
        <f t="shared" si="44"/>
        <v>0</v>
      </c>
      <c r="W167" s="324"/>
    </row>
    <row r="168" spans="1:23" ht="12" customHeight="1">
      <c r="Q168" s="328"/>
      <c r="R168" s="317"/>
      <c r="S168" s="311"/>
      <c r="T168" s="339"/>
      <c r="U168" s="318"/>
      <c r="V168" s="308">
        <f t="shared" si="44"/>
        <v>0</v>
      </c>
      <c r="W168" s="324"/>
    </row>
    <row r="169" spans="1:23" ht="12" customHeight="1">
      <c r="Q169" s="328"/>
      <c r="R169" s="341"/>
      <c r="S169" s="311"/>
      <c r="T169" s="339"/>
      <c r="U169" s="318"/>
      <c r="V169" s="308">
        <f t="shared" si="44"/>
        <v>0</v>
      </c>
      <c r="W169" s="324"/>
    </row>
    <row r="170" spans="1:23" ht="12" customHeight="1">
      <c r="Q170" s="328"/>
      <c r="R170" s="317"/>
      <c r="S170" s="311"/>
      <c r="T170" s="312"/>
      <c r="U170" s="312"/>
      <c r="V170" s="308">
        <f t="shared" si="44"/>
        <v>0</v>
      </c>
      <c r="W170" s="324"/>
    </row>
    <row r="171" spans="1:23" ht="12" customHeight="1">
      <c r="Q171" s="328"/>
      <c r="R171" s="37"/>
      <c r="S171" s="311"/>
      <c r="T171" s="312"/>
      <c r="U171" s="312"/>
      <c r="V171" s="308">
        <f t="shared" si="44"/>
        <v>0</v>
      </c>
      <c r="W171" s="324"/>
    </row>
    <row r="172" spans="1:23" s="329" customFormat="1" ht="12" customHeight="1">
      <c r="A172" s="279"/>
      <c r="B172" s="279"/>
      <c r="C172" s="279"/>
      <c r="D172" s="279"/>
      <c r="E172" s="279"/>
      <c r="F172" s="279"/>
      <c r="G172" s="279"/>
      <c r="H172" s="279"/>
      <c r="I172" s="279"/>
      <c r="J172" s="279"/>
      <c r="K172" s="279"/>
      <c r="L172" s="279"/>
      <c r="M172" s="279"/>
      <c r="N172" s="279"/>
      <c r="O172" s="279"/>
      <c r="P172" s="279"/>
      <c r="Q172" s="328"/>
      <c r="R172" s="317"/>
      <c r="S172" s="311"/>
      <c r="T172" s="312"/>
      <c r="U172" s="312"/>
      <c r="V172" s="308"/>
      <c r="W172" s="324"/>
    </row>
    <row r="173" spans="1:23" s="283" customFormat="1" ht="12" customHeight="1">
      <c r="A173" s="279"/>
      <c r="B173" s="279"/>
      <c r="C173" s="279"/>
      <c r="D173" s="279"/>
      <c r="E173" s="279"/>
      <c r="F173" s="279"/>
      <c r="G173" s="279"/>
      <c r="H173" s="279"/>
      <c r="I173" s="279"/>
      <c r="J173" s="279"/>
      <c r="K173" s="279"/>
      <c r="L173" s="279"/>
      <c r="M173" s="279"/>
      <c r="N173" s="279"/>
      <c r="O173" s="279"/>
      <c r="P173" s="279"/>
      <c r="Q173" s="328"/>
      <c r="R173" s="360"/>
      <c r="S173" s="361"/>
      <c r="T173" s="362"/>
      <c r="U173" s="374"/>
      <c r="V173" s="345">
        <f>SUM(V161:V172)</f>
        <v>0</v>
      </c>
      <c r="W173" s="345">
        <f>SUM(W161:W172)</f>
        <v>0</v>
      </c>
    </row>
    <row r="174" spans="1:23" ht="12" customHeight="1">
      <c r="R174" s="317"/>
      <c r="S174" s="371"/>
      <c r="T174" s="318"/>
      <c r="U174" s="318"/>
      <c r="V174" s="308">
        <f t="shared" ref="V174:V181" si="47">ROUND(T174*U174,0)</f>
        <v>0</v>
      </c>
      <c r="W174" s="324"/>
    </row>
    <row r="175" spans="1:23" ht="12" customHeight="1">
      <c r="R175" s="363"/>
      <c r="S175" s="371"/>
      <c r="T175" s="312"/>
      <c r="U175" s="312"/>
      <c r="V175" s="308">
        <f t="shared" si="47"/>
        <v>0</v>
      </c>
      <c r="W175" s="308"/>
    </row>
    <row r="176" spans="1:23" ht="12" customHeight="1">
      <c r="R176" s="317"/>
      <c r="S176" s="311"/>
      <c r="T176" s="318"/>
      <c r="U176" s="318"/>
      <c r="V176" s="308">
        <f t="shared" si="47"/>
        <v>0</v>
      </c>
      <c r="W176" s="324"/>
    </row>
    <row r="177" spans="1:23" ht="12" customHeight="1">
      <c r="R177" s="317"/>
      <c r="S177" s="311"/>
      <c r="T177" s="318"/>
      <c r="U177" s="318"/>
      <c r="V177" s="308">
        <f t="shared" si="47"/>
        <v>0</v>
      </c>
      <c r="W177" s="324"/>
    </row>
    <row r="178" spans="1:23" ht="12" customHeight="1">
      <c r="R178" s="339"/>
      <c r="S178" s="311"/>
      <c r="T178" s="318"/>
      <c r="U178" s="318"/>
      <c r="V178" s="308">
        <f t="shared" si="47"/>
        <v>0</v>
      </c>
      <c r="W178" s="324"/>
    </row>
    <row r="179" spans="1:23" ht="12" customHeight="1">
      <c r="R179" s="339"/>
      <c r="S179" s="311"/>
      <c r="T179" s="318"/>
      <c r="U179" s="318"/>
      <c r="V179" s="308">
        <f t="shared" si="47"/>
        <v>0</v>
      </c>
      <c r="W179" s="324"/>
    </row>
    <row r="180" spans="1:23" ht="12" customHeight="1">
      <c r="R180" s="339"/>
      <c r="S180" s="311"/>
      <c r="T180" s="318"/>
      <c r="U180" s="318"/>
      <c r="V180" s="308">
        <f t="shared" si="47"/>
        <v>0</v>
      </c>
      <c r="W180" s="324"/>
    </row>
    <row r="181" spans="1:23" ht="12" customHeight="1">
      <c r="R181" s="339"/>
      <c r="S181" s="311"/>
      <c r="T181" s="318"/>
      <c r="U181" s="318"/>
      <c r="V181" s="308">
        <f t="shared" si="47"/>
        <v>0</v>
      </c>
      <c r="W181" s="324"/>
    </row>
    <row r="182" spans="1:23">
      <c r="R182" s="282"/>
      <c r="S182" s="289"/>
    </row>
    <row r="183" spans="1:23" ht="20.25" customHeight="1">
      <c r="A183" s="283" t="s">
        <v>230</v>
      </c>
      <c r="B183" s="283"/>
      <c r="C183" s="284"/>
      <c r="D183" s="285"/>
      <c r="E183" s="285"/>
      <c r="F183" s="285"/>
      <c r="G183" s="282"/>
      <c r="H183" s="282"/>
      <c r="I183" s="282"/>
      <c r="J183" s="282"/>
      <c r="K183" s="282"/>
      <c r="L183" s="286"/>
      <c r="M183" s="282"/>
      <c r="N183" s="282"/>
      <c r="O183" s="287"/>
      <c r="P183" s="282"/>
      <c r="R183" s="282"/>
      <c r="S183" s="289"/>
    </row>
    <row r="184" spans="1:23" ht="20.25" customHeight="1">
      <c r="A184" s="290" t="s">
        <v>285</v>
      </c>
      <c r="B184" s="290"/>
      <c r="C184" s="290"/>
      <c r="D184" s="290"/>
      <c r="E184" s="290"/>
      <c r="F184" s="290"/>
      <c r="G184" s="290"/>
      <c r="H184" s="290"/>
      <c r="I184" s="290"/>
      <c r="J184" s="290"/>
      <c r="K184" s="290"/>
      <c r="L184" s="290"/>
      <c r="M184" s="290"/>
      <c r="N184" s="290"/>
      <c r="O184" s="290"/>
      <c r="P184" s="290"/>
      <c r="Q184" s="288"/>
      <c r="R184" s="282"/>
      <c r="S184" s="289"/>
    </row>
    <row r="185" spans="1:23" ht="12" customHeight="1">
      <c r="A185" s="291"/>
      <c r="B185" s="291"/>
      <c r="C185" s="292"/>
      <c r="D185" s="291"/>
      <c r="E185" s="291"/>
      <c r="F185" s="291"/>
      <c r="G185" s="291"/>
      <c r="H185" s="291"/>
      <c r="I185" s="291"/>
      <c r="J185" s="291"/>
      <c r="K185" s="291"/>
      <c r="L185" s="290"/>
      <c r="M185" s="291"/>
      <c r="N185" s="291"/>
      <c r="O185" s="293"/>
      <c r="P185" s="291"/>
      <c r="Q185" s="288"/>
      <c r="R185" s="282"/>
      <c r="S185" s="289"/>
    </row>
    <row r="186" spans="1:23" ht="12" customHeight="1">
      <c r="A186" s="294"/>
      <c r="B186" s="294"/>
      <c r="C186" s="295"/>
      <c r="D186" s="294"/>
      <c r="E186" s="294"/>
      <c r="F186" s="294"/>
      <c r="G186" s="294"/>
      <c r="H186" s="294"/>
      <c r="I186" s="294"/>
      <c r="J186" s="294"/>
      <c r="K186" s="294"/>
      <c r="L186" s="294"/>
      <c r="M186" s="294"/>
      <c r="N186" s="294"/>
      <c r="O186" s="296"/>
      <c r="P186" s="294"/>
      <c r="Q186" s="288"/>
      <c r="R186" s="282"/>
      <c r="S186" s="289"/>
    </row>
    <row r="187" spans="1:23" ht="36.75" customHeight="1">
      <c r="A187" s="299" t="s">
        <v>30</v>
      </c>
      <c r="B187" s="299" t="s">
        <v>231</v>
      </c>
      <c r="C187" s="300" t="s">
        <v>232</v>
      </c>
      <c r="D187" s="301" t="s">
        <v>233</v>
      </c>
      <c r="E187" s="301" t="s">
        <v>242</v>
      </c>
      <c r="F187" s="301" t="s">
        <v>234</v>
      </c>
      <c r="G187" s="301" t="s">
        <v>235</v>
      </c>
      <c r="H187" s="301" t="s">
        <v>237</v>
      </c>
      <c r="I187" s="301" t="s">
        <v>236</v>
      </c>
      <c r="J187" s="301" t="s">
        <v>238</v>
      </c>
      <c r="K187" s="302" t="s">
        <v>351</v>
      </c>
      <c r="L187" s="301" t="s">
        <v>239</v>
      </c>
      <c r="M187" s="302" t="s">
        <v>240</v>
      </c>
      <c r="N187" s="301" t="s">
        <v>241</v>
      </c>
      <c r="O187" s="303" t="s">
        <v>242</v>
      </c>
      <c r="P187" s="301" t="s">
        <v>243</v>
      </c>
      <c r="Q187" s="288"/>
      <c r="R187" s="299" t="s">
        <v>231</v>
      </c>
      <c r="S187" s="301" t="s">
        <v>68</v>
      </c>
      <c r="T187" s="301" t="s">
        <v>53</v>
      </c>
      <c r="U187" s="301" t="s">
        <v>234</v>
      </c>
      <c r="V187" s="301" t="s">
        <v>89</v>
      </c>
      <c r="W187" s="299" t="s">
        <v>89</v>
      </c>
    </row>
    <row r="188" spans="1:23" s="305" customFormat="1" ht="13.5" customHeight="1">
      <c r="A188" s="306" t="str">
        <f>IF(B188&lt;&gt;"",ROW()-(ROW()-1),"")</f>
        <v/>
      </c>
      <c r="B188" s="307"/>
      <c r="C188" s="315">
        <f>IF(ISNA(VLOOKUP(B188,NXT!$Q$61:$S$81,2,0)),0,VLOOKUP(B188,NXT!$Q$61:$S$81,2,0))</f>
        <v>0</v>
      </c>
      <c r="D188" s="68">
        <f>ROUND(C188*O188,0)</f>
        <v>0</v>
      </c>
      <c r="E188" s="68"/>
      <c r="F188" s="68"/>
      <c r="G188" s="308">
        <f>(D188+E188)*F188</f>
        <v>0</v>
      </c>
      <c r="H188" s="68">
        <f>IF($E$194&lt;&gt;0,H$194/($D$194+$E$194/5)*($D188+$E188/5),0)</f>
        <v>0</v>
      </c>
      <c r="I188" s="68">
        <f>IF($D$194&lt;&gt;0,I$194/$D$194*$D188,0)</f>
        <v>0</v>
      </c>
      <c r="J188" s="68">
        <f t="shared" ref="J188:K192" si="48">IF($D$194&lt;&gt;0,J$194/$D$194*$D188,0)</f>
        <v>0</v>
      </c>
      <c r="K188" s="68">
        <f t="shared" si="48"/>
        <v>0</v>
      </c>
      <c r="L188" s="308"/>
      <c r="M188" s="68" t="e">
        <f>34560000/($O$68+#REF!+#REF!)*O188</f>
        <v>#REF!</v>
      </c>
      <c r="N188" s="308">
        <f>ROUND(SUM(G188:L188),0)</f>
        <v>0</v>
      </c>
      <c r="O188" s="68"/>
      <c r="P188" s="68">
        <f t="shared" ref="P188:P192" si="49">IF(N188&lt;&gt;0,N188/O188,0)</f>
        <v>0</v>
      </c>
      <c r="Q188" s="304"/>
      <c r="R188" s="310"/>
      <c r="S188" s="371"/>
      <c r="T188" s="312"/>
      <c r="U188" s="312"/>
      <c r="V188" s="308">
        <f t="shared" ref="V188:V197" si="50">ROUND(T188*U188,0)</f>
        <v>0</v>
      </c>
      <c r="W188" s="308"/>
    </row>
    <row r="189" spans="1:23" ht="13.5" customHeight="1">
      <c r="A189" s="306" t="str">
        <f t="shared" ref="A189:A192" si="51">IF(B189&lt;&gt;"",A188+1,"")</f>
        <v/>
      </c>
      <c r="B189" s="307"/>
      <c r="C189" s="315">
        <f>IF(ISNA(VLOOKUP(B189,NXT!$Q$61:$S$81,2,0)),0,VLOOKUP(B189,NXT!$Q$61:$S$81,2,0))</f>
        <v>0</v>
      </c>
      <c r="D189" s="68">
        <f>ROUND(C189*O189,0)</f>
        <v>0</v>
      </c>
      <c r="E189" s="68"/>
      <c r="F189" s="68"/>
      <c r="G189" s="308">
        <f t="shared" ref="G189" si="52">(D189+E189)*F189</f>
        <v>0</v>
      </c>
      <c r="H189" s="68">
        <f>IF($E$194&lt;&gt;0,H$194/($D$194+$E$194/5)*($D189+$E189/5),0)</f>
        <v>0</v>
      </c>
      <c r="I189" s="68">
        <f>IF($D$194&lt;&gt;0,I$194/$D$194*$D189,0)</f>
        <v>0</v>
      </c>
      <c r="J189" s="68">
        <f t="shared" si="48"/>
        <v>0</v>
      </c>
      <c r="K189" s="68">
        <f t="shared" si="48"/>
        <v>0</v>
      </c>
      <c r="L189" s="308"/>
      <c r="M189" s="68"/>
      <c r="N189" s="308">
        <f>ROUND(SUM(G189:L189),0)</f>
        <v>0</v>
      </c>
      <c r="O189" s="68"/>
      <c r="P189" s="68">
        <f t="shared" si="49"/>
        <v>0</v>
      </c>
      <c r="Q189" s="328"/>
      <c r="R189" s="317"/>
      <c r="S189" s="371"/>
      <c r="T189" s="312"/>
      <c r="U189" s="312"/>
      <c r="V189" s="308">
        <f t="shared" si="50"/>
        <v>0</v>
      </c>
      <c r="W189" s="324"/>
    </row>
    <row r="190" spans="1:23" ht="13.5" customHeight="1">
      <c r="A190" s="306" t="str">
        <f t="shared" si="51"/>
        <v/>
      </c>
      <c r="B190" s="307"/>
      <c r="C190" s="315">
        <f>IF(ISNA(VLOOKUP(B190,NXT!$Q$61:$S$81,2,0)),0,VLOOKUP(B190,NXT!$Q$61:$S$81,2,0))</f>
        <v>0</v>
      </c>
      <c r="D190" s="68">
        <f>ROUND(C190*O190,0)</f>
        <v>0</v>
      </c>
      <c r="E190" s="68"/>
      <c r="F190" s="68"/>
      <c r="G190" s="308">
        <f t="shared" ref="G190:G192" si="53">(D190+E190)*F190</f>
        <v>0</v>
      </c>
      <c r="H190" s="68">
        <f>IF($E$194&lt;&gt;0,H$194/($D$194+$E$194/5)*($D190+$E190/5),0)</f>
        <v>0</v>
      </c>
      <c r="I190" s="68">
        <f>IF($D$194&lt;&gt;0,I$194/$D$194*$D190,0)</f>
        <v>0</v>
      </c>
      <c r="J190" s="68">
        <f t="shared" si="48"/>
        <v>0</v>
      </c>
      <c r="K190" s="68">
        <f t="shared" si="48"/>
        <v>0</v>
      </c>
      <c r="L190" s="308"/>
      <c r="M190" s="68"/>
      <c r="N190" s="308">
        <f>ROUND(SUM(G190:L190),0)</f>
        <v>0</v>
      </c>
      <c r="O190" s="316"/>
      <c r="P190" s="68">
        <f t="shared" si="49"/>
        <v>0</v>
      </c>
      <c r="Q190" s="328"/>
      <c r="R190" s="317"/>
      <c r="S190" s="371"/>
      <c r="T190" s="312"/>
      <c r="U190" s="312"/>
      <c r="V190" s="308">
        <f t="shared" si="50"/>
        <v>0</v>
      </c>
      <c r="W190" s="324"/>
    </row>
    <row r="191" spans="1:23">
      <c r="A191" s="306" t="str">
        <f t="shared" si="51"/>
        <v/>
      </c>
      <c r="B191" s="307"/>
      <c r="C191" s="315">
        <f>IF(ISNA(VLOOKUP(B191,NXT!$Q$61:$S$81,2,0)),0,VLOOKUP(B191,NXT!$Q$61:$S$81,2,0))</f>
        <v>0</v>
      </c>
      <c r="D191" s="68">
        <f>ROUND(C191*O191,0)</f>
        <v>0</v>
      </c>
      <c r="E191" s="68"/>
      <c r="F191" s="68"/>
      <c r="G191" s="308">
        <f t="shared" si="53"/>
        <v>0</v>
      </c>
      <c r="H191" s="68">
        <f>IF($E$194&lt;&gt;0,H$194/($D$194+$E$194/5)*($D191+$E191/5),0)</f>
        <v>0</v>
      </c>
      <c r="I191" s="68">
        <f>IF($D$194&lt;&gt;0,I$194/$D$194*$D191,0)</f>
        <v>0</v>
      </c>
      <c r="J191" s="68">
        <f t="shared" si="48"/>
        <v>0</v>
      </c>
      <c r="K191" s="68">
        <f t="shared" si="48"/>
        <v>0</v>
      </c>
      <c r="L191" s="308"/>
      <c r="M191" s="68"/>
      <c r="N191" s="308">
        <f>ROUND(SUM(G191:L191),0)</f>
        <v>0</v>
      </c>
      <c r="O191" s="316"/>
      <c r="P191" s="68">
        <f t="shared" si="49"/>
        <v>0</v>
      </c>
      <c r="Q191" s="328"/>
      <c r="R191" s="317"/>
      <c r="S191" s="371"/>
      <c r="T191" s="312"/>
      <c r="U191" s="312"/>
      <c r="V191" s="308">
        <f t="shared" si="50"/>
        <v>0</v>
      </c>
      <c r="W191" s="324"/>
    </row>
    <row r="192" spans="1:23">
      <c r="A192" s="306" t="str">
        <f t="shared" si="51"/>
        <v/>
      </c>
      <c r="B192" s="307"/>
      <c r="C192" s="315">
        <f>IF(ISNA(VLOOKUP(B192,NXT!$Q$61:$S$81,2,0)),0,VLOOKUP(B192,NXT!$Q$61:$S$81,2,0))</f>
        <v>0</v>
      </c>
      <c r="D192" s="68">
        <f>ROUND(C192*O192,0)</f>
        <v>0</v>
      </c>
      <c r="E192" s="68"/>
      <c r="F192" s="68"/>
      <c r="G192" s="308">
        <f t="shared" si="53"/>
        <v>0</v>
      </c>
      <c r="H192" s="68">
        <f>IF($E$194&lt;&gt;0,H$194/($D$194+$E$194/5)*($D192+$E192/5),0)</f>
        <v>0</v>
      </c>
      <c r="I192" s="68">
        <f>IF($D$194&lt;&gt;0,I$194/$D$194*$D192,0)</f>
        <v>0</v>
      </c>
      <c r="J192" s="68">
        <f t="shared" si="48"/>
        <v>0</v>
      </c>
      <c r="K192" s="68">
        <f t="shared" si="48"/>
        <v>0</v>
      </c>
      <c r="L192" s="68"/>
      <c r="M192" s="68"/>
      <c r="N192" s="308">
        <f>ROUND(SUM(G192:L192),0)</f>
        <v>0</v>
      </c>
      <c r="O192" s="316"/>
      <c r="P192" s="68">
        <f t="shared" si="49"/>
        <v>0</v>
      </c>
      <c r="Q192" s="328"/>
      <c r="R192" s="317"/>
      <c r="S192" s="371"/>
      <c r="T192" s="312"/>
      <c r="U192" s="312"/>
      <c r="V192" s="308">
        <f t="shared" si="50"/>
        <v>0</v>
      </c>
      <c r="W192" s="324"/>
    </row>
    <row r="193" spans="1:23">
      <c r="A193" s="306" t="str">
        <f>IF(B193&lt;&gt;"",#REF!+1,"")</f>
        <v/>
      </c>
      <c r="B193" s="320"/>
      <c r="C193" s="321"/>
      <c r="D193" s="322"/>
      <c r="E193" s="322"/>
      <c r="F193" s="322"/>
      <c r="G193" s="323"/>
      <c r="H193" s="365"/>
      <c r="I193" s="322"/>
      <c r="J193" s="324"/>
      <c r="K193" s="322"/>
      <c r="L193" s="325"/>
      <c r="M193" s="322"/>
      <c r="N193" s="326"/>
      <c r="O193" s="327"/>
      <c r="P193" s="322"/>
      <c r="Q193" s="328"/>
      <c r="R193" s="317"/>
      <c r="S193" s="371"/>
      <c r="T193" s="312"/>
      <c r="U193" s="312"/>
      <c r="V193" s="308">
        <f t="shared" si="50"/>
        <v>0</v>
      </c>
      <c r="W193" s="324"/>
    </row>
    <row r="194" spans="1:23">
      <c r="A194" s="330"/>
      <c r="B194" s="331" t="s">
        <v>244</v>
      </c>
      <c r="C194" s="332"/>
      <c r="D194" s="333">
        <f>SUM(D188:D192)</f>
        <v>0</v>
      </c>
      <c r="E194" s="333">
        <f>SUM(E188:E192)</f>
        <v>0</v>
      </c>
      <c r="F194" s="333"/>
      <c r="G194" s="333">
        <f>SUM(G188:G192)</f>
        <v>0</v>
      </c>
      <c r="H194" s="334"/>
      <c r="I194" s="334">
        <f>V199</f>
        <v>0</v>
      </c>
      <c r="J194" s="334"/>
      <c r="K194" s="334"/>
      <c r="L194" s="333">
        <f>ROUND(SUM(L188:L193),0)</f>
        <v>0</v>
      </c>
      <c r="M194" s="333" t="e">
        <f>ROUND(SUM(M188:M193),0)</f>
        <v>#REF!</v>
      </c>
      <c r="N194" s="333">
        <f>ROUND(SUM(N188:N193),0)</f>
        <v>0</v>
      </c>
      <c r="O194" s="333">
        <f>ROUND(SUM(O188:O193),0)</f>
        <v>0</v>
      </c>
      <c r="P194" s="333"/>
      <c r="Q194" s="328"/>
      <c r="R194" s="317"/>
      <c r="S194" s="371"/>
      <c r="T194" s="312"/>
      <c r="U194" s="312"/>
      <c r="V194" s="308">
        <f t="shared" si="50"/>
        <v>0</v>
      </c>
      <c r="W194" s="324"/>
    </row>
    <row r="195" spans="1:23">
      <c r="Q195" s="328"/>
      <c r="R195" s="317"/>
      <c r="S195" s="371"/>
      <c r="T195" s="339"/>
      <c r="U195" s="318"/>
      <c r="V195" s="308">
        <f t="shared" si="50"/>
        <v>0</v>
      </c>
      <c r="W195" s="324"/>
    </row>
    <row r="196" spans="1:23">
      <c r="Q196" s="328"/>
      <c r="R196" s="341"/>
      <c r="S196" s="371"/>
      <c r="T196" s="339"/>
      <c r="U196" s="318"/>
      <c r="V196" s="308">
        <f t="shared" si="50"/>
        <v>0</v>
      </c>
      <c r="W196" s="324"/>
    </row>
    <row r="197" spans="1:23">
      <c r="Q197" s="328"/>
      <c r="R197" s="37"/>
      <c r="S197" s="371"/>
      <c r="T197" s="312"/>
      <c r="U197" s="312"/>
      <c r="V197" s="308">
        <f t="shared" si="50"/>
        <v>0</v>
      </c>
      <c r="W197" s="324"/>
    </row>
    <row r="198" spans="1:23" s="329" customFormat="1">
      <c r="A198" s="279"/>
      <c r="B198" s="279"/>
      <c r="C198" s="279"/>
      <c r="D198" s="279"/>
      <c r="E198" s="279"/>
      <c r="F198" s="279"/>
      <c r="G198" s="279"/>
      <c r="H198" s="279"/>
      <c r="I198" s="279"/>
      <c r="J198" s="279"/>
      <c r="K198" s="279"/>
      <c r="L198" s="279"/>
      <c r="M198" s="279"/>
      <c r="N198" s="279"/>
      <c r="O198" s="279"/>
      <c r="P198" s="279"/>
      <c r="Q198" s="328"/>
      <c r="R198" s="317"/>
      <c r="S198" s="311"/>
      <c r="T198" s="312"/>
      <c r="U198" s="312"/>
      <c r="V198" s="308"/>
      <c r="W198" s="324"/>
    </row>
    <row r="199" spans="1:23" s="283" customFormat="1">
      <c r="A199" s="279"/>
      <c r="B199" s="279"/>
      <c r="C199" s="279"/>
      <c r="D199" s="279"/>
      <c r="E199" s="279"/>
      <c r="F199" s="279"/>
      <c r="G199" s="279"/>
      <c r="H199" s="279"/>
      <c r="I199" s="279"/>
      <c r="J199" s="279"/>
      <c r="K199" s="279"/>
      <c r="L199" s="279"/>
      <c r="M199" s="279"/>
      <c r="N199" s="279"/>
      <c r="O199" s="279"/>
      <c r="P199" s="279"/>
      <c r="Q199" s="328"/>
      <c r="R199" s="360"/>
      <c r="S199" s="361"/>
      <c r="T199" s="362"/>
      <c r="U199" s="374"/>
      <c r="V199" s="345">
        <f>SUM(V188:V198)</f>
        <v>0</v>
      </c>
      <c r="W199" s="345">
        <f>SUM(W188:W198)</f>
        <v>0</v>
      </c>
    </row>
    <row r="200" spans="1:23">
      <c r="R200" s="363"/>
      <c r="S200" s="371"/>
      <c r="T200" s="312"/>
      <c r="U200" s="312"/>
      <c r="V200" s="308">
        <f t="shared" ref="V200:V207" si="54">ROUND(T200*U200,0)</f>
        <v>0</v>
      </c>
      <c r="W200" s="308"/>
    </row>
    <row r="201" spans="1:23">
      <c r="R201" s="363"/>
      <c r="S201" s="371"/>
      <c r="T201" s="318"/>
      <c r="U201" s="318"/>
      <c r="V201" s="308">
        <f t="shared" si="54"/>
        <v>0</v>
      </c>
      <c r="W201" s="324"/>
    </row>
    <row r="202" spans="1:23">
      <c r="R202" s="317"/>
      <c r="S202" s="371"/>
      <c r="T202" s="318"/>
      <c r="U202" s="318"/>
      <c r="V202" s="308">
        <f t="shared" si="54"/>
        <v>0</v>
      </c>
      <c r="W202" s="324"/>
    </row>
    <row r="203" spans="1:23">
      <c r="R203" s="339"/>
      <c r="S203" s="371"/>
      <c r="T203" s="318"/>
      <c r="U203" s="318"/>
      <c r="V203" s="308">
        <f t="shared" si="54"/>
        <v>0</v>
      </c>
      <c r="W203" s="324"/>
    </row>
    <row r="204" spans="1:23">
      <c r="R204" s="317"/>
      <c r="S204" s="311"/>
      <c r="T204" s="318"/>
      <c r="U204" s="318"/>
      <c r="V204" s="308">
        <f t="shared" si="54"/>
        <v>0</v>
      </c>
      <c r="W204" s="324"/>
    </row>
    <row r="205" spans="1:23">
      <c r="R205" s="317"/>
      <c r="S205" s="311"/>
      <c r="T205" s="318"/>
      <c r="U205" s="318"/>
      <c r="V205" s="308">
        <f t="shared" si="54"/>
        <v>0</v>
      </c>
      <c r="W205" s="324"/>
    </row>
    <row r="206" spans="1:23">
      <c r="R206" s="339"/>
      <c r="S206" s="311"/>
      <c r="T206" s="318"/>
      <c r="U206" s="318"/>
      <c r="V206" s="308">
        <f t="shared" si="54"/>
        <v>0</v>
      </c>
      <c r="W206" s="324"/>
    </row>
    <row r="207" spans="1:23">
      <c r="R207" s="339"/>
      <c r="S207" s="311"/>
      <c r="T207" s="318"/>
      <c r="U207" s="318"/>
      <c r="V207" s="308">
        <f t="shared" si="54"/>
        <v>0</v>
      </c>
      <c r="W207" s="324"/>
    </row>
    <row r="208" spans="1:23">
      <c r="A208" s="291"/>
      <c r="B208" s="291"/>
      <c r="C208" s="292"/>
      <c r="D208" s="291"/>
      <c r="E208" s="291"/>
      <c r="F208" s="291"/>
      <c r="G208" s="291"/>
      <c r="H208" s="291"/>
      <c r="I208" s="291"/>
      <c r="J208" s="291"/>
      <c r="K208" s="291"/>
      <c r="L208" s="290"/>
      <c r="M208" s="291"/>
      <c r="N208" s="291"/>
      <c r="O208" s="293"/>
      <c r="P208" s="291"/>
      <c r="R208" s="282"/>
      <c r="S208" s="289"/>
    </row>
    <row r="209" spans="1:23" ht="18.75" customHeight="1">
      <c r="A209" s="298"/>
      <c r="B209" s="298"/>
      <c r="C209" s="377"/>
      <c r="D209" s="298"/>
      <c r="E209" s="427"/>
      <c r="F209" s="298"/>
      <c r="G209" s="298"/>
      <c r="H209" s="298"/>
      <c r="I209" s="298"/>
      <c r="J209" s="298"/>
      <c r="K209" s="298"/>
      <c r="L209" s="298"/>
      <c r="M209" s="298"/>
      <c r="N209" s="298"/>
      <c r="O209" s="351"/>
      <c r="P209" s="298"/>
      <c r="Q209" s="288"/>
      <c r="R209" s="282"/>
      <c r="S209" s="289"/>
    </row>
    <row r="210" spans="1:23" ht="20.25" customHeight="1">
      <c r="A210" s="283" t="s">
        <v>230</v>
      </c>
      <c r="B210" s="283"/>
      <c r="C210" s="284"/>
      <c r="D210" s="285"/>
      <c r="E210" s="285"/>
      <c r="F210" s="285"/>
      <c r="G210" s="282"/>
      <c r="H210" s="282"/>
      <c r="I210" s="282"/>
      <c r="J210" s="282"/>
      <c r="K210" s="282"/>
      <c r="L210" s="286"/>
      <c r="M210" s="282"/>
      <c r="N210" s="282"/>
      <c r="O210" s="287"/>
      <c r="P210" s="282"/>
      <c r="Q210" s="288"/>
      <c r="R210" s="282"/>
      <c r="S210" s="289"/>
    </row>
    <row r="211" spans="1:23" ht="20.25" customHeight="1">
      <c r="A211" s="290" t="s">
        <v>286</v>
      </c>
      <c r="B211" s="290"/>
      <c r="C211" s="290"/>
      <c r="D211" s="290"/>
      <c r="E211" s="290"/>
      <c r="F211" s="290"/>
      <c r="G211" s="290"/>
      <c r="H211" s="290"/>
      <c r="I211" s="290"/>
      <c r="J211" s="290"/>
      <c r="K211" s="290"/>
      <c r="L211" s="290"/>
      <c r="M211" s="290"/>
      <c r="N211" s="290"/>
      <c r="O211" s="290"/>
      <c r="P211" s="290"/>
      <c r="Q211" s="288"/>
      <c r="R211" s="282"/>
      <c r="S211" s="289"/>
    </row>
    <row r="212" spans="1:23" ht="12" customHeight="1">
      <c r="A212" s="291"/>
      <c r="B212" s="291"/>
      <c r="C212" s="292"/>
      <c r="D212" s="291"/>
      <c r="E212" s="291"/>
      <c r="F212" s="291"/>
      <c r="G212" s="291"/>
      <c r="H212" s="291"/>
      <c r="I212" s="291"/>
      <c r="J212" s="291"/>
      <c r="K212" s="291"/>
      <c r="L212" s="290"/>
      <c r="M212" s="291"/>
      <c r="N212" s="291"/>
      <c r="O212" s="293"/>
      <c r="P212" s="291"/>
      <c r="Q212" s="288"/>
      <c r="R212" s="282"/>
      <c r="S212" s="289"/>
    </row>
    <row r="213" spans="1:23" ht="12" customHeight="1">
      <c r="A213" s="294"/>
      <c r="B213" s="294"/>
      <c r="C213" s="295"/>
      <c r="D213" s="294"/>
      <c r="E213" s="294"/>
      <c r="F213" s="294"/>
      <c r="G213" s="294"/>
      <c r="H213" s="294"/>
      <c r="I213" s="294"/>
      <c r="J213" s="294"/>
      <c r="K213" s="294"/>
      <c r="L213" s="294"/>
      <c r="M213" s="294"/>
      <c r="N213" s="294"/>
      <c r="O213" s="296"/>
      <c r="P213" s="294"/>
      <c r="Q213" s="288"/>
      <c r="R213" s="282"/>
      <c r="S213" s="289"/>
    </row>
    <row r="214" spans="1:23" ht="36.75" customHeight="1">
      <c r="A214" s="299" t="s">
        <v>30</v>
      </c>
      <c r="B214" s="299" t="s">
        <v>231</v>
      </c>
      <c r="C214" s="300" t="s">
        <v>232</v>
      </c>
      <c r="D214" s="301" t="s">
        <v>233</v>
      </c>
      <c r="E214" s="301" t="s">
        <v>242</v>
      </c>
      <c r="F214" s="301" t="s">
        <v>234</v>
      </c>
      <c r="G214" s="301" t="s">
        <v>235</v>
      </c>
      <c r="H214" s="301" t="s">
        <v>237</v>
      </c>
      <c r="I214" s="301" t="s">
        <v>236</v>
      </c>
      <c r="J214" s="301" t="s">
        <v>238</v>
      </c>
      <c r="K214" s="302" t="s">
        <v>351</v>
      </c>
      <c r="L214" s="301" t="s">
        <v>239</v>
      </c>
      <c r="M214" s="302" t="s">
        <v>240</v>
      </c>
      <c r="N214" s="301" t="s">
        <v>241</v>
      </c>
      <c r="O214" s="303" t="s">
        <v>242</v>
      </c>
      <c r="P214" s="301" t="s">
        <v>243</v>
      </c>
      <c r="Q214" s="288"/>
      <c r="R214" s="299" t="s">
        <v>231</v>
      </c>
      <c r="S214" s="301" t="s">
        <v>68</v>
      </c>
      <c r="T214" s="301" t="s">
        <v>53</v>
      </c>
      <c r="U214" s="301" t="s">
        <v>234</v>
      </c>
      <c r="V214" s="301" t="s">
        <v>89</v>
      </c>
      <c r="W214" s="299" t="s">
        <v>89</v>
      </c>
    </row>
    <row r="215" spans="1:23" s="305" customFormat="1" ht="13.5" customHeight="1">
      <c r="A215" s="306" t="str">
        <f>IF(B215&lt;&gt;"",ROW()-(ROW()-1),"")</f>
        <v/>
      </c>
      <c r="B215" s="307"/>
      <c r="C215" s="315">
        <f>IF(ISNA(VLOOKUP(B215,NXT!$Q$61:$S$81,2,0)),0,VLOOKUP(B215,NXT!$Q$61:$S$81,2,0))</f>
        <v>0</v>
      </c>
      <c r="D215" s="68">
        <f t="shared" ref="D215:D220" si="55">ROUND(C215*O215,0)</f>
        <v>0</v>
      </c>
      <c r="E215" s="68"/>
      <c r="F215" s="68"/>
      <c r="G215" s="308">
        <f t="shared" ref="G215" si="56">(D215+E215)*F215</f>
        <v>0</v>
      </c>
      <c r="H215" s="68">
        <f t="shared" ref="H215:H220" si="57">IF($D$222&lt;&gt;0,H$222/($D$222+$E$222/4)*($D215+$E215/4),0)</f>
        <v>0</v>
      </c>
      <c r="I215" s="68">
        <f t="shared" ref="I215:I220" si="58">IF($D$222&lt;&gt;0,I$222/$D$222*$D215,0)</f>
        <v>0</v>
      </c>
      <c r="J215" s="68">
        <f t="shared" ref="J215:K220" si="59">IF($D$222&lt;&gt;0,J$222/$D$222*$D215,0)</f>
        <v>0</v>
      </c>
      <c r="K215" s="68">
        <f t="shared" si="59"/>
        <v>0</v>
      </c>
      <c r="L215" s="68"/>
      <c r="M215" s="68"/>
      <c r="N215" s="308">
        <f t="shared" ref="N215:N220" si="60">ROUND(SUM(G215:L215),0)</f>
        <v>0</v>
      </c>
      <c r="O215" s="316"/>
      <c r="P215" s="68">
        <f t="shared" ref="P215:P217" si="61">IF(N215&lt;&gt;0,N215/O215,0)</f>
        <v>0</v>
      </c>
      <c r="Q215" s="304"/>
      <c r="R215" s="310"/>
      <c r="S215" s="371"/>
      <c r="T215" s="312"/>
      <c r="U215" s="312"/>
      <c r="V215" s="308">
        <f t="shared" ref="V215:V224" si="62">ROUND(T215*U215,0)</f>
        <v>0</v>
      </c>
      <c r="W215" s="308"/>
    </row>
    <row r="216" spans="1:23" ht="13.5" customHeight="1">
      <c r="A216" s="306" t="str">
        <f t="shared" ref="A216:A221" si="63">IF(B216&lt;&gt;"",A215+1,"")</f>
        <v/>
      </c>
      <c r="B216" s="307"/>
      <c r="C216" s="315">
        <f>IF(ISNA(VLOOKUP(B216,NXT!$Q$61:$S$81,2,0)),0,VLOOKUP(B216,NXT!$Q$61:$S$81,2,0))</f>
        <v>0</v>
      </c>
      <c r="D216" s="68">
        <f t="shared" si="55"/>
        <v>0</v>
      </c>
      <c r="E216" s="68"/>
      <c r="F216" s="68"/>
      <c r="G216" s="308">
        <f>(D216+E216)*F216</f>
        <v>0</v>
      </c>
      <c r="H216" s="68">
        <f t="shared" si="57"/>
        <v>0</v>
      </c>
      <c r="I216" s="68">
        <f>IF($D$222&lt;&gt;0,I$222/$D$222*$D216,0)</f>
        <v>0</v>
      </c>
      <c r="J216" s="68">
        <f t="shared" si="59"/>
        <v>0</v>
      </c>
      <c r="K216" s="68">
        <f t="shared" si="59"/>
        <v>0</v>
      </c>
      <c r="L216" s="308"/>
      <c r="M216" s="68" t="e">
        <f>34560000/($O$68+#REF!+#REF!)*O216</f>
        <v>#REF!</v>
      </c>
      <c r="N216" s="308">
        <f t="shared" si="60"/>
        <v>0</v>
      </c>
      <c r="O216" s="68"/>
      <c r="P216" s="68">
        <f t="shared" si="61"/>
        <v>0</v>
      </c>
      <c r="Q216" s="328"/>
      <c r="R216" s="317"/>
      <c r="S216" s="371"/>
      <c r="T216" s="312"/>
      <c r="U216" s="312"/>
      <c r="V216" s="308">
        <f t="shared" si="62"/>
        <v>0</v>
      </c>
      <c r="W216" s="324"/>
    </row>
    <row r="217" spans="1:23" ht="13.5" customHeight="1">
      <c r="A217" s="306" t="str">
        <f t="shared" si="63"/>
        <v/>
      </c>
      <c r="B217" s="41"/>
      <c r="C217" s="315">
        <f>IF(ISNA(VLOOKUP(B217,NXT!$Q$61:$S$81,2,0)),0,VLOOKUP(B217,NXT!$Q$61:$S$81,2,0))</f>
        <v>0</v>
      </c>
      <c r="D217" s="68">
        <f t="shared" si="55"/>
        <v>0</v>
      </c>
      <c r="E217" s="68"/>
      <c r="F217" s="68"/>
      <c r="G217" s="308">
        <f t="shared" ref="G217" si="64">(D217+E217)*F217</f>
        <v>0</v>
      </c>
      <c r="H217" s="68">
        <f t="shared" si="57"/>
        <v>0</v>
      </c>
      <c r="I217" s="68">
        <f t="shared" si="58"/>
        <v>0</v>
      </c>
      <c r="J217" s="68">
        <f t="shared" si="59"/>
        <v>0</v>
      </c>
      <c r="K217" s="68">
        <f t="shared" si="59"/>
        <v>0</v>
      </c>
      <c r="L217" s="68"/>
      <c r="M217" s="68"/>
      <c r="N217" s="308">
        <f t="shared" si="60"/>
        <v>0</v>
      </c>
      <c r="O217" s="316"/>
      <c r="P217" s="68">
        <f t="shared" si="61"/>
        <v>0</v>
      </c>
      <c r="Q217" s="328"/>
      <c r="R217" s="317"/>
      <c r="S217" s="371"/>
      <c r="T217" s="312"/>
      <c r="U217" s="312"/>
      <c r="V217" s="308">
        <f t="shared" si="62"/>
        <v>0</v>
      </c>
      <c r="W217" s="324"/>
    </row>
    <row r="218" spans="1:23" ht="13.5" customHeight="1">
      <c r="A218" s="306" t="str">
        <f t="shared" si="63"/>
        <v/>
      </c>
      <c r="B218" s="307"/>
      <c r="C218" s="315">
        <f>IF(ISNA(VLOOKUP(B218,NXT!$Q$61:$S$81,2,0)),0,VLOOKUP(B218,NXT!$Q$61:$S$81,2,0))</f>
        <v>0</v>
      </c>
      <c r="D218" s="68">
        <f t="shared" si="55"/>
        <v>0</v>
      </c>
      <c r="E218" s="68"/>
      <c r="F218" s="68"/>
      <c r="G218" s="308">
        <f t="shared" ref="G218:G220" si="65">(D218+E218)*F218</f>
        <v>0</v>
      </c>
      <c r="H218" s="68">
        <f t="shared" si="57"/>
        <v>0</v>
      </c>
      <c r="I218" s="68">
        <f t="shared" si="58"/>
        <v>0</v>
      </c>
      <c r="J218" s="68">
        <f t="shared" si="59"/>
        <v>0</v>
      </c>
      <c r="K218" s="68">
        <f t="shared" si="59"/>
        <v>0</v>
      </c>
      <c r="L218" s="68"/>
      <c r="M218" s="68"/>
      <c r="N218" s="308">
        <f t="shared" si="60"/>
        <v>0</v>
      </c>
      <c r="O218" s="316"/>
      <c r="P218" s="68">
        <f t="shared" ref="P218:P220" si="66">IF(N218&lt;&gt;0,N218/O218,0)</f>
        <v>0</v>
      </c>
      <c r="Q218" s="328"/>
      <c r="R218" s="317"/>
      <c r="S218" s="371"/>
      <c r="T218" s="312"/>
      <c r="U218" s="312"/>
      <c r="V218" s="308">
        <f t="shared" si="62"/>
        <v>0</v>
      </c>
      <c r="W218" s="324"/>
    </row>
    <row r="219" spans="1:23" ht="13.5" customHeight="1">
      <c r="A219" s="306" t="str">
        <f t="shared" si="63"/>
        <v/>
      </c>
      <c r="B219" s="307"/>
      <c r="C219" s="315">
        <f>IF(ISNA(VLOOKUP(B219,NXT!$Q$61:$S$81,2,0)),0,VLOOKUP(B219,NXT!$Q$61:$S$81,2,0))</f>
        <v>0</v>
      </c>
      <c r="D219" s="68">
        <f t="shared" si="55"/>
        <v>0</v>
      </c>
      <c r="E219" s="68"/>
      <c r="F219" s="68"/>
      <c r="G219" s="308">
        <f t="shared" si="65"/>
        <v>0</v>
      </c>
      <c r="H219" s="68">
        <f t="shared" si="57"/>
        <v>0</v>
      </c>
      <c r="I219" s="68">
        <f t="shared" si="58"/>
        <v>0</v>
      </c>
      <c r="J219" s="68">
        <f t="shared" si="59"/>
        <v>0</v>
      </c>
      <c r="K219" s="68">
        <f t="shared" si="59"/>
        <v>0</v>
      </c>
      <c r="L219" s="68"/>
      <c r="M219" s="68"/>
      <c r="N219" s="308">
        <f t="shared" si="60"/>
        <v>0</v>
      </c>
      <c r="O219" s="316"/>
      <c r="P219" s="68">
        <f t="shared" si="66"/>
        <v>0</v>
      </c>
      <c r="Q219" s="328"/>
      <c r="R219" s="317"/>
      <c r="S219" s="371"/>
      <c r="T219" s="312"/>
      <c r="U219" s="312"/>
      <c r="V219" s="308">
        <f t="shared" si="62"/>
        <v>0</v>
      </c>
      <c r="W219" s="324"/>
    </row>
    <row r="220" spans="1:23">
      <c r="A220" s="306" t="str">
        <f t="shared" si="63"/>
        <v/>
      </c>
      <c r="B220" s="307"/>
      <c r="C220" s="315">
        <f>IF(ISNA(VLOOKUP(B220,NXT!$Q$61:$S$81,2,0)),0,VLOOKUP(B220,NXT!$Q$61:$S$81,2,0))</f>
        <v>0</v>
      </c>
      <c r="D220" s="68">
        <f t="shared" si="55"/>
        <v>0</v>
      </c>
      <c r="E220" s="68"/>
      <c r="F220" s="68"/>
      <c r="G220" s="308">
        <f t="shared" si="65"/>
        <v>0</v>
      </c>
      <c r="H220" s="68">
        <f t="shared" si="57"/>
        <v>0</v>
      </c>
      <c r="I220" s="68">
        <f t="shared" si="58"/>
        <v>0</v>
      </c>
      <c r="J220" s="68">
        <f t="shared" si="59"/>
        <v>0</v>
      </c>
      <c r="K220" s="68">
        <f t="shared" si="59"/>
        <v>0</v>
      </c>
      <c r="L220" s="68"/>
      <c r="M220" s="68"/>
      <c r="N220" s="308">
        <f t="shared" si="60"/>
        <v>0</v>
      </c>
      <c r="O220" s="316"/>
      <c r="P220" s="68">
        <f t="shared" si="66"/>
        <v>0</v>
      </c>
      <c r="Q220" s="328"/>
      <c r="R220" s="317"/>
      <c r="S220" s="371"/>
      <c r="T220" s="312"/>
      <c r="U220" s="318"/>
      <c r="V220" s="308">
        <f t="shared" si="62"/>
        <v>0</v>
      </c>
      <c r="W220" s="324"/>
    </row>
    <row r="221" spans="1:23">
      <c r="A221" s="306" t="str">
        <f t="shared" si="63"/>
        <v/>
      </c>
      <c r="B221" s="320"/>
      <c r="C221" s="321"/>
      <c r="D221" s="322"/>
      <c r="E221" s="322"/>
      <c r="F221" s="322"/>
      <c r="G221" s="323"/>
      <c r="H221" s="365"/>
      <c r="I221" s="322"/>
      <c r="J221" s="324"/>
      <c r="K221" s="322"/>
      <c r="L221" s="325"/>
      <c r="M221" s="322"/>
      <c r="N221" s="326"/>
      <c r="O221" s="327"/>
      <c r="P221" s="322"/>
      <c r="Q221" s="328"/>
      <c r="R221" s="317"/>
      <c r="S221" s="372"/>
      <c r="T221" s="312"/>
      <c r="U221" s="312"/>
      <c r="V221" s="308">
        <f t="shared" si="62"/>
        <v>0</v>
      </c>
      <c r="W221" s="324"/>
    </row>
    <row r="222" spans="1:23" s="329" customFormat="1">
      <c r="A222" s="330"/>
      <c r="B222" s="331" t="s">
        <v>244</v>
      </c>
      <c r="C222" s="332"/>
      <c r="D222" s="333">
        <f>SUM(D215:D220)</f>
        <v>0</v>
      </c>
      <c r="E222" s="333">
        <f>SUM(E215:E220)</f>
        <v>0</v>
      </c>
      <c r="F222" s="333"/>
      <c r="G222" s="333">
        <f>SUM(G215:G221)</f>
        <v>0</v>
      </c>
      <c r="H222" s="334"/>
      <c r="I222" s="334">
        <f>V226</f>
        <v>0</v>
      </c>
      <c r="J222" s="334"/>
      <c r="K222" s="334"/>
      <c r="L222" s="333">
        <f>ROUND(SUM(L215:L221),0)</f>
        <v>0</v>
      </c>
      <c r="M222" s="333" t="e">
        <f>ROUND(SUM(M215:M221),0)</f>
        <v>#REF!</v>
      </c>
      <c r="N222" s="333">
        <f>ROUND(SUM(N215:N221),0)</f>
        <v>0</v>
      </c>
      <c r="O222" s="333">
        <f>ROUND(SUM(O215:O221),0)</f>
        <v>0</v>
      </c>
      <c r="P222" s="333"/>
      <c r="Q222" s="328"/>
      <c r="R222" s="317"/>
      <c r="S222" s="372"/>
      <c r="T222" s="339"/>
      <c r="U222" s="318"/>
      <c r="V222" s="308">
        <f t="shared" si="62"/>
        <v>0</v>
      </c>
      <c r="W222" s="324"/>
    </row>
    <row r="223" spans="1:23" s="283" customFormat="1">
      <c r="A223" s="279"/>
      <c r="B223" s="279"/>
      <c r="C223" s="279"/>
      <c r="D223" s="279"/>
      <c r="E223" s="279"/>
      <c r="F223" s="279"/>
      <c r="G223" s="279"/>
      <c r="H223" s="279"/>
      <c r="I223" s="279"/>
      <c r="J223" s="279"/>
      <c r="K223" s="279"/>
      <c r="L223" s="279"/>
      <c r="M223" s="279"/>
      <c r="N223" s="279"/>
      <c r="O223" s="279"/>
      <c r="P223" s="279"/>
      <c r="Q223" s="328"/>
      <c r="R223" s="341"/>
      <c r="S223" s="372"/>
      <c r="T223" s="339"/>
      <c r="U223" s="318"/>
      <c r="V223" s="308">
        <f t="shared" si="62"/>
        <v>0</v>
      </c>
      <c r="W223" s="324"/>
    </row>
    <row r="224" spans="1:23">
      <c r="Q224" s="328"/>
      <c r="R224" s="37"/>
      <c r="S224" s="372"/>
      <c r="T224" s="312"/>
      <c r="U224" s="312"/>
      <c r="V224" s="308">
        <f t="shared" si="62"/>
        <v>0</v>
      </c>
      <c r="W224" s="324"/>
    </row>
    <row r="225" spans="1:23">
      <c r="Q225" s="328"/>
      <c r="R225" s="373"/>
      <c r="S225" s="311"/>
      <c r="T225" s="312"/>
      <c r="U225" s="312"/>
      <c r="V225" s="324"/>
      <c r="W225" s="324"/>
    </row>
    <row r="226" spans="1:23">
      <c r="Q226" s="328"/>
      <c r="R226" s="360"/>
      <c r="S226" s="361"/>
      <c r="T226" s="362"/>
      <c r="U226" s="374"/>
      <c r="V226" s="345">
        <f>SUM(V215:V225)</f>
        <v>0</v>
      </c>
      <c r="W226" s="345">
        <f>SUM(W215:W225)</f>
        <v>0</v>
      </c>
    </row>
    <row r="227" spans="1:23">
      <c r="R227" s="317"/>
      <c r="S227" s="371"/>
      <c r="T227" s="312"/>
      <c r="U227" s="318"/>
      <c r="V227" s="308">
        <f t="shared" ref="V227:V234" si="67">ROUND(T227*U227,0)</f>
        <v>0</v>
      </c>
      <c r="W227" s="308"/>
    </row>
    <row r="228" spans="1:23">
      <c r="R228" s="317"/>
      <c r="S228" s="371"/>
      <c r="T228" s="318"/>
      <c r="U228" s="318"/>
      <c r="V228" s="308">
        <f t="shared" si="67"/>
        <v>0</v>
      </c>
      <c r="W228" s="324"/>
    </row>
    <row r="229" spans="1:23">
      <c r="R229" s="417"/>
      <c r="S229" s="371"/>
      <c r="T229" s="318"/>
      <c r="U229" s="318"/>
      <c r="V229" s="308">
        <f t="shared" si="67"/>
        <v>0</v>
      </c>
      <c r="W229" s="324"/>
    </row>
    <row r="230" spans="1:23">
      <c r="R230" s="339"/>
      <c r="S230" s="371"/>
      <c r="T230" s="318"/>
      <c r="U230" s="318"/>
      <c r="V230" s="308">
        <f t="shared" si="67"/>
        <v>0</v>
      </c>
      <c r="W230" s="324"/>
    </row>
    <row r="231" spans="1:23">
      <c r="R231" s="317"/>
      <c r="S231" s="371"/>
      <c r="T231" s="318"/>
      <c r="U231" s="318"/>
      <c r="V231" s="308">
        <f t="shared" si="67"/>
        <v>0</v>
      </c>
      <c r="W231" s="324"/>
    </row>
    <row r="232" spans="1:23">
      <c r="R232" s="317"/>
      <c r="S232" s="311"/>
      <c r="T232" s="318"/>
      <c r="U232" s="318"/>
      <c r="V232" s="308">
        <f t="shared" si="67"/>
        <v>0</v>
      </c>
      <c r="W232" s="324"/>
    </row>
    <row r="233" spans="1:23">
      <c r="R233" s="339"/>
      <c r="S233" s="311"/>
      <c r="T233" s="318"/>
      <c r="U233" s="318"/>
      <c r="V233" s="308">
        <f t="shared" si="67"/>
        <v>0</v>
      </c>
      <c r="W233" s="324"/>
    </row>
    <row r="234" spans="1:23">
      <c r="R234" s="339"/>
      <c r="S234" s="311"/>
      <c r="T234" s="318"/>
      <c r="U234" s="318"/>
      <c r="V234" s="308">
        <f t="shared" si="67"/>
        <v>0</v>
      </c>
      <c r="W234" s="324"/>
    </row>
    <row r="235" spans="1:23">
      <c r="R235" s="288"/>
      <c r="S235" s="364"/>
      <c r="T235" s="298"/>
      <c r="U235" s="298"/>
      <c r="V235" s="337"/>
      <c r="W235" s="352"/>
    </row>
    <row r="236" spans="1:23" ht="20.25" customHeight="1">
      <c r="A236" s="283" t="s">
        <v>230</v>
      </c>
      <c r="B236" s="283"/>
      <c r="C236" s="284"/>
      <c r="D236" s="285"/>
      <c r="E236" s="285"/>
      <c r="F236" s="285"/>
      <c r="G236" s="282"/>
      <c r="H236" s="282"/>
      <c r="I236" s="282"/>
      <c r="J236" s="282"/>
      <c r="K236" s="282"/>
      <c r="L236" s="286"/>
      <c r="M236" s="282"/>
      <c r="N236" s="282"/>
      <c r="O236" s="287"/>
      <c r="P236" s="282"/>
      <c r="R236" s="282"/>
      <c r="S236" s="289"/>
    </row>
    <row r="237" spans="1:23" ht="20.25" customHeight="1">
      <c r="A237" s="290" t="s">
        <v>287</v>
      </c>
      <c r="B237" s="290"/>
      <c r="C237" s="290"/>
      <c r="D237" s="290"/>
      <c r="E237" s="290"/>
      <c r="F237" s="290"/>
      <c r="G237" s="290"/>
      <c r="H237" s="290"/>
      <c r="I237" s="290"/>
      <c r="J237" s="290"/>
      <c r="K237" s="290"/>
      <c r="L237" s="290"/>
      <c r="M237" s="290"/>
      <c r="N237" s="290"/>
      <c r="O237" s="290"/>
      <c r="P237" s="290"/>
      <c r="Q237" s="288"/>
      <c r="R237" s="282"/>
      <c r="S237" s="289"/>
    </row>
    <row r="238" spans="1:23" ht="12" customHeight="1">
      <c r="A238" s="291"/>
      <c r="B238" s="291"/>
      <c r="C238" s="292"/>
      <c r="D238" s="291"/>
      <c r="E238" s="291"/>
      <c r="F238" s="291"/>
      <c r="G238" s="291"/>
      <c r="H238" s="291"/>
      <c r="I238" s="291"/>
      <c r="J238" s="291"/>
      <c r="K238" s="291"/>
      <c r="L238" s="290"/>
      <c r="M238" s="291"/>
      <c r="N238" s="291"/>
      <c r="O238" s="293"/>
      <c r="P238" s="291"/>
      <c r="Q238" s="288"/>
      <c r="R238" s="282"/>
      <c r="S238" s="289"/>
    </row>
    <row r="239" spans="1:23" ht="12" customHeight="1">
      <c r="A239" s="294"/>
      <c r="B239" s="294"/>
      <c r="C239" s="295"/>
      <c r="D239" s="294"/>
      <c r="E239" s="294"/>
      <c r="F239" s="294"/>
      <c r="G239" s="294"/>
      <c r="H239" s="294"/>
      <c r="I239" s="294"/>
      <c r="J239" s="294"/>
      <c r="K239" s="294"/>
      <c r="L239" s="294"/>
      <c r="M239" s="294"/>
      <c r="N239" s="294"/>
      <c r="O239" s="296"/>
      <c r="P239" s="294"/>
      <c r="Q239" s="288"/>
      <c r="R239" s="282"/>
      <c r="S239" s="289"/>
    </row>
    <row r="240" spans="1:23" ht="36.75" customHeight="1">
      <c r="A240" s="299" t="s">
        <v>30</v>
      </c>
      <c r="B240" s="299" t="s">
        <v>231</v>
      </c>
      <c r="C240" s="300" t="s">
        <v>232</v>
      </c>
      <c r="D240" s="301" t="s">
        <v>233</v>
      </c>
      <c r="E240" s="301" t="s">
        <v>242</v>
      </c>
      <c r="F240" s="301" t="s">
        <v>234</v>
      </c>
      <c r="G240" s="301" t="s">
        <v>235</v>
      </c>
      <c r="H240" s="301" t="s">
        <v>237</v>
      </c>
      <c r="I240" s="301" t="s">
        <v>236</v>
      </c>
      <c r="J240" s="301" t="s">
        <v>238</v>
      </c>
      <c r="K240" s="302" t="s">
        <v>351</v>
      </c>
      <c r="L240" s="301" t="s">
        <v>239</v>
      </c>
      <c r="M240" s="302" t="s">
        <v>240</v>
      </c>
      <c r="N240" s="301" t="s">
        <v>241</v>
      </c>
      <c r="O240" s="303" t="s">
        <v>242</v>
      </c>
      <c r="P240" s="301" t="s">
        <v>243</v>
      </c>
      <c r="Q240" s="288"/>
      <c r="R240" s="299" t="s">
        <v>231</v>
      </c>
      <c r="S240" s="301" t="s">
        <v>68</v>
      </c>
      <c r="T240" s="301" t="s">
        <v>53</v>
      </c>
      <c r="U240" s="301" t="s">
        <v>234</v>
      </c>
      <c r="V240" s="301" t="s">
        <v>89</v>
      </c>
      <c r="W240" s="299" t="s">
        <v>89</v>
      </c>
    </row>
    <row r="241" spans="1:23" s="305" customFormat="1" ht="13.5" customHeight="1">
      <c r="A241" s="306" t="str">
        <f>IF(B241&lt;&gt;"",ROW()-(ROW()-1),"")</f>
        <v/>
      </c>
      <c r="B241" s="307"/>
      <c r="C241" s="315">
        <f>IF(ISNA(VLOOKUP(B241,NXT!$Q$61:$S$81,2,0)),0,VLOOKUP(B241,NXT!$Q$61:$S$81,2,0))</f>
        <v>0</v>
      </c>
      <c r="D241" s="68">
        <f t="shared" ref="D241:D246" si="68">ROUND(C241*O241,0)</f>
        <v>0</v>
      </c>
      <c r="E241" s="68"/>
      <c r="F241" s="68"/>
      <c r="G241" s="308">
        <f>(D241+E241)*F241</f>
        <v>0</v>
      </c>
      <c r="H241" s="68">
        <f t="shared" ref="H241:H246" si="69">IF($D$248&lt;&gt;0,H$248/($D$248+$E$248/4)*($D241+$E241/4),0)</f>
        <v>0</v>
      </c>
      <c r="I241" s="68">
        <f>IF($D$248&lt;&gt;0,I$248/$D$248*$D241,0)</f>
        <v>0</v>
      </c>
      <c r="J241" s="68">
        <f t="shared" ref="J241:K246" si="70">IF($D$248&lt;&gt;0,J$248/$D$248*$D241,0)</f>
        <v>0</v>
      </c>
      <c r="K241" s="68">
        <f t="shared" si="70"/>
        <v>0</v>
      </c>
      <c r="L241" s="308">
        <f t="shared" ref="L241:L246" si="71">V253</f>
        <v>0</v>
      </c>
      <c r="M241" s="68" t="e">
        <f>34560000/($O$68+#REF!+#REF!)*O241</f>
        <v>#REF!</v>
      </c>
      <c r="N241" s="308"/>
      <c r="O241" s="316"/>
      <c r="P241" s="68">
        <f t="shared" ref="P241:P246" si="72">IF(N241&lt;&gt;0,N241/O241,0)</f>
        <v>0</v>
      </c>
      <c r="Q241" s="304"/>
      <c r="R241" s="310"/>
      <c r="S241" s="371"/>
      <c r="T241" s="312"/>
      <c r="U241" s="312"/>
      <c r="V241" s="308">
        <f t="shared" ref="V241:V250" si="73">ROUND(T241*U241,0)</f>
        <v>0</v>
      </c>
      <c r="W241" s="308"/>
    </row>
    <row r="242" spans="1:23" ht="13.5" customHeight="1">
      <c r="A242" s="306" t="str">
        <f t="shared" ref="A242:A247" si="74">IF(B242&lt;&gt;"",A241+1,"")</f>
        <v/>
      </c>
      <c r="B242" s="307"/>
      <c r="C242" s="315">
        <f>IF(ISNA(VLOOKUP(B242,NXT!$Q$61:$S$81,2,0)),0,VLOOKUP(B242,NXT!$Q$61:$S$81,2,0))</f>
        <v>0</v>
      </c>
      <c r="D242" s="68">
        <f t="shared" si="68"/>
        <v>0</v>
      </c>
      <c r="E242" s="68"/>
      <c r="F242" s="68"/>
      <c r="G242" s="308">
        <f t="shared" ref="G242:G246" si="75">(D242+E242)*F242</f>
        <v>0</v>
      </c>
      <c r="H242" s="68">
        <f t="shared" si="69"/>
        <v>0</v>
      </c>
      <c r="I242" s="68">
        <f t="shared" ref="I242:I246" si="76">IF($D$248&lt;&gt;0,I$248/$D$248*$D242,0)</f>
        <v>0</v>
      </c>
      <c r="J242" s="68">
        <f t="shared" si="70"/>
        <v>0</v>
      </c>
      <c r="K242" s="68">
        <f t="shared" si="70"/>
        <v>0</v>
      </c>
      <c r="L242" s="68">
        <f t="shared" si="71"/>
        <v>0</v>
      </c>
      <c r="M242" s="68"/>
      <c r="N242" s="308"/>
      <c r="O242" s="316"/>
      <c r="P242" s="68">
        <f t="shared" si="72"/>
        <v>0</v>
      </c>
      <c r="Q242" s="328"/>
      <c r="R242" s="317"/>
      <c r="S242" s="371"/>
      <c r="T242" s="312"/>
      <c r="U242" s="312"/>
      <c r="V242" s="308">
        <f t="shared" si="73"/>
        <v>0</v>
      </c>
      <c r="W242" s="324"/>
    </row>
    <row r="243" spans="1:23" ht="13.5" customHeight="1">
      <c r="A243" s="306" t="str">
        <f t="shared" si="74"/>
        <v/>
      </c>
      <c r="B243" s="307"/>
      <c r="C243" s="315">
        <f>IF(ISNA(VLOOKUP(B243,NXT!$Q$61:$S$81,2,0)),0,VLOOKUP(B243,NXT!$Q$61:$S$81,2,0))</f>
        <v>0</v>
      </c>
      <c r="D243" s="68">
        <f t="shared" si="68"/>
        <v>0</v>
      </c>
      <c r="E243" s="68"/>
      <c r="F243" s="68"/>
      <c r="G243" s="308">
        <f t="shared" si="75"/>
        <v>0</v>
      </c>
      <c r="H243" s="68">
        <f t="shared" si="69"/>
        <v>0</v>
      </c>
      <c r="I243" s="68">
        <f t="shared" si="76"/>
        <v>0</v>
      </c>
      <c r="J243" s="68">
        <f t="shared" si="70"/>
        <v>0</v>
      </c>
      <c r="K243" s="68">
        <f t="shared" si="70"/>
        <v>0</v>
      </c>
      <c r="L243" s="68">
        <f t="shared" si="71"/>
        <v>0</v>
      </c>
      <c r="M243" s="68">
        <v>25840000</v>
      </c>
      <c r="N243" s="308"/>
      <c r="O243" s="316"/>
      <c r="P243" s="68">
        <f t="shared" si="72"/>
        <v>0</v>
      </c>
      <c r="Q243" s="328"/>
      <c r="R243" s="317"/>
      <c r="S243" s="371"/>
      <c r="T243" s="312"/>
      <c r="U243" s="312"/>
      <c r="V243" s="308">
        <f t="shared" si="73"/>
        <v>0</v>
      </c>
      <c r="W243" s="324"/>
    </row>
    <row r="244" spans="1:23" ht="13.5" customHeight="1">
      <c r="A244" s="306" t="str">
        <f t="shared" si="74"/>
        <v/>
      </c>
      <c r="B244" s="307"/>
      <c r="C244" s="315">
        <f>IF(ISNA(VLOOKUP(B244,NXT!$Q$61:$S$81,2,0)),0,VLOOKUP(B244,NXT!$Q$61:$S$81,2,0))</f>
        <v>0</v>
      </c>
      <c r="D244" s="68">
        <f t="shared" si="68"/>
        <v>0</v>
      </c>
      <c r="E244" s="68"/>
      <c r="F244" s="68"/>
      <c r="G244" s="308">
        <f t="shared" si="75"/>
        <v>0</v>
      </c>
      <c r="H244" s="68">
        <f t="shared" si="69"/>
        <v>0</v>
      </c>
      <c r="I244" s="68">
        <f t="shared" si="76"/>
        <v>0</v>
      </c>
      <c r="J244" s="68">
        <f t="shared" si="70"/>
        <v>0</v>
      </c>
      <c r="K244" s="68">
        <f t="shared" si="70"/>
        <v>0</v>
      </c>
      <c r="L244" s="68">
        <f t="shared" si="71"/>
        <v>0</v>
      </c>
      <c r="M244" s="68" t="e">
        <f>34560000/($O$68+#REF!+#REF!)*O244</f>
        <v>#REF!</v>
      </c>
      <c r="N244" s="308"/>
      <c r="O244" s="316"/>
      <c r="P244" s="68">
        <f t="shared" si="72"/>
        <v>0</v>
      </c>
      <c r="Q244" s="328"/>
      <c r="R244" s="317"/>
      <c r="S244" s="371"/>
      <c r="T244" s="312"/>
      <c r="U244" s="312"/>
      <c r="V244" s="308">
        <f t="shared" si="73"/>
        <v>0</v>
      </c>
      <c r="W244" s="324"/>
    </row>
    <row r="245" spans="1:23" ht="13.5" customHeight="1">
      <c r="A245" s="306" t="str">
        <f t="shared" si="74"/>
        <v/>
      </c>
      <c r="B245" s="307"/>
      <c r="C245" s="315">
        <f>IF(ISNA(VLOOKUP(B245,NXT!$Q$61:$S$81,2,0)),0,VLOOKUP(B245,NXT!$Q$61:$S$81,2,0))</f>
        <v>0</v>
      </c>
      <c r="D245" s="68">
        <f t="shared" si="68"/>
        <v>0</v>
      </c>
      <c r="E245" s="68"/>
      <c r="F245" s="68"/>
      <c r="G245" s="308">
        <f t="shared" si="75"/>
        <v>0</v>
      </c>
      <c r="H245" s="68">
        <f t="shared" si="69"/>
        <v>0</v>
      </c>
      <c r="I245" s="68">
        <f t="shared" si="76"/>
        <v>0</v>
      </c>
      <c r="J245" s="68">
        <f t="shared" si="70"/>
        <v>0</v>
      </c>
      <c r="K245" s="68">
        <f t="shared" si="70"/>
        <v>0</v>
      </c>
      <c r="L245" s="68">
        <f t="shared" si="71"/>
        <v>0</v>
      </c>
      <c r="M245" s="68"/>
      <c r="N245" s="308"/>
      <c r="O245" s="316"/>
      <c r="P245" s="68">
        <f t="shared" si="72"/>
        <v>0</v>
      </c>
      <c r="Q245" s="328"/>
      <c r="R245" s="317"/>
      <c r="S245" s="371"/>
      <c r="T245" s="312"/>
      <c r="U245" s="312"/>
      <c r="V245" s="308">
        <f t="shared" si="73"/>
        <v>0</v>
      </c>
      <c r="W245" s="324"/>
    </row>
    <row r="246" spans="1:23">
      <c r="A246" s="306" t="str">
        <f t="shared" si="74"/>
        <v/>
      </c>
      <c r="B246" s="307"/>
      <c r="C246" s="315"/>
      <c r="D246" s="68">
        <f t="shared" si="68"/>
        <v>0</v>
      </c>
      <c r="E246" s="68"/>
      <c r="F246" s="68"/>
      <c r="G246" s="308">
        <f t="shared" si="75"/>
        <v>0</v>
      </c>
      <c r="H246" s="68">
        <f t="shared" si="69"/>
        <v>0</v>
      </c>
      <c r="I246" s="68">
        <f t="shared" si="76"/>
        <v>0</v>
      </c>
      <c r="J246" s="68">
        <f t="shared" si="70"/>
        <v>0</v>
      </c>
      <c r="K246" s="68">
        <f t="shared" si="70"/>
        <v>0</v>
      </c>
      <c r="L246" s="68">
        <f t="shared" si="71"/>
        <v>0</v>
      </c>
      <c r="M246" s="68" t="e">
        <f>34560000/($O$68+#REF!+#REF!)*O246</f>
        <v>#REF!</v>
      </c>
      <c r="N246" s="308"/>
      <c r="O246" s="316"/>
      <c r="P246" s="68">
        <f t="shared" si="72"/>
        <v>0</v>
      </c>
      <c r="Q246" s="328"/>
      <c r="R246" s="317"/>
      <c r="S246" s="371"/>
      <c r="T246" s="312"/>
      <c r="U246" s="318"/>
      <c r="V246" s="308">
        <f t="shared" si="73"/>
        <v>0</v>
      </c>
      <c r="W246" s="324"/>
    </row>
    <row r="247" spans="1:23">
      <c r="A247" s="306" t="str">
        <f t="shared" si="74"/>
        <v/>
      </c>
      <c r="B247" s="320"/>
      <c r="C247" s="321"/>
      <c r="D247" s="322"/>
      <c r="E247" s="322"/>
      <c r="F247" s="322"/>
      <c r="G247" s="323"/>
      <c r="H247" s="365"/>
      <c r="I247" s="322"/>
      <c r="J247" s="324"/>
      <c r="K247" s="322"/>
      <c r="L247" s="325"/>
      <c r="M247" s="322"/>
      <c r="N247" s="326"/>
      <c r="O247" s="327"/>
      <c r="P247" s="322"/>
      <c r="Q247" s="328"/>
      <c r="R247" s="317"/>
      <c r="S247" s="372"/>
      <c r="T247" s="312"/>
      <c r="U247" s="312"/>
      <c r="V247" s="308">
        <f t="shared" si="73"/>
        <v>0</v>
      </c>
      <c r="W247" s="324"/>
    </row>
    <row r="248" spans="1:23" s="329" customFormat="1">
      <c r="A248" s="330"/>
      <c r="B248" s="331" t="s">
        <v>244</v>
      </c>
      <c r="C248" s="332"/>
      <c r="D248" s="333">
        <f>SUM(D241:D246)</f>
        <v>0</v>
      </c>
      <c r="E248" s="333">
        <f>SUM(E241:E246)</f>
        <v>0</v>
      </c>
      <c r="F248" s="333"/>
      <c r="G248" s="333">
        <f>SUM(G241:G246)</f>
        <v>0</v>
      </c>
      <c r="H248" s="334"/>
      <c r="I248" s="334">
        <f>V252</f>
        <v>0</v>
      </c>
      <c r="J248" s="334"/>
      <c r="K248" s="334"/>
      <c r="L248" s="333">
        <f>ROUND(SUM(L241:L247),0)</f>
        <v>0</v>
      </c>
      <c r="M248" s="333" t="e">
        <f>ROUND(SUM(M241:M247),0)</f>
        <v>#REF!</v>
      </c>
      <c r="N248" s="333">
        <f>ROUND(SUM(N241:N247),0)</f>
        <v>0</v>
      </c>
      <c r="O248" s="333">
        <f>ROUND(SUM(O241:O247),0)</f>
        <v>0</v>
      </c>
      <c r="P248" s="333"/>
      <c r="Q248" s="328"/>
      <c r="R248" s="317"/>
      <c r="S248" s="372"/>
      <c r="T248" s="339"/>
      <c r="U248" s="318"/>
      <c r="V248" s="308">
        <f t="shared" si="73"/>
        <v>0</v>
      </c>
      <c r="W248" s="324"/>
    </row>
    <row r="249" spans="1:23" s="283" customFormat="1">
      <c r="A249" s="279"/>
      <c r="B249" s="279"/>
      <c r="C249" s="279"/>
      <c r="D249" s="279"/>
      <c r="E249" s="279"/>
      <c r="F249" s="279"/>
      <c r="G249" s="279"/>
      <c r="H249" s="279"/>
      <c r="I249" s="279"/>
      <c r="J249" s="279"/>
      <c r="K249" s="279"/>
      <c r="L249" s="279"/>
      <c r="M249" s="279"/>
      <c r="N249" s="279"/>
      <c r="O249" s="279"/>
      <c r="P249" s="279"/>
      <c r="Q249" s="328"/>
      <c r="R249" s="341"/>
      <c r="S249" s="372"/>
      <c r="T249" s="339"/>
      <c r="U249" s="318"/>
      <c r="V249" s="308">
        <f t="shared" si="73"/>
        <v>0</v>
      </c>
      <c r="W249" s="324"/>
    </row>
    <row r="250" spans="1:23">
      <c r="Q250" s="328"/>
      <c r="R250" s="37"/>
      <c r="S250" s="372"/>
      <c r="T250" s="312"/>
      <c r="U250" s="312"/>
      <c r="V250" s="308">
        <f t="shared" si="73"/>
        <v>0</v>
      </c>
      <c r="W250" s="324"/>
    </row>
    <row r="251" spans="1:23">
      <c r="Q251" s="328"/>
      <c r="R251" s="373"/>
      <c r="S251" s="311"/>
      <c r="T251" s="312"/>
      <c r="U251" s="312"/>
      <c r="V251" s="324"/>
      <c r="W251" s="324"/>
    </row>
    <row r="252" spans="1:23">
      <c r="Q252" s="328"/>
      <c r="R252" s="360"/>
      <c r="S252" s="361"/>
      <c r="T252" s="362"/>
      <c r="U252" s="374"/>
      <c r="V252" s="345">
        <f>SUM(V241:V251)</f>
        <v>0</v>
      </c>
      <c r="W252" s="345">
        <f>SUM(W241:W251)</f>
        <v>0</v>
      </c>
    </row>
    <row r="253" spans="1:23">
      <c r="R253" s="339"/>
      <c r="S253" s="371"/>
      <c r="T253" s="312"/>
      <c r="U253" s="312"/>
      <c r="V253" s="308">
        <f t="shared" ref="V253:V258" si="77">ROUND(T253*U253,0)</f>
        <v>0</v>
      </c>
      <c r="W253" s="308"/>
    </row>
    <row r="254" spans="1:23">
      <c r="R254" s="317"/>
      <c r="S254" s="371"/>
      <c r="T254" s="318"/>
      <c r="U254" s="318"/>
      <c r="V254" s="308">
        <f t="shared" si="77"/>
        <v>0</v>
      </c>
      <c r="W254" s="324"/>
    </row>
    <row r="255" spans="1:23">
      <c r="R255" s="339"/>
      <c r="S255" s="371"/>
      <c r="T255" s="318"/>
      <c r="U255" s="318"/>
      <c r="V255" s="308">
        <f t="shared" si="77"/>
        <v>0</v>
      </c>
      <c r="W255" s="324"/>
    </row>
    <row r="256" spans="1:23">
      <c r="R256" s="317"/>
      <c r="S256" s="311"/>
      <c r="T256" s="318"/>
      <c r="U256" s="318"/>
      <c r="V256" s="308">
        <f t="shared" si="77"/>
        <v>0</v>
      </c>
      <c r="W256" s="324"/>
    </row>
    <row r="257" spans="1:23">
      <c r="R257" s="317"/>
      <c r="S257" s="311"/>
      <c r="T257" s="318"/>
      <c r="U257" s="318"/>
      <c r="V257" s="308">
        <f t="shared" si="77"/>
        <v>0</v>
      </c>
      <c r="W257" s="324"/>
    </row>
    <row r="258" spans="1:23">
      <c r="R258" s="339"/>
      <c r="S258" s="311"/>
      <c r="T258" s="318"/>
      <c r="U258" s="318"/>
      <c r="V258" s="308">
        <f t="shared" si="77"/>
        <v>0</v>
      </c>
      <c r="W258" s="324"/>
    </row>
    <row r="259" spans="1:23">
      <c r="R259" s="339"/>
      <c r="S259" s="311"/>
      <c r="T259" s="318"/>
      <c r="U259" s="318"/>
      <c r="V259" s="375">
        <f>SUM(V253:V258)</f>
        <v>0</v>
      </c>
      <c r="W259" s="324"/>
    </row>
    <row r="260" spans="1:23">
      <c r="A260" s="290"/>
      <c r="B260" s="290"/>
      <c r="C260" s="290"/>
      <c r="D260" s="290"/>
      <c r="E260" s="290"/>
      <c r="F260" s="290"/>
      <c r="G260" s="290"/>
      <c r="H260" s="290"/>
      <c r="I260" s="290"/>
      <c r="J260" s="290"/>
      <c r="K260" s="290"/>
      <c r="L260" s="290"/>
      <c r="M260" s="290"/>
      <c r="N260" s="290"/>
      <c r="O260" s="290"/>
      <c r="P260" s="290"/>
      <c r="R260" s="282"/>
      <c r="S260" s="289"/>
    </row>
    <row r="261" spans="1:23" ht="20.25" customHeight="1">
      <c r="A261" s="283" t="s">
        <v>230</v>
      </c>
      <c r="B261" s="283"/>
      <c r="C261" s="284"/>
      <c r="D261" s="285"/>
      <c r="E261" s="285"/>
      <c r="F261" s="285"/>
      <c r="G261" s="282"/>
      <c r="H261" s="282"/>
      <c r="I261" s="282"/>
      <c r="J261" s="282"/>
      <c r="K261" s="282"/>
      <c r="L261" s="286"/>
      <c r="M261" s="282"/>
      <c r="N261" s="282"/>
      <c r="O261" s="287"/>
      <c r="P261" s="282"/>
      <c r="Q261" s="288"/>
      <c r="R261" s="282"/>
      <c r="S261" s="289"/>
    </row>
    <row r="262" spans="1:23" ht="20.25" customHeight="1">
      <c r="A262" s="290" t="s">
        <v>288</v>
      </c>
      <c r="B262" s="290"/>
      <c r="C262" s="290"/>
      <c r="D262" s="290"/>
      <c r="E262" s="290"/>
      <c r="F262" s="290"/>
      <c r="G262" s="290"/>
      <c r="H262" s="290"/>
      <c r="I262" s="290"/>
      <c r="J262" s="290"/>
      <c r="K262" s="290"/>
      <c r="L262" s="290"/>
      <c r="M262" s="290"/>
      <c r="N262" s="290"/>
      <c r="O262" s="290"/>
      <c r="P262" s="290"/>
      <c r="Q262" s="288"/>
      <c r="R262" s="282"/>
      <c r="S262" s="289"/>
    </row>
    <row r="263" spans="1:23" ht="12" customHeight="1">
      <c r="A263" s="291"/>
      <c r="B263" s="291"/>
      <c r="C263" s="292"/>
      <c r="D263" s="291"/>
      <c r="E263" s="291"/>
      <c r="F263" s="291"/>
      <c r="G263" s="291"/>
      <c r="H263" s="291"/>
      <c r="I263" s="291"/>
      <c r="J263" s="291"/>
      <c r="K263" s="291"/>
      <c r="L263" s="290"/>
      <c r="M263" s="291"/>
      <c r="N263" s="291"/>
      <c r="O263" s="293"/>
      <c r="P263" s="291"/>
      <c r="Q263" s="288"/>
      <c r="R263" s="282"/>
      <c r="S263" s="289"/>
    </row>
    <row r="264" spans="1:23" ht="12" customHeight="1">
      <c r="A264" s="294"/>
      <c r="B264" s="294"/>
      <c r="C264" s="295"/>
      <c r="D264" s="294"/>
      <c r="E264" s="294"/>
      <c r="F264" s="294"/>
      <c r="G264" s="294"/>
      <c r="H264" s="294"/>
      <c r="I264" s="294"/>
      <c r="J264" s="294"/>
      <c r="K264" s="294"/>
      <c r="L264" s="294"/>
      <c r="M264" s="294"/>
      <c r="N264" s="294"/>
      <c r="O264" s="296"/>
      <c r="P264" s="294"/>
      <c r="Q264" s="288"/>
      <c r="R264" s="282"/>
      <c r="S264" s="289"/>
    </row>
    <row r="265" spans="1:23" ht="36.75" customHeight="1">
      <c r="A265" s="299" t="s">
        <v>30</v>
      </c>
      <c r="B265" s="299" t="s">
        <v>231</v>
      </c>
      <c r="C265" s="300" t="s">
        <v>232</v>
      </c>
      <c r="D265" s="301" t="s">
        <v>233</v>
      </c>
      <c r="E265" s="301" t="s">
        <v>242</v>
      </c>
      <c r="F265" s="301" t="s">
        <v>234</v>
      </c>
      <c r="G265" s="301" t="s">
        <v>235</v>
      </c>
      <c r="H265" s="301" t="s">
        <v>237</v>
      </c>
      <c r="I265" s="301" t="s">
        <v>236</v>
      </c>
      <c r="J265" s="301" t="s">
        <v>238</v>
      </c>
      <c r="K265" s="302" t="s">
        <v>351</v>
      </c>
      <c r="L265" s="301" t="s">
        <v>239</v>
      </c>
      <c r="M265" s="302" t="s">
        <v>240</v>
      </c>
      <c r="N265" s="301" t="s">
        <v>241</v>
      </c>
      <c r="O265" s="303" t="s">
        <v>242</v>
      </c>
      <c r="P265" s="301" t="s">
        <v>243</v>
      </c>
      <c r="Q265" s="288"/>
      <c r="R265" s="299" t="s">
        <v>231</v>
      </c>
      <c r="S265" s="301" t="s">
        <v>68</v>
      </c>
      <c r="T265" s="301" t="s">
        <v>53</v>
      </c>
      <c r="U265" s="301" t="s">
        <v>234</v>
      </c>
      <c r="V265" s="301" t="s">
        <v>89</v>
      </c>
      <c r="W265" s="299" t="s">
        <v>89</v>
      </c>
    </row>
    <row r="266" spans="1:23" s="305" customFormat="1" ht="13.5" customHeight="1">
      <c r="A266" s="306" t="str">
        <f>IF(B266&lt;&gt;"",ROW()-(ROW()-1),"")</f>
        <v/>
      </c>
      <c r="B266" s="376"/>
      <c r="C266" s="315">
        <f>IF(ISNA(VLOOKUP(B266,NXT!$Q$61:$S$81,2,0)),0,VLOOKUP(B266,NXT!$Q$61:$S$81,2,0))</f>
        <v>0</v>
      </c>
      <c r="D266" s="68">
        <f t="shared" ref="D266:D271" si="78">ROUND(C266*O266,0)</f>
        <v>0</v>
      </c>
      <c r="E266" s="68"/>
      <c r="F266" s="68"/>
      <c r="G266" s="308">
        <f>(D266+E266)*F266</f>
        <v>0</v>
      </c>
      <c r="H266" s="68">
        <f t="shared" ref="H266:H271" si="79">IF($D$273&lt;&gt;0,H$273/($D$273+$E$273/4)*($D266+$E266/4),0)</f>
        <v>0</v>
      </c>
      <c r="I266" s="68">
        <f>IF($D$273&lt;&gt;0,I$273/$D$273*$D266,0)</f>
        <v>0</v>
      </c>
      <c r="J266" s="68">
        <f t="shared" ref="J266:K271" si="80">IF($D$273&lt;&gt;0,J$273/$D$273*$D266,0)</f>
        <v>0</v>
      </c>
      <c r="K266" s="68">
        <f t="shared" si="80"/>
        <v>0</v>
      </c>
      <c r="L266" s="441"/>
      <c r="M266" s="68" t="e">
        <f>34560000/($O$68+#REF!+#REF!)*O266</f>
        <v>#REF!</v>
      </c>
      <c r="N266" s="308">
        <f t="shared" ref="N266:N271" si="81">ROUND(SUM(G266:L266),0)</f>
        <v>0</v>
      </c>
      <c r="O266" s="68"/>
      <c r="P266" s="68">
        <f t="shared" ref="P266:P271" si="82">IF(N266&lt;&gt;0,N266/O266,0)</f>
        <v>0</v>
      </c>
      <c r="Q266" s="304"/>
      <c r="R266" s="310"/>
      <c r="S266" s="371"/>
      <c r="T266" s="312"/>
      <c r="U266" s="312"/>
      <c r="V266" s="308">
        <f t="shared" ref="V266:V275" si="83">ROUND(T266*U266,0)</f>
        <v>0</v>
      </c>
      <c r="W266" s="308"/>
    </row>
    <row r="267" spans="1:23" ht="13.5" customHeight="1">
      <c r="A267" s="306" t="str">
        <f t="shared" ref="A267:A272" si="84">IF(B267&lt;&gt;"",A266+1,"")</f>
        <v/>
      </c>
      <c r="B267" s="307"/>
      <c r="C267" s="315">
        <f>IF(ISNA(VLOOKUP(B267,NXT!$Q$61:$S$81,2,0)),0,VLOOKUP(B267,NXT!$Q$61:$S$81,2,0))</f>
        <v>0</v>
      </c>
      <c r="D267" s="68">
        <f t="shared" si="78"/>
        <v>0</v>
      </c>
      <c r="E267" s="68"/>
      <c r="F267" s="68"/>
      <c r="G267" s="308">
        <f t="shared" ref="G267:G271" si="85">(D267+E267)*F267</f>
        <v>0</v>
      </c>
      <c r="H267" s="68">
        <f t="shared" si="79"/>
        <v>0</v>
      </c>
      <c r="I267" s="68">
        <f t="shared" ref="I267:I271" si="86">IF($D$273&lt;&gt;0,I$273/$D$273*$D267,0)</f>
        <v>0</v>
      </c>
      <c r="J267" s="68">
        <f t="shared" si="80"/>
        <v>0</v>
      </c>
      <c r="K267" s="68">
        <f t="shared" si="80"/>
        <v>0</v>
      </c>
      <c r="L267" s="441"/>
      <c r="M267" s="68"/>
      <c r="N267" s="308">
        <f t="shared" si="81"/>
        <v>0</v>
      </c>
      <c r="O267" s="316"/>
      <c r="P267" s="68">
        <f t="shared" si="82"/>
        <v>0</v>
      </c>
      <c r="Q267" s="328"/>
      <c r="R267" s="317"/>
      <c r="S267" s="371"/>
      <c r="T267" s="312"/>
      <c r="U267" s="312"/>
      <c r="V267" s="308">
        <f t="shared" si="83"/>
        <v>0</v>
      </c>
      <c r="W267" s="324"/>
    </row>
    <row r="268" spans="1:23" ht="13.5" customHeight="1">
      <c r="A268" s="306" t="str">
        <f t="shared" si="84"/>
        <v/>
      </c>
      <c r="B268" s="307"/>
      <c r="C268" s="315">
        <f>IF(ISNA(VLOOKUP(B268,NXT!$Q$61:$S$81,2,0)),0,VLOOKUP(B268,NXT!$Q$61:$S$81,2,0))</f>
        <v>0</v>
      </c>
      <c r="D268" s="68">
        <f t="shared" si="78"/>
        <v>0</v>
      </c>
      <c r="E268" s="68"/>
      <c r="F268" s="68"/>
      <c r="G268" s="308">
        <f t="shared" si="85"/>
        <v>0</v>
      </c>
      <c r="H268" s="68">
        <f t="shared" si="79"/>
        <v>0</v>
      </c>
      <c r="I268" s="68">
        <f t="shared" si="86"/>
        <v>0</v>
      </c>
      <c r="J268" s="68">
        <f t="shared" si="80"/>
        <v>0</v>
      </c>
      <c r="K268" s="68">
        <f t="shared" si="80"/>
        <v>0</v>
      </c>
      <c r="L268" s="441"/>
      <c r="M268" s="68">
        <v>25840000</v>
      </c>
      <c r="N268" s="308">
        <f t="shared" si="81"/>
        <v>0</v>
      </c>
      <c r="O268" s="316"/>
      <c r="P268" s="68">
        <f t="shared" si="82"/>
        <v>0</v>
      </c>
      <c r="Q268" s="328"/>
      <c r="R268" s="317"/>
      <c r="S268" s="371"/>
      <c r="T268" s="312"/>
      <c r="U268" s="312"/>
      <c r="V268" s="308">
        <f t="shared" si="83"/>
        <v>0</v>
      </c>
      <c r="W268" s="324"/>
    </row>
    <row r="269" spans="1:23" ht="13.5" customHeight="1">
      <c r="A269" s="306" t="str">
        <f t="shared" si="84"/>
        <v/>
      </c>
      <c r="B269" s="307"/>
      <c r="C269" s="315">
        <f>IF(ISNA(VLOOKUP(B269,NXT!$Q$61:$S$81,2,0)),0,VLOOKUP(B269,NXT!$Q$61:$S$81,2,0))</f>
        <v>0</v>
      </c>
      <c r="D269" s="68">
        <f t="shared" si="78"/>
        <v>0</v>
      </c>
      <c r="E269" s="68"/>
      <c r="F269" s="68"/>
      <c r="G269" s="308">
        <f t="shared" si="85"/>
        <v>0</v>
      </c>
      <c r="H269" s="68">
        <f t="shared" si="79"/>
        <v>0</v>
      </c>
      <c r="I269" s="68">
        <f t="shared" si="86"/>
        <v>0</v>
      </c>
      <c r="J269" s="68">
        <f t="shared" si="80"/>
        <v>0</v>
      </c>
      <c r="K269" s="68">
        <f t="shared" si="80"/>
        <v>0</v>
      </c>
      <c r="L269" s="68"/>
      <c r="M269" s="68" t="e">
        <f>34560000/($O$68+#REF!+#REF!)*O269</f>
        <v>#REF!</v>
      </c>
      <c r="N269" s="308">
        <f t="shared" si="81"/>
        <v>0</v>
      </c>
      <c r="O269" s="316"/>
      <c r="P269" s="68">
        <f t="shared" si="82"/>
        <v>0</v>
      </c>
      <c r="Q269" s="328"/>
      <c r="R269" s="317"/>
      <c r="S269" s="371"/>
      <c r="T269" s="312"/>
      <c r="U269" s="312"/>
      <c r="V269" s="308">
        <f t="shared" si="83"/>
        <v>0</v>
      </c>
      <c r="W269" s="324"/>
    </row>
    <row r="270" spans="1:23" ht="13.5" customHeight="1">
      <c r="A270" s="306" t="str">
        <f t="shared" si="84"/>
        <v/>
      </c>
      <c r="B270" s="307"/>
      <c r="C270" s="315">
        <f>IF(ISNA(VLOOKUP(B270,NXT!$Q$61:$S$81,2,0)),0,VLOOKUP(B270,NXT!$Q$61:$S$81,2,0))</f>
        <v>0</v>
      </c>
      <c r="D270" s="68">
        <f t="shared" si="78"/>
        <v>0</v>
      </c>
      <c r="E270" s="68"/>
      <c r="F270" s="68"/>
      <c r="G270" s="308">
        <f t="shared" si="85"/>
        <v>0</v>
      </c>
      <c r="H270" s="68">
        <f t="shared" si="79"/>
        <v>0</v>
      </c>
      <c r="I270" s="68">
        <f t="shared" si="86"/>
        <v>0</v>
      </c>
      <c r="J270" s="68">
        <f t="shared" si="80"/>
        <v>0</v>
      </c>
      <c r="K270" s="68">
        <f t="shared" si="80"/>
        <v>0</v>
      </c>
      <c r="L270" s="68"/>
      <c r="M270" s="68"/>
      <c r="N270" s="308">
        <f t="shared" si="81"/>
        <v>0</v>
      </c>
      <c r="O270" s="316"/>
      <c r="P270" s="68">
        <f t="shared" si="82"/>
        <v>0</v>
      </c>
      <c r="Q270" s="328"/>
      <c r="R270" s="317"/>
      <c r="S270" s="371"/>
      <c r="T270" s="312"/>
      <c r="U270" s="312"/>
      <c r="V270" s="308">
        <f t="shared" si="83"/>
        <v>0</v>
      </c>
      <c r="W270" s="324"/>
    </row>
    <row r="271" spans="1:23">
      <c r="A271" s="306" t="str">
        <f t="shared" si="84"/>
        <v/>
      </c>
      <c r="B271" s="307"/>
      <c r="C271" s="315">
        <f>IF(ISNA(VLOOKUP(B271,NXT!$Q$61:$S$81,2,0)),0,VLOOKUP(B271,NXT!$Q$61:$S$81,2,0))</f>
        <v>0</v>
      </c>
      <c r="D271" s="68">
        <f t="shared" si="78"/>
        <v>0</v>
      </c>
      <c r="E271" s="68"/>
      <c r="F271" s="68"/>
      <c r="G271" s="308">
        <f t="shared" si="85"/>
        <v>0</v>
      </c>
      <c r="H271" s="68">
        <f t="shared" si="79"/>
        <v>0</v>
      </c>
      <c r="I271" s="68">
        <f t="shared" si="86"/>
        <v>0</v>
      </c>
      <c r="J271" s="68">
        <f t="shared" si="80"/>
        <v>0</v>
      </c>
      <c r="K271" s="68">
        <f t="shared" si="80"/>
        <v>0</v>
      </c>
      <c r="L271" s="68"/>
      <c r="M271" s="68" t="e">
        <f>34560000/($O$68+#REF!+#REF!)*O271</f>
        <v>#REF!</v>
      </c>
      <c r="N271" s="308">
        <f t="shared" si="81"/>
        <v>0</v>
      </c>
      <c r="O271" s="316"/>
      <c r="P271" s="68">
        <f t="shared" si="82"/>
        <v>0</v>
      </c>
      <c r="Q271" s="328"/>
      <c r="R271" s="317"/>
      <c r="S271" s="371"/>
      <c r="T271" s="312"/>
      <c r="U271" s="318"/>
      <c r="V271" s="308">
        <f t="shared" si="83"/>
        <v>0</v>
      </c>
      <c r="W271" s="324"/>
    </row>
    <row r="272" spans="1:23">
      <c r="A272" s="306" t="str">
        <f t="shared" si="84"/>
        <v/>
      </c>
      <c r="B272" s="320"/>
      <c r="C272" s="321"/>
      <c r="D272" s="322"/>
      <c r="E272" s="322"/>
      <c r="F272" s="322"/>
      <c r="G272" s="323"/>
      <c r="H272" s="365"/>
      <c r="I272" s="322"/>
      <c r="J272" s="324"/>
      <c r="K272" s="322"/>
      <c r="L272" s="325"/>
      <c r="M272" s="322"/>
      <c r="N272" s="326"/>
      <c r="O272" s="327"/>
      <c r="P272" s="322"/>
      <c r="Q272" s="328"/>
      <c r="R272" s="317"/>
      <c r="S272" s="371"/>
      <c r="T272" s="312"/>
      <c r="U272" s="312"/>
      <c r="V272" s="308">
        <f t="shared" si="83"/>
        <v>0</v>
      </c>
      <c r="W272" s="324"/>
    </row>
    <row r="273" spans="1:23" s="329" customFormat="1">
      <c r="A273" s="330"/>
      <c r="B273" s="331" t="s">
        <v>244</v>
      </c>
      <c r="C273" s="332"/>
      <c r="D273" s="333">
        <f>SUM(D266:D271)</f>
        <v>0</v>
      </c>
      <c r="E273" s="333">
        <f>SUM(E266:E271)</f>
        <v>0</v>
      </c>
      <c r="F273" s="333"/>
      <c r="G273" s="333">
        <f>SUM(G266:G271)</f>
        <v>0</v>
      </c>
      <c r="H273" s="334"/>
      <c r="I273" s="334">
        <f>V277</f>
        <v>0</v>
      </c>
      <c r="J273" s="334"/>
      <c r="K273" s="334"/>
      <c r="L273" s="333">
        <f>ROUND(SUM(L266:L272),0)</f>
        <v>0</v>
      </c>
      <c r="M273" s="333" t="e">
        <f>ROUND(SUM(M266:M272),0)</f>
        <v>#REF!</v>
      </c>
      <c r="N273" s="333">
        <f>ROUND(SUM(N266:N272),0)</f>
        <v>0</v>
      </c>
      <c r="O273" s="333">
        <f>ROUND(SUM(O266:O272),0)</f>
        <v>0</v>
      </c>
      <c r="P273" s="333"/>
      <c r="Q273" s="328"/>
      <c r="R273" s="317"/>
      <c r="S273" s="311"/>
      <c r="T273" s="339"/>
      <c r="U273" s="318"/>
      <c r="V273" s="308">
        <f t="shared" si="83"/>
        <v>0</v>
      </c>
      <c r="W273" s="324"/>
    </row>
    <row r="274" spans="1:23" s="283" customFormat="1">
      <c r="A274" s="279"/>
      <c r="B274" s="279"/>
      <c r="C274" s="279"/>
      <c r="D274" s="279"/>
      <c r="E274" s="279"/>
      <c r="F274" s="279"/>
      <c r="G274" s="279"/>
      <c r="H274" s="279"/>
      <c r="I274" s="279"/>
      <c r="J274" s="279"/>
      <c r="K274" s="279"/>
      <c r="L274" s="279"/>
      <c r="M274" s="279"/>
      <c r="N274" s="279"/>
      <c r="O274" s="279"/>
      <c r="P274" s="279"/>
      <c r="Q274" s="328"/>
      <c r="R274" s="341"/>
      <c r="S274" s="311"/>
      <c r="T274" s="339"/>
      <c r="U274" s="318"/>
      <c r="V274" s="308">
        <f t="shared" si="83"/>
        <v>0</v>
      </c>
      <c r="W274" s="324"/>
    </row>
    <row r="275" spans="1:23">
      <c r="L275" s="287">
        <f>L273-V285</f>
        <v>0</v>
      </c>
      <c r="Q275" s="328"/>
      <c r="R275" s="37"/>
      <c r="S275" s="311"/>
      <c r="T275" s="312"/>
      <c r="U275" s="312"/>
      <c r="V275" s="308">
        <f t="shared" si="83"/>
        <v>0</v>
      </c>
      <c r="W275" s="324"/>
    </row>
    <row r="276" spans="1:23">
      <c r="Q276" s="328"/>
      <c r="R276" s="373"/>
      <c r="S276" s="311"/>
      <c r="T276" s="312"/>
      <c r="U276" s="312"/>
      <c r="V276" s="324"/>
      <c r="W276" s="324"/>
    </row>
    <row r="277" spans="1:23">
      <c r="Q277" s="328"/>
      <c r="R277" s="360"/>
      <c r="S277" s="361"/>
      <c r="T277" s="362"/>
      <c r="U277" s="374"/>
      <c r="V277" s="345">
        <f>SUM(V266:V276)</f>
        <v>0</v>
      </c>
      <c r="W277" s="345">
        <f>SUM(W266:W276)</f>
        <v>0</v>
      </c>
    </row>
    <row r="278" spans="1:23">
      <c r="R278" s="363"/>
      <c r="S278" s="371"/>
      <c r="T278" s="312"/>
      <c r="U278" s="312"/>
      <c r="V278" s="308">
        <f t="shared" ref="V278:V284" si="87">ROUND(T278*U278,0)</f>
        <v>0</v>
      </c>
      <c r="W278" s="308"/>
    </row>
    <row r="279" spans="1:23">
      <c r="R279" s="317"/>
      <c r="S279" s="371"/>
      <c r="T279" s="318"/>
      <c r="U279" s="312"/>
      <c r="V279" s="308">
        <f t="shared" si="87"/>
        <v>0</v>
      </c>
      <c r="W279" s="324"/>
    </row>
    <row r="280" spans="1:23">
      <c r="R280" s="317"/>
      <c r="S280" s="371"/>
      <c r="T280" s="318"/>
      <c r="U280" s="312"/>
      <c r="V280" s="308">
        <f t="shared" si="87"/>
        <v>0</v>
      </c>
      <c r="W280" s="324"/>
    </row>
    <row r="281" spans="1:23">
      <c r="R281" s="317"/>
      <c r="S281" s="371"/>
      <c r="T281" s="318"/>
      <c r="U281" s="318"/>
      <c r="V281" s="308">
        <f t="shared" si="87"/>
        <v>0</v>
      </c>
      <c r="W281" s="324"/>
    </row>
    <row r="282" spans="1:23">
      <c r="R282" s="317"/>
      <c r="S282" s="311"/>
      <c r="T282" s="318"/>
      <c r="U282" s="318"/>
      <c r="V282" s="308">
        <f t="shared" si="87"/>
        <v>0</v>
      </c>
      <c r="W282" s="324"/>
    </row>
    <row r="283" spans="1:23">
      <c r="R283" s="317"/>
      <c r="S283" s="311"/>
      <c r="T283" s="318"/>
      <c r="U283" s="318"/>
      <c r="V283" s="308">
        <f t="shared" si="87"/>
        <v>0</v>
      </c>
      <c r="W283" s="324"/>
    </row>
    <row r="284" spans="1:23">
      <c r="R284" s="339"/>
      <c r="S284" s="311"/>
      <c r="T284" s="318"/>
      <c r="U284" s="318"/>
      <c r="V284" s="308">
        <f t="shared" si="87"/>
        <v>0</v>
      </c>
      <c r="W284" s="324"/>
    </row>
    <row r="285" spans="1:23">
      <c r="R285" s="339"/>
      <c r="S285" s="311"/>
      <c r="T285" s="318"/>
      <c r="U285" s="318"/>
      <c r="V285" s="375">
        <f>SUM(V278:V284)</f>
        <v>0</v>
      </c>
      <c r="W285" s="324"/>
    </row>
    <row r="287" spans="1:23">
      <c r="G287" s="282"/>
      <c r="N287" s="282"/>
    </row>
    <row r="288" spans="1:23">
      <c r="G288" s="282"/>
      <c r="H288" s="282"/>
      <c r="I288" s="282"/>
      <c r="J288" s="282"/>
      <c r="K288" s="282"/>
      <c r="L288" s="282"/>
      <c r="M288" s="282"/>
      <c r="N288" s="282"/>
    </row>
    <row r="289" spans="7:14">
      <c r="G289" s="347"/>
      <c r="N289" s="347"/>
    </row>
  </sheetData>
  <mergeCells count="3">
    <mergeCell ref="S5:T5"/>
    <mergeCell ref="V5:W5"/>
    <mergeCell ref="R17:T17"/>
  </mergeCells>
  <dataValidations count="2">
    <dataValidation type="list" allowBlank="1" showInputMessage="1" showErrorMessage="1" sqref="R265 R160 R89 R67 R240 R45 R6 R137 R109 R214 R187 R27">
      <formula1>DSNXT1</formula1>
    </dataValidation>
    <dataValidation type="list" allowBlank="1" showInputMessage="1" showErrorMessage="1" sqref="B139 B217 B90:B92 B113">
      <formula1>Loai3</formula1>
    </dataValidation>
  </dataValidations>
  <pageMargins left="0.6" right="0.16" top="0.55000000000000004" bottom="1" header="0.5" footer="0.5"/>
  <pageSetup scale="90" orientation="landscape" r:id="rId1"/>
  <headerFooter alignWithMargins="0"/>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05" customWidth="1"/>
    <col min="2" max="2" width="15.7109375" style="405" customWidth="1"/>
    <col min="3" max="3" width="16.85546875" style="405" customWidth="1"/>
    <col min="4" max="8" width="15.28515625" style="405" customWidth="1"/>
    <col min="9" max="9" width="10.140625" style="405" customWidth="1"/>
    <col min="10" max="10" width="5.85546875" style="405" customWidth="1"/>
    <col min="11" max="16384" width="10.28515625" style="405"/>
  </cols>
  <sheetData>
    <row r="1" spans="1:10" s="380" customFormat="1" ht="15" customHeight="1">
      <c r="A1" s="379" t="s">
        <v>42</v>
      </c>
      <c r="B1" s="379"/>
      <c r="D1" s="381"/>
      <c r="E1" s="381"/>
      <c r="F1" s="560" t="s">
        <v>245</v>
      </c>
      <c r="G1" s="560"/>
      <c r="H1" s="560"/>
      <c r="I1" s="382"/>
      <c r="J1" s="409"/>
    </row>
    <row r="2" spans="1:10" s="380" customFormat="1" ht="29.25" customHeight="1">
      <c r="A2" s="379" t="s">
        <v>246</v>
      </c>
      <c r="B2" s="379"/>
      <c r="D2" s="383"/>
      <c r="E2" s="383"/>
      <c r="F2" s="561" t="s">
        <v>247</v>
      </c>
      <c r="G2" s="561"/>
      <c r="H2" s="561"/>
      <c r="I2" s="382"/>
      <c r="J2" s="263">
        <v>1</v>
      </c>
    </row>
    <row r="3" spans="1:10" s="380" customFormat="1" ht="15">
      <c r="A3" s="384"/>
      <c r="B3" s="385"/>
      <c r="C3" s="383"/>
      <c r="D3" s="383"/>
      <c r="E3" s="383"/>
      <c r="F3" s="561"/>
      <c r="G3" s="561"/>
      <c r="H3" s="561"/>
      <c r="I3" s="382"/>
    </row>
    <row r="4" spans="1:10" s="387" customFormat="1" ht="17.25" customHeight="1">
      <c r="A4" s="562" t="s">
        <v>248</v>
      </c>
      <c r="B4" s="562"/>
      <c r="C4" s="562"/>
      <c r="D4" s="562"/>
      <c r="E4" s="562"/>
      <c r="F4" s="562"/>
      <c r="G4" s="562"/>
      <c r="H4" s="562"/>
      <c r="I4" s="386"/>
    </row>
    <row r="5" spans="1:10" s="389" customFormat="1" ht="17.25" customHeight="1">
      <c r="B5" s="407"/>
      <c r="C5" s="408" t="s">
        <v>122</v>
      </c>
      <c r="D5" s="407" t="str">
        <f>IF($J$2&lt;10,"0"&amp;$J$2&amp;"  năm 2016",$J$2&amp;"  năm 2016")</f>
        <v>01  năm 2016</v>
      </c>
      <c r="E5" s="407"/>
      <c r="F5" s="407"/>
      <c r="G5" s="407"/>
      <c r="H5" s="407"/>
      <c r="I5" s="388"/>
    </row>
    <row r="6" spans="1:10" s="389" customFormat="1" ht="17.25" customHeight="1">
      <c r="B6" s="390"/>
      <c r="C6" s="563" t="s">
        <v>249</v>
      </c>
      <c r="D6" s="563"/>
      <c r="E6" s="566" t="s">
        <v>265</v>
      </c>
      <c r="F6" s="566"/>
      <c r="H6" s="390"/>
      <c r="I6" s="388"/>
    </row>
    <row r="7" spans="1:10" s="393" customFormat="1" ht="9.75" customHeight="1">
      <c r="A7" s="391"/>
      <c r="B7" s="391"/>
      <c r="C7" s="391"/>
      <c r="D7" s="391"/>
      <c r="E7" s="391"/>
      <c r="F7" s="391"/>
      <c r="G7" s="391"/>
      <c r="H7" s="391"/>
      <c r="I7" s="392"/>
    </row>
    <row r="8" spans="1:10" s="395" customFormat="1" ht="17.25" customHeight="1">
      <c r="A8" s="564" t="s">
        <v>250</v>
      </c>
      <c r="B8" s="565" t="s">
        <v>251</v>
      </c>
      <c r="C8" s="565" t="s">
        <v>252</v>
      </c>
      <c r="D8" s="565"/>
      <c r="E8" s="565"/>
      <c r="F8" s="565"/>
      <c r="G8" s="565"/>
      <c r="H8" s="565"/>
      <c r="I8" s="394"/>
    </row>
    <row r="9" spans="1:10" s="398" customFormat="1" ht="28.5">
      <c r="A9" s="564"/>
      <c r="B9" s="565"/>
      <c r="C9" s="396" t="s">
        <v>253</v>
      </c>
      <c r="D9" s="396" t="s">
        <v>254</v>
      </c>
      <c r="E9" s="396" t="s">
        <v>255</v>
      </c>
      <c r="F9" s="396" t="s">
        <v>256</v>
      </c>
      <c r="G9" s="396" t="s">
        <v>257</v>
      </c>
      <c r="H9" s="396" t="s">
        <v>258</v>
      </c>
      <c r="I9" s="397"/>
    </row>
    <row r="10" spans="1:10" s="401" customFormat="1" ht="15">
      <c r="A10" s="399" t="s">
        <v>13</v>
      </c>
      <c r="B10" s="400">
        <v>1</v>
      </c>
      <c r="C10" s="400">
        <v>2</v>
      </c>
      <c r="D10" s="400">
        <v>3</v>
      </c>
      <c r="E10" s="400">
        <v>4</v>
      </c>
      <c r="F10" s="400">
        <v>5</v>
      </c>
      <c r="G10" s="400">
        <v>6</v>
      </c>
      <c r="H10" s="400">
        <v>7</v>
      </c>
      <c r="I10" s="382"/>
    </row>
    <row r="11" spans="1:10" s="389" customFormat="1" ht="15">
      <c r="A11" s="402" t="s">
        <v>259</v>
      </c>
      <c r="B11" s="403">
        <f>ROUND(SUM(C11:H11),0)</f>
        <v>0</v>
      </c>
      <c r="C11" s="403">
        <v>0</v>
      </c>
      <c r="D11" s="403">
        <v>0</v>
      </c>
      <c r="E11" s="403">
        <v>0</v>
      </c>
      <c r="F11" s="403">
        <v>0</v>
      </c>
      <c r="G11" s="403">
        <v>0</v>
      </c>
      <c r="H11" s="403">
        <v>0</v>
      </c>
      <c r="I11" s="388"/>
    </row>
    <row r="12" spans="1:10" s="389" customFormat="1" ht="15">
      <c r="A12" s="402" t="s">
        <v>260</v>
      </c>
      <c r="B12" s="403">
        <f ca="1">ROUND(SUM(C12:H12),0)</f>
        <v>1975742681</v>
      </c>
      <c r="C12" s="403">
        <f ca="1">IF(ISNA(VLOOKUP($E6,INDIRECT("DSSP"&amp;$J$2),6,0)),0,VLOOKUP($E6,INDIRECT("DSSP"&amp;$J$2),6,0))</f>
        <v>1914000000</v>
      </c>
      <c r="D12" s="403">
        <f ca="1">IF(ISNA(VLOOKUP($E6,INDIRECT("DSSP"&amp;$J$2),7,0)),0,VLOOKUP($E6,INDIRECT("DSSP"&amp;$J$2),7,0))</f>
        <v>0</v>
      </c>
      <c r="E12" s="403">
        <f ca="1">IF(ISNA(VLOOKUP($E6,INDIRECT("DSSP"&amp;$J$2),8,0)),0,VLOOKUP($E6,INDIRECT("DSSP"&amp;$J$2),8,0))</f>
        <v>14216186.993963784</v>
      </c>
      <c r="F12" s="403">
        <f ca="1">IF(ISNA(VLOOKUP($E6,INDIRECT("DSSP"&amp;$J$2),9,0)),0,VLOOKUP($E6,INDIRECT("DSSP"&amp;$J$2),9,0))</f>
        <v>0</v>
      </c>
      <c r="G12" s="403">
        <f ca="1">IF(ISNA(VLOOKUP($E6,INDIRECT("DSSP"&amp;$J$2),10,0)),0,VLOOKUP($E6,INDIRECT("DSSP"&amp;$J$2),10,0))</f>
        <v>32301493.714285716</v>
      </c>
      <c r="H12" s="403">
        <f ca="1">IF(ISNA(VLOOKUP($E6,INDIRECT("DSSP"&amp;$J$2),11,0)),0,VLOOKUP($E6,INDIRECT("DSSP"&amp;$J$2),11,0))</f>
        <v>15225000</v>
      </c>
      <c r="I12" s="388"/>
    </row>
    <row r="13" spans="1:10" s="389" customFormat="1" ht="15">
      <c r="A13" s="402" t="s">
        <v>261</v>
      </c>
      <c r="B13" s="403">
        <f ca="1">ROUND(IF(ISNA(VLOOKUP($E6,INDIRECT("DSSP"&amp;$J$2),13,0)),0,VLOOKUP($E6,INDIRECT("DSSP"&amp;$J$2),13,0)),0)</f>
        <v>1975742681</v>
      </c>
      <c r="C13" s="403">
        <f t="shared" ref="C13:H13" ca="1" si="0">C12</f>
        <v>1914000000</v>
      </c>
      <c r="D13" s="403">
        <f t="shared" ca="1" si="0"/>
        <v>0</v>
      </c>
      <c r="E13" s="403">
        <f t="shared" ca="1" si="0"/>
        <v>14216186.993963784</v>
      </c>
      <c r="F13" s="403">
        <f t="shared" ca="1" si="0"/>
        <v>0</v>
      </c>
      <c r="G13" s="403">
        <f t="shared" ca="1" si="0"/>
        <v>32301493.714285716</v>
      </c>
      <c r="H13" s="403">
        <f t="shared" ca="1" si="0"/>
        <v>15225000</v>
      </c>
      <c r="I13" s="388"/>
    </row>
    <row r="14" spans="1:10" s="389" customFormat="1" ht="15">
      <c r="A14" s="402" t="s">
        <v>262</v>
      </c>
      <c r="B14" s="403">
        <f ca="1">B12-B13</f>
        <v>0</v>
      </c>
      <c r="C14" s="403">
        <f t="shared" ref="C14:H14" ca="1" si="1">C12-C13</f>
        <v>0</v>
      </c>
      <c r="D14" s="403">
        <f t="shared" ca="1" si="1"/>
        <v>0</v>
      </c>
      <c r="E14" s="403">
        <f t="shared" ca="1" si="1"/>
        <v>0</v>
      </c>
      <c r="F14" s="403">
        <f t="shared" ca="1" si="1"/>
        <v>0</v>
      </c>
      <c r="G14" s="403">
        <f t="shared" ca="1" si="1"/>
        <v>0</v>
      </c>
      <c r="H14" s="403">
        <f t="shared" ca="1" si="1"/>
        <v>0</v>
      </c>
      <c r="I14" s="388"/>
    </row>
    <row r="15" spans="1:10" s="389" customFormat="1" ht="15">
      <c r="B15" s="388"/>
      <c r="C15" s="388"/>
      <c r="D15" s="388"/>
      <c r="E15" s="388"/>
      <c r="F15" s="388"/>
      <c r="G15" s="388"/>
      <c r="H15" s="388"/>
      <c r="I15" s="388"/>
    </row>
    <row r="16" spans="1:10" s="389" customFormat="1" ht="15">
      <c r="B16" s="388"/>
      <c r="C16" s="388"/>
      <c r="D16" s="388"/>
      <c r="E16" s="559" t="str">
        <f xml:space="preserve"> IF(OR($J$2=1,$J$2=4,$J$2=6,$J$2=9,$J$2=11),"Ngày  30  tháng  "&amp;$J$2&amp;"  năm 2016",IF(OR($J$2=3,$J$2=5,$J$2=7,$J$2=8,$J$2=10,$J$2=12),"Ngày  31  tháng  "&amp;$J$2&amp;"  năm 2016","Ngày  29  tháng  "&amp;$J$2&amp;"  năm 2016"))</f>
        <v>Ngày  30  tháng  1  năm 2016</v>
      </c>
      <c r="F16" s="559"/>
      <c r="G16" s="559"/>
      <c r="H16" s="559"/>
      <c r="I16" s="388"/>
    </row>
    <row r="17" spans="1:9" s="389" customFormat="1" ht="15">
      <c r="A17" s="404" t="s">
        <v>263</v>
      </c>
      <c r="B17" s="388"/>
      <c r="C17" s="388"/>
      <c r="D17" s="388"/>
      <c r="E17" s="559" t="s">
        <v>24</v>
      </c>
      <c r="F17" s="559"/>
      <c r="G17" s="559"/>
      <c r="H17" s="559"/>
      <c r="I17" s="388"/>
    </row>
    <row r="19" spans="1:9" ht="15">
      <c r="E19" s="406"/>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43</vt:i4>
      </vt:variant>
    </vt:vector>
  </HeadingPairs>
  <TitlesOfParts>
    <vt:vector size="51"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'SO CT'!Print_Area</vt:lpstr>
      <vt:lpstr>TH!Print_Area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cp:lastModifiedBy>
  <cp:lastPrinted>2016-03-09T01:52:17Z</cp:lastPrinted>
  <dcterms:created xsi:type="dcterms:W3CDTF">1996-10-14T23:33:28Z</dcterms:created>
  <dcterms:modified xsi:type="dcterms:W3CDTF">2016-03-09T08:53:11Z</dcterms:modified>
</cp:coreProperties>
</file>