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435" windowWidth="14820" windowHeight="8385" tabRatio="878" activeTab="1"/>
  </bookViews>
  <sheets>
    <sheet name="CDPS" sheetId="15" r:id="rId1"/>
    <sheet name="TH" sheetId="34" r:id="rId2"/>
    <sheet name="tra vinh" sheetId="40" r:id="rId3"/>
    <sheet name="TH - TT" sheetId="35" r:id="rId4"/>
    <sheet name="331" sheetId="12" r:id="rId5"/>
    <sheet name="331-CT" sheetId="14" r:id="rId6"/>
    <sheet name="HOANG KIM" sheetId="41" r:id="rId7"/>
    <sheet name="KHANH TRÂN" sheetId="42" r:id="rId8"/>
  </sheets>
  <definedNames>
    <definedName name="_Fill" localSheetId="6" hidden="1">#REF!</definedName>
    <definedName name="_Fill" localSheetId="3" hidden="1">#REF!</definedName>
    <definedName name="_xlnm._FilterDatabase" localSheetId="5" hidden="1">'331-CT'!$A$12:$J$32</definedName>
    <definedName name="_xlnm._FilterDatabase" localSheetId="6" hidden="1">'HOANG KIM'!$A$4:$M$18</definedName>
    <definedName name="_xlnm._FilterDatabase" localSheetId="1" hidden="1">TH!$A$9:$Q$1825</definedName>
    <definedName name="_xlnm._FilterDatabase" localSheetId="3" hidden="1">'TH - TT'!$A$4:$M$179</definedName>
    <definedName name="Dong">IF([0]!Loai="x",ROW([0]!Loai)-1,"")</definedName>
    <definedName name="DSKH">'331'!$B$4:$B$40</definedName>
    <definedName name="DSTK">CDPS!$A$10:$D$42</definedName>
    <definedName name="DSTT" localSheetId="6">'HOANG KIM'!$K$5:$K$18</definedName>
    <definedName name="DSTT">'TH - TT'!$K$7:$K$247</definedName>
    <definedName name="DSTT1" localSheetId="6">'HOANG KIM'!$I$5:$I$18</definedName>
    <definedName name="DSTT1">'TH - TT'!$I$7:$I$248</definedName>
    <definedName name="KH">TH!$H$11:$H$1951</definedName>
    <definedName name="KHC">TH!$O$11:$O$1951</definedName>
    <definedName name="KHN">TH!$N$11:$N$1951</definedName>
    <definedName name="Loai">OFFSET(TH!$P$5,,,COUNTA(TH!$P$5:$P$40261))</definedName>
    <definedName name="_xlnm.Print_Area" localSheetId="3">'TH - TT'!$208:$219</definedName>
    <definedName name="_xlnm.Print_Titles" localSheetId="6">'HOANG KIM'!$3:$4</definedName>
    <definedName name="_xlnm.Print_Titles" localSheetId="7">'KHANH TRÂN'!$2:$3</definedName>
    <definedName name="_xlnm.Print_Titles" localSheetId="3">'TH - TT'!$3:$4</definedName>
    <definedName name="_xlnm.Print_Titles" localSheetId="2">'tra vinh'!$2:$4</definedName>
    <definedName name="TH">TH!$M$11:$M$1951</definedName>
    <definedName name="THN">TH!$A$11:$A$2002</definedName>
    <definedName name="TM">TH!$A$11:$O$1951</definedName>
  </definedNames>
  <calcPr calcId="145621"/>
</workbook>
</file>

<file path=xl/calcChain.xml><?xml version="1.0" encoding="utf-8"?>
<calcChain xmlns="http://schemas.openxmlformats.org/spreadsheetml/2006/main">
  <c r="P1160" i="34" l="1"/>
  <c r="P1161" i="34"/>
  <c r="P1162" i="34"/>
  <c r="P1163" i="34"/>
  <c r="P1164" i="34"/>
  <c r="P1165" i="34"/>
  <c r="P1166" i="34"/>
  <c r="P1167" i="34"/>
  <c r="P1168" i="34"/>
  <c r="P1169" i="34"/>
  <c r="P1170" i="34"/>
  <c r="P1171" i="34"/>
  <c r="P1172" i="34"/>
  <c r="P1173" i="34"/>
  <c r="P1174" i="34"/>
  <c r="P1175" i="34"/>
  <c r="P1176" i="34"/>
  <c r="P1177" i="34"/>
  <c r="P1178" i="34"/>
  <c r="P1179" i="34"/>
  <c r="P1180" i="34"/>
  <c r="P1181" i="34"/>
  <c r="P1182" i="34"/>
  <c r="P1183" i="34"/>
  <c r="P1184" i="34"/>
  <c r="P1185" i="34"/>
  <c r="P1186" i="34"/>
  <c r="P1187" i="34"/>
  <c r="P1188" i="34"/>
  <c r="P1189" i="34"/>
  <c r="P1190" i="34"/>
  <c r="P1191" i="34"/>
  <c r="P1192" i="34"/>
  <c r="P1193" i="34"/>
  <c r="P1194" i="34"/>
  <c r="P1195" i="34"/>
  <c r="P1196" i="34"/>
  <c r="P1197" i="34"/>
  <c r="P1198" i="34"/>
  <c r="P1199" i="34"/>
  <c r="P1200" i="34"/>
  <c r="P1201" i="34"/>
  <c r="P1202" i="34"/>
  <c r="P1203" i="34"/>
  <c r="P1204" i="34"/>
  <c r="P1205" i="34"/>
  <c r="P1206" i="34"/>
  <c r="P1207" i="34"/>
  <c r="P1208" i="34"/>
  <c r="P1209" i="34"/>
  <c r="P1210" i="34"/>
  <c r="P1211" i="34"/>
  <c r="P1212" i="34"/>
  <c r="P1213" i="34"/>
  <c r="P1214" i="34"/>
  <c r="P1215" i="34"/>
  <c r="P1216" i="34"/>
  <c r="P1217" i="34"/>
  <c r="P1218" i="34"/>
  <c r="P1219" i="34"/>
  <c r="P1220" i="34"/>
  <c r="P1221" i="34"/>
  <c r="P1222" i="34"/>
  <c r="P1223" i="34"/>
  <c r="P1224" i="34"/>
  <c r="P1225" i="34"/>
  <c r="P1226" i="34"/>
  <c r="P1227" i="34"/>
  <c r="P1228" i="34"/>
  <c r="P1229" i="34"/>
  <c r="P1230" i="34"/>
  <c r="P1231" i="34"/>
  <c r="P1232" i="34"/>
  <c r="P1233" i="34"/>
  <c r="P1234" i="34"/>
  <c r="P1235" i="34"/>
  <c r="P1236" i="34"/>
  <c r="P1237" i="34"/>
  <c r="P1238" i="34"/>
  <c r="P1239" i="34"/>
  <c r="P1240" i="34"/>
  <c r="P1241" i="34"/>
  <c r="P1242" i="34"/>
  <c r="P1243" i="34"/>
  <c r="P1244" i="34"/>
  <c r="P1245" i="34"/>
  <c r="P1246" i="34"/>
  <c r="P1247" i="34"/>
  <c r="P1248" i="34"/>
  <c r="P1249" i="34"/>
  <c r="P1250" i="34"/>
  <c r="P1251" i="34"/>
  <c r="P1252" i="34"/>
  <c r="P1253" i="34"/>
  <c r="P1254" i="34"/>
  <c r="P1255" i="34"/>
  <c r="P1256" i="34"/>
  <c r="P1257" i="34"/>
  <c r="P1258" i="34"/>
  <c r="P1259" i="34"/>
  <c r="P1260" i="34"/>
  <c r="P1261" i="34"/>
  <c r="P1262" i="34"/>
  <c r="P1263" i="34"/>
  <c r="P1264" i="34"/>
  <c r="P1265" i="34"/>
  <c r="P1266" i="34"/>
  <c r="P1267" i="34"/>
  <c r="P1268" i="34"/>
  <c r="P1269" i="34"/>
  <c r="P1270" i="34"/>
  <c r="P1271" i="34"/>
  <c r="P1272" i="34"/>
  <c r="P1273" i="34"/>
  <c r="P1274" i="34"/>
  <c r="P1275" i="34"/>
  <c r="P1276" i="34"/>
  <c r="P1277" i="34"/>
  <c r="P1278" i="34"/>
  <c r="P1279" i="34"/>
  <c r="P1280" i="34"/>
  <c r="P1281" i="34"/>
  <c r="P1282" i="34"/>
  <c r="P1283" i="34"/>
  <c r="P1284" i="34"/>
  <c r="P1285" i="34"/>
  <c r="P1286" i="34"/>
  <c r="P1287" i="34"/>
  <c r="P1288" i="34"/>
  <c r="P1289" i="34"/>
  <c r="P1290" i="34"/>
  <c r="P1291" i="34"/>
  <c r="P1292" i="34"/>
  <c r="P1293" i="34"/>
  <c r="P1294" i="34"/>
  <c r="P1295" i="34"/>
  <c r="P1296" i="34"/>
  <c r="P1297" i="34"/>
  <c r="P1298" i="34"/>
  <c r="P1299" i="34"/>
  <c r="P1300" i="34"/>
  <c r="P1301" i="34"/>
  <c r="P1302" i="34"/>
  <c r="P1303" i="34"/>
  <c r="P1304" i="34"/>
  <c r="P1305" i="34"/>
  <c r="P1306" i="34"/>
  <c r="P1307" i="34"/>
  <c r="P1308" i="34"/>
  <c r="P1309" i="34"/>
  <c r="P1310" i="34"/>
  <c r="P1311" i="34"/>
  <c r="P1312" i="34"/>
  <c r="P1313" i="34"/>
  <c r="P1314" i="34"/>
  <c r="P1315" i="34"/>
  <c r="P1316" i="34"/>
  <c r="P1317" i="34"/>
  <c r="P1318" i="34"/>
  <c r="P1319" i="34"/>
  <c r="P1320" i="34"/>
  <c r="P1321" i="34"/>
  <c r="P1322" i="34"/>
  <c r="P1323" i="34"/>
  <c r="P1324" i="34"/>
  <c r="P1325" i="34"/>
  <c r="P1326" i="34"/>
  <c r="P1327" i="34"/>
  <c r="P1328" i="34"/>
  <c r="P1329" i="34"/>
  <c r="P1330" i="34"/>
  <c r="P1331" i="34"/>
  <c r="P1332" i="34"/>
  <c r="P1333" i="34"/>
  <c r="P1334" i="34"/>
  <c r="P1335" i="34"/>
  <c r="P1336" i="34"/>
  <c r="P1337" i="34"/>
  <c r="P1338" i="34"/>
  <c r="P1339" i="34"/>
  <c r="P1340" i="34"/>
  <c r="P1341" i="34"/>
  <c r="P1342" i="34"/>
  <c r="P1343" i="34"/>
  <c r="P1344" i="34"/>
  <c r="P1345" i="34"/>
  <c r="P1346" i="34"/>
  <c r="P1347" i="34"/>
  <c r="P1348" i="34"/>
  <c r="P1349" i="34"/>
  <c r="P1350" i="34"/>
  <c r="P1351" i="34"/>
  <c r="G175" i="35" l="1"/>
  <c r="G176" i="35"/>
  <c r="G177" i="35"/>
  <c r="G178" i="35"/>
  <c r="I180" i="35" l="1"/>
  <c r="E32" i="40" l="1"/>
  <c r="G128" i="35"/>
  <c r="G129" i="35"/>
  <c r="G130" i="35"/>
  <c r="G131" i="35"/>
  <c r="H85" i="35"/>
  <c r="E85" i="35" s="1"/>
  <c r="G88" i="35"/>
  <c r="I91" i="35"/>
  <c r="E93" i="35"/>
  <c r="G95" i="35"/>
  <c r="A1589" i="34"/>
  <c r="B1589" i="34"/>
  <c r="P1589" i="34"/>
  <c r="A1590" i="34"/>
  <c r="B1590" i="34"/>
  <c r="P1590" i="34"/>
  <c r="A1591" i="34"/>
  <c r="B1591" i="34"/>
  <c r="P1591" i="34"/>
  <c r="A1592" i="34"/>
  <c r="B1592" i="34"/>
  <c r="P1592" i="34"/>
  <c r="A1593" i="34"/>
  <c r="B1593" i="34"/>
  <c r="P1593" i="34"/>
  <c r="A1594" i="34"/>
  <c r="B1594" i="34"/>
  <c r="P1594" i="34"/>
  <c r="A1595" i="34"/>
  <c r="B1595" i="34"/>
  <c r="P1595" i="34"/>
  <c r="A1596" i="34"/>
  <c r="B1596" i="34"/>
  <c r="P1596" i="34"/>
  <c r="A1597" i="34"/>
  <c r="B1597" i="34"/>
  <c r="P1597" i="34"/>
  <c r="A1598" i="34"/>
  <c r="B1598" i="34"/>
  <c r="P1598" i="34"/>
  <c r="A1599" i="34"/>
  <c r="B1599" i="34"/>
  <c r="P1599" i="34"/>
  <c r="A1600" i="34"/>
  <c r="B1600" i="34"/>
  <c r="P1600" i="34"/>
  <c r="A1601" i="34"/>
  <c r="B1601" i="34"/>
  <c r="P1601" i="34"/>
  <c r="A1602" i="34"/>
  <c r="B1602" i="34"/>
  <c r="P1602" i="34"/>
  <c r="A1603" i="34"/>
  <c r="B1603" i="34"/>
  <c r="P1603" i="34"/>
  <c r="A1604" i="34"/>
  <c r="B1604" i="34"/>
  <c r="P1604" i="34"/>
  <c r="A1605" i="34"/>
  <c r="B1605" i="34"/>
  <c r="P1605" i="34"/>
  <c r="A1606" i="34"/>
  <c r="B1606" i="34"/>
  <c r="P1606" i="34"/>
  <c r="A1607" i="34"/>
  <c r="B1607" i="34"/>
  <c r="P1607" i="34"/>
  <c r="A1608" i="34"/>
  <c r="B1608" i="34"/>
  <c r="P1608" i="34"/>
  <c r="A1609" i="34"/>
  <c r="B1609" i="34"/>
  <c r="P1609" i="34"/>
  <c r="A1610" i="34"/>
  <c r="B1610" i="34"/>
  <c r="P1610" i="34"/>
  <c r="A1611" i="34"/>
  <c r="B1611" i="34"/>
  <c r="P1611" i="34"/>
  <c r="A1612" i="34"/>
  <c r="B1612" i="34"/>
  <c r="P1612" i="34"/>
  <c r="A1613" i="34"/>
  <c r="B1613" i="34"/>
  <c r="P1613" i="34"/>
  <c r="A1614" i="34"/>
  <c r="B1614" i="34"/>
  <c r="P1614" i="34"/>
  <c r="A1615" i="34"/>
  <c r="B1615" i="34"/>
  <c r="P1615" i="34"/>
  <c r="A1616" i="34"/>
  <c r="B1616" i="34"/>
  <c r="P1616" i="34"/>
  <c r="A1617" i="34"/>
  <c r="B1617" i="34"/>
  <c r="P1617" i="34"/>
  <c r="A1618" i="34"/>
  <c r="B1618" i="34"/>
  <c r="P1618" i="34"/>
  <c r="A1619" i="34"/>
  <c r="B1619" i="34"/>
  <c r="P1619" i="34"/>
  <c r="A1620" i="34"/>
  <c r="B1620" i="34"/>
  <c r="P1620" i="34"/>
  <c r="A1621" i="34"/>
  <c r="B1621" i="34"/>
  <c r="P1621" i="34"/>
  <c r="A1622" i="34"/>
  <c r="B1622" i="34"/>
  <c r="P1622" i="34"/>
  <c r="A1623" i="34"/>
  <c r="B1623" i="34"/>
  <c r="P1623" i="34"/>
  <c r="A1624" i="34"/>
  <c r="B1624" i="34"/>
  <c r="P1624" i="34"/>
  <c r="A1625" i="34"/>
  <c r="B1625" i="34"/>
  <c r="P1625" i="34"/>
  <c r="A1626" i="34"/>
  <c r="B1626" i="34"/>
  <c r="P1626" i="34"/>
  <c r="A1627" i="34"/>
  <c r="B1627" i="34"/>
  <c r="P1627" i="34"/>
  <c r="A1628" i="34"/>
  <c r="B1628" i="34"/>
  <c r="P1628" i="34"/>
  <c r="A1629" i="34"/>
  <c r="B1629" i="34"/>
  <c r="P1629" i="34"/>
  <c r="A1630" i="34"/>
  <c r="B1630" i="34"/>
  <c r="P1630" i="34"/>
  <c r="A1631" i="34"/>
  <c r="B1631" i="34"/>
  <c r="P1631" i="34"/>
  <c r="A1632" i="34"/>
  <c r="B1632" i="34"/>
  <c r="P1632" i="34"/>
  <c r="A1633" i="34"/>
  <c r="B1633" i="34"/>
  <c r="P1633" i="34"/>
  <c r="A1634" i="34"/>
  <c r="B1634" i="34"/>
  <c r="P1634" i="34"/>
  <c r="A1635" i="34"/>
  <c r="B1635" i="34"/>
  <c r="P1635" i="34"/>
  <c r="A1636" i="34"/>
  <c r="B1636" i="34"/>
  <c r="P1636" i="34"/>
  <c r="A1637" i="34"/>
  <c r="B1637" i="34"/>
  <c r="P1637" i="34"/>
  <c r="A1638" i="34"/>
  <c r="B1638" i="34"/>
  <c r="P1638" i="34"/>
  <c r="A1639" i="34"/>
  <c r="B1639" i="34"/>
  <c r="P1639" i="34"/>
  <c r="A1640" i="34"/>
  <c r="B1640" i="34"/>
  <c r="P1640" i="34"/>
  <c r="A1641" i="34"/>
  <c r="B1641" i="34"/>
  <c r="P1641" i="34"/>
  <c r="A1642" i="34"/>
  <c r="B1642" i="34"/>
  <c r="P1642" i="34"/>
  <c r="A1643" i="34"/>
  <c r="B1643" i="34"/>
  <c r="P1643" i="34"/>
  <c r="A1644" i="34"/>
  <c r="B1644" i="34"/>
  <c r="P1644" i="34"/>
  <c r="A1645" i="34"/>
  <c r="B1645" i="34"/>
  <c r="P1645" i="34"/>
  <c r="A1646" i="34"/>
  <c r="B1646" i="34"/>
  <c r="P1646" i="34"/>
  <c r="A1647" i="34"/>
  <c r="B1647" i="34"/>
  <c r="P1647" i="34"/>
  <c r="A1648" i="34"/>
  <c r="B1648" i="34"/>
  <c r="P1648" i="34"/>
  <c r="A1649" i="34"/>
  <c r="B1649" i="34"/>
  <c r="P1649" i="34"/>
  <c r="A1650" i="34"/>
  <c r="B1650" i="34"/>
  <c r="P1650" i="34"/>
  <c r="A1651" i="34"/>
  <c r="B1651" i="34"/>
  <c r="P1651" i="34"/>
  <c r="A1652" i="34"/>
  <c r="B1652" i="34"/>
  <c r="P1652" i="34"/>
  <c r="A1653" i="34"/>
  <c r="B1653" i="34"/>
  <c r="P1653" i="34"/>
  <c r="A1654" i="34"/>
  <c r="B1654" i="34"/>
  <c r="P1654" i="34"/>
  <c r="A1655" i="34"/>
  <c r="B1655" i="34"/>
  <c r="P1655" i="34"/>
  <c r="A1656" i="34"/>
  <c r="B1656" i="34"/>
  <c r="P1656" i="34"/>
  <c r="A1657" i="34"/>
  <c r="B1657" i="34"/>
  <c r="P1657" i="34"/>
  <c r="A1658" i="34"/>
  <c r="B1658" i="34"/>
  <c r="P1658" i="34"/>
  <c r="A1659" i="34"/>
  <c r="B1659" i="34"/>
  <c r="P1659" i="34"/>
  <c r="A1660" i="34"/>
  <c r="B1660" i="34"/>
  <c r="P1660" i="34"/>
  <c r="A1661" i="34"/>
  <c r="B1661" i="34"/>
  <c r="P1661" i="34"/>
  <c r="A1662" i="34"/>
  <c r="B1662" i="34"/>
  <c r="P1662" i="34"/>
  <c r="A1663" i="34"/>
  <c r="B1663" i="34"/>
  <c r="P1663" i="34"/>
  <c r="A1664" i="34"/>
  <c r="B1664" i="34"/>
  <c r="P1664" i="34"/>
  <c r="A1665" i="34"/>
  <c r="B1665" i="34"/>
  <c r="P1665" i="34"/>
  <c r="A1666" i="34"/>
  <c r="B1666" i="34"/>
  <c r="P1666" i="34"/>
  <c r="A1667" i="34"/>
  <c r="B1667" i="34"/>
  <c r="P1667" i="34"/>
  <c r="A1668" i="34"/>
  <c r="B1668" i="34"/>
  <c r="P1668" i="34"/>
  <c r="A1669" i="34"/>
  <c r="B1669" i="34"/>
  <c r="P1669" i="34"/>
  <c r="A1670" i="34"/>
  <c r="B1670" i="34"/>
  <c r="P1670" i="34"/>
  <c r="A1671" i="34"/>
  <c r="B1671" i="34"/>
  <c r="P1671" i="34"/>
  <c r="A1672" i="34"/>
  <c r="B1672" i="34"/>
  <c r="P1672" i="34"/>
  <c r="A1673" i="34"/>
  <c r="B1673" i="34"/>
  <c r="P1673" i="34"/>
  <c r="A1674" i="34"/>
  <c r="B1674" i="34"/>
  <c r="P1674" i="34"/>
  <c r="A1675" i="34"/>
  <c r="B1675" i="34"/>
  <c r="P1675" i="34"/>
  <c r="A1676" i="34"/>
  <c r="B1676" i="34"/>
  <c r="P1676" i="34"/>
  <c r="A1677" i="34"/>
  <c r="B1677" i="34"/>
  <c r="P1677" i="34"/>
  <c r="A1678" i="34"/>
  <c r="B1678" i="34"/>
  <c r="P1678" i="34"/>
  <c r="A1679" i="34"/>
  <c r="B1679" i="34"/>
  <c r="P1679" i="34"/>
  <c r="A1680" i="34"/>
  <c r="B1680" i="34"/>
  <c r="P1680" i="34"/>
  <c r="A1681" i="34"/>
  <c r="B1681" i="34"/>
  <c r="P1681" i="34"/>
  <c r="A1682" i="34"/>
  <c r="B1682" i="34"/>
  <c r="P1682" i="34"/>
  <c r="A1683" i="34"/>
  <c r="B1683" i="34"/>
  <c r="P1683" i="34"/>
  <c r="A1684" i="34"/>
  <c r="B1684" i="34"/>
  <c r="P1684" i="34"/>
  <c r="A1685" i="34"/>
  <c r="B1685" i="34"/>
  <c r="P1685" i="34"/>
  <c r="A1686" i="34"/>
  <c r="B1686" i="34"/>
  <c r="P1686" i="34"/>
  <c r="A1687" i="34"/>
  <c r="B1687" i="34"/>
  <c r="P1687" i="34"/>
  <c r="A1688" i="34"/>
  <c r="B1688" i="34"/>
  <c r="P1688" i="34"/>
  <c r="A1689" i="34"/>
  <c r="B1689" i="34"/>
  <c r="P1689" i="34"/>
  <c r="A1690" i="34"/>
  <c r="B1690" i="34"/>
  <c r="P1690" i="34"/>
  <c r="A1691" i="34"/>
  <c r="B1691" i="34"/>
  <c r="P1691" i="34"/>
  <c r="A1692" i="34"/>
  <c r="B1692" i="34"/>
  <c r="P1692" i="34"/>
  <c r="A1693" i="34"/>
  <c r="B1693" i="34"/>
  <c r="P1693" i="34"/>
  <c r="A1694" i="34"/>
  <c r="B1694" i="34"/>
  <c r="P1694" i="34"/>
  <c r="A1695" i="34"/>
  <c r="B1695" i="34"/>
  <c r="P1695" i="34"/>
  <c r="A1696" i="34"/>
  <c r="B1696" i="34"/>
  <c r="P1696" i="34"/>
  <c r="A1697" i="34"/>
  <c r="B1697" i="34"/>
  <c r="P1697" i="34"/>
  <c r="A1698" i="34"/>
  <c r="B1698" i="34"/>
  <c r="P1698" i="34"/>
  <c r="A1699" i="34"/>
  <c r="B1699" i="34"/>
  <c r="P1699" i="34"/>
  <c r="A1700" i="34"/>
  <c r="B1700" i="34"/>
  <c r="P1700" i="34"/>
  <c r="A1701" i="34"/>
  <c r="B1701" i="34"/>
  <c r="P1701" i="34"/>
  <c r="A1702" i="34"/>
  <c r="B1702" i="34"/>
  <c r="P1702" i="34"/>
  <c r="A1703" i="34"/>
  <c r="B1703" i="34"/>
  <c r="P1703" i="34"/>
  <c r="A1704" i="34"/>
  <c r="B1704" i="34"/>
  <c r="P1704" i="34"/>
  <c r="A1705" i="34"/>
  <c r="B1705" i="34"/>
  <c r="P1705" i="34"/>
  <c r="A1706" i="34"/>
  <c r="B1706" i="34"/>
  <c r="P1706" i="34"/>
  <c r="A1707" i="34"/>
  <c r="B1707" i="34"/>
  <c r="P1707" i="34"/>
  <c r="A1708" i="34"/>
  <c r="B1708" i="34"/>
  <c r="P1708" i="34"/>
  <c r="A1709" i="34"/>
  <c r="B1709" i="34"/>
  <c r="P1709" i="34"/>
  <c r="A1710" i="34"/>
  <c r="B1710" i="34"/>
  <c r="P1710" i="34"/>
  <c r="A1711" i="34"/>
  <c r="B1711" i="34"/>
  <c r="P1711" i="34"/>
  <c r="A1712" i="34"/>
  <c r="B1712" i="34"/>
  <c r="P1712" i="34"/>
  <c r="A1713" i="34"/>
  <c r="B1713" i="34"/>
  <c r="P1713" i="34"/>
  <c r="A1714" i="34"/>
  <c r="B1714" i="34"/>
  <c r="P1714" i="34"/>
  <c r="A1715" i="34"/>
  <c r="B1715" i="34"/>
  <c r="P1715" i="34"/>
  <c r="A1716" i="34"/>
  <c r="B1716" i="34"/>
  <c r="P1716" i="34"/>
  <c r="A1717" i="34"/>
  <c r="B1717" i="34"/>
  <c r="P1717" i="34"/>
  <c r="A1718" i="34"/>
  <c r="B1718" i="34"/>
  <c r="P1718" i="34"/>
  <c r="A1719" i="34"/>
  <c r="B1719" i="34"/>
  <c r="P1719" i="34"/>
  <c r="A1720" i="34"/>
  <c r="B1720" i="34"/>
  <c r="P1720" i="34"/>
  <c r="A1721" i="34"/>
  <c r="B1721" i="34"/>
  <c r="P1721" i="34"/>
  <c r="A1722" i="34"/>
  <c r="B1722" i="34"/>
  <c r="P1722" i="34"/>
  <c r="A1723" i="34"/>
  <c r="B1723" i="34"/>
  <c r="P1723" i="34"/>
  <c r="A1724" i="34"/>
  <c r="B1724" i="34"/>
  <c r="P1724" i="34"/>
  <c r="A1725" i="34"/>
  <c r="B1725" i="34"/>
  <c r="P1725" i="34"/>
  <c r="A1726" i="34"/>
  <c r="B1726" i="34"/>
  <c r="P1726" i="34"/>
  <c r="A1727" i="34"/>
  <c r="B1727" i="34"/>
  <c r="P1727" i="34"/>
  <c r="A1728" i="34"/>
  <c r="B1728" i="34"/>
  <c r="P1728" i="34"/>
  <c r="A1729" i="34"/>
  <c r="B1729" i="34"/>
  <c r="P1729" i="34"/>
  <c r="A1730" i="34"/>
  <c r="B1730" i="34"/>
  <c r="P1730" i="34"/>
  <c r="A1731" i="34"/>
  <c r="B1731" i="34"/>
  <c r="P1731" i="34"/>
  <c r="A1732" i="34"/>
  <c r="B1732" i="34"/>
  <c r="P1732" i="34"/>
  <c r="A1733" i="34"/>
  <c r="B1733" i="34"/>
  <c r="P1733" i="34"/>
  <c r="A1734" i="34"/>
  <c r="B1734" i="34"/>
  <c r="P1734" i="34"/>
  <c r="A1735" i="34"/>
  <c r="B1735" i="34"/>
  <c r="P1735" i="34"/>
  <c r="A1736" i="34"/>
  <c r="B1736" i="34"/>
  <c r="P1736" i="34"/>
  <c r="A1737" i="34"/>
  <c r="B1737" i="34"/>
  <c r="P1737" i="34"/>
  <c r="A1738" i="34"/>
  <c r="B1738" i="34"/>
  <c r="P1738" i="34"/>
  <c r="A1739" i="34"/>
  <c r="B1739" i="34"/>
  <c r="P1739" i="34"/>
  <c r="A1740" i="34"/>
  <c r="B1740" i="34"/>
  <c r="P1740" i="34"/>
  <c r="A1741" i="34"/>
  <c r="B1741" i="34"/>
  <c r="P1741" i="34"/>
  <c r="A1742" i="34"/>
  <c r="B1742" i="34"/>
  <c r="P1742" i="34"/>
  <c r="A1743" i="34"/>
  <c r="B1743" i="34"/>
  <c r="P1743" i="34"/>
  <c r="A1744" i="34"/>
  <c r="B1744" i="34"/>
  <c r="P1744" i="34"/>
  <c r="A1745" i="34"/>
  <c r="B1745" i="34"/>
  <c r="P1745" i="34"/>
  <c r="A1746" i="34"/>
  <c r="B1746" i="34"/>
  <c r="P1746" i="34"/>
  <c r="A1747" i="34"/>
  <c r="B1747" i="34"/>
  <c r="P1747" i="34"/>
  <c r="A1748" i="34"/>
  <c r="B1748" i="34"/>
  <c r="P1748" i="34"/>
  <c r="A1749" i="34"/>
  <c r="B1749" i="34"/>
  <c r="P1749" i="34"/>
  <c r="A1750" i="34"/>
  <c r="B1750" i="34"/>
  <c r="P1750" i="34"/>
  <c r="A1751" i="34"/>
  <c r="B1751" i="34"/>
  <c r="P1751" i="34"/>
  <c r="A1752" i="34"/>
  <c r="B1752" i="34"/>
  <c r="P1752" i="34"/>
  <c r="A1753" i="34"/>
  <c r="B1753" i="34"/>
  <c r="P1753" i="34"/>
  <c r="A1754" i="34"/>
  <c r="B1754" i="34"/>
  <c r="P1754" i="34"/>
  <c r="A1755" i="34"/>
  <c r="B1755" i="34"/>
  <c r="P1755" i="34"/>
  <c r="A1756" i="34"/>
  <c r="B1756" i="34"/>
  <c r="P1756" i="34"/>
  <c r="A1757" i="34"/>
  <c r="B1757" i="34"/>
  <c r="P1757" i="34"/>
  <c r="A1758" i="34"/>
  <c r="B1758" i="34"/>
  <c r="P1758" i="34"/>
  <c r="A1759" i="34"/>
  <c r="B1759" i="34"/>
  <c r="P1759" i="34"/>
  <c r="A1760" i="34"/>
  <c r="B1760" i="34"/>
  <c r="P1760" i="34"/>
  <c r="A1761" i="34"/>
  <c r="B1761" i="34"/>
  <c r="P1761" i="34"/>
  <c r="A1762" i="34"/>
  <c r="B1762" i="34"/>
  <c r="P1762" i="34"/>
  <c r="A1763" i="34"/>
  <c r="B1763" i="34"/>
  <c r="P1763" i="34"/>
  <c r="A1764" i="34"/>
  <c r="B1764" i="34"/>
  <c r="P1764" i="34"/>
  <c r="A1765" i="34"/>
  <c r="B1765" i="34"/>
  <c r="P1765" i="34"/>
  <c r="A1766" i="34"/>
  <c r="B1766" i="34"/>
  <c r="P1766" i="34"/>
  <c r="A1767" i="34"/>
  <c r="B1767" i="34"/>
  <c r="P1767" i="34"/>
  <c r="A1768" i="34"/>
  <c r="B1768" i="34"/>
  <c r="P1768" i="34"/>
  <c r="A1769" i="34"/>
  <c r="B1769" i="34"/>
  <c r="P1769" i="34"/>
  <c r="A1770" i="34"/>
  <c r="B1770" i="34"/>
  <c r="P1770" i="34"/>
  <c r="A1771" i="34"/>
  <c r="B1771" i="34"/>
  <c r="P1771" i="34"/>
  <c r="A1772" i="34"/>
  <c r="B1772" i="34"/>
  <c r="P1772" i="34"/>
  <c r="A1773" i="34"/>
  <c r="B1773" i="34"/>
  <c r="P1773" i="34"/>
  <c r="A1774" i="34"/>
  <c r="B1774" i="34"/>
  <c r="P1774" i="34"/>
  <c r="A1775" i="34"/>
  <c r="B1775" i="34"/>
  <c r="P1775" i="34"/>
  <c r="A1776" i="34"/>
  <c r="B1776" i="34"/>
  <c r="P1776" i="34"/>
  <c r="A1777" i="34"/>
  <c r="B1777" i="34"/>
  <c r="P1777" i="34"/>
  <c r="A1778" i="34"/>
  <c r="B1778" i="34"/>
  <c r="P1778" i="34"/>
  <c r="A1779" i="34"/>
  <c r="B1779" i="34"/>
  <c r="P1779" i="34"/>
  <c r="A1780" i="34"/>
  <c r="B1780" i="34"/>
  <c r="P1780" i="34"/>
  <c r="A1781" i="34"/>
  <c r="B1781" i="34"/>
  <c r="P1781" i="34"/>
  <c r="A1782" i="34"/>
  <c r="B1782" i="34"/>
  <c r="P1782" i="34"/>
  <c r="A1783" i="34"/>
  <c r="B1783" i="34"/>
  <c r="P1783" i="34"/>
  <c r="A1784" i="34"/>
  <c r="B1784" i="34"/>
  <c r="P1784" i="34"/>
  <c r="A1785" i="34"/>
  <c r="B1785" i="34"/>
  <c r="P1785" i="34"/>
  <c r="A1786" i="34"/>
  <c r="B1786" i="34"/>
  <c r="P1786" i="34"/>
  <c r="A1787" i="34"/>
  <c r="B1787" i="34"/>
  <c r="P1787" i="34"/>
  <c r="A1788" i="34"/>
  <c r="B1788" i="34"/>
  <c r="P1788" i="34"/>
  <c r="A1789" i="34"/>
  <c r="B1789" i="34"/>
  <c r="P1789" i="34"/>
  <c r="A1790" i="34"/>
  <c r="B1790" i="34"/>
  <c r="P1790" i="34"/>
  <c r="A1791" i="34"/>
  <c r="B1791" i="34"/>
  <c r="P1791" i="34"/>
  <c r="A1792" i="34"/>
  <c r="B1792" i="34"/>
  <c r="P1792" i="34"/>
  <c r="A1793" i="34"/>
  <c r="B1793" i="34"/>
  <c r="P1793" i="34"/>
  <c r="A1794" i="34"/>
  <c r="B1794" i="34"/>
  <c r="P1794" i="34"/>
  <c r="A1795" i="34"/>
  <c r="B1795" i="34"/>
  <c r="P1795" i="34"/>
  <c r="A1796" i="34"/>
  <c r="B1796" i="34"/>
  <c r="P1796" i="34"/>
  <c r="A1797" i="34"/>
  <c r="B1797" i="34"/>
  <c r="P1797" i="34"/>
  <c r="A1798" i="34"/>
  <c r="B1798" i="34"/>
  <c r="P1798" i="34"/>
  <c r="A1799" i="34"/>
  <c r="B1799" i="34"/>
  <c r="P1799" i="34"/>
  <c r="A1800" i="34"/>
  <c r="B1800" i="34"/>
  <c r="P1800" i="34"/>
  <c r="A1801" i="34"/>
  <c r="B1801" i="34"/>
  <c r="P1801" i="34"/>
  <c r="A1802" i="34"/>
  <c r="B1802" i="34"/>
  <c r="P1802" i="34"/>
  <c r="A1803" i="34"/>
  <c r="B1803" i="34"/>
  <c r="P1803" i="34"/>
  <c r="A1804" i="34"/>
  <c r="B1804" i="34"/>
  <c r="P1804" i="34"/>
  <c r="A1805" i="34"/>
  <c r="B1805" i="34"/>
  <c r="P1805" i="34"/>
  <c r="A1806" i="34"/>
  <c r="B1806" i="34"/>
  <c r="P1806" i="34"/>
  <c r="A1807" i="34"/>
  <c r="B1807" i="34"/>
  <c r="P1807" i="34"/>
  <c r="A1808" i="34"/>
  <c r="B1808" i="34"/>
  <c r="P1808" i="34"/>
  <c r="A1809" i="34"/>
  <c r="B1809" i="34"/>
  <c r="P1809" i="34"/>
  <c r="A1810" i="34"/>
  <c r="B1810" i="34"/>
  <c r="P1810" i="34"/>
  <c r="A1811" i="34"/>
  <c r="B1811" i="34"/>
  <c r="P1811" i="34"/>
  <c r="A1812" i="34"/>
  <c r="B1812" i="34"/>
  <c r="P1812" i="34"/>
  <c r="A1813" i="34"/>
  <c r="B1813" i="34"/>
  <c r="P1813" i="34"/>
  <c r="A1814" i="34"/>
  <c r="B1814" i="34"/>
  <c r="P1814" i="34"/>
  <c r="A1815" i="34"/>
  <c r="B1815" i="34"/>
  <c r="P1815" i="34"/>
  <c r="A1816" i="34"/>
  <c r="B1816" i="34"/>
  <c r="P1816" i="34"/>
  <c r="A1817" i="34"/>
  <c r="B1817" i="34"/>
  <c r="P1817" i="34"/>
  <c r="A1818" i="34"/>
  <c r="B1818" i="34"/>
  <c r="P1818" i="34"/>
  <c r="A1819" i="34"/>
  <c r="B1819" i="34"/>
  <c r="P1819" i="34"/>
  <c r="A1820" i="34"/>
  <c r="B1820" i="34"/>
  <c r="P1820" i="34"/>
  <c r="A1821" i="34"/>
  <c r="B1821" i="34"/>
  <c r="P1821" i="34"/>
  <c r="A1822" i="34"/>
  <c r="B1822" i="34"/>
  <c r="P1822" i="34"/>
  <c r="A1823" i="34"/>
  <c r="B1823" i="34"/>
  <c r="P1823" i="34"/>
  <c r="A1824" i="34"/>
  <c r="B1824" i="34"/>
  <c r="P1824" i="34"/>
  <c r="A1825" i="34"/>
  <c r="B1825" i="34"/>
  <c r="P1825" i="34"/>
  <c r="A1203" i="34"/>
  <c r="B1203" i="34"/>
  <c r="A1204" i="34"/>
  <c r="B1204" i="34"/>
  <c r="A1205" i="34"/>
  <c r="B1205" i="34"/>
  <c r="A1206" i="34"/>
  <c r="B1206" i="34"/>
  <c r="A1207" i="34"/>
  <c r="B1207" i="34"/>
  <c r="A1208" i="34"/>
  <c r="B1208" i="34"/>
  <c r="A1209" i="34"/>
  <c r="B1209" i="34"/>
  <c r="A1210" i="34"/>
  <c r="B1210" i="34"/>
  <c r="A1211" i="34"/>
  <c r="B1211" i="34"/>
  <c r="A1212" i="34"/>
  <c r="B1212" i="34"/>
  <c r="A1213" i="34"/>
  <c r="B1213" i="34"/>
  <c r="A1214" i="34"/>
  <c r="B1214" i="34"/>
  <c r="A1215" i="34"/>
  <c r="B1215" i="34"/>
  <c r="A1216" i="34"/>
  <c r="B1216" i="34"/>
  <c r="A1217" i="34"/>
  <c r="B1217" i="34"/>
  <c r="A1218" i="34"/>
  <c r="B1218" i="34"/>
  <c r="A1219" i="34"/>
  <c r="B1219" i="34"/>
  <c r="A1220" i="34"/>
  <c r="B1220" i="34"/>
  <c r="A1221" i="34"/>
  <c r="B1221" i="34"/>
  <c r="A1222" i="34"/>
  <c r="B1222" i="34"/>
  <c r="A1223" i="34"/>
  <c r="B1223" i="34"/>
  <c r="A1224" i="34"/>
  <c r="B1224" i="34"/>
  <c r="A1225" i="34"/>
  <c r="B1225" i="34"/>
  <c r="A1226" i="34"/>
  <c r="B1226" i="34"/>
  <c r="A1227" i="34"/>
  <c r="B1227" i="34"/>
  <c r="A1228" i="34"/>
  <c r="B1228" i="34"/>
  <c r="A1229" i="34"/>
  <c r="B1229" i="34"/>
  <c r="A1230" i="34"/>
  <c r="B1230" i="34"/>
  <c r="A1231" i="34"/>
  <c r="B1231" i="34"/>
  <c r="A1232" i="34"/>
  <c r="B1232" i="34"/>
  <c r="A1233" i="34"/>
  <c r="B1233" i="34"/>
  <c r="A1234" i="34"/>
  <c r="B1234" i="34"/>
  <c r="A1235" i="34"/>
  <c r="B1235" i="34"/>
  <c r="A1236" i="34"/>
  <c r="B1236" i="34"/>
  <c r="A1237" i="34"/>
  <c r="B1237" i="34"/>
  <c r="A1238" i="34"/>
  <c r="B1238" i="34"/>
  <c r="A1239" i="34"/>
  <c r="B1239" i="34"/>
  <c r="A1240" i="34"/>
  <c r="B1240" i="34"/>
  <c r="A1241" i="34"/>
  <c r="B1241" i="34"/>
  <c r="A1242" i="34"/>
  <c r="B1242" i="34"/>
  <c r="A1243" i="34"/>
  <c r="B1243" i="34"/>
  <c r="A1244" i="34"/>
  <c r="B1244" i="34"/>
  <c r="A1245" i="34"/>
  <c r="B1245" i="34"/>
  <c r="A1246" i="34"/>
  <c r="B1246" i="34"/>
  <c r="A1247" i="34"/>
  <c r="B1247" i="34"/>
  <c r="A1248" i="34"/>
  <c r="B1248" i="34"/>
  <c r="A1249" i="34"/>
  <c r="B1249" i="34"/>
  <c r="A1250" i="34"/>
  <c r="B1250" i="34"/>
  <c r="A1251" i="34"/>
  <c r="B1251" i="34"/>
  <c r="A1252" i="34"/>
  <c r="B1252" i="34"/>
  <c r="A1253" i="34"/>
  <c r="B1253" i="34"/>
  <c r="A1254" i="34"/>
  <c r="B1254" i="34"/>
  <c r="A1255" i="34"/>
  <c r="B1255" i="34"/>
  <c r="A1256" i="34"/>
  <c r="B1256" i="34"/>
  <c r="A1257" i="34"/>
  <c r="B1257" i="34"/>
  <c r="A1258" i="34"/>
  <c r="B1258" i="34"/>
  <c r="A1259" i="34"/>
  <c r="B1259" i="34"/>
  <c r="A1260" i="34"/>
  <c r="B1260" i="34"/>
  <c r="A1261" i="34"/>
  <c r="B1261" i="34"/>
  <c r="A1262" i="34"/>
  <c r="B1262" i="34"/>
  <c r="A1263" i="34"/>
  <c r="B1263" i="34"/>
  <c r="A1264" i="34"/>
  <c r="B1264" i="34"/>
  <c r="A1265" i="34"/>
  <c r="B1265" i="34"/>
  <c r="A1266" i="34"/>
  <c r="B1266" i="34"/>
  <c r="A1267" i="34"/>
  <c r="B1267" i="34"/>
  <c r="A1268" i="34"/>
  <c r="B1268" i="34"/>
  <c r="A1269" i="34"/>
  <c r="B1269" i="34"/>
  <c r="A1270" i="34"/>
  <c r="B1270" i="34"/>
  <c r="A1271" i="34"/>
  <c r="B1271" i="34"/>
  <c r="A1272" i="34"/>
  <c r="B1272" i="34"/>
  <c r="A1273" i="34"/>
  <c r="B1273" i="34"/>
  <c r="A1274" i="34"/>
  <c r="B1274" i="34"/>
  <c r="A1275" i="34"/>
  <c r="B1275" i="34"/>
  <c r="A1276" i="34"/>
  <c r="B1276" i="34"/>
  <c r="A1277" i="34"/>
  <c r="B1277" i="34"/>
  <c r="A1278" i="34"/>
  <c r="B1278" i="34"/>
  <c r="A1279" i="34"/>
  <c r="B1279" i="34"/>
  <c r="A1280" i="34"/>
  <c r="B1280" i="34"/>
  <c r="A1281" i="34"/>
  <c r="B1281" i="34"/>
  <c r="A1282" i="34"/>
  <c r="B1282" i="34"/>
  <c r="A1283" i="34"/>
  <c r="B1283" i="34"/>
  <c r="A1284" i="34"/>
  <c r="B1284" i="34"/>
  <c r="A1285" i="34"/>
  <c r="B1285" i="34"/>
  <c r="A1286" i="34"/>
  <c r="B1286" i="34"/>
  <c r="A1287" i="34"/>
  <c r="B1287" i="34"/>
  <c r="A1288" i="34"/>
  <c r="B1288" i="34"/>
  <c r="A1289" i="34"/>
  <c r="B1289" i="34"/>
  <c r="A1290" i="34"/>
  <c r="B1290" i="34"/>
  <c r="A1291" i="34"/>
  <c r="B1291" i="34"/>
  <c r="A1292" i="34"/>
  <c r="B1292" i="34"/>
  <c r="A1293" i="34"/>
  <c r="B1293" i="34"/>
  <c r="A1294" i="34"/>
  <c r="B1294" i="34"/>
  <c r="A1295" i="34"/>
  <c r="B1295" i="34"/>
  <c r="A1296" i="34"/>
  <c r="B1296" i="34"/>
  <c r="A1297" i="34"/>
  <c r="B1297" i="34"/>
  <c r="A1298" i="34"/>
  <c r="B1298" i="34"/>
  <c r="A1299" i="34"/>
  <c r="B1299" i="34"/>
  <c r="A1300" i="34"/>
  <c r="B1300" i="34"/>
  <c r="A1301" i="34"/>
  <c r="B1301" i="34"/>
  <c r="A1302" i="34"/>
  <c r="B1302" i="34"/>
  <c r="A1303" i="34"/>
  <c r="B1303" i="34"/>
  <c r="A1304" i="34"/>
  <c r="B1304" i="34"/>
  <c r="A1305" i="34"/>
  <c r="B1305" i="34"/>
  <c r="A1306" i="34"/>
  <c r="B1306" i="34"/>
  <c r="A1307" i="34"/>
  <c r="B1307" i="34"/>
  <c r="A1308" i="34"/>
  <c r="B1308" i="34"/>
  <c r="A1309" i="34"/>
  <c r="B1309" i="34"/>
  <c r="A1310" i="34"/>
  <c r="B1310" i="34"/>
  <c r="A1311" i="34"/>
  <c r="B1311" i="34"/>
  <c r="A1312" i="34"/>
  <c r="B1312" i="34"/>
  <c r="A1313" i="34"/>
  <c r="B1313" i="34"/>
  <c r="A1314" i="34"/>
  <c r="B1314" i="34"/>
  <c r="A1315" i="34"/>
  <c r="B1315" i="34"/>
  <c r="A1316" i="34"/>
  <c r="B1316" i="34"/>
  <c r="A1317" i="34"/>
  <c r="B1317" i="34"/>
  <c r="A1318" i="34"/>
  <c r="B1318" i="34"/>
  <c r="A1319" i="34"/>
  <c r="B1319" i="34"/>
  <c r="A1320" i="34"/>
  <c r="B1320" i="34"/>
  <c r="A1321" i="34"/>
  <c r="B1321" i="34"/>
  <c r="A1322" i="34"/>
  <c r="B1322" i="34"/>
  <c r="A1323" i="34"/>
  <c r="B1323" i="34"/>
  <c r="A1324" i="34"/>
  <c r="B1324" i="34"/>
  <c r="A1325" i="34"/>
  <c r="B1325" i="34"/>
  <c r="A1326" i="34"/>
  <c r="B1326" i="34"/>
  <c r="A1327" i="34"/>
  <c r="B1327" i="34"/>
  <c r="A1328" i="34"/>
  <c r="B1328" i="34"/>
  <c r="A1329" i="34"/>
  <c r="B1329" i="34"/>
  <c r="A1330" i="34"/>
  <c r="B1330" i="34"/>
  <c r="A1331" i="34"/>
  <c r="B1331" i="34"/>
  <c r="A1332" i="34"/>
  <c r="B1332" i="34"/>
  <c r="A1333" i="34"/>
  <c r="B1333" i="34"/>
  <c r="A1334" i="34"/>
  <c r="B1334" i="34"/>
  <c r="A1335" i="34"/>
  <c r="B1335" i="34"/>
  <c r="A1336" i="34"/>
  <c r="B1336" i="34"/>
  <c r="A1337" i="34"/>
  <c r="B1337" i="34"/>
  <c r="A1338" i="34"/>
  <c r="B1338" i="34"/>
  <c r="A1339" i="34"/>
  <c r="B1339" i="34"/>
  <c r="A1340" i="34"/>
  <c r="B1340" i="34"/>
  <c r="A1341" i="34"/>
  <c r="B1341" i="34"/>
  <c r="A1342" i="34"/>
  <c r="B1342" i="34"/>
  <c r="A1343" i="34"/>
  <c r="B1343" i="34"/>
  <c r="A1344" i="34"/>
  <c r="B1344" i="34"/>
  <c r="A1345" i="34"/>
  <c r="B1345" i="34"/>
  <c r="A1346" i="34"/>
  <c r="B1346" i="34"/>
  <c r="A1347" i="34"/>
  <c r="B1347" i="34"/>
  <c r="A1348" i="34"/>
  <c r="B1348" i="34"/>
  <c r="A1349" i="34"/>
  <c r="B1349" i="34"/>
  <c r="A1350" i="34"/>
  <c r="B1350" i="34"/>
  <c r="A1351" i="34"/>
  <c r="B1351" i="34"/>
  <c r="A1352" i="34"/>
  <c r="B1352" i="34"/>
  <c r="P1352" i="34"/>
  <c r="A1353" i="34"/>
  <c r="B1353" i="34"/>
  <c r="P1353" i="34"/>
  <c r="A1354" i="34"/>
  <c r="B1354" i="34"/>
  <c r="P1354" i="34"/>
  <c r="A1355" i="34"/>
  <c r="B1355" i="34"/>
  <c r="P1355" i="34"/>
  <c r="A1356" i="34"/>
  <c r="B1356" i="34"/>
  <c r="P1356" i="34"/>
  <c r="A1357" i="34"/>
  <c r="B1357" i="34"/>
  <c r="P1357" i="34"/>
  <c r="A1358" i="34"/>
  <c r="B1358" i="34"/>
  <c r="P1358" i="34"/>
  <c r="A1359" i="34"/>
  <c r="B1359" i="34"/>
  <c r="P1359" i="34"/>
  <c r="A1360" i="34"/>
  <c r="B1360" i="34"/>
  <c r="P1360" i="34"/>
  <c r="A1361" i="34"/>
  <c r="B1361" i="34"/>
  <c r="P1361" i="34"/>
  <c r="A1362" i="34"/>
  <c r="B1362" i="34"/>
  <c r="P1362" i="34"/>
  <c r="A1363" i="34"/>
  <c r="B1363" i="34"/>
  <c r="P1363" i="34"/>
  <c r="A1364" i="34"/>
  <c r="B1364" i="34"/>
  <c r="P1364" i="34"/>
  <c r="A1365" i="34"/>
  <c r="B1365" i="34"/>
  <c r="P1365" i="34"/>
  <c r="A1366" i="34"/>
  <c r="B1366" i="34"/>
  <c r="P1366" i="34"/>
  <c r="A1367" i="34"/>
  <c r="B1367" i="34"/>
  <c r="P1367" i="34"/>
  <c r="A1368" i="34"/>
  <c r="B1368" i="34"/>
  <c r="P1368" i="34"/>
  <c r="A1369" i="34"/>
  <c r="B1369" i="34"/>
  <c r="P1369" i="34"/>
  <c r="A1370" i="34"/>
  <c r="B1370" i="34"/>
  <c r="P1370" i="34"/>
  <c r="A1371" i="34"/>
  <c r="B1371" i="34"/>
  <c r="P1371" i="34"/>
  <c r="A1372" i="34"/>
  <c r="B1372" i="34"/>
  <c r="P1372" i="34"/>
  <c r="A1373" i="34"/>
  <c r="B1373" i="34"/>
  <c r="P1373" i="34"/>
  <c r="A1374" i="34"/>
  <c r="B1374" i="34"/>
  <c r="P1374" i="34"/>
  <c r="A1375" i="34"/>
  <c r="B1375" i="34"/>
  <c r="P1375" i="34"/>
  <c r="A1376" i="34"/>
  <c r="B1376" i="34"/>
  <c r="P1376" i="34"/>
  <c r="A1377" i="34"/>
  <c r="B1377" i="34"/>
  <c r="P1377" i="34"/>
  <c r="A1378" i="34"/>
  <c r="B1378" i="34"/>
  <c r="P1378" i="34"/>
  <c r="A1379" i="34"/>
  <c r="B1379" i="34"/>
  <c r="P1379" i="34"/>
  <c r="A1380" i="34"/>
  <c r="B1380" i="34"/>
  <c r="P1380" i="34"/>
  <c r="A1381" i="34"/>
  <c r="B1381" i="34"/>
  <c r="P1381" i="34"/>
  <c r="A1382" i="34"/>
  <c r="B1382" i="34"/>
  <c r="P1382" i="34"/>
  <c r="A1383" i="34"/>
  <c r="B1383" i="34"/>
  <c r="P1383" i="34"/>
  <c r="A1384" i="34"/>
  <c r="B1384" i="34"/>
  <c r="P1384" i="34"/>
  <c r="A1385" i="34"/>
  <c r="B1385" i="34"/>
  <c r="P1385" i="34"/>
  <c r="A1386" i="34"/>
  <c r="B1386" i="34"/>
  <c r="P1386" i="34"/>
  <c r="A1387" i="34"/>
  <c r="B1387" i="34"/>
  <c r="P1387" i="34"/>
  <c r="A1388" i="34"/>
  <c r="B1388" i="34"/>
  <c r="P1388" i="34"/>
  <c r="A1389" i="34"/>
  <c r="B1389" i="34"/>
  <c r="P1389" i="34"/>
  <c r="A1390" i="34"/>
  <c r="B1390" i="34"/>
  <c r="P1390" i="34"/>
  <c r="A1391" i="34"/>
  <c r="B1391" i="34"/>
  <c r="P1391" i="34"/>
  <c r="A1392" i="34"/>
  <c r="B1392" i="34"/>
  <c r="P1392" i="34"/>
  <c r="A1393" i="34"/>
  <c r="B1393" i="34"/>
  <c r="P1393" i="34"/>
  <c r="A1394" i="34"/>
  <c r="B1394" i="34"/>
  <c r="P1394" i="34"/>
  <c r="A1395" i="34"/>
  <c r="B1395" i="34"/>
  <c r="P1395" i="34"/>
  <c r="A1396" i="34"/>
  <c r="B1396" i="34"/>
  <c r="P1396" i="34"/>
  <c r="A1397" i="34"/>
  <c r="B1397" i="34"/>
  <c r="P1397" i="34"/>
  <c r="A1398" i="34"/>
  <c r="B1398" i="34"/>
  <c r="P1398" i="34"/>
  <c r="A1399" i="34"/>
  <c r="B1399" i="34"/>
  <c r="P1399" i="34"/>
  <c r="A1400" i="34"/>
  <c r="B1400" i="34"/>
  <c r="P1400" i="34"/>
  <c r="A1401" i="34"/>
  <c r="B1401" i="34"/>
  <c r="P1401" i="34"/>
  <c r="A1402" i="34"/>
  <c r="B1402" i="34"/>
  <c r="P1402" i="34"/>
  <c r="A1403" i="34"/>
  <c r="B1403" i="34"/>
  <c r="P1403" i="34"/>
  <c r="A1404" i="34"/>
  <c r="B1404" i="34"/>
  <c r="P1404" i="34"/>
  <c r="A1405" i="34"/>
  <c r="B1405" i="34"/>
  <c r="P1405" i="34"/>
  <c r="A1406" i="34"/>
  <c r="B1406" i="34"/>
  <c r="P1406" i="34"/>
  <c r="A1407" i="34"/>
  <c r="B1407" i="34"/>
  <c r="P1407" i="34"/>
  <c r="A1408" i="34"/>
  <c r="B1408" i="34"/>
  <c r="P1408" i="34"/>
  <c r="A1409" i="34"/>
  <c r="B1409" i="34"/>
  <c r="P1409" i="34"/>
  <c r="A1410" i="34"/>
  <c r="B1410" i="34"/>
  <c r="P1410" i="34"/>
  <c r="A1411" i="34"/>
  <c r="B1411" i="34"/>
  <c r="P1411" i="34"/>
  <c r="A1412" i="34"/>
  <c r="B1412" i="34"/>
  <c r="P1412" i="34"/>
  <c r="A1413" i="34"/>
  <c r="B1413" i="34"/>
  <c r="P1413" i="34"/>
  <c r="A1414" i="34"/>
  <c r="B1414" i="34"/>
  <c r="P1414" i="34"/>
  <c r="A1415" i="34"/>
  <c r="B1415" i="34"/>
  <c r="P1415" i="34"/>
  <c r="A1416" i="34"/>
  <c r="B1416" i="34"/>
  <c r="P1416" i="34"/>
  <c r="A1417" i="34"/>
  <c r="B1417" i="34"/>
  <c r="P1417" i="34"/>
  <c r="A1418" i="34"/>
  <c r="B1418" i="34"/>
  <c r="P1418" i="34"/>
  <c r="A1419" i="34"/>
  <c r="B1419" i="34"/>
  <c r="P1419" i="34"/>
  <c r="A1420" i="34"/>
  <c r="B1420" i="34"/>
  <c r="P1420" i="34"/>
  <c r="A1421" i="34"/>
  <c r="B1421" i="34"/>
  <c r="P1421" i="34"/>
  <c r="A1422" i="34"/>
  <c r="B1422" i="34"/>
  <c r="P1422" i="34"/>
  <c r="A1423" i="34"/>
  <c r="B1423" i="34"/>
  <c r="P1423" i="34"/>
  <c r="A1424" i="34"/>
  <c r="B1424" i="34"/>
  <c r="P1424" i="34"/>
  <c r="A1425" i="34"/>
  <c r="B1425" i="34"/>
  <c r="P1425" i="34"/>
  <c r="A1426" i="34"/>
  <c r="B1426" i="34"/>
  <c r="P1426" i="34"/>
  <c r="A1427" i="34"/>
  <c r="B1427" i="34"/>
  <c r="P1427" i="34"/>
  <c r="A1428" i="34"/>
  <c r="B1428" i="34"/>
  <c r="P1428" i="34"/>
  <c r="A1429" i="34"/>
  <c r="B1429" i="34"/>
  <c r="P1429" i="34"/>
  <c r="A1430" i="34"/>
  <c r="B1430" i="34"/>
  <c r="P1430" i="34"/>
  <c r="A1431" i="34"/>
  <c r="B1431" i="34"/>
  <c r="P1431" i="34"/>
  <c r="A1432" i="34"/>
  <c r="B1432" i="34"/>
  <c r="P1432" i="34"/>
  <c r="A1433" i="34"/>
  <c r="B1433" i="34"/>
  <c r="P1433" i="34"/>
  <c r="A1434" i="34"/>
  <c r="B1434" i="34"/>
  <c r="P1434" i="34"/>
  <c r="A1435" i="34"/>
  <c r="B1435" i="34"/>
  <c r="P1435" i="34"/>
  <c r="A1436" i="34"/>
  <c r="B1436" i="34"/>
  <c r="P1436" i="34"/>
  <c r="A1437" i="34"/>
  <c r="B1437" i="34"/>
  <c r="P1437" i="34"/>
  <c r="A1438" i="34"/>
  <c r="B1438" i="34"/>
  <c r="P1438" i="34"/>
  <c r="A1439" i="34"/>
  <c r="B1439" i="34"/>
  <c r="P1439" i="34"/>
  <c r="A1440" i="34"/>
  <c r="B1440" i="34"/>
  <c r="P1440" i="34"/>
  <c r="A1441" i="34"/>
  <c r="B1441" i="34"/>
  <c r="P1441" i="34"/>
  <c r="A1442" i="34"/>
  <c r="B1442" i="34"/>
  <c r="P1442" i="34"/>
  <c r="A1443" i="34"/>
  <c r="B1443" i="34"/>
  <c r="P1443" i="34"/>
  <c r="A1444" i="34"/>
  <c r="B1444" i="34"/>
  <c r="P1444" i="34"/>
  <c r="A1445" i="34"/>
  <c r="B1445" i="34"/>
  <c r="P1445" i="34"/>
  <c r="A1446" i="34"/>
  <c r="B1446" i="34"/>
  <c r="P1446" i="34"/>
  <c r="A1447" i="34"/>
  <c r="B1447" i="34"/>
  <c r="P1447" i="34"/>
  <c r="A1448" i="34"/>
  <c r="B1448" i="34"/>
  <c r="P1448" i="34"/>
  <c r="A1449" i="34"/>
  <c r="B1449" i="34"/>
  <c r="P1449" i="34"/>
  <c r="A1450" i="34"/>
  <c r="B1450" i="34"/>
  <c r="P1450" i="34"/>
  <c r="A1451" i="34"/>
  <c r="B1451" i="34"/>
  <c r="P1451" i="34"/>
  <c r="A1452" i="34"/>
  <c r="B1452" i="34"/>
  <c r="P1452" i="34"/>
  <c r="A1453" i="34"/>
  <c r="B1453" i="34"/>
  <c r="P1453" i="34"/>
  <c r="A1454" i="34"/>
  <c r="B1454" i="34"/>
  <c r="P1454" i="34"/>
  <c r="A1455" i="34"/>
  <c r="B1455" i="34"/>
  <c r="P1455" i="34"/>
  <c r="A1456" i="34"/>
  <c r="B1456" i="34"/>
  <c r="P1456" i="34"/>
  <c r="A1457" i="34"/>
  <c r="B1457" i="34"/>
  <c r="P1457" i="34"/>
  <c r="A1458" i="34"/>
  <c r="B1458" i="34"/>
  <c r="P1458" i="34"/>
  <c r="A1459" i="34"/>
  <c r="B1459" i="34"/>
  <c r="P1459" i="34"/>
  <c r="A1460" i="34"/>
  <c r="B1460" i="34"/>
  <c r="P1460" i="34"/>
  <c r="A1461" i="34"/>
  <c r="B1461" i="34"/>
  <c r="P1461" i="34"/>
  <c r="A1462" i="34"/>
  <c r="B1462" i="34"/>
  <c r="P1462" i="34"/>
  <c r="A1463" i="34"/>
  <c r="B1463" i="34"/>
  <c r="P1463" i="34"/>
  <c r="A1464" i="34"/>
  <c r="B1464" i="34"/>
  <c r="P1464" i="34"/>
  <c r="A1465" i="34"/>
  <c r="B1465" i="34"/>
  <c r="P1465" i="34"/>
  <c r="A1466" i="34"/>
  <c r="B1466" i="34"/>
  <c r="P1466" i="34"/>
  <c r="A1467" i="34"/>
  <c r="B1467" i="34"/>
  <c r="P1467" i="34"/>
  <c r="A1468" i="34"/>
  <c r="B1468" i="34"/>
  <c r="P1468" i="34"/>
  <c r="A1469" i="34"/>
  <c r="B1469" i="34"/>
  <c r="P1469" i="34"/>
  <c r="A1470" i="34"/>
  <c r="B1470" i="34"/>
  <c r="P1470" i="34"/>
  <c r="A1471" i="34"/>
  <c r="B1471" i="34"/>
  <c r="P1471" i="34"/>
  <c r="A1472" i="34"/>
  <c r="B1472" i="34"/>
  <c r="P1472" i="34"/>
  <c r="A1473" i="34"/>
  <c r="B1473" i="34"/>
  <c r="P1473" i="34"/>
  <c r="A1474" i="34"/>
  <c r="B1474" i="34"/>
  <c r="P1474" i="34"/>
  <c r="A1475" i="34"/>
  <c r="B1475" i="34"/>
  <c r="P1475" i="34"/>
  <c r="A1476" i="34"/>
  <c r="B1476" i="34"/>
  <c r="P1476" i="34"/>
  <c r="A1477" i="34"/>
  <c r="B1477" i="34"/>
  <c r="P1477" i="34"/>
  <c r="A1478" i="34"/>
  <c r="B1478" i="34"/>
  <c r="P1478" i="34"/>
  <c r="A1479" i="34"/>
  <c r="B1479" i="34"/>
  <c r="P1479" i="34"/>
  <c r="A1480" i="34"/>
  <c r="B1480" i="34"/>
  <c r="P1480" i="34"/>
  <c r="A1481" i="34"/>
  <c r="B1481" i="34"/>
  <c r="P1481" i="34"/>
  <c r="A1482" i="34"/>
  <c r="B1482" i="34"/>
  <c r="P1482" i="34"/>
  <c r="A1483" i="34"/>
  <c r="B1483" i="34"/>
  <c r="P1483" i="34"/>
  <c r="A1484" i="34"/>
  <c r="B1484" i="34"/>
  <c r="P1484" i="34"/>
  <c r="A1485" i="34"/>
  <c r="B1485" i="34"/>
  <c r="P1485" i="34"/>
  <c r="A1486" i="34"/>
  <c r="B1486" i="34"/>
  <c r="P1486" i="34"/>
  <c r="A1487" i="34"/>
  <c r="B1487" i="34"/>
  <c r="P1487" i="34"/>
  <c r="A1488" i="34"/>
  <c r="B1488" i="34"/>
  <c r="P1488" i="34"/>
  <c r="A1489" i="34"/>
  <c r="B1489" i="34"/>
  <c r="P1489" i="34"/>
  <c r="A1490" i="34"/>
  <c r="B1490" i="34"/>
  <c r="P1490" i="34"/>
  <c r="A1491" i="34"/>
  <c r="B1491" i="34"/>
  <c r="P1491" i="34"/>
  <c r="A1492" i="34"/>
  <c r="B1492" i="34"/>
  <c r="P1492" i="34"/>
  <c r="A1493" i="34"/>
  <c r="B1493" i="34"/>
  <c r="P1493" i="34"/>
  <c r="A1494" i="34"/>
  <c r="B1494" i="34"/>
  <c r="P1494" i="34"/>
  <c r="A1495" i="34"/>
  <c r="B1495" i="34"/>
  <c r="P1495" i="34"/>
  <c r="A1496" i="34"/>
  <c r="B1496" i="34"/>
  <c r="P1496" i="34"/>
  <c r="A1497" i="34"/>
  <c r="B1497" i="34"/>
  <c r="P1497" i="34"/>
  <c r="A1498" i="34"/>
  <c r="B1498" i="34"/>
  <c r="P1498" i="34"/>
  <c r="A1499" i="34"/>
  <c r="B1499" i="34"/>
  <c r="P1499" i="34"/>
  <c r="A1500" i="34"/>
  <c r="B1500" i="34"/>
  <c r="P1500" i="34"/>
  <c r="A1501" i="34"/>
  <c r="B1501" i="34"/>
  <c r="P1501" i="34"/>
  <c r="A1502" i="34"/>
  <c r="B1502" i="34"/>
  <c r="P1502" i="34"/>
  <c r="A1503" i="34"/>
  <c r="B1503" i="34"/>
  <c r="P1503" i="34"/>
  <c r="A1504" i="34"/>
  <c r="B1504" i="34"/>
  <c r="P1504" i="34"/>
  <c r="A1505" i="34"/>
  <c r="B1505" i="34"/>
  <c r="P1505" i="34"/>
  <c r="A1506" i="34"/>
  <c r="B1506" i="34"/>
  <c r="P1506" i="34"/>
  <c r="A1507" i="34"/>
  <c r="B1507" i="34"/>
  <c r="P1507" i="34"/>
  <c r="A1508" i="34"/>
  <c r="B1508" i="34"/>
  <c r="P1508" i="34"/>
  <c r="A1509" i="34"/>
  <c r="B1509" i="34"/>
  <c r="P1509" i="34"/>
  <c r="A1510" i="34"/>
  <c r="B1510" i="34"/>
  <c r="P1510" i="34"/>
  <c r="A1511" i="34"/>
  <c r="B1511" i="34"/>
  <c r="P1511" i="34"/>
  <c r="A1512" i="34"/>
  <c r="B1512" i="34"/>
  <c r="P1512" i="34"/>
  <c r="A1513" i="34"/>
  <c r="B1513" i="34"/>
  <c r="P1513" i="34"/>
  <c r="A1514" i="34"/>
  <c r="B1514" i="34"/>
  <c r="P1514" i="34"/>
  <c r="A1515" i="34"/>
  <c r="B1515" i="34"/>
  <c r="P1515" i="34"/>
  <c r="A1516" i="34"/>
  <c r="B1516" i="34"/>
  <c r="P1516" i="34"/>
  <c r="A1517" i="34"/>
  <c r="B1517" i="34"/>
  <c r="P1517" i="34"/>
  <c r="A1518" i="34"/>
  <c r="B1518" i="34"/>
  <c r="P1518" i="34"/>
  <c r="A1519" i="34"/>
  <c r="B1519" i="34"/>
  <c r="P1519" i="34"/>
  <c r="A1520" i="34"/>
  <c r="B1520" i="34"/>
  <c r="P1520" i="34"/>
  <c r="A1521" i="34"/>
  <c r="B1521" i="34"/>
  <c r="P1521" i="34"/>
  <c r="A1522" i="34"/>
  <c r="B1522" i="34"/>
  <c r="P1522" i="34"/>
  <c r="A1523" i="34"/>
  <c r="B1523" i="34"/>
  <c r="P1523" i="34"/>
  <c r="A1524" i="34"/>
  <c r="B1524" i="34"/>
  <c r="P1524" i="34"/>
  <c r="A1525" i="34"/>
  <c r="B1525" i="34"/>
  <c r="P1525" i="34"/>
  <c r="A1526" i="34"/>
  <c r="B1526" i="34"/>
  <c r="P1526" i="34"/>
  <c r="A1527" i="34"/>
  <c r="B1527" i="34"/>
  <c r="P1527" i="34"/>
  <c r="A1528" i="34"/>
  <c r="B1528" i="34"/>
  <c r="P1528" i="34"/>
  <c r="A1529" i="34"/>
  <c r="B1529" i="34"/>
  <c r="P1529" i="34"/>
  <c r="A1530" i="34"/>
  <c r="B1530" i="34"/>
  <c r="P1530" i="34"/>
  <c r="A1531" i="34"/>
  <c r="B1531" i="34"/>
  <c r="P1531" i="34"/>
  <c r="A1532" i="34"/>
  <c r="B1532" i="34"/>
  <c r="P1532" i="34"/>
  <c r="A1533" i="34"/>
  <c r="B1533" i="34"/>
  <c r="P1533" i="34"/>
  <c r="A1534" i="34"/>
  <c r="B1534" i="34"/>
  <c r="P1534" i="34"/>
  <c r="A1535" i="34"/>
  <c r="B1535" i="34"/>
  <c r="P1535" i="34"/>
  <c r="A1536" i="34"/>
  <c r="B1536" i="34"/>
  <c r="P1536" i="34"/>
  <c r="A1537" i="34"/>
  <c r="B1537" i="34"/>
  <c r="P1537" i="34"/>
  <c r="A1538" i="34"/>
  <c r="B1538" i="34"/>
  <c r="P1538" i="34"/>
  <c r="A1539" i="34"/>
  <c r="B1539" i="34"/>
  <c r="P1539" i="34"/>
  <c r="A1540" i="34"/>
  <c r="B1540" i="34"/>
  <c r="P1540" i="34"/>
  <c r="A1541" i="34"/>
  <c r="B1541" i="34"/>
  <c r="P1541" i="34"/>
  <c r="A1542" i="34"/>
  <c r="B1542" i="34"/>
  <c r="P1542" i="34"/>
  <c r="A1543" i="34"/>
  <c r="B1543" i="34"/>
  <c r="P1543" i="34"/>
  <c r="A1544" i="34"/>
  <c r="B1544" i="34"/>
  <c r="P1544" i="34"/>
  <c r="A1545" i="34"/>
  <c r="B1545" i="34"/>
  <c r="P1545" i="34"/>
  <c r="A1546" i="34"/>
  <c r="B1546" i="34"/>
  <c r="P1546" i="34"/>
  <c r="A1547" i="34"/>
  <c r="B1547" i="34"/>
  <c r="P1547" i="34"/>
  <c r="A1548" i="34"/>
  <c r="B1548" i="34"/>
  <c r="P1548" i="34"/>
  <c r="A1549" i="34"/>
  <c r="B1549" i="34"/>
  <c r="P1549" i="34"/>
  <c r="A1550" i="34"/>
  <c r="B1550" i="34"/>
  <c r="P1550" i="34"/>
  <c r="A1551" i="34"/>
  <c r="B1551" i="34"/>
  <c r="P1551" i="34"/>
  <c r="A1552" i="34"/>
  <c r="B1552" i="34"/>
  <c r="P1552" i="34"/>
  <c r="A1553" i="34"/>
  <c r="B1553" i="34"/>
  <c r="P1553" i="34"/>
  <c r="A1554" i="34"/>
  <c r="B1554" i="34"/>
  <c r="P1554" i="34"/>
  <c r="A1555" i="34"/>
  <c r="B1555" i="34"/>
  <c r="P1555" i="34"/>
  <c r="A1556" i="34"/>
  <c r="B1556" i="34"/>
  <c r="P1556" i="34"/>
  <c r="A1557" i="34"/>
  <c r="B1557" i="34"/>
  <c r="P1557" i="34"/>
  <c r="A1558" i="34"/>
  <c r="B1558" i="34"/>
  <c r="P1558" i="34"/>
  <c r="A1559" i="34"/>
  <c r="B1559" i="34"/>
  <c r="P1559" i="34"/>
  <c r="A1560" i="34"/>
  <c r="B1560" i="34"/>
  <c r="P1560" i="34"/>
  <c r="A1561" i="34"/>
  <c r="B1561" i="34"/>
  <c r="P1561" i="34"/>
  <c r="A1562" i="34"/>
  <c r="B1562" i="34"/>
  <c r="P1562" i="34"/>
  <c r="A1563" i="34"/>
  <c r="B1563" i="34"/>
  <c r="P1563" i="34"/>
  <c r="A1564" i="34"/>
  <c r="B1564" i="34"/>
  <c r="P1564" i="34"/>
  <c r="A1565" i="34"/>
  <c r="B1565" i="34"/>
  <c r="P1565" i="34"/>
  <c r="A1566" i="34"/>
  <c r="B1566" i="34"/>
  <c r="P1566" i="34"/>
  <c r="A1567" i="34"/>
  <c r="B1567" i="34"/>
  <c r="P1567" i="34"/>
  <c r="A1568" i="34"/>
  <c r="B1568" i="34"/>
  <c r="P1568" i="34"/>
  <c r="A1569" i="34"/>
  <c r="B1569" i="34"/>
  <c r="P1569" i="34"/>
  <c r="A1570" i="34"/>
  <c r="B1570" i="34"/>
  <c r="P1570" i="34"/>
  <c r="A1571" i="34"/>
  <c r="B1571" i="34"/>
  <c r="P1571" i="34"/>
  <c r="A1572" i="34"/>
  <c r="B1572" i="34"/>
  <c r="P1572" i="34"/>
  <c r="A1573" i="34"/>
  <c r="B1573" i="34"/>
  <c r="P1573" i="34"/>
  <c r="A1574" i="34"/>
  <c r="B1574" i="34"/>
  <c r="P1574" i="34"/>
  <c r="A1575" i="34"/>
  <c r="B1575" i="34"/>
  <c r="P1575" i="34"/>
  <c r="A1576" i="34"/>
  <c r="B1576" i="34"/>
  <c r="P1576" i="34"/>
  <c r="A1577" i="34"/>
  <c r="B1577" i="34"/>
  <c r="P1577" i="34"/>
  <c r="A1578" i="34"/>
  <c r="B1578" i="34"/>
  <c r="P1578" i="34"/>
  <c r="A1579" i="34"/>
  <c r="B1579" i="34"/>
  <c r="P1579" i="34"/>
  <c r="A1580" i="34"/>
  <c r="B1580" i="34"/>
  <c r="P1580" i="34"/>
  <c r="A1581" i="34"/>
  <c r="B1581" i="34"/>
  <c r="P1581" i="34"/>
  <c r="A1582" i="34"/>
  <c r="B1582" i="34"/>
  <c r="P1582" i="34"/>
  <c r="A1583" i="34"/>
  <c r="B1583" i="34"/>
  <c r="P1583" i="34"/>
  <c r="A1584" i="34"/>
  <c r="B1584" i="34"/>
  <c r="P1584" i="34"/>
  <c r="A1585" i="34"/>
  <c r="B1585" i="34"/>
  <c r="P1585" i="34"/>
  <c r="A1586" i="34"/>
  <c r="B1586" i="34"/>
  <c r="P1586" i="34"/>
  <c r="A1587" i="34"/>
  <c r="B1587" i="34"/>
  <c r="P1587" i="34"/>
  <c r="A1588" i="34"/>
  <c r="B1588" i="34"/>
  <c r="P1588" i="34"/>
  <c r="H230" i="35" l="1"/>
  <c r="G208" i="35" l="1"/>
  <c r="G196" i="35"/>
  <c r="G197" i="35"/>
  <c r="G198" i="35"/>
  <c r="G199" i="35"/>
  <c r="G200" i="35"/>
  <c r="G201" i="35"/>
  <c r="G202" i="35"/>
  <c r="G203" i="35"/>
  <c r="G204" i="35"/>
  <c r="G205" i="35"/>
  <c r="G195" i="35"/>
  <c r="G190" i="35"/>
  <c r="G191" i="35"/>
  <c r="G192" i="35"/>
  <c r="G189" i="35"/>
  <c r="G183" i="35"/>
  <c r="G184" i="35"/>
  <c r="G185" i="35"/>
  <c r="G186" i="35"/>
  <c r="G182" i="35"/>
  <c r="G161" i="35"/>
  <c r="G162" i="35"/>
  <c r="G163" i="35"/>
  <c r="G164" i="35"/>
  <c r="G160" i="35"/>
  <c r="J27" i="40" l="1"/>
  <c r="H182" i="35"/>
  <c r="E182" i="35" l="1"/>
  <c r="P17" i="34"/>
  <c r="P18" i="34"/>
  <c r="P19" i="34"/>
  <c r="P20" i="34"/>
  <c r="P21" i="34"/>
  <c r="P22" i="34"/>
  <c r="P23" i="34"/>
  <c r="P24" i="34"/>
  <c r="P25" i="34"/>
  <c r="P26" i="34"/>
  <c r="P27" i="34"/>
  <c r="P28" i="34"/>
  <c r="P29" i="34"/>
  <c r="P30" i="34"/>
  <c r="P31" i="34"/>
  <c r="P32" i="34"/>
  <c r="P33" i="34"/>
  <c r="P34" i="34"/>
  <c r="P35" i="34"/>
  <c r="P36" i="34"/>
  <c r="P37" i="34"/>
  <c r="P38" i="34"/>
  <c r="P39" i="34"/>
  <c r="P40" i="34"/>
  <c r="P41" i="34"/>
  <c r="P42" i="34"/>
  <c r="P43" i="34"/>
  <c r="P44" i="34"/>
  <c r="P45" i="34"/>
  <c r="P46" i="34"/>
  <c r="P47" i="34"/>
  <c r="P48" i="34"/>
  <c r="P49" i="34"/>
  <c r="P50" i="34"/>
  <c r="P51" i="34"/>
  <c r="P52" i="34"/>
  <c r="P53" i="34"/>
  <c r="P54" i="34"/>
  <c r="P55" i="34"/>
  <c r="P56" i="34"/>
  <c r="P57" i="34"/>
  <c r="P58" i="34"/>
  <c r="P59" i="34"/>
  <c r="P60" i="34"/>
  <c r="P61" i="34"/>
  <c r="P62" i="34"/>
  <c r="P63" i="34"/>
  <c r="P64" i="34"/>
  <c r="P65" i="34"/>
  <c r="P66" i="34"/>
  <c r="P67" i="34"/>
  <c r="P68" i="34"/>
  <c r="P69" i="34"/>
  <c r="P70" i="34"/>
  <c r="P71" i="34"/>
  <c r="P72" i="34"/>
  <c r="P73" i="34"/>
  <c r="P74" i="34"/>
  <c r="P75" i="34"/>
  <c r="P76" i="34"/>
  <c r="P77" i="34"/>
  <c r="P78" i="34"/>
  <c r="P79" i="34"/>
  <c r="P80" i="34"/>
  <c r="P81" i="34"/>
  <c r="P82" i="34"/>
  <c r="P83" i="34"/>
  <c r="P84" i="34"/>
  <c r="P85" i="34"/>
  <c r="P86" i="34"/>
  <c r="P87" i="34"/>
  <c r="P88" i="34"/>
  <c r="P89" i="34"/>
  <c r="P90" i="34"/>
  <c r="P91" i="34"/>
  <c r="P92" i="34"/>
  <c r="P93" i="34"/>
  <c r="P94" i="34"/>
  <c r="P95" i="34"/>
  <c r="P96" i="34"/>
  <c r="P97" i="34"/>
  <c r="P98" i="34"/>
  <c r="P99" i="34"/>
  <c r="P100" i="34"/>
  <c r="P101" i="34"/>
  <c r="P102" i="34"/>
  <c r="P103" i="34"/>
  <c r="P104" i="34"/>
  <c r="P105" i="34"/>
  <c r="P106" i="34"/>
  <c r="P107" i="34"/>
  <c r="P108" i="34"/>
  <c r="P109" i="34"/>
  <c r="P110" i="34"/>
  <c r="P111" i="34"/>
  <c r="P112" i="34"/>
  <c r="P113" i="34"/>
  <c r="P114" i="34"/>
  <c r="P115" i="34"/>
  <c r="P116" i="34"/>
  <c r="P117" i="34"/>
  <c r="P118" i="34"/>
  <c r="P119" i="34"/>
  <c r="P120" i="34"/>
  <c r="P121" i="34"/>
  <c r="P122" i="34"/>
  <c r="P123" i="34"/>
  <c r="P124" i="34"/>
  <c r="P125" i="34"/>
  <c r="P126" i="34"/>
  <c r="P127" i="34"/>
  <c r="P128" i="34"/>
  <c r="P129" i="34"/>
  <c r="P130" i="34"/>
  <c r="P131" i="34"/>
  <c r="P132" i="34"/>
  <c r="P133" i="34"/>
  <c r="P134" i="34"/>
  <c r="P135" i="34"/>
  <c r="P136" i="34"/>
  <c r="P137" i="34"/>
  <c r="P138" i="34"/>
  <c r="P139" i="34"/>
  <c r="P140" i="34"/>
  <c r="P141" i="34"/>
  <c r="P142" i="34"/>
  <c r="P143" i="34"/>
  <c r="P144" i="34"/>
  <c r="P145" i="34"/>
  <c r="P146" i="34"/>
  <c r="P147" i="34"/>
  <c r="P148" i="34"/>
  <c r="P149" i="34"/>
  <c r="P150" i="34"/>
  <c r="P151" i="34"/>
  <c r="P152" i="34"/>
  <c r="P153" i="34"/>
  <c r="P154" i="34"/>
  <c r="P155" i="34"/>
  <c r="P156" i="34"/>
  <c r="P157" i="34"/>
  <c r="P158" i="34"/>
  <c r="P159" i="34"/>
  <c r="P160" i="34"/>
  <c r="P161" i="34"/>
  <c r="P162" i="34"/>
  <c r="P163" i="34"/>
  <c r="P164" i="34"/>
  <c r="P165" i="34"/>
  <c r="P166" i="34"/>
  <c r="P167" i="34"/>
  <c r="P168" i="34"/>
  <c r="P169" i="34"/>
  <c r="P170" i="34"/>
  <c r="P171" i="34"/>
  <c r="P172" i="34"/>
  <c r="P173" i="34"/>
  <c r="P174" i="34"/>
  <c r="P175" i="34"/>
  <c r="P176" i="34"/>
  <c r="P177" i="34"/>
  <c r="P178" i="34"/>
  <c r="P179" i="34"/>
  <c r="P180" i="34"/>
  <c r="P181" i="34"/>
  <c r="P182" i="34"/>
  <c r="P183" i="34"/>
  <c r="P184" i="34"/>
  <c r="P185" i="34"/>
  <c r="P186" i="34"/>
  <c r="P187" i="34"/>
  <c r="P188" i="34"/>
  <c r="P189" i="34"/>
  <c r="P190" i="34"/>
  <c r="P191" i="34"/>
  <c r="P192" i="34"/>
  <c r="P193" i="34"/>
  <c r="P194" i="34"/>
  <c r="P195" i="34"/>
  <c r="P196" i="34"/>
  <c r="P197" i="34"/>
  <c r="P198" i="34"/>
  <c r="P199" i="34"/>
  <c r="P200" i="34"/>
  <c r="P201" i="34"/>
  <c r="P202" i="34"/>
  <c r="P203" i="34"/>
  <c r="P204" i="34"/>
  <c r="P205" i="34"/>
  <c r="P206" i="34"/>
  <c r="P207" i="34"/>
  <c r="P208" i="34"/>
  <c r="P209" i="34"/>
  <c r="P210" i="34"/>
  <c r="P211" i="34"/>
  <c r="P212" i="34"/>
  <c r="P213" i="34"/>
  <c r="P214" i="34"/>
  <c r="P215" i="34"/>
  <c r="P216" i="34"/>
  <c r="P217" i="34"/>
  <c r="P218" i="34"/>
  <c r="P219" i="34"/>
  <c r="P220" i="34"/>
  <c r="P221" i="34"/>
  <c r="P222" i="34"/>
  <c r="P223" i="34"/>
  <c r="P224" i="34"/>
  <c r="P225" i="34"/>
  <c r="P226" i="34"/>
  <c r="P227" i="34"/>
  <c r="P228" i="34"/>
  <c r="P229" i="34"/>
  <c r="P230" i="34"/>
  <c r="P231" i="34"/>
  <c r="P232" i="34"/>
  <c r="P233" i="34"/>
  <c r="P234" i="34"/>
  <c r="P235" i="34"/>
  <c r="P236" i="34"/>
  <c r="P237" i="34"/>
  <c r="P238" i="34"/>
  <c r="P239" i="34"/>
  <c r="P240" i="34"/>
  <c r="P241" i="34"/>
  <c r="P242" i="34"/>
  <c r="P243" i="34"/>
  <c r="P244" i="34"/>
  <c r="P245" i="34"/>
  <c r="P246" i="34"/>
  <c r="P247" i="34"/>
  <c r="P248" i="34"/>
  <c r="P249" i="34"/>
  <c r="P250" i="34"/>
  <c r="P251" i="34"/>
  <c r="P252" i="34"/>
  <c r="P253" i="34"/>
  <c r="P254" i="34"/>
  <c r="P255" i="34"/>
  <c r="P256" i="34"/>
  <c r="P257" i="34"/>
  <c r="P258" i="34"/>
  <c r="P259" i="34"/>
  <c r="P260" i="34"/>
  <c r="P261" i="34"/>
  <c r="P262" i="34"/>
  <c r="P263" i="34"/>
  <c r="P264" i="34"/>
  <c r="P265" i="34"/>
  <c r="P266" i="34"/>
  <c r="P267" i="34"/>
  <c r="P268" i="34"/>
  <c r="P269" i="34"/>
  <c r="P270" i="34"/>
  <c r="P271" i="34"/>
  <c r="P272" i="34"/>
  <c r="P273" i="34"/>
  <c r="P274" i="34"/>
  <c r="P275" i="34"/>
  <c r="P276" i="34"/>
  <c r="P277" i="34"/>
  <c r="P278" i="34"/>
  <c r="P279" i="34"/>
  <c r="P280" i="34"/>
  <c r="P281" i="34"/>
  <c r="P282" i="34"/>
  <c r="P283" i="34"/>
  <c r="P284" i="34"/>
  <c r="P285" i="34"/>
  <c r="P286" i="34"/>
  <c r="P287" i="34"/>
  <c r="P288" i="34"/>
  <c r="P289" i="34"/>
  <c r="P290" i="34"/>
  <c r="P291" i="34"/>
  <c r="P292" i="34"/>
  <c r="P293" i="34"/>
  <c r="P294" i="34"/>
  <c r="P295" i="34"/>
  <c r="P296" i="34"/>
  <c r="P297" i="34"/>
  <c r="P298" i="34"/>
  <c r="P299" i="34"/>
  <c r="P300" i="34"/>
  <c r="P301" i="34"/>
  <c r="P302" i="34"/>
  <c r="P303" i="34"/>
  <c r="P304" i="34"/>
  <c r="P305" i="34"/>
  <c r="P306" i="34"/>
  <c r="P307" i="34"/>
  <c r="P308" i="34"/>
  <c r="P309" i="34"/>
  <c r="P310" i="34"/>
  <c r="P311" i="34"/>
  <c r="P312" i="34"/>
  <c r="P313" i="34"/>
  <c r="P314" i="34"/>
  <c r="P315" i="34"/>
  <c r="P316" i="34"/>
  <c r="P317" i="34"/>
  <c r="P318" i="34"/>
  <c r="P319" i="34"/>
  <c r="P320" i="34"/>
  <c r="P321" i="34"/>
  <c r="P322" i="34"/>
  <c r="P323" i="34"/>
  <c r="P324" i="34"/>
  <c r="P325" i="34"/>
  <c r="P326" i="34"/>
  <c r="P327" i="34"/>
  <c r="P328" i="34"/>
  <c r="P329" i="34"/>
  <c r="P330" i="34"/>
  <c r="P331" i="34"/>
  <c r="P332" i="34"/>
  <c r="P333" i="34"/>
  <c r="P334" i="34"/>
  <c r="P335" i="34"/>
  <c r="P336" i="34"/>
  <c r="P337" i="34"/>
  <c r="P338" i="34"/>
  <c r="P339" i="34"/>
  <c r="P340" i="34"/>
  <c r="P341" i="34"/>
  <c r="P342" i="34"/>
  <c r="P343" i="34"/>
  <c r="P344" i="34"/>
  <c r="P345" i="34"/>
  <c r="P346" i="34"/>
  <c r="P347" i="34"/>
  <c r="P348" i="34"/>
  <c r="P349" i="34"/>
  <c r="P350" i="34"/>
  <c r="P351" i="34"/>
  <c r="P352" i="34"/>
  <c r="P353" i="34"/>
  <c r="P354" i="34"/>
  <c r="P355" i="34"/>
  <c r="P356" i="34"/>
  <c r="P357" i="34"/>
  <c r="P358" i="34"/>
  <c r="P359" i="34"/>
  <c r="P360" i="34"/>
  <c r="P361" i="34"/>
  <c r="P362" i="34"/>
  <c r="P363" i="34"/>
  <c r="P364" i="34"/>
  <c r="P365" i="34"/>
  <c r="P366" i="34"/>
  <c r="P367" i="34"/>
  <c r="P368" i="34"/>
  <c r="P369" i="34"/>
  <c r="P370" i="34"/>
  <c r="P371" i="34"/>
  <c r="P372" i="34"/>
  <c r="P373" i="34"/>
  <c r="P374" i="34"/>
  <c r="P375" i="34"/>
  <c r="P376" i="34"/>
  <c r="P377" i="34"/>
  <c r="P378" i="34"/>
  <c r="P379" i="34"/>
  <c r="P380" i="34"/>
  <c r="P381" i="34"/>
  <c r="P382" i="34"/>
  <c r="P383" i="34"/>
  <c r="P384" i="34"/>
  <c r="P385" i="34"/>
  <c r="P386" i="34"/>
  <c r="P387" i="34"/>
  <c r="P388" i="34"/>
  <c r="P389" i="34"/>
  <c r="P390" i="34"/>
  <c r="P391" i="34"/>
  <c r="P392" i="34"/>
  <c r="P393" i="34"/>
  <c r="P394" i="34"/>
  <c r="P395" i="34"/>
  <c r="P396" i="34"/>
  <c r="P397" i="34"/>
  <c r="P398" i="34"/>
  <c r="P399" i="34"/>
  <c r="P400" i="34"/>
  <c r="P401" i="34"/>
  <c r="P402" i="34"/>
  <c r="P403" i="34"/>
  <c r="P404" i="34"/>
  <c r="P405" i="34"/>
  <c r="P406" i="34"/>
  <c r="P407" i="34"/>
  <c r="P408" i="34"/>
  <c r="P409" i="34"/>
  <c r="P410" i="34"/>
  <c r="P411" i="34"/>
  <c r="P412" i="34"/>
  <c r="P413" i="34"/>
  <c r="P414" i="34"/>
  <c r="P415" i="34"/>
  <c r="P416" i="34"/>
  <c r="P417" i="34"/>
  <c r="P418" i="34"/>
  <c r="P419" i="34"/>
  <c r="P420" i="34"/>
  <c r="P421" i="34"/>
  <c r="P422" i="34"/>
  <c r="P423" i="34"/>
  <c r="P424" i="34"/>
  <c r="P425" i="34"/>
  <c r="P426" i="34"/>
  <c r="P427" i="34"/>
  <c r="P428" i="34"/>
  <c r="P429" i="34"/>
  <c r="P430" i="34"/>
  <c r="P431" i="34"/>
  <c r="P432" i="34"/>
  <c r="P433" i="34"/>
  <c r="P434" i="34"/>
  <c r="P435" i="34"/>
  <c r="P436" i="34"/>
  <c r="P437" i="34"/>
  <c r="P438" i="34"/>
  <c r="P439" i="34"/>
  <c r="P440" i="34"/>
  <c r="P441" i="34"/>
  <c r="P442" i="34"/>
  <c r="P443" i="34"/>
  <c r="P444" i="34"/>
  <c r="P445" i="34"/>
  <c r="P446" i="34"/>
  <c r="P447" i="34"/>
  <c r="P448" i="34"/>
  <c r="P449" i="34"/>
  <c r="P450" i="34"/>
  <c r="P451" i="34"/>
  <c r="P452" i="34"/>
  <c r="P453" i="34"/>
  <c r="P454" i="34"/>
  <c r="P455" i="34"/>
  <c r="P456" i="34"/>
  <c r="P457" i="34"/>
  <c r="P458" i="34"/>
  <c r="P459" i="34"/>
  <c r="P460" i="34"/>
  <c r="P461" i="34"/>
  <c r="P462" i="34"/>
  <c r="P463" i="34"/>
  <c r="P464" i="34"/>
  <c r="P465" i="34"/>
  <c r="P466" i="34"/>
  <c r="P467" i="34"/>
  <c r="P468" i="34"/>
  <c r="P469" i="34"/>
  <c r="P470" i="34"/>
  <c r="P471" i="34"/>
  <c r="P472" i="34"/>
  <c r="P473" i="34"/>
  <c r="P474" i="34"/>
  <c r="P475" i="34"/>
  <c r="P476" i="34"/>
  <c r="P477" i="34"/>
  <c r="P478" i="34"/>
  <c r="P479" i="34"/>
  <c r="P480" i="34"/>
  <c r="P481" i="34"/>
  <c r="P482" i="34"/>
  <c r="P483" i="34"/>
  <c r="P484" i="34"/>
  <c r="P485" i="34"/>
  <c r="P486" i="34"/>
  <c r="P487" i="34"/>
  <c r="P488" i="34"/>
  <c r="P489" i="34"/>
  <c r="P490" i="34"/>
  <c r="P491" i="34"/>
  <c r="P492" i="34"/>
  <c r="P493" i="34"/>
  <c r="P494" i="34"/>
  <c r="P495" i="34"/>
  <c r="P496" i="34"/>
  <c r="P497" i="34"/>
  <c r="P498" i="34"/>
  <c r="P499" i="34"/>
  <c r="P500" i="34"/>
  <c r="P501" i="34"/>
  <c r="P502" i="34"/>
  <c r="P503" i="34"/>
  <c r="P504" i="34"/>
  <c r="P505" i="34"/>
  <c r="P506" i="34"/>
  <c r="P507" i="34"/>
  <c r="P508" i="34"/>
  <c r="P509" i="34"/>
  <c r="P510" i="34"/>
  <c r="P511" i="34"/>
  <c r="P512" i="34"/>
  <c r="P513" i="34"/>
  <c r="P514" i="34"/>
  <c r="P515" i="34"/>
  <c r="P516" i="34"/>
  <c r="P517" i="34"/>
  <c r="P518" i="34"/>
  <c r="P519" i="34"/>
  <c r="P520" i="34"/>
  <c r="P521" i="34"/>
  <c r="P522" i="34"/>
  <c r="P523" i="34"/>
  <c r="P524" i="34"/>
  <c r="P525" i="34"/>
  <c r="P526" i="34"/>
  <c r="P527" i="34"/>
  <c r="P528" i="34"/>
  <c r="P529" i="34"/>
  <c r="P530" i="34"/>
  <c r="P531" i="34"/>
  <c r="P532" i="34"/>
  <c r="P533" i="34"/>
  <c r="P534" i="34"/>
  <c r="P535" i="34"/>
  <c r="P536" i="34"/>
  <c r="P537" i="34"/>
  <c r="P538" i="34"/>
  <c r="P539" i="34"/>
  <c r="P540" i="34"/>
  <c r="P541" i="34"/>
  <c r="P542" i="34"/>
  <c r="P543" i="34"/>
  <c r="P544" i="34"/>
  <c r="P545" i="34"/>
  <c r="P546" i="34"/>
  <c r="P547" i="34"/>
  <c r="P548" i="34"/>
  <c r="P549" i="34"/>
  <c r="P550" i="34"/>
  <c r="P551" i="34"/>
  <c r="P552" i="34"/>
  <c r="P553" i="34"/>
  <c r="P554" i="34"/>
  <c r="P555" i="34"/>
  <c r="P556" i="34"/>
  <c r="P557" i="34"/>
  <c r="P558" i="34"/>
  <c r="P559" i="34"/>
  <c r="P560" i="34"/>
  <c r="P561" i="34"/>
  <c r="P562" i="34"/>
  <c r="P563" i="34"/>
  <c r="P564" i="34"/>
  <c r="P565" i="34"/>
  <c r="P566" i="34"/>
  <c r="P567" i="34"/>
  <c r="P568" i="34"/>
  <c r="P569" i="34"/>
  <c r="P570" i="34"/>
  <c r="P571" i="34"/>
  <c r="P572" i="34"/>
  <c r="P573" i="34"/>
  <c r="P574" i="34"/>
  <c r="P575" i="34"/>
  <c r="P576" i="34"/>
  <c r="P577" i="34"/>
  <c r="P578" i="34"/>
  <c r="P579" i="34"/>
  <c r="P580" i="34"/>
  <c r="P581" i="34"/>
  <c r="P582" i="34"/>
  <c r="P583" i="34"/>
  <c r="P584" i="34"/>
  <c r="P585" i="34"/>
  <c r="P586" i="34"/>
  <c r="P587" i="34"/>
  <c r="P588" i="34"/>
  <c r="P589" i="34"/>
  <c r="P590" i="34"/>
  <c r="P591" i="34"/>
  <c r="P592" i="34"/>
  <c r="P593" i="34"/>
  <c r="P594" i="34"/>
  <c r="P595" i="34"/>
  <c r="P596" i="34"/>
  <c r="P597" i="34"/>
  <c r="P598" i="34"/>
  <c r="P599" i="34"/>
  <c r="P600" i="34"/>
  <c r="P601" i="34"/>
  <c r="P602" i="34"/>
  <c r="P603" i="34"/>
  <c r="P604" i="34"/>
  <c r="P605" i="34"/>
  <c r="P606" i="34"/>
  <c r="P607" i="34"/>
  <c r="P608" i="34"/>
  <c r="P609" i="34"/>
  <c r="P610" i="34"/>
  <c r="P611" i="34"/>
  <c r="P612" i="34"/>
  <c r="P613" i="34"/>
  <c r="P614" i="34"/>
  <c r="P615" i="34"/>
  <c r="P616" i="34"/>
  <c r="P617" i="34"/>
  <c r="P618" i="34"/>
  <c r="P619" i="34"/>
  <c r="P620" i="34"/>
  <c r="P621" i="34"/>
  <c r="P622" i="34"/>
  <c r="P623" i="34"/>
  <c r="P624" i="34"/>
  <c r="P625" i="34"/>
  <c r="P626" i="34"/>
  <c r="P627" i="34"/>
  <c r="P628" i="34"/>
  <c r="P629" i="34"/>
  <c r="P630" i="34"/>
  <c r="P631" i="34"/>
  <c r="P632" i="34"/>
  <c r="P633" i="34"/>
  <c r="P634" i="34"/>
  <c r="P635" i="34"/>
  <c r="P636" i="34"/>
  <c r="P637" i="34"/>
  <c r="P638" i="34"/>
  <c r="P639" i="34"/>
  <c r="P640" i="34"/>
  <c r="P641" i="34"/>
  <c r="P642" i="34"/>
  <c r="P643" i="34"/>
  <c r="P644" i="34"/>
  <c r="P645" i="34"/>
  <c r="P646" i="34"/>
  <c r="P647" i="34"/>
  <c r="P648" i="34"/>
  <c r="P649" i="34"/>
  <c r="P650" i="34"/>
  <c r="P651" i="34"/>
  <c r="P652" i="34"/>
  <c r="P653" i="34"/>
  <c r="P654" i="34"/>
  <c r="P655" i="34"/>
  <c r="P656" i="34"/>
  <c r="P657" i="34"/>
  <c r="P658" i="34"/>
  <c r="P659" i="34"/>
  <c r="P660" i="34"/>
  <c r="P661" i="34"/>
  <c r="P662" i="34"/>
  <c r="P663" i="34"/>
  <c r="P664" i="34"/>
  <c r="P665" i="34"/>
  <c r="P666" i="34"/>
  <c r="P667" i="34"/>
  <c r="P668" i="34"/>
  <c r="P669" i="34"/>
  <c r="P670" i="34"/>
  <c r="P671" i="34"/>
  <c r="P672" i="34"/>
  <c r="P673" i="34"/>
  <c r="P674" i="34"/>
  <c r="P675" i="34"/>
  <c r="P676" i="34"/>
  <c r="P677" i="34"/>
  <c r="P678" i="34"/>
  <c r="P679" i="34"/>
  <c r="P680" i="34"/>
  <c r="P681" i="34"/>
  <c r="P682" i="34"/>
  <c r="P683" i="34"/>
  <c r="P684" i="34"/>
  <c r="P685" i="34"/>
  <c r="P686" i="34"/>
  <c r="P687" i="34"/>
  <c r="P688" i="34"/>
  <c r="P689" i="34"/>
  <c r="P690" i="34"/>
  <c r="P691" i="34"/>
  <c r="P692" i="34"/>
  <c r="P693" i="34"/>
  <c r="P694" i="34"/>
  <c r="P695" i="34"/>
  <c r="P696" i="34"/>
  <c r="P697" i="34"/>
  <c r="P698" i="34"/>
  <c r="P699" i="34"/>
  <c r="P700" i="34"/>
  <c r="P701" i="34"/>
  <c r="P702" i="34"/>
  <c r="P703" i="34"/>
  <c r="P704" i="34"/>
  <c r="P705" i="34"/>
  <c r="P706" i="34"/>
  <c r="P707" i="34"/>
  <c r="P708" i="34"/>
  <c r="P709" i="34"/>
  <c r="P710" i="34"/>
  <c r="P711" i="34"/>
  <c r="P712" i="34"/>
  <c r="P713" i="34"/>
  <c r="P714" i="34"/>
  <c r="P715" i="34"/>
  <c r="P716" i="34"/>
  <c r="P717" i="34"/>
  <c r="P718" i="34"/>
  <c r="P719" i="34"/>
  <c r="P720" i="34"/>
  <c r="P721" i="34"/>
  <c r="P722" i="34"/>
  <c r="P723" i="34"/>
  <c r="P724" i="34"/>
  <c r="P725" i="34"/>
  <c r="P726" i="34"/>
  <c r="P727" i="34"/>
  <c r="P728" i="34"/>
  <c r="P729" i="34"/>
  <c r="P730" i="34"/>
  <c r="P731" i="34"/>
  <c r="P732" i="34"/>
  <c r="P733" i="34"/>
  <c r="P734" i="34"/>
  <c r="P735" i="34"/>
  <c r="P736" i="34"/>
  <c r="P737" i="34"/>
  <c r="P738" i="34"/>
  <c r="P739" i="34"/>
  <c r="P740" i="34"/>
  <c r="P741" i="34"/>
  <c r="P742" i="34"/>
  <c r="P743" i="34"/>
  <c r="P744" i="34"/>
  <c r="P745" i="34"/>
  <c r="P746" i="34"/>
  <c r="P747" i="34"/>
  <c r="P748" i="34"/>
  <c r="P749" i="34"/>
  <c r="P750" i="34"/>
  <c r="P751" i="34"/>
  <c r="P752" i="34"/>
  <c r="P753" i="34"/>
  <c r="P754" i="34"/>
  <c r="P755" i="34"/>
  <c r="P756" i="34"/>
  <c r="P757" i="34"/>
  <c r="P758" i="34"/>
  <c r="P759" i="34"/>
  <c r="P760" i="34"/>
  <c r="P761" i="34"/>
  <c r="P762" i="34"/>
  <c r="P763" i="34"/>
  <c r="P764" i="34"/>
  <c r="P765" i="34"/>
  <c r="P766" i="34"/>
  <c r="P767" i="34"/>
  <c r="P768" i="34"/>
  <c r="P769" i="34"/>
  <c r="P770" i="34"/>
  <c r="P771" i="34"/>
  <c r="P772" i="34"/>
  <c r="P773" i="34"/>
  <c r="P774" i="34"/>
  <c r="P775" i="34"/>
  <c r="P776" i="34"/>
  <c r="P777" i="34"/>
  <c r="P778" i="34"/>
  <c r="P779" i="34"/>
  <c r="P780" i="34"/>
  <c r="P781" i="34"/>
  <c r="P782" i="34"/>
  <c r="P783" i="34"/>
  <c r="P784" i="34"/>
  <c r="P785" i="34"/>
  <c r="P786" i="34"/>
  <c r="P787" i="34"/>
  <c r="P788" i="34"/>
  <c r="P789" i="34"/>
  <c r="P790" i="34"/>
  <c r="P791" i="34"/>
  <c r="P792" i="34"/>
  <c r="P793" i="34"/>
  <c r="P794" i="34"/>
  <c r="P795" i="34"/>
  <c r="P796" i="34"/>
  <c r="P797" i="34"/>
  <c r="P798" i="34"/>
  <c r="P799" i="34"/>
  <c r="P800" i="34"/>
  <c r="P801" i="34"/>
  <c r="P802" i="34"/>
  <c r="P803" i="34"/>
  <c r="P804" i="34"/>
  <c r="P805" i="34"/>
  <c r="P806" i="34"/>
  <c r="P807" i="34"/>
  <c r="P808" i="34"/>
  <c r="P809" i="34"/>
  <c r="P810" i="34"/>
  <c r="P811" i="34"/>
  <c r="P812" i="34"/>
  <c r="P813" i="34"/>
  <c r="P814" i="34"/>
  <c r="P815" i="34"/>
  <c r="P816" i="34"/>
  <c r="P817" i="34"/>
  <c r="P818" i="34"/>
  <c r="P819" i="34"/>
  <c r="P820" i="34"/>
  <c r="P821" i="34"/>
  <c r="P822" i="34"/>
  <c r="P823" i="34"/>
  <c r="P824" i="34"/>
  <c r="P825" i="34"/>
  <c r="P826" i="34"/>
  <c r="P827" i="34"/>
  <c r="P828" i="34"/>
  <c r="P829" i="34"/>
  <c r="P830" i="34"/>
  <c r="P831" i="34"/>
  <c r="P832" i="34"/>
  <c r="P833" i="34"/>
  <c r="P834" i="34"/>
  <c r="P835" i="34"/>
  <c r="P836" i="34"/>
  <c r="P837" i="34"/>
  <c r="P838" i="34"/>
  <c r="P839" i="34"/>
  <c r="P840" i="34"/>
  <c r="P841" i="34"/>
  <c r="P842" i="34"/>
  <c r="P843" i="34"/>
  <c r="P844" i="34"/>
  <c r="P845" i="34"/>
  <c r="P846" i="34"/>
  <c r="P847" i="34"/>
  <c r="P848" i="34"/>
  <c r="P849" i="34"/>
  <c r="P850" i="34"/>
  <c r="P851" i="34"/>
  <c r="P852" i="34"/>
  <c r="P853" i="34"/>
  <c r="P854" i="34"/>
  <c r="P855" i="34"/>
  <c r="P856" i="34"/>
  <c r="P857" i="34"/>
  <c r="P858" i="34"/>
  <c r="P859" i="34"/>
  <c r="P860" i="34"/>
  <c r="P861" i="34"/>
  <c r="P862" i="34"/>
  <c r="P863" i="34"/>
  <c r="P864" i="34"/>
  <c r="P865" i="34"/>
  <c r="P866" i="34"/>
  <c r="P867" i="34"/>
  <c r="P868" i="34"/>
  <c r="P869" i="34"/>
  <c r="P870" i="34"/>
  <c r="P871" i="34"/>
  <c r="P872" i="34"/>
  <c r="P873" i="34"/>
  <c r="P874" i="34"/>
  <c r="P875" i="34"/>
  <c r="P876" i="34"/>
  <c r="P877" i="34"/>
  <c r="P878" i="34"/>
  <c r="P879" i="34"/>
  <c r="P880" i="34"/>
  <c r="P881" i="34"/>
  <c r="P882" i="34"/>
  <c r="P883" i="34"/>
  <c r="P884" i="34"/>
  <c r="P885" i="34"/>
  <c r="P886" i="34"/>
  <c r="P887" i="34"/>
  <c r="P888" i="34"/>
  <c r="P889" i="34"/>
  <c r="P890" i="34"/>
  <c r="P891" i="34"/>
  <c r="P892" i="34"/>
  <c r="P893" i="34"/>
  <c r="P894" i="34"/>
  <c r="P895" i="34"/>
  <c r="P896" i="34"/>
  <c r="P897" i="34"/>
  <c r="P898" i="34"/>
  <c r="P899" i="34"/>
  <c r="P900" i="34"/>
  <c r="P901" i="34"/>
  <c r="P902" i="34"/>
  <c r="P903" i="34"/>
  <c r="P904" i="34"/>
  <c r="P905" i="34"/>
  <c r="P906" i="34"/>
  <c r="P907" i="34"/>
  <c r="P908" i="34"/>
  <c r="P909" i="34"/>
  <c r="P910" i="34"/>
  <c r="P911" i="34"/>
  <c r="P912" i="34"/>
  <c r="P913" i="34"/>
  <c r="P914" i="34"/>
  <c r="P915" i="34"/>
  <c r="P916" i="34"/>
  <c r="P917" i="34"/>
  <c r="P918" i="34"/>
  <c r="P919" i="34"/>
  <c r="P920" i="34"/>
  <c r="P921" i="34"/>
  <c r="P922" i="34"/>
  <c r="P923" i="34"/>
  <c r="P924" i="34"/>
  <c r="P925" i="34"/>
  <c r="P926" i="34"/>
  <c r="P927" i="34"/>
  <c r="P928" i="34"/>
  <c r="P929" i="34"/>
  <c r="P930" i="34"/>
  <c r="P931" i="34"/>
  <c r="P932" i="34"/>
  <c r="P933" i="34"/>
  <c r="P934" i="34"/>
  <c r="P935" i="34"/>
  <c r="P936" i="34"/>
  <c r="P937" i="34"/>
  <c r="P938" i="34"/>
  <c r="P939" i="34"/>
  <c r="P940" i="34"/>
  <c r="P941" i="34"/>
  <c r="P942" i="34"/>
  <c r="P943" i="34"/>
  <c r="P944" i="34"/>
  <c r="P945" i="34"/>
  <c r="P946" i="34"/>
  <c r="P947" i="34"/>
  <c r="P948" i="34"/>
  <c r="P949" i="34"/>
  <c r="P950" i="34"/>
  <c r="P951" i="34"/>
  <c r="P952" i="34"/>
  <c r="P953" i="34"/>
  <c r="P954" i="34"/>
  <c r="P955" i="34"/>
  <c r="P956" i="34"/>
  <c r="P957" i="34"/>
  <c r="P958" i="34"/>
  <c r="P959" i="34"/>
  <c r="P960" i="34"/>
  <c r="P961" i="34"/>
  <c r="P962" i="34"/>
  <c r="P963" i="34"/>
  <c r="P964" i="34"/>
  <c r="P965" i="34"/>
  <c r="P966" i="34"/>
  <c r="P967" i="34"/>
  <c r="P968" i="34"/>
  <c r="P969" i="34"/>
  <c r="P970" i="34"/>
  <c r="P971" i="34"/>
  <c r="P972" i="34"/>
  <c r="P973" i="34"/>
  <c r="P974" i="34"/>
  <c r="P975" i="34"/>
  <c r="P976" i="34"/>
  <c r="P977" i="34"/>
  <c r="P978" i="34"/>
  <c r="P979" i="34"/>
  <c r="P980" i="34"/>
  <c r="P981" i="34"/>
  <c r="P982" i="34"/>
  <c r="P983" i="34"/>
  <c r="P984" i="34"/>
  <c r="P985" i="34"/>
  <c r="P986" i="34"/>
  <c r="P987" i="34"/>
  <c r="P988" i="34"/>
  <c r="P989" i="34"/>
  <c r="P990" i="34"/>
  <c r="P991" i="34"/>
  <c r="P992" i="34"/>
  <c r="P993" i="34"/>
  <c r="P994" i="34"/>
  <c r="P995" i="34"/>
  <c r="P996" i="34"/>
  <c r="P997" i="34"/>
  <c r="P998" i="34"/>
  <c r="P999" i="34"/>
  <c r="P1000" i="34"/>
  <c r="P1001" i="34"/>
  <c r="P1002" i="34"/>
  <c r="P1003" i="34"/>
  <c r="P1004" i="34"/>
  <c r="P1005" i="34"/>
  <c r="P1006" i="34"/>
  <c r="P1007" i="34"/>
  <c r="P1008" i="34"/>
  <c r="P1009" i="34"/>
  <c r="P1010" i="34"/>
  <c r="P1011" i="34"/>
  <c r="P1012" i="34"/>
  <c r="P1013" i="34"/>
  <c r="P1014" i="34"/>
  <c r="P1015" i="34"/>
  <c r="P1016" i="34"/>
  <c r="P1017" i="34"/>
  <c r="P1018" i="34"/>
  <c r="P1019" i="34"/>
  <c r="P1020" i="34"/>
  <c r="P1021" i="34"/>
  <c r="P1022" i="34"/>
  <c r="P1023" i="34"/>
  <c r="P1024" i="34"/>
  <c r="P1025" i="34"/>
  <c r="P1026" i="34"/>
  <c r="P1027" i="34"/>
  <c r="P1028" i="34"/>
  <c r="P1029" i="34"/>
  <c r="P1030" i="34"/>
  <c r="P1031" i="34"/>
  <c r="P1032" i="34"/>
  <c r="P1033" i="34"/>
  <c r="P1034" i="34"/>
  <c r="P1035" i="34"/>
  <c r="P1036" i="34"/>
  <c r="P1037" i="34"/>
  <c r="P1038" i="34"/>
  <c r="P1039" i="34"/>
  <c r="P1040" i="34"/>
  <c r="P1041" i="34"/>
  <c r="P1042" i="34"/>
  <c r="P1043" i="34"/>
  <c r="P1044" i="34"/>
  <c r="P1045" i="34"/>
  <c r="P1046" i="34"/>
  <c r="P1047" i="34"/>
  <c r="P1048" i="34"/>
  <c r="P1049" i="34"/>
  <c r="P1050" i="34"/>
  <c r="P1051" i="34"/>
  <c r="P1052" i="34"/>
  <c r="P1053" i="34"/>
  <c r="P1054" i="34"/>
  <c r="P1055" i="34"/>
  <c r="P1056" i="34"/>
  <c r="P1057" i="34"/>
  <c r="P1058" i="34"/>
  <c r="P1059" i="34"/>
  <c r="P1060" i="34"/>
  <c r="P1061" i="34"/>
  <c r="P1062" i="34"/>
  <c r="P1063" i="34"/>
  <c r="P1064" i="34"/>
  <c r="P1065" i="34"/>
  <c r="P1066" i="34"/>
  <c r="P1067" i="34"/>
  <c r="P1068" i="34"/>
  <c r="P1069" i="34"/>
  <c r="P1070" i="34"/>
  <c r="P1071" i="34"/>
  <c r="P1072" i="34"/>
  <c r="P1073" i="34"/>
  <c r="P1074" i="34"/>
  <c r="P1075" i="34"/>
  <c r="P1076" i="34"/>
  <c r="P1077" i="34"/>
  <c r="P1078" i="34"/>
  <c r="P1079" i="34"/>
  <c r="P1080" i="34"/>
  <c r="P1081" i="34"/>
  <c r="P1082" i="34"/>
  <c r="P1083" i="34"/>
  <c r="P1084" i="34"/>
  <c r="P1085" i="34"/>
  <c r="P1086" i="34"/>
  <c r="P1087" i="34"/>
  <c r="P1088" i="34"/>
  <c r="P1089" i="34"/>
  <c r="P1090" i="34"/>
  <c r="P1091" i="34"/>
  <c r="P1092" i="34"/>
  <c r="P1093" i="34"/>
  <c r="P1094" i="34"/>
  <c r="P1095" i="34"/>
  <c r="P1096" i="34"/>
  <c r="P1097" i="34"/>
  <c r="P1098" i="34"/>
  <c r="P1099" i="34"/>
  <c r="P1100" i="34"/>
  <c r="P1101" i="34"/>
  <c r="P1102" i="34"/>
  <c r="P1103" i="34"/>
  <c r="P1104" i="34"/>
  <c r="P1105" i="34"/>
  <c r="P1106" i="34"/>
  <c r="P1107" i="34"/>
  <c r="P1108" i="34"/>
  <c r="P1109" i="34"/>
  <c r="P1110" i="34"/>
  <c r="P1111" i="34"/>
  <c r="P1112" i="34"/>
  <c r="P1113" i="34"/>
  <c r="P1114" i="34"/>
  <c r="P1115" i="34"/>
  <c r="P1116" i="34"/>
  <c r="P1117" i="34"/>
  <c r="P1118" i="34"/>
  <c r="P1119" i="34"/>
  <c r="P1120" i="34"/>
  <c r="P1121" i="34"/>
  <c r="P1122" i="34"/>
  <c r="P1123" i="34"/>
  <c r="P1124" i="34"/>
  <c r="P1125" i="34"/>
  <c r="P1126" i="34"/>
  <c r="P1127" i="34"/>
  <c r="P1128" i="34"/>
  <c r="P1129" i="34"/>
  <c r="P1130" i="34"/>
  <c r="P1131" i="34"/>
  <c r="P1132" i="34"/>
  <c r="P1133" i="34"/>
  <c r="P1134" i="34"/>
  <c r="P1135" i="34"/>
  <c r="P1136" i="34"/>
  <c r="P1137" i="34"/>
  <c r="P1138" i="34"/>
  <c r="P1139" i="34"/>
  <c r="P1140" i="34"/>
  <c r="P1141" i="34"/>
  <c r="P1142" i="34"/>
  <c r="P1143" i="34"/>
  <c r="P1144" i="34"/>
  <c r="P1145" i="34"/>
  <c r="P1146" i="34"/>
  <c r="P1147" i="34"/>
  <c r="P1148" i="34"/>
  <c r="P1149" i="34"/>
  <c r="P1150" i="34"/>
  <c r="P1151" i="34"/>
  <c r="P1152" i="34"/>
  <c r="P1153" i="34"/>
  <c r="P1154" i="34"/>
  <c r="P1155" i="34"/>
  <c r="P1156" i="34"/>
  <c r="P1157" i="34"/>
  <c r="P1158" i="34"/>
  <c r="P1159" i="34"/>
  <c r="A1117" i="34"/>
  <c r="B1117" i="34"/>
  <c r="A1118" i="34"/>
  <c r="B1118" i="34"/>
  <c r="A1119" i="34"/>
  <c r="B1119" i="34"/>
  <c r="A1120" i="34"/>
  <c r="B1120" i="34"/>
  <c r="A1121" i="34"/>
  <c r="B1121" i="34"/>
  <c r="A1122" i="34"/>
  <c r="B1122" i="34"/>
  <c r="A1123" i="34"/>
  <c r="B1123" i="34"/>
  <c r="A1124" i="34"/>
  <c r="B1124" i="34"/>
  <c r="A1125" i="34"/>
  <c r="B1125" i="34"/>
  <c r="A1126" i="34"/>
  <c r="B1126" i="34"/>
  <c r="A1127" i="34"/>
  <c r="B1127" i="34"/>
  <c r="A1128" i="34"/>
  <c r="B1128" i="34"/>
  <c r="A1129" i="34"/>
  <c r="B1129" i="34"/>
  <c r="A1130" i="34"/>
  <c r="B1130" i="34"/>
  <c r="A1131" i="34"/>
  <c r="B1131" i="34"/>
  <c r="A1132" i="34"/>
  <c r="B1132" i="34"/>
  <c r="A1133" i="34"/>
  <c r="B1133" i="34"/>
  <c r="A1134" i="34"/>
  <c r="B1134" i="34"/>
  <c r="A1135" i="34"/>
  <c r="B1135" i="34"/>
  <c r="A1136" i="34"/>
  <c r="B1136" i="34"/>
  <c r="A1137" i="34"/>
  <c r="B1137" i="34"/>
  <c r="A1138" i="34"/>
  <c r="B1138" i="34"/>
  <c r="A1139" i="34"/>
  <c r="B1139" i="34"/>
  <c r="A1140" i="34"/>
  <c r="B1140" i="34"/>
  <c r="A1141" i="34"/>
  <c r="B1141" i="34"/>
  <c r="A1142" i="34"/>
  <c r="B1142" i="34"/>
  <c r="A1143" i="34"/>
  <c r="B1143" i="34"/>
  <c r="A1144" i="34"/>
  <c r="B1144" i="34"/>
  <c r="A1145" i="34"/>
  <c r="B1145" i="34"/>
  <c r="A1146" i="34"/>
  <c r="B1146" i="34"/>
  <c r="A1147" i="34"/>
  <c r="B1147" i="34"/>
  <c r="A1148" i="34"/>
  <c r="B1148" i="34"/>
  <c r="A1149" i="34"/>
  <c r="B1149" i="34"/>
  <c r="A1150" i="34"/>
  <c r="B1150" i="34"/>
  <c r="A1151" i="34"/>
  <c r="B1151" i="34"/>
  <c r="A1152" i="34"/>
  <c r="B1152" i="34"/>
  <c r="A1153" i="34"/>
  <c r="B1153" i="34"/>
  <c r="A1154" i="34"/>
  <c r="B1154" i="34"/>
  <c r="A1155" i="34"/>
  <c r="B1155" i="34"/>
  <c r="A1156" i="34"/>
  <c r="B1156" i="34"/>
  <c r="A1157" i="34"/>
  <c r="B1157" i="34"/>
  <c r="A1158" i="34"/>
  <c r="B1158" i="34"/>
  <c r="A1159" i="34"/>
  <c r="B1159" i="34"/>
  <c r="A1160" i="34"/>
  <c r="B1160" i="34"/>
  <c r="A1161" i="34"/>
  <c r="B1161" i="34"/>
  <c r="A1162" i="34"/>
  <c r="B1162" i="34"/>
  <c r="A1163" i="34"/>
  <c r="B1163" i="34"/>
  <c r="A1164" i="34"/>
  <c r="B1164" i="34"/>
  <c r="A1165" i="34"/>
  <c r="B1165" i="34"/>
  <c r="A1166" i="34"/>
  <c r="B1166" i="34"/>
  <c r="A1167" i="34"/>
  <c r="B1167" i="34"/>
  <c r="A1168" i="34"/>
  <c r="B1168" i="34"/>
  <c r="A1169" i="34"/>
  <c r="B1169" i="34"/>
  <c r="A1170" i="34"/>
  <c r="B1170" i="34"/>
  <c r="A1171" i="34"/>
  <c r="B1171" i="34"/>
  <c r="A1172" i="34"/>
  <c r="B1172" i="34"/>
  <c r="A1173" i="34"/>
  <c r="B1173" i="34"/>
  <c r="A1174" i="34"/>
  <c r="B1174" i="34"/>
  <c r="A1175" i="34"/>
  <c r="B1175" i="34"/>
  <c r="A1176" i="34"/>
  <c r="B1176" i="34"/>
  <c r="A1177" i="34"/>
  <c r="B1177" i="34"/>
  <c r="A1178" i="34"/>
  <c r="B1178" i="34"/>
  <c r="A1179" i="34"/>
  <c r="B1179" i="34"/>
  <c r="A1180" i="34"/>
  <c r="B1180" i="34"/>
  <c r="A1181" i="34"/>
  <c r="B1181" i="34"/>
  <c r="A1182" i="34"/>
  <c r="B1182" i="34"/>
  <c r="A1183" i="34"/>
  <c r="B1183" i="34"/>
  <c r="A1184" i="34"/>
  <c r="B1184" i="34"/>
  <c r="A1185" i="34"/>
  <c r="B1185" i="34"/>
  <c r="A1186" i="34"/>
  <c r="B1186" i="34"/>
  <c r="A1187" i="34"/>
  <c r="B1187" i="34"/>
  <c r="A1188" i="34"/>
  <c r="B1188" i="34"/>
  <c r="A1189" i="34"/>
  <c r="B1189" i="34"/>
  <c r="A1190" i="34"/>
  <c r="B1190" i="34"/>
  <c r="A1191" i="34"/>
  <c r="B1191" i="34"/>
  <c r="A1192" i="34"/>
  <c r="B1192" i="34"/>
  <c r="A1193" i="34"/>
  <c r="B1193" i="34"/>
  <c r="A1194" i="34"/>
  <c r="B1194" i="34"/>
  <c r="A1195" i="34"/>
  <c r="B1195" i="34"/>
  <c r="A1196" i="34"/>
  <c r="B1196" i="34"/>
  <c r="A1197" i="34"/>
  <c r="B1197" i="34"/>
  <c r="A1198" i="34"/>
  <c r="B1198" i="34"/>
  <c r="A1199" i="34"/>
  <c r="B1199" i="34"/>
  <c r="A1200" i="34"/>
  <c r="B1200" i="34"/>
  <c r="A1201" i="34"/>
  <c r="B1201" i="34"/>
  <c r="A1202" i="34"/>
  <c r="B1202" i="34"/>
  <c r="H218" i="35"/>
  <c r="J30" i="40" s="1"/>
  <c r="E19" i="40"/>
  <c r="A37" i="12"/>
  <c r="A38" i="12"/>
  <c r="A39" i="12"/>
  <c r="E29" i="40"/>
  <c r="F182" i="35"/>
  <c r="J23" i="40" l="1"/>
  <c r="G145" i="35"/>
  <c r="G236" i="35" l="1"/>
  <c r="G237" i="35"/>
  <c r="A14" i="40"/>
  <c r="I221" i="42"/>
  <c r="F221" i="42"/>
  <c r="M220" i="42"/>
  <c r="K220" i="42"/>
  <c r="M219" i="42"/>
  <c r="K219" i="42"/>
  <c r="M218" i="42"/>
  <c r="L218" i="42"/>
  <c r="K218" i="42"/>
  <c r="J218" i="42"/>
  <c r="M217" i="42"/>
  <c r="L217" i="42"/>
  <c r="K217" i="42"/>
  <c r="J217" i="42"/>
  <c r="M216" i="42"/>
  <c r="L216" i="42"/>
  <c r="K216" i="42"/>
  <c r="J216" i="42"/>
  <c r="M215" i="42"/>
  <c r="M221" i="42" s="1"/>
  <c r="L215" i="42"/>
  <c r="K215" i="42"/>
  <c r="J215" i="42"/>
  <c r="L213" i="42"/>
  <c r="J213" i="42"/>
  <c r="F213" i="42"/>
  <c r="M213" i="42" s="1"/>
  <c r="L212" i="42"/>
  <c r="J212" i="42"/>
  <c r="I212" i="42"/>
  <c r="M212" i="42" s="1"/>
  <c r="F212" i="42"/>
  <c r="L211" i="42"/>
  <c r="J211" i="42"/>
  <c r="I211" i="42"/>
  <c r="M211" i="42" s="1"/>
  <c r="F211" i="42"/>
  <c r="L210" i="42"/>
  <c r="J210" i="42"/>
  <c r="I210" i="42"/>
  <c r="M210" i="42" s="1"/>
  <c r="F210" i="42"/>
  <c r="L209" i="42"/>
  <c r="J209" i="42"/>
  <c r="I209" i="42"/>
  <c r="M209" i="42" s="1"/>
  <c r="F209" i="42"/>
  <c r="L208" i="42"/>
  <c r="J208" i="42"/>
  <c r="I208" i="42"/>
  <c r="M208" i="42" s="1"/>
  <c r="F208" i="42"/>
  <c r="L207" i="42"/>
  <c r="J207" i="42"/>
  <c r="I207" i="42"/>
  <c r="M207" i="42" s="1"/>
  <c r="F207" i="42"/>
  <c r="L206" i="42"/>
  <c r="J206" i="42"/>
  <c r="I206" i="42"/>
  <c r="M206" i="42" s="1"/>
  <c r="F206" i="42"/>
  <c r="L205" i="42"/>
  <c r="J205" i="42"/>
  <c r="I205" i="42"/>
  <c r="M205" i="42" s="1"/>
  <c r="F205" i="42"/>
  <c r="L204" i="42"/>
  <c r="J204" i="42"/>
  <c r="I204" i="42"/>
  <c r="M204" i="42" s="1"/>
  <c r="F204" i="42"/>
  <c r="L203" i="42"/>
  <c r="J203" i="42"/>
  <c r="I203" i="42"/>
  <c r="M203" i="42" s="1"/>
  <c r="F203" i="42"/>
  <c r="L202" i="42"/>
  <c r="J202" i="42"/>
  <c r="I202" i="42"/>
  <c r="M202" i="42" s="1"/>
  <c r="M214" i="42" s="1"/>
  <c r="F202" i="42"/>
  <c r="F214" i="42" s="1"/>
  <c r="L199" i="42"/>
  <c r="J199" i="42"/>
  <c r="I199" i="42"/>
  <c r="M199" i="42" s="1"/>
  <c r="F199" i="42"/>
  <c r="L198" i="42"/>
  <c r="J198" i="42"/>
  <c r="I198" i="42"/>
  <c r="M198" i="42" s="1"/>
  <c r="F198" i="42"/>
  <c r="L197" i="42"/>
  <c r="J197" i="42"/>
  <c r="I197" i="42"/>
  <c r="M197" i="42" s="1"/>
  <c r="F197" i="42"/>
  <c r="L196" i="42"/>
  <c r="J196" i="42"/>
  <c r="I196" i="42"/>
  <c r="M196" i="42" s="1"/>
  <c r="F196" i="42"/>
  <c r="L195" i="42"/>
  <c r="J195" i="42"/>
  <c r="I195" i="42"/>
  <c r="M195" i="42" s="1"/>
  <c r="F195" i="42"/>
  <c r="L194" i="42"/>
  <c r="J194" i="42"/>
  <c r="I194" i="42"/>
  <c r="M194" i="42" s="1"/>
  <c r="F194" i="42"/>
  <c r="L193" i="42"/>
  <c r="J193" i="42"/>
  <c r="I193" i="42"/>
  <c r="M193" i="42" s="1"/>
  <c r="F193" i="42"/>
  <c r="L192" i="42"/>
  <c r="J192" i="42"/>
  <c r="I192" i="42"/>
  <c r="M192" i="42" s="1"/>
  <c r="F192" i="42"/>
  <c r="L191" i="42"/>
  <c r="J191" i="42"/>
  <c r="I191" i="42"/>
  <c r="M191" i="42" s="1"/>
  <c r="F191" i="42"/>
  <c r="L190" i="42"/>
  <c r="J190" i="42"/>
  <c r="I190" i="42"/>
  <c r="M190" i="42" s="1"/>
  <c r="F190" i="42"/>
  <c r="L189" i="42"/>
  <c r="J189" i="42"/>
  <c r="I189" i="42"/>
  <c r="M189" i="42" s="1"/>
  <c r="F189" i="42"/>
  <c r="L188" i="42"/>
  <c r="J188" i="42"/>
  <c r="I188" i="42"/>
  <c r="M188" i="42" s="1"/>
  <c r="F188" i="42"/>
  <c r="L187" i="42"/>
  <c r="J187" i="42"/>
  <c r="I187" i="42"/>
  <c r="M187" i="42" s="1"/>
  <c r="F187" i="42"/>
  <c r="L186" i="42"/>
  <c r="J186" i="42"/>
  <c r="I186" i="42"/>
  <c r="M186" i="42" s="1"/>
  <c r="F186" i="42"/>
  <c r="L185" i="42"/>
  <c r="J185" i="42"/>
  <c r="I185" i="42"/>
  <c r="M185" i="42" s="1"/>
  <c r="F185" i="42"/>
  <c r="L184" i="42"/>
  <c r="J184" i="42"/>
  <c r="I184" i="42"/>
  <c r="M184" i="42" s="1"/>
  <c r="F184" i="42"/>
  <c r="L183" i="42"/>
  <c r="J183" i="42"/>
  <c r="I183" i="42"/>
  <c r="M183" i="42" s="1"/>
  <c r="F183" i="42"/>
  <c r="L182" i="42"/>
  <c r="J182" i="42"/>
  <c r="I182" i="42"/>
  <c r="I200" i="42" s="1"/>
  <c r="F182" i="42"/>
  <c r="L179" i="42"/>
  <c r="J179" i="42"/>
  <c r="I179" i="42"/>
  <c r="M179" i="42" s="1"/>
  <c r="F179" i="42"/>
  <c r="L178" i="42"/>
  <c r="J178" i="42"/>
  <c r="I178" i="42"/>
  <c r="M178" i="42" s="1"/>
  <c r="F178" i="42"/>
  <c r="L177" i="42"/>
  <c r="J177" i="42"/>
  <c r="I177" i="42"/>
  <c r="M177" i="42" s="1"/>
  <c r="F177" i="42"/>
  <c r="L176" i="42"/>
  <c r="J176" i="42"/>
  <c r="I176" i="42"/>
  <c r="M176" i="42" s="1"/>
  <c r="F176" i="42"/>
  <c r="L175" i="42"/>
  <c r="J175" i="42"/>
  <c r="I175" i="42"/>
  <c r="M175" i="42" s="1"/>
  <c r="F175" i="42"/>
  <c r="L174" i="42"/>
  <c r="J174" i="42"/>
  <c r="I174" i="42"/>
  <c r="M174" i="42" s="1"/>
  <c r="F174" i="42"/>
  <c r="L173" i="42"/>
  <c r="J173" i="42"/>
  <c r="I173" i="42"/>
  <c r="M173" i="42" s="1"/>
  <c r="F173" i="42"/>
  <c r="L172" i="42"/>
  <c r="J172" i="42"/>
  <c r="I172" i="42"/>
  <c r="M172" i="42" s="1"/>
  <c r="F172" i="42"/>
  <c r="L171" i="42"/>
  <c r="J171" i="42"/>
  <c r="I171" i="42"/>
  <c r="M171" i="42" s="1"/>
  <c r="F171" i="42"/>
  <c r="L170" i="42"/>
  <c r="J170" i="42"/>
  <c r="I170" i="42"/>
  <c r="M170" i="42" s="1"/>
  <c r="F170" i="42"/>
  <c r="L169" i="42"/>
  <c r="J169" i="42"/>
  <c r="I169" i="42"/>
  <c r="M169" i="42" s="1"/>
  <c r="F169" i="42"/>
  <c r="L168" i="42"/>
  <c r="J168" i="42"/>
  <c r="I168" i="42"/>
  <c r="M168" i="42" s="1"/>
  <c r="F168" i="42"/>
  <c r="L167" i="42"/>
  <c r="J167" i="42"/>
  <c r="I167" i="42"/>
  <c r="M167" i="42" s="1"/>
  <c r="F167" i="42"/>
  <c r="L166" i="42"/>
  <c r="J166" i="42"/>
  <c r="I166" i="42"/>
  <c r="M166" i="42" s="1"/>
  <c r="F166" i="42"/>
  <c r="L165" i="42"/>
  <c r="J165" i="42"/>
  <c r="I165" i="42"/>
  <c r="M165" i="42" s="1"/>
  <c r="F165" i="42"/>
  <c r="L164" i="42"/>
  <c r="J164" i="42"/>
  <c r="I164" i="42"/>
  <c r="M164" i="42" s="1"/>
  <c r="F164" i="42"/>
  <c r="L163" i="42"/>
  <c r="J163" i="42"/>
  <c r="I163" i="42"/>
  <c r="M163" i="42" s="1"/>
  <c r="F163" i="42"/>
  <c r="L162" i="42"/>
  <c r="J162" i="42"/>
  <c r="I162" i="42"/>
  <c r="M162" i="42" s="1"/>
  <c r="F162" i="42"/>
  <c r="L161" i="42"/>
  <c r="J161" i="42"/>
  <c r="I161" i="42"/>
  <c r="M161" i="42" s="1"/>
  <c r="F161" i="42"/>
  <c r="L160" i="42"/>
  <c r="J160" i="42"/>
  <c r="I160" i="42"/>
  <c r="M160" i="42" s="1"/>
  <c r="F160" i="42"/>
  <c r="L159" i="42"/>
  <c r="J159" i="42"/>
  <c r="I159" i="42"/>
  <c r="M159" i="42" s="1"/>
  <c r="F159" i="42"/>
  <c r="L158" i="42"/>
  <c r="J158" i="42"/>
  <c r="I158" i="42"/>
  <c r="M158" i="42" s="1"/>
  <c r="F158" i="42"/>
  <c r="L157" i="42"/>
  <c r="J157" i="42"/>
  <c r="I157" i="42"/>
  <c r="M157" i="42" s="1"/>
  <c r="F157" i="42"/>
  <c r="L156" i="42"/>
  <c r="J156" i="42"/>
  <c r="I156" i="42"/>
  <c r="M156" i="42" s="1"/>
  <c r="F156" i="42"/>
  <c r="L155" i="42"/>
  <c r="J155" i="42"/>
  <c r="I155" i="42"/>
  <c r="M155" i="42" s="1"/>
  <c r="F155" i="42"/>
  <c r="L154" i="42"/>
  <c r="J154" i="42"/>
  <c r="I154" i="42"/>
  <c r="I180" i="42" s="1"/>
  <c r="F154" i="42"/>
  <c r="L151" i="42"/>
  <c r="J151" i="42"/>
  <c r="I151" i="42"/>
  <c r="M151" i="42" s="1"/>
  <c r="F151" i="42"/>
  <c r="L150" i="42"/>
  <c r="J150" i="42"/>
  <c r="I150" i="42"/>
  <c r="M150" i="42" s="1"/>
  <c r="F150" i="42"/>
  <c r="L149" i="42"/>
  <c r="J149" i="42"/>
  <c r="I149" i="42"/>
  <c r="M149" i="42" s="1"/>
  <c r="F149" i="42"/>
  <c r="L148" i="42"/>
  <c r="J148" i="42"/>
  <c r="I148" i="42"/>
  <c r="M148" i="42" s="1"/>
  <c r="F148" i="42"/>
  <c r="L147" i="42"/>
  <c r="J147" i="42"/>
  <c r="I147" i="42"/>
  <c r="M147" i="42" s="1"/>
  <c r="F147" i="42"/>
  <c r="L146" i="42"/>
  <c r="J146" i="42"/>
  <c r="I146" i="42"/>
  <c r="M146" i="42" s="1"/>
  <c r="F146" i="42"/>
  <c r="L145" i="42"/>
  <c r="J145" i="42"/>
  <c r="I145" i="42"/>
  <c r="M145" i="42" s="1"/>
  <c r="F145" i="42"/>
  <c r="L144" i="42"/>
  <c r="J144" i="42"/>
  <c r="I144" i="42"/>
  <c r="M144" i="42" s="1"/>
  <c r="F144" i="42"/>
  <c r="L143" i="42"/>
  <c r="J143" i="42"/>
  <c r="I143" i="42"/>
  <c r="M143" i="42" s="1"/>
  <c r="F143" i="42"/>
  <c r="L142" i="42"/>
  <c r="J142" i="42"/>
  <c r="I142" i="42"/>
  <c r="M142" i="42" s="1"/>
  <c r="F142" i="42"/>
  <c r="L141" i="42"/>
  <c r="J141" i="42"/>
  <c r="I141" i="42"/>
  <c r="M141" i="42" s="1"/>
  <c r="F141" i="42"/>
  <c r="L140" i="42"/>
  <c r="J140" i="42"/>
  <c r="I140" i="42"/>
  <c r="M140" i="42" s="1"/>
  <c r="F140" i="42"/>
  <c r="L139" i="42"/>
  <c r="J139" i="42"/>
  <c r="I139" i="42"/>
  <c r="M139" i="42" s="1"/>
  <c r="F139" i="42"/>
  <c r="L138" i="42"/>
  <c r="J138" i="42"/>
  <c r="I138" i="42"/>
  <c r="M138" i="42" s="1"/>
  <c r="F138" i="42"/>
  <c r="L137" i="42"/>
  <c r="J137" i="42"/>
  <c r="I137" i="42"/>
  <c r="M137" i="42" s="1"/>
  <c r="F137" i="42"/>
  <c r="L136" i="42"/>
  <c r="J136" i="42"/>
  <c r="I136" i="42"/>
  <c r="M136" i="42" s="1"/>
  <c r="F136" i="42"/>
  <c r="L135" i="42"/>
  <c r="J135" i="42"/>
  <c r="I135" i="42"/>
  <c r="M135" i="42" s="1"/>
  <c r="F135" i="42"/>
  <c r="L134" i="42"/>
  <c r="J134" i="42"/>
  <c r="I134" i="42"/>
  <c r="M134" i="42" s="1"/>
  <c r="F134" i="42"/>
  <c r="L133" i="42"/>
  <c r="J133" i="42"/>
  <c r="I133" i="42"/>
  <c r="M133" i="42" s="1"/>
  <c r="F133" i="42"/>
  <c r="L132" i="42"/>
  <c r="J132" i="42"/>
  <c r="I132" i="42"/>
  <c r="M132" i="42" s="1"/>
  <c r="F132" i="42"/>
  <c r="L131" i="42"/>
  <c r="J131" i="42"/>
  <c r="I131" i="42"/>
  <c r="M131" i="42" s="1"/>
  <c r="F131" i="42"/>
  <c r="L130" i="42"/>
  <c r="J130" i="42"/>
  <c r="I130" i="42"/>
  <c r="M130" i="42" s="1"/>
  <c r="F130" i="42"/>
  <c r="L129" i="42"/>
  <c r="J129" i="42"/>
  <c r="I129" i="42"/>
  <c r="M129" i="42" s="1"/>
  <c r="F129" i="42"/>
  <c r="L128" i="42"/>
  <c r="J128" i="42"/>
  <c r="I128" i="42"/>
  <c r="M128" i="42" s="1"/>
  <c r="F128" i="42"/>
  <c r="L127" i="42"/>
  <c r="J127" i="42"/>
  <c r="I127" i="42"/>
  <c r="M127" i="42" s="1"/>
  <c r="F127" i="42"/>
  <c r="L126" i="42"/>
  <c r="J126" i="42"/>
  <c r="I126" i="42"/>
  <c r="M126" i="42" s="1"/>
  <c r="F126" i="42"/>
  <c r="L125" i="42"/>
  <c r="J125" i="42"/>
  <c r="I125" i="42"/>
  <c r="M125" i="42" s="1"/>
  <c r="F125" i="42"/>
  <c r="L124" i="42"/>
  <c r="J124" i="42"/>
  <c r="I124" i="42"/>
  <c r="M124" i="42" s="1"/>
  <c r="F124" i="42"/>
  <c r="L123" i="42"/>
  <c r="J123" i="42"/>
  <c r="I123" i="42"/>
  <c r="M123" i="42" s="1"/>
  <c r="F123" i="42"/>
  <c r="L122" i="42"/>
  <c r="J122" i="42"/>
  <c r="I122" i="42"/>
  <c r="M122" i="42" s="1"/>
  <c r="F122" i="42"/>
  <c r="L121" i="42"/>
  <c r="J121" i="42"/>
  <c r="I121" i="42"/>
  <c r="M121" i="42" s="1"/>
  <c r="F121" i="42"/>
  <c r="L120" i="42"/>
  <c r="J120" i="42"/>
  <c r="I120" i="42"/>
  <c r="M120" i="42" s="1"/>
  <c r="F120" i="42"/>
  <c r="L119" i="42"/>
  <c r="J119" i="42"/>
  <c r="I119" i="42"/>
  <c r="M119" i="42" s="1"/>
  <c r="F119" i="42"/>
  <c r="L118" i="42"/>
  <c r="J118" i="42"/>
  <c r="I118" i="42"/>
  <c r="F118" i="42"/>
  <c r="L117" i="42"/>
  <c r="J117" i="42"/>
  <c r="I117" i="42"/>
  <c r="F117" i="42"/>
  <c r="L116" i="42"/>
  <c r="J116" i="42"/>
  <c r="I116" i="42"/>
  <c r="F116" i="42"/>
  <c r="L115" i="42"/>
  <c r="J115" i="42"/>
  <c r="I115" i="42"/>
  <c r="F115" i="42"/>
  <c r="L114" i="42"/>
  <c r="J114" i="42"/>
  <c r="I114" i="42"/>
  <c r="I152" i="42" s="1"/>
  <c r="F114" i="42"/>
  <c r="L111" i="42"/>
  <c r="J111" i="42"/>
  <c r="I111" i="42"/>
  <c r="F111" i="42"/>
  <c r="L110" i="42"/>
  <c r="J110" i="42"/>
  <c r="I110" i="42"/>
  <c r="F110" i="42"/>
  <c r="L109" i="42"/>
  <c r="J109" i="42"/>
  <c r="I109" i="42"/>
  <c r="F109" i="42"/>
  <c r="L108" i="42"/>
  <c r="J108" i="42"/>
  <c r="I108" i="42"/>
  <c r="F108" i="42"/>
  <c r="L107" i="42"/>
  <c r="J107" i="42"/>
  <c r="I107" i="42"/>
  <c r="F107" i="42"/>
  <c r="L106" i="42"/>
  <c r="J106" i="42"/>
  <c r="I106" i="42"/>
  <c r="F106" i="42"/>
  <c r="L105" i="42"/>
  <c r="J105" i="42"/>
  <c r="I105" i="42"/>
  <c r="F105" i="42"/>
  <c r="L104" i="42"/>
  <c r="J104" i="42"/>
  <c r="I104" i="42"/>
  <c r="F104" i="42"/>
  <c r="L103" i="42"/>
  <c r="J103" i="42"/>
  <c r="I103" i="42"/>
  <c r="F103" i="42"/>
  <c r="L102" i="42"/>
  <c r="J102" i="42"/>
  <c r="I102" i="42"/>
  <c r="F102" i="42"/>
  <c r="L101" i="42"/>
  <c r="J101" i="42"/>
  <c r="I101" i="42"/>
  <c r="F101" i="42"/>
  <c r="L100" i="42"/>
  <c r="J100" i="42"/>
  <c r="I100" i="42"/>
  <c r="F100" i="42"/>
  <c r="L99" i="42"/>
  <c r="J99" i="42"/>
  <c r="I99" i="42"/>
  <c r="F99" i="42"/>
  <c r="L98" i="42"/>
  <c r="J98" i="42"/>
  <c r="I98" i="42"/>
  <c r="F98" i="42"/>
  <c r="L97" i="42"/>
  <c r="J97" i="42"/>
  <c r="I97" i="42"/>
  <c r="F97" i="42"/>
  <c r="L96" i="42"/>
  <c r="J96" i="42"/>
  <c r="I96" i="42"/>
  <c r="F96" i="42"/>
  <c r="L95" i="42"/>
  <c r="J95" i="42"/>
  <c r="I95" i="42"/>
  <c r="F95" i="42"/>
  <c r="L94" i="42"/>
  <c r="J94" i="42"/>
  <c r="I94" i="42"/>
  <c r="F94" i="42"/>
  <c r="L93" i="42"/>
  <c r="J93" i="42"/>
  <c r="I93" i="42"/>
  <c r="F93" i="42"/>
  <c r="L92" i="42"/>
  <c r="J92" i="42"/>
  <c r="I92" i="42"/>
  <c r="F92" i="42"/>
  <c r="L91" i="42"/>
  <c r="J91" i="42"/>
  <c r="I91" i="42"/>
  <c r="F91" i="42"/>
  <c r="L90" i="42"/>
  <c r="J90" i="42"/>
  <c r="I90" i="42"/>
  <c r="F90" i="42"/>
  <c r="L89" i="42"/>
  <c r="J89" i="42"/>
  <c r="I89" i="42"/>
  <c r="F89" i="42"/>
  <c r="L88" i="42"/>
  <c r="J88" i="42"/>
  <c r="I88" i="42"/>
  <c r="F88" i="42"/>
  <c r="L87" i="42"/>
  <c r="J87" i="42"/>
  <c r="I87" i="42"/>
  <c r="F87" i="42"/>
  <c r="L86" i="42"/>
  <c r="J86" i="42"/>
  <c r="I86" i="42"/>
  <c r="F86" i="42"/>
  <c r="L85" i="42"/>
  <c r="J85" i="42"/>
  <c r="I85" i="42"/>
  <c r="F85" i="42"/>
  <c r="L84" i="42"/>
  <c r="J84" i="42"/>
  <c r="I84" i="42"/>
  <c r="F84" i="42"/>
  <c r="L83" i="42"/>
  <c r="J83" i="42"/>
  <c r="I83" i="42"/>
  <c r="F83" i="42"/>
  <c r="L82" i="42"/>
  <c r="J82" i="42"/>
  <c r="I82" i="42"/>
  <c r="F82" i="42"/>
  <c r="L81" i="42"/>
  <c r="J81" i="42"/>
  <c r="I81" i="42"/>
  <c r="F81" i="42"/>
  <c r="L80" i="42"/>
  <c r="J80" i="42"/>
  <c r="I80" i="42"/>
  <c r="F80" i="42"/>
  <c r="L79" i="42"/>
  <c r="J79" i="42"/>
  <c r="I79" i="42"/>
  <c r="F79" i="42"/>
  <c r="L78" i="42"/>
  <c r="J78" i="42"/>
  <c r="I78" i="42"/>
  <c r="F78" i="42"/>
  <c r="L77" i="42"/>
  <c r="J77" i="42"/>
  <c r="I77" i="42"/>
  <c r="F77" i="42"/>
  <c r="L76" i="42"/>
  <c r="J76" i="42"/>
  <c r="I76" i="42"/>
  <c r="F76" i="42"/>
  <c r="L75" i="42"/>
  <c r="J75" i="42"/>
  <c r="I75" i="42"/>
  <c r="F75" i="42"/>
  <c r="L74" i="42"/>
  <c r="J74" i="42"/>
  <c r="I74" i="42"/>
  <c r="I112" i="42" s="1"/>
  <c r="F74" i="42"/>
  <c r="F112" i="42" s="1"/>
  <c r="L71" i="42"/>
  <c r="J71" i="42"/>
  <c r="I71" i="42"/>
  <c r="F71" i="42"/>
  <c r="L70" i="42"/>
  <c r="J70" i="42"/>
  <c r="I70" i="42"/>
  <c r="F70" i="42"/>
  <c r="L69" i="42"/>
  <c r="J69" i="42"/>
  <c r="I69" i="42"/>
  <c r="F69" i="42"/>
  <c r="L68" i="42"/>
  <c r="J68" i="42"/>
  <c r="I68" i="42"/>
  <c r="F68" i="42"/>
  <c r="L67" i="42"/>
  <c r="J67" i="42"/>
  <c r="I67" i="42"/>
  <c r="F67" i="42"/>
  <c r="L66" i="42"/>
  <c r="J66" i="42"/>
  <c r="I66" i="42"/>
  <c r="F66" i="42"/>
  <c r="L65" i="42"/>
  <c r="J65" i="42"/>
  <c r="I65" i="42"/>
  <c r="F65" i="42"/>
  <c r="L64" i="42"/>
  <c r="J64" i="42"/>
  <c r="I64" i="42"/>
  <c r="F64" i="42"/>
  <c r="L63" i="42"/>
  <c r="J63" i="42"/>
  <c r="I63" i="42"/>
  <c r="F63" i="42"/>
  <c r="L62" i="42"/>
  <c r="J62" i="42"/>
  <c r="I62" i="42"/>
  <c r="F62" i="42"/>
  <c r="L61" i="42"/>
  <c r="J61" i="42"/>
  <c r="I61" i="42"/>
  <c r="F61" i="42"/>
  <c r="L60" i="42"/>
  <c r="J60" i="42"/>
  <c r="I60" i="42"/>
  <c r="F60" i="42"/>
  <c r="L59" i="42"/>
  <c r="J59" i="42"/>
  <c r="I59" i="42"/>
  <c r="F59" i="42"/>
  <c r="L58" i="42"/>
  <c r="J58" i="42"/>
  <c r="I58" i="42"/>
  <c r="F58" i="42"/>
  <c r="L57" i="42"/>
  <c r="J57" i="42"/>
  <c r="I57" i="42"/>
  <c r="F57" i="42"/>
  <c r="L56" i="42"/>
  <c r="J56" i="42"/>
  <c r="I56" i="42"/>
  <c r="F56" i="42"/>
  <c r="L55" i="42"/>
  <c r="J55" i="42"/>
  <c r="I55" i="42"/>
  <c r="F55" i="42"/>
  <c r="L54" i="42"/>
  <c r="J54" i="42"/>
  <c r="I54" i="42"/>
  <c r="F54" i="42"/>
  <c r="L53" i="42"/>
  <c r="J53" i="42"/>
  <c r="I53" i="42"/>
  <c r="F53" i="42"/>
  <c r="L52" i="42"/>
  <c r="J52" i="42"/>
  <c r="I52" i="42"/>
  <c r="F52" i="42"/>
  <c r="L51" i="42"/>
  <c r="J51" i="42"/>
  <c r="I51" i="42"/>
  <c r="F51" i="42"/>
  <c r="L50" i="42"/>
  <c r="J50" i="42"/>
  <c r="I50" i="42"/>
  <c r="F50" i="42"/>
  <c r="L49" i="42"/>
  <c r="J49" i="42"/>
  <c r="I49" i="42"/>
  <c r="F49" i="42"/>
  <c r="L48" i="42"/>
  <c r="J48" i="42"/>
  <c r="I48" i="42"/>
  <c r="F48" i="42"/>
  <c r="L47" i="42"/>
  <c r="J47" i="42"/>
  <c r="I47" i="42"/>
  <c r="F47" i="42"/>
  <c r="L46" i="42"/>
  <c r="J46" i="42"/>
  <c r="I46" i="42"/>
  <c r="F46" i="42"/>
  <c r="L45" i="42"/>
  <c r="J45" i="42"/>
  <c r="I45" i="42"/>
  <c r="F45" i="42"/>
  <c r="L44" i="42"/>
  <c r="J44" i="42"/>
  <c r="I44" i="42"/>
  <c r="F44" i="42"/>
  <c r="L43" i="42"/>
  <c r="J43" i="42"/>
  <c r="I43" i="42"/>
  <c r="F43" i="42"/>
  <c r="L42" i="42"/>
  <c r="J42" i="42"/>
  <c r="I42" i="42"/>
  <c r="F42" i="42"/>
  <c r="L41" i="42"/>
  <c r="J41" i="42"/>
  <c r="I41" i="42"/>
  <c r="F41" i="42"/>
  <c r="L40" i="42"/>
  <c r="J40" i="42"/>
  <c r="I40" i="42"/>
  <c r="F40" i="42"/>
  <c r="L39" i="42"/>
  <c r="J39" i="42"/>
  <c r="I39" i="42"/>
  <c r="F39" i="42"/>
  <c r="L38" i="42"/>
  <c r="J38" i="42"/>
  <c r="I38" i="42"/>
  <c r="F38" i="42"/>
  <c r="L37" i="42"/>
  <c r="J37" i="42"/>
  <c r="I37" i="42"/>
  <c r="F37" i="42"/>
  <c r="L36" i="42"/>
  <c r="J36" i="42"/>
  <c r="I36" i="42"/>
  <c r="F36" i="42"/>
  <c r="L35" i="42"/>
  <c r="J35" i="42"/>
  <c r="I35" i="42"/>
  <c r="F35" i="42"/>
  <c r="L34" i="42"/>
  <c r="J34" i="42"/>
  <c r="I34" i="42"/>
  <c r="F34" i="42"/>
  <c r="L33" i="42"/>
  <c r="J33" i="42"/>
  <c r="I33" i="42"/>
  <c r="I72" i="42" s="1"/>
  <c r="F33" i="42"/>
  <c r="F72" i="42" s="1"/>
  <c r="L30" i="42"/>
  <c r="J30" i="42"/>
  <c r="I30" i="42"/>
  <c r="F30" i="42"/>
  <c r="L29" i="42"/>
  <c r="J29" i="42"/>
  <c r="I29" i="42"/>
  <c r="F29" i="42"/>
  <c r="L28" i="42"/>
  <c r="J28" i="42"/>
  <c r="I28" i="42"/>
  <c r="F28" i="42"/>
  <c r="L27" i="42"/>
  <c r="J27" i="42"/>
  <c r="I27" i="42"/>
  <c r="F27" i="42"/>
  <c r="L26" i="42"/>
  <c r="J26" i="42"/>
  <c r="I26" i="42"/>
  <c r="F26" i="42"/>
  <c r="L25" i="42"/>
  <c r="J25" i="42"/>
  <c r="I25" i="42"/>
  <c r="F25" i="42"/>
  <c r="L24" i="42"/>
  <c r="J24" i="42"/>
  <c r="I24" i="42"/>
  <c r="F24" i="42"/>
  <c r="L23" i="42"/>
  <c r="J23" i="42"/>
  <c r="I23" i="42"/>
  <c r="F23" i="42"/>
  <c r="L22" i="42"/>
  <c r="J22" i="42"/>
  <c r="I22" i="42"/>
  <c r="F22" i="42"/>
  <c r="L21" i="42"/>
  <c r="J21" i="42"/>
  <c r="I21" i="42"/>
  <c r="F21" i="42"/>
  <c r="L20" i="42"/>
  <c r="J20" i="42"/>
  <c r="I20" i="42"/>
  <c r="F20" i="42"/>
  <c r="L19" i="42"/>
  <c r="J19" i="42"/>
  <c r="I19" i="42"/>
  <c r="F19" i="42"/>
  <c r="L18" i="42"/>
  <c r="J18" i="42"/>
  <c r="I18" i="42"/>
  <c r="F18" i="42"/>
  <c r="L17" i="42"/>
  <c r="J17" i="42"/>
  <c r="I17" i="42"/>
  <c r="F17" i="42"/>
  <c r="L16" i="42"/>
  <c r="J16" i="42"/>
  <c r="I16" i="42"/>
  <c r="F16" i="42"/>
  <c r="L15" i="42"/>
  <c r="J15" i="42"/>
  <c r="I15" i="42"/>
  <c r="F15" i="42"/>
  <c r="L14" i="42"/>
  <c r="J14" i="42"/>
  <c r="I14" i="42"/>
  <c r="F14" i="42"/>
  <c r="L13" i="42"/>
  <c r="J13" i="42"/>
  <c r="I13" i="42"/>
  <c r="F13" i="42"/>
  <c r="L12" i="42"/>
  <c r="J12" i="42"/>
  <c r="I12" i="42"/>
  <c r="F12" i="42"/>
  <c r="L11" i="42"/>
  <c r="J11" i="42"/>
  <c r="I11" i="42"/>
  <c r="F11" i="42"/>
  <c r="L10" i="42"/>
  <c r="J10" i="42"/>
  <c r="I10" i="42"/>
  <c r="F10" i="42"/>
  <c r="L9" i="42"/>
  <c r="J9" i="42"/>
  <c r="I9" i="42"/>
  <c r="F9" i="42"/>
  <c r="L8" i="42"/>
  <c r="J8" i="42"/>
  <c r="I8" i="42"/>
  <c r="F8" i="42"/>
  <c r="L7" i="42"/>
  <c r="J7" i="42"/>
  <c r="I7" i="42"/>
  <c r="F7" i="42"/>
  <c r="L6" i="42"/>
  <c r="J6" i="42"/>
  <c r="I6" i="42"/>
  <c r="F6" i="42"/>
  <c r="L5" i="42"/>
  <c r="J5" i="42"/>
  <c r="I5" i="42"/>
  <c r="I31" i="42" s="1"/>
  <c r="F5" i="42"/>
  <c r="F31" i="42" s="1"/>
  <c r="A1046" i="34"/>
  <c r="B1046" i="34"/>
  <c r="A1047" i="34"/>
  <c r="B1047" i="34"/>
  <c r="A1048" i="34"/>
  <c r="B1048" i="34"/>
  <c r="A1049" i="34"/>
  <c r="B1049" i="34"/>
  <c r="A1050" i="34"/>
  <c r="B1050" i="34"/>
  <c r="A1051" i="34"/>
  <c r="B1051" i="34"/>
  <c r="A1052" i="34"/>
  <c r="B1052" i="34"/>
  <c r="A1053" i="34"/>
  <c r="B1053" i="34"/>
  <c r="A1054" i="34"/>
  <c r="B1054" i="34"/>
  <c r="A1055" i="34"/>
  <c r="B1055" i="34"/>
  <c r="A1056" i="34"/>
  <c r="B1056" i="34"/>
  <c r="A1057" i="34"/>
  <c r="B1057" i="34"/>
  <c r="A1058" i="34"/>
  <c r="B1058" i="34"/>
  <c r="A1059" i="34"/>
  <c r="B1059" i="34"/>
  <c r="A1060" i="34"/>
  <c r="B1060" i="34"/>
  <c r="A1061" i="34"/>
  <c r="B1061" i="34"/>
  <c r="A1062" i="34"/>
  <c r="B1062" i="34"/>
  <c r="A1063" i="34"/>
  <c r="B1063" i="34"/>
  <c r="A1064" i="34"/>
  <c r="B1064" i="34"/>
  <c r="A1065" i="34"/>
  <c r="B1065" i="34"/>
  <c r="A1066" i="34"/>
  <c r="B1066" i="34"/>
  <c r="A1067" i="34"/>
  <c r="B1067" i="34"/>
  <c r="A1068" i="34"/>
  <c r="B1068" i="34"/>
  <c r="A1069" i="34"/>
  <c r="B1069" i="34"/>
  <c r="A1070" i="34"/>
  <c r="B1070" i="34"/>
  <c r="A1071" i="34"/>
  <c r="B1071" i="34"/>
  <c r="A1072" i="34"/>
  <c r="B1072" i="34"/>
  <c r="A1073" i="34"/>
  <c r="B1073" i="34"/>
  <c r="A1074" i="34"/>
  <c r="B1074" i="34"/>
  <c r="A1075" i="34"/>
  <c r="B1075" i="34"/>
  <c r="A1076" i="34"/>
  <c r="B1076" i="34"/>
  <c r="A1077" i="34"/>
  <c r="B1077" i="34"/>
  <c r="A1078" i="34"/>
  <c r="B1078" i="34"/>
  <c r="A1079" i="34"/>
  <c r="B1079" i="34"/>
  <c r="A1080" i="34"/>
  <c r="B1080" i="34"/>
  <c r="A1081" i="34"/>
  <c r="B1081" i="34"/>
  <c r="A1082" i="34"/>
  <c r="B1082" i="34"/>
  <c r="A1083" i="34"/>
  <c r="B1083" i="34"/>
  <c r="A1084" i="34"/>
  <c r="B1084" i="34"/>
  <c r="A1085" i="34"/>
  <c r="B1085" i="34"/>
  <c r="A1086" i="34"/>
  <c r="B1086" i="34"/>
  <c r="A1087" i="34"/>
  <c r="B1087" i="34"/>
  <c r="A1088" i="34"/>
  <c r="B1088" i="34"/>
  <c r="A1089" i="34"/>
  <c r="B1089" i="34"/>
  <c r="A1090" i="34"/>
  <c r="B1090" i="34"/>
  <c r="A1091" i="34"/>
  <c r="B1091" i="34"/>
  <c r="A1092" i="34"/>
  <c r="B1092" i="34"/>
  <c r="A1093" i="34"/>
  <c r="B1093" i="34"/>
  <c r="A1094" i="34"/>
  <c r="B1094" i="34"/>
  <c r="A1095" i="34"/>
  <c r="B1095" i="34"/>
  <c r="A1096" i="34"/>
  <c r="B1096" i="34"/>
  <c r="A1097" i="34"/>
  <c r="B1097" i="34"/>
  <c r="A1098" i="34"/>
  <c r="B1098" i="34"/>
  <c r="A1099" i="34"/>
  <c r="B1099" i="34"/>
  <c r="A1100" i="34"/>
  <c r="B1100" i="34"/>
  <c r="A1101" i="34"/>
  <c r="B1101" i="34"/>
  <c r="A1102" i="34"/>
  <c r="B1102" i="34"/>
  <c r="A1103" i="34"/>
  <c r="B1103" i="34"/>
  <c r="A1104" i="34"/>
  <c r="B1104" i="34"/>
  <c r="A1105" i="34"/>
  <c r="B1105" i="34"/>
  <c r="A1106" i="34"/>
  <c r="B1106" i="34"/>
  <c r="A1107" i="34"/>
  <c r="B1107" i="34"/>
  <c r="A1108" i="34"/>
  <c r="B1108" i="34"/>
  <c r="A1109" i="34"/>
  <c r="B1109" i="34"/>
  <c r="A1110" i="34"/>
  <c r="B1110" i="34"/>
  <c r="A1111" i="34"/>
  <c r="B1111" i="34"/>
  <c r="A1112" i="34"/>
  <c r="B1112" i="34"/>
  <c r="A1113" i="34"/>
  <c r="B1113" i="34"/>
  <c r="A1114" i="34"/>
  <c r="B1114" i="34"/>
  <c r="A1115" i="34"/>
  <c r="B1115" i="34"/>
  <c r="A1116" i="34"/>
  <c r="B1116" i="34"/>
  <c r="F10" i="40"/>
  <c r="N10" i="40" s="1"/>
  <c r="F12" i="40"/>
  <c r="F13" i="40"/>
  <c r="F14" i="40"/>
  <c r="F15" i="40"/>
  <c r="F16" i="40"/>
  <c r="N16" i="40" s="1"/>
  <c r="F17" i="40"/>
  <c r="F18" i="40"/>
  <c r="F19" i="40"/>
  <c r="F20" i="40"/>
  <c r="N20" i="40" s="1"/>
  <c r="F21" i="40"/>
  <c r="F22" i="40"/>
  <c r="F23" i="40"/>
  <c r="F24" i="40"/>
  <c r="N24" i="40" s="1"/>
  <c r="F25" i="40"/>
  <c r="F26" i="40"/>
  <c r="F27" i="40"/>
  <c r="F28" i="40"/>
  <c r="N28" i="40" s="1"/>
  <c r="F29" i="40"/>
  <c r="F30" i="40"/>
  <c r="N30" i="40" s="1"/>
  <c r="F31" i="40"/>
  <c r="N31" i="40" s="1"/>
  <c r="F32" i="40"/>
  <c r="N32" i="40" s="1"/>
  <c r="F33" i="40"/>
  <c r="N33" i="40" s="1"/>
  <c r="F34" i="40"/>
  <c r="N34" i="40" s="1"/>
  <c r="F35" i="40"/>
  <c r="N35" i="40" s="1"/>
  <c r="F6" i="40"/>
  <c r="N6" i="40" s="1"/>
  <c r="F7" i="40"/>
  <c r="N7" i="40" s="1"/>
  <c r="F8" i="40"/>
  <c r="N8" i="40" s="1"/>
  <c r="F9" i="40"/>
  <c r="N9" i="40" s="1"/>
  <c r="F11" i="40"/>
  <c r="N11" i="40" s="1"/>
  <c r="F5" i="40"/>
  <c r="N5" i="40" s="1"/>
  <c r="F36" i="40"/>
  <c r="N13" i="40"/>
  <c r="N14" i="40"/>
  <c r="N15" i="40"/>
  <c r="N18" i="40"/>
  <c r="N21" i="40"/>
  <c r="N22" i="40"/>
  <c r="N25" i="40"/>
  <c r="N26" i="40"/>
  <c r="N27" i="40"/>
  <c r="A6" i="40"/>
  <c r="A7" i="40"/>
  <c r="A8" i="40"/>
  <c r="A9" i="40"/>
  <c r="A10" i="40"/>
  <c r="A11" i="40"/>
  <c r="A12" i="40"/>
  <c r="A13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5" i="40"/>
  <c r="G36" i="40"/>
  <c r="N19" i="40"/>
  <c r="A33" i="12"/>
  <c r="A34" i="12"/>
  <c r="A35" i="12"/>
  <c r="A36" i="12"/>
  <c r="D41" i="12"/>
  <c r="C41" i="12"/>
  <c r="K6" i="42" l="1"/>
  <c r="K7" i="42"/>
  <c r="K8" i="42"/>
  <c r="K9" i="42"/>
  <c r="K10" i="42"/>
  <c r="K11" i="42"/>
  <c r="K12" i="42"/>
  <c r="K13" i="42"/>
  <c r="K14" i="42"/>
  <c r="K15" i="42"/>
  <c r="K16" i="42"/>
  <c r="K17" i="42"/>
  <c r="K18" i="42"/>
  <c r="K19" i="42"/>
  <c r="K20" i="42"/>
  <c r="K21" i="42"/>
  <c r="K22" i="42"/>
  <c r="K23" i="42"/>
  <c r="K24" i="42"/>
  <c r="K25" i="42"/>
  <c r="K26" i="42"/>
  <c r="K27" i="42"/>
  <c r="K28" i="42"/>
  <c r="K29" i="42"/>
  <c r="K30" i="42"/>
  <c r="K34" i="42"/>
  <c r="K35" i="42"/>
  <c r="K36" i="42"/>
  <c r="K37" i="42"/>
  <c r="K38" i="42"/>
  <c r="K39" i="42"/>
  <c r="K40" i="42"/>
  <c r="K41" i="42"/>
  <c r="K42" i="42"/>
  <c r="K43" i="42"/>
  <c r="K44" i="42"/>
  <c r="K45" i="42"/>
  <c r="K46" i="42"/>
  <c r="K84" i="42"/>
  <c r="K85" i="42"/>
  <c r="K86" i="42"/>
  <c r="K87" i="42"/>
  <c r="K88" i="42"/>
  <c r="K89" i="42"/>
  <c r="K90" i="42"/>
  <c r="K91" i="42"/>
  <c r="K92" i="42"/>
  <c r="K93" i="42"/>
  <c r="K94" i="42"/>
  <c r="K95" i="42"/>
  <c r="K96" i="42"/>
  <c r="K97" i="42"/>
  <c r="K98" i="42"/>
  <c r="K99" i="42"/>
  <c r="K100" i="42"/>
  <c r="K101" i="42"/>
  <c r="K102" i="42"/>
  <c r="K103" i="42"/>
  <c r="K104" i="42"/>
  <c r="K105" i="42"/>
  <c r="K106" i="42"/>
  <c r="K107" i="42"/>
  <c r="K108" i="42"/>
  <c r="K109" i="42"/>
  <c r="K110" i="42"/>
  <c r="K111" i="42"/>
  <c r="K115" i="42"/>
  <c r="K116" i="42"/>
  <c r="K117" i="42"/>
  <c r="K118" i="42"/>
  <c r="K119" i="42"/>
  <c r="K120" i="42"/>
  <c r="K121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24" i="42"/>
  <c r="M25" i="42"/>
  <c r="M26" i="42"/>
  <c r="M27" i="42"/>
  <c r="M28" i="42"/>
  <c r="M29" i="42"/>
  <c r="M30" i="42"/>
  <c r="M34" i="42"/>
  <c r="M35" i="42"/>
  <c r="M36" i="42"/>
  <c r="M37" i="42"/>
  <c r="M38" i="42"/>
  <c r="M39" i="42"/>
  <c r="M40" i="42"/>
  <c r="M41" i="42"/>
  <c r="M42" i="42"/>
  <c r="M43" i="42"/>
  <c r="M44" i="42"/>
  <c r="M45" i="42"/>
  <c r="M46" i="42"/>
  <c r="M47" i="42"/>
  <c r="M48" i="42"/>
  <c r="M49" i="42"/>
  <c r="M50" i="42"/>
  <c r="M51" i="42"/>
  <c r="M52" i="42"/>
  <c r="M53" i="42"/>
  <c r="M54" i="42"/>
  <c r="M55" i="42"/>
  <c r="M56" i="42"/>
  <c r="M57" i="42"/>
  <c r="M58" i="42"/>
  <c r="M59" i="42"/>
  <c r="M60" i="42"/>
  <c r="M61" i="42"/>
  <c r="M62" i="42"/>
  <c r="M63" i="42"/>
  <c r="M64" i="42"/>
  <c r="M65" i="42"/>
  <c r="M66" i="42"/>
  <c r="M67" i="42"/>
  <c r="M68" i="42"/>
  <c r="M69" i="42"/>
  <c r="M70" i="42"/>
  <c r="M71" i="42"/>
  <c r="M75" i="42"/>
  <c r="M76" i="42"/>
  <c r="M77" i="42"/>
  <c r="M78" i="42"/>
  <c r="M79" i="42"/>
  <c r="M80" i="42"/>
  <c r="M81" i="42"/>
  <c r="M82" i="42"/>
  <c r="M83" i="42"/>
  <c r="K122" i="42"/>
  <c r="K123" i="42"/>
  <c r="K124" i="42"/>
  <c r="K125" i="42"/>
  <c r="K126" i="42"/>
  <c r="K127" i="42"/>
  <c r="K128" i="42"/>
  <c r="K129" i="42"/>
  <c r="K130" i="42"/>
  <c r="K131" i="42"/>
  <c r="K132" i="42"/>
  <c r="K133" i="42"/>
  <c r="K134" i="42"/>
  <c r="K135" i="42"/>
  <c r="K136" i="42"/>
  <c r="K137" i="42"/>
  <c r="K138" i="42"/>
  <c r="K139" i="42"/>
  <c r="K140" i="42"/>
  <c r="K141" i="42"/>
  <c r="K142" i="42"/>
  <c r="K143" i="42"/>
  <c r="K144" i="42"/>
  <c r="K145" i="42"/>
  <c r="K146" i="42"/>
  <c r="K147" i="42"/>
  <c r="K148" i="42"/>
  <c r="K149" i="42"/>
  <c r="K150" i="42"/>
  <c r="K151" i="42"/>
  <c r="K154" i="42"/>
  <c r="K155" i="42"/>
  <c r="K156" i="42"/>
  <c r="K157" i="42"/>
  <c r="K158" i="42"/>
  <c r="K159" i="42"/>
  <c r="K160" i="42"/>
  <c r="K161" i="42"/>
  <c r="K162" i="42"/>
  <c r="K163" i="42"/>
  <c r="K164" i="42"/>
  <c r="K165" i="42"/>
  <c r="K166" i="42"/>
  <c r="K167" i="42"/>
  <c r="K168" i="42"/>
  <c r="K169" i="42"/>
  <c r="K170" i="42"/>
  <c r="K171" i="42"/>
  <c r="K172" i="42"/>
  <c r="K173" i="42"/>
  <c r="K174" i="42"/>
  <c r="K175" i="42"/>
  <c r="K176" i="42"/>
  <c r="K177" i="42"/>
  <c r="K178" i="42"/>
  <c r="K179" i="42"/>
  <c r="K182" i="42"/>
  <c r="K183" i="42"/>
  <c r="K184" i="42"/>
  <c r="K185" i="42"/>
  <c r="K186" i="42"/>
  <c r="K187" i="42"/>
  <c r="K188" i="42"/>
  <c r="K189" i="42"/>
  <c r="K190" i="42"/>
  <c r="K191" i="42"/>
  <c r="K192" i="42"/>
  <c r="K193" i="42"/>
  <c r="K194" i="42"/>
  <c r="K195" i="42"/>
  <c r="K196" i="42"/>
  <c r="K197" i="42"/>
  <c r="K198" i="42"/>
  <c r="K199" i="42"/>
  <c r="K203" i="42"/>
  <c r="K204" i="42"/>
  <c r="K205" i="42"/>
  <c r="K206" i="42"/>
  <c r="K207" i="42"/>
  <c r="K208" i="42"/>
  <c r="K209" i="42"/>
  <c r="K210" i="42"/>
  <c r="K211" i="42"/>
  <c r="K212" i="42"/>
  <c r="K221" i="42"/>
  <c r="K114" i="42"/>
  <c r="K152" i="42" s="1"/>
  <c r="F152" i="42"/>
  <c r="K5" i="42"/>
  <c r="K31" i="42" s="1"/>
  <c r="M5" i="42"/>
  <c r="K33" i="42"/>
  <c r="M33" i="42"/>
  <c r="K47" i="42"/>
  <c r="K48" i="42"/>
  <c r="K49" i="42"/>
  <c r="K50" i="42"/>
  <c r="K51" i="42"/>
  <c r="K52" i="42"/>
  <c r="K53" i="42"/>
  <c r="K54" i="42"/>
  <c r="K55" i="42"/>
  <c r="K56" i="42"/>
  <c r="K57" i="42"/>
  <c r="K58" i="42"/>
  <c r="K59" i="42"/>
  <c r="K60" i="42"/>
  <c r="K61" i="42"/>
  <c r="K62" i="42"/>
  <c r="K63" i="42"/>
  <c r="K64" i="42"/>
  <c r="K65" i="42"/>
  <c r="K66" i="42"/>
  <c r="K67" i="42"/>
  <c r="K68" i="42"/>
  <c r="K69" i="42"/>
  <c r="K70" i="42"/>
  <c r="K71" i="42"/>
  <c r="K74" i="42"/>
  <c r="M74" i="42"/>
  <c r="K75" i="42"/>
  <c r="K76" i="42"/>
  <c r="K77" i="42"/>
  <c r="K78" i="42"/>
  <c r="K79" i="42"/>
  <c r="K80" i="42"/>
  <c r="K81" i="42"/>
  <c r="K82" i="42"/>
  <c r="K83" i="42"/>
  <c r="M84" i="42"/>
  <c r="M85" i="42"/>
  <c r="M86" i="42"/>
  <c r="M87" i="42"/>
  <c r="M88" i="42"/>
  <c r="M89" i="42"/>
  <c r="M90" i="42"/>
  <c r="M91" i="42"/>
  <c r="M92" i="42"/>
  <c r="M93" i="42"/>
  <c r="M94" i="42"/>
  <c r="M95" i="42"/>
  <c r="M96" i="42"/>
  <c r="M97" i="42"/>
  <c r="M98" i="42"/>
  <c r="M99" i="42"/>
  <c r="M100" i="42"/>
  <c r="M101" i="42"/>
  <c r="M102" i="42"/>
  <c r="M103" i="42"/>
  <c r="M104" i="42"/>
  <c r="M105" i="42"/>
  <c r="M106" i="42"/>
  <c r="M107" i="42"/>
  <c r="M108" i="42"/>
  <c r="M109" i="42"/>
  <c r="M110" i="42"/>
  <c r="M111" i="42"/>
  <c r="M115" i="42"/>
  <c r="M116" i="42"/>
  <c r="M117" i="42"/>
  <c r="M118" i="42"/>
  <c r="F180" i="42"/>
  <c r="F200" i="42"/>
  <c r="K213" i="42"/>
  <c r="I214" i="42"/>
  <c r="I222" i="42" s="1"/>
  <c r="M114" i="42"/>
  <c r="M154" i="42"/>
  <c r="M180" i="42" s="1"/>
  <c r="M182" i="42"/>
  <c r="M200" i="42" s="1"/>
  <c r="K202" i="42"/>
  <c r="N36" i="40"/>
  <c r="H36" i="40"/>
  <c r="J36" i="40"/>
  <c r="K36" i="40"/>
  <c r="I17" i="41"/>
  <c r="G16" i="41"/>
  <c r="G15" i="41"/>
  <c r="G14" i="41"/>
  <c r="G13" i="41"/>
  <c r="G12" i="41"/>
  <c r="G11" i="41"/>
  <c r="H10" i="41"/>
  <c r="H17" i="41" s="1"/>
  <c r="J18" i="41" s="1"/>
  <c r="G10" i="41"/>
  <c r="F10" i="41"/>
  <c r="E10" i="41"/>
  <c r="E17" i="41" s="1"/>
  <c r="G9" i="41"/>
  <c r="G8" i="41"/>
  <c r="G7" i="41"/>
  <c r="G6" i="41"/>
  <c r="G5" i="41"/>
  <c r="F5" i="41"/>
  <c r="A1" i="41"/>
  <c r="E139" i="35"/>
  <c r="D43" i="15"/>
  <c r="C43" i="15"/>
  <c r="F17" i="41" l="1"/>
  <c r="J17" i="41" s="1"/>
  <c r="M31" i="42"/>
  <c r="M222" i="42" s="1"/>
  <c r="K200" i="42"/>
  <c r="M152" i="42"/>
  <c r="K214" i="42"/>
  <c r="M72" i="42"/>
  <c r="F222" i="42"/>
  <c r="K180" i="42"/>
  <c r="M112" i="42"/>
  <c r="K72" i="42"/>
  <c r="K112" i="42"/>
  <c r="E19" i="41"/>
  <c r="G17" i="41"/>
  <c r="G18" i="41" s="1"/>
  <c r="I18" i="41"/>
  <c r="G234" i="35"/>
  <c r="G238" i="35"/>
  <c r="A842" i="34"/>
  <c r="B842" i="34"/>
  <c r="A843" i="34"/>
  <c r="B843" i="34"/>
  <c r="A844" i="34"/>
  <c r="B844" i="34"/>
  <c r="A845" i="34"/>
  <c r="B845" i="34"/>
  <c r="A846" i="34"/>
  <c r="B846" i="34"/>
  <c r="A847" i="34"/>
  <c r="B847" i="34"/>
  <c r="A848" i="34"/>
  <c r="B848" i="34"/>
  <c r="A849" i="34"/>
  <c r="B849" i="34"/>
  <c r="A850" i="34"/>
  <c r="B850" i="34"/>
  <c r="A851" i="34"/>
  <c r="B851" i="34"/>
  <c r="A852" i="34"/>
  <c r="B852" i="34"/>
  <c r="A853" i="34"/>
  <c r="B853" i="34"/>
  <c r="A854" i="34"/>
  <c r="B854" i="34"/>
  <c r="A855" i="34"/>
  <c r="B855" i="34"/>
  <c r="A856" i="34"/>
  <c r="B856" i="34"/>
  <c r="A857" i="34"/>
  <c r="B857" i="34"/>
  <c r="A858" i="34"/>
  <c r="B858" i="34"/>
  <c r="A859" i="34"/>
  <c r="B859" i="34"/>
  <c r="A860" i="34"/>
  <c r="B860" i="34"/>
  <c r="A861" i="34"/>
  <c r="B861" i="34"/>
  <c r="A862" i="34"/>
  <c r="B862" i="34"/>
  <c r="A863" i="34"/>
  <c r="B863" i="34"/>
  <c r="A864" i="34"/>
  <c r="B864" i="34"/>
  <c r="A865" i="34"/>
  <c r="B865" i="34"/>
  <c r="A866" i="34"/>
  <c r="B866" i="34"/>
  <c r="A867" i="34"/>
  <c r="B867" i="34"/>
  <c r="A868" i="34"/>
  <c r="B868" i="34"/>
  <c r="A869" i="34"/>
  <c r="B869" i="34"/>
  <c r="A870" i="34"/>
  <c r="B870" i="34"/>
  <c r="A871" i="34"/>
  <c r="B871" i="34"/>
  <c r="A872" i="34"/>
  <c r="B872" i="34"/>
  <c r="A873" i="34"/>
  <c r="B873" i="34"/>
  <c r="A874" i="34"/>
  <c r="B874" i="34"/>
  <c r="A875" i="34"/>
  <c r="B875" i="34"/>
  <c r="A876" i="34"/>
  <c r="B876" i="34"/>
  <c r="A877" i="34"/>
  <c r="B877" i="34"/>
  <c r="A878" i="34"/>
  <c r="B878" i="34"/>
  <c r="A879" i="34"/>
  <c r="B879" i="34"/>
  <c r="A880" i="34"/>
  <c r="B880" i="34"/>
  <c r="A881" i="34"/>
  <c r="B881" i="34"/>
  <c r="A882" i="34"/>
  <c r="B882" i="34"/>
  <c r="A883" i="34"/>
  <c r="B883" i="34"/>
  <c r="A884" i="34"/>
  <c r="B884" i="34"/>
  <c r="A885" i="34"/>
  <c r="B885" i="34"/>
  <c r="A886" i="34"/>
  <c r="B886" i="34"/>
  <c r="A887" i="34"/>
  <c r="B887" i="34"/>
  <c r="A888" i="34"/>
  <c r="B888" i="34"/>
  <c r="A889" i="34"/>
  <c r="B889" i="34"/>
  <c r="A890" i="34"/>
  <c r="B890" i="34"/>
  <c r="A891" i="34"/>
  <c r="B891" i="34"/>
  <c r="A892" i="34"/>
  <c r="B892" i="34"/>
  <c r="A893" i="34"/>
  <c r="B893" i="34"/>
  <c r="A894" i="34"/>
  <c r="B894" i="34"/>
  <c r="A895" i="34"/>
  <c r="B895" i="34"/>
  <c r="A896" i="34"/>
  <c r="B896" i="34"/>
  <c r="A897" i="34"/>
  <c r="B897" i="34"/>
  <c r="A898" i="34"/>
  <c r="B898" i="34"/>
  <c r="A899" i="34"/>
  <c r="B899" i="34"/>
  <c r="A900" i="34"/>
  <c r="B900" i="34"/>
  <c r="A901" i="34"/>
  <c r="B901" i="34"/>
  <c r="A902" i="34"/>
  <c r="B902" i="34"/>
  <c r="A903" i="34"/>
  <c r="B903" i="34"/>
  <c r="A904" i="34"/>
  <c r="B904" i="34"/>
  <c r="A905" i="34"/>
  <c r="B905" i="34"/>
  <c r="A906" i="34"/>
  <c r="B906" i="34"/>
  <c r="A907" i="34"/>
  <c r="B907" i="34"/>
  <c r="A908" i="34"/>
  <c r="B908" i="34"/>
  <c r="A909" i="34"/>
  <c r="B909" i="34"/>
  <c r="A910" i="34"/>
  <c r="B910" i="34"/>
  <c r="A911" i="34"/>
  <c r="B911" i="34"/>
  <c r="A912" i="34"/>
  <c r="B912" i="34"/>
  <c r="A913" i="34"/>
  <c r="B913" i="34"/>
  <c r="A914" i="34"/>
  <c r="B914" i="34"/>
  <c r="A915" i="34"/>
  <c r="B915" i="34"/>
  <c r="A916" i="34"/>
  <c r="B916" i="34"/>
  <c r="A917" i="34"/>
  <c r="B917" i="34"/>
  <c r="A918" i="34"/>
  <c r="B918" i="34"/>
  <c r="A919" i="34"/>
  <c r="B919" i="34"/>
  <c r="A920" i="34"/>
  <c r="B920" i="34"/>
  <c r="A921" i="34"/>
  <c r="B921" i="34"/>
  <c r="A922" i="34"/>
  <c r="B922" i="34"/>
  <c r="A923" i="34"/>
  <c r="B923" i="34"/>
  <c r="A924" i="34"/>
  <c r="B924" i="34"/>
  <c r="A925" i="34"/>
  <c r="B925" i="34"/>
  <c r="A926" i="34"/>
  <c r="B926" i="34"/>
  <c r="A927" i="34"/>
  <c r="B927" i="34"/>
  <c r="A928" i="34"/>
  <c r="B928" i="34"/>
  <c r="A929" i="34"/>
  <c r="B929" i="34"/>
  <c r="A930" i="34"/>
  <c r="B930" i="34"/>
  <c r="A931" i="34"/>
  <c r="B931" i="34"/>
  <c r="A932" i="34"/>
  <c r="B932" i="34"/>
  <c r="A933" i="34"/>
  <c r="B933" i="34"/>
  <c r="A934" i="34"/>
  <c r="B934" i="34"/>
  <c r="A935" i="34"/>
  <c r="B935" i="34"/>
  <c r="A936" i="34"/>
  <c r="B936" i="34"/>
  <c r="A937" i="34"/>
  <c r="B937" i="34"/>
  <c r="A938" i="34"/>
  <c r="B938" i="34"/>
  <c r="A939" i="34"/>
  <c r="B939" i="34"/>
  <c r="A940" i="34"/>
  <c r="B940" i="34"/>
  <c r="A941" i="34"/>
  <c r="B941" i="34"/>
  <c r="A942" i="34"/>
  <c r="B942" i="34"/>
  <c r="A943" i="34"/>
  <c r="B943" i="34"/>
  <c r="A944" i="34"/>
  <c r="B944" i="34"/>
  <c r="A945" i="34"/>
  <c r="B945" i="34"/>
  <c r="A946" i="34"/>
  <c r="B946" i="34"/>
  <c r="A947" i="34"/>
  <c r="B947" i="34"/>
  <c r="A948" i="34"/>
  <c r="B948" i="34"/>
  <c r="A949" i="34"/>
  <c r="B949" i="34"/>
  <c r="A950" i="34"/>
  <c r="B950" i="34"/>
  <c r="A951" i="34"/>
  <c r="B951" i="34"/>
  <c r="A952" i="34"/>
  <c r="B952" i="34"/>
  <c r="A953" i="34"/>
  <c r="B953" i="34"/>
  <c r="A954" i="34"/>
  <c r="B954" i="34"/>
  <c r="A955" i="34"/>
  <c r="B955" i="34"/>
  <c r="A956" i="34"/>
  <c r="B956" i="34"/>
  <c r="A957" i="34"/>
  <c r="B957" i="34"/>
  <c r="A958" i="34"/>
  <c r="B958" i="34"/>
  <c r="A959" i="34"/>
  <c r="B959" i="34"/>
  <c r="A960" i="34"/>
  <c r="B960" i="34"/>
  <c r="A961" i="34"/>
  <c r="B961" i="34"/>
  <c r="A962" i="34"/>
  <c r="B962" i="34"/>
  <c r="A963" i="34"/>
  <c r="B963" i="34"/>
  <c r="A964" i="34"/>
  <c r="B964" i="34"/>
  <c r="A965" i="34"/>
  <c r="B965" i="34"/>
  <c r="A966" i="34"/>
  <c r="B966" i="34"/>
  <c r="A967" i="34"/>
  <c r="B967" i="34"/>
  <c r="A968" i="34"/>
  <c r="B968" i="34"/>
  <c r="A969" i="34"/>
  <c r="B969" i="34"/>
  <c r="A970" i="34"/>
  <c r="B970" i="34"/>
  <c r="A971" i="34"/>
  <c r="B971" i="34"/>
  <c r="A972" i="34"/>
  <c r="B972" i="34"/>
  <c r="A973" i="34"/>
  <c r="B973" i="34"/>
  <c r="A974" i="34"/>
  <c r="B974" i="34"/>
  <c r="A975" i="34"/>
  <c r="B975" i="34"/>
  <c r="A976" i="34"/>
  <c r="B976" i="34"/>
  <c r="A977" i="34"/>
  <c r="B977" i="34"/>
  <c r="A978" i="34"/>
  <c r="B978" i="34"/>
  <c r="A979" i="34"/>
  <c r="B979" i="34"/>
  <c r="A980" i="34"/>
  <c r="B980" i="34"/>
  <c r="A981" i="34"/>
  <c r="B981" i="34"/>
  <c r="A982" i="34"/>
  <c r="B982" i="34"/>
  <c r="A983" i="34"/>
  <c r="B983" i="34"/>
  <c r="A984" i="34"/>
  <c r="B984" i="34"/>
  <c r="A985" i="34"/>
  <c r="B985" i="34"/>
  <c r="A986" i="34"/>
  <c r="B986" i="34"/>
  <c r="A987" i="34"/>
  <c r="B987" i="34"/>
  <c r="A988" i="34"/>
  <c r="B988" i="34"/>
  <c r="A989" i="34"/>
  <c r="B989" i="34"/>
  <c r="A990" i="34"/>
  <c r="B990" i="34"/>
  <c r="A991" i="34"/>
  <c r="B991" i="34"/>
  <c r="A992" i="34"/>
  <c r="B992" i="34"/>
  <c r="A993" i="34"/>
  <c r="B993" i="34"/>
  <c r="A994" i="34"/>
  <c r="B994" i="34"/>
  <c r="A995" i="34"/>
  <c r="B995" i="34"/>
  <c r="A996" i="34"/>
  <c r="B996" i="34"/>
  <c r="A997" i="34"/>
  <c r="B997" i="34"/>
  <c r="A998" i="34"/>
  <c r="B998" i="34"/>
  <c r="A999" i="34"/>
  <c r="B999" i="34"/>
  <c r="A1000" i="34"/>
  <c r="B1000" i="34"/>
  <c r="A1001" i="34"/>
  <c r="B1001" i="34"/>
  <c r="A1002" i="34"/>
  <c r="B1002" i="34"/>
  <c r="A1003" i="34"/>
  <c r="B1003" i="34"/>
  <c r="A1004" i="34"/>
  <c r="B1004" i="34"/>
  <c r="A1005" i="34"/>
  <c r="B1005" i="34"/>
  <c r="A1006" i="34"/>
  <c r="B1006" i="34"/>
  <c r="A1007" i="34"/>
  <c r="B1007" i="34"/>
  <c r="A1008" i="34"/>
  <c r="B1008" i="34"/>
  <c r="A1009" i="34"/>
  <c r="B1009" i="34"/>
  <c r="A1010" i="34"/>
  <c r="B1010" i="34"/>
  <c r="A1011" i="34"/>
  <c r="B1011" i="34"/>
  <c r="A1012" i="34"/>
  <c r="B1012" i="34"/>
  <c r="A1013" i="34"/>
  <c r="B1013" i="34"/>
  <c r="A1014" i="34"/>
  <c r="B1014" i="34"/>
  <c r="A1015" i="34"/>
  <c r="B1015" i="34"/>
  <c r="A1016" i="34"/>
  <c r="B1016" i="34"/>
  <c r="A1017" i="34"/>
  <c r="B1017" i="34"/>
  <c r="A1018" i="34"/>
  <c r="B1018" i="34"/>
  <c r="A1019" i="34"/>
  <c r="B1019" i="34"/>
  <c r="A1020" i="34"/>
  <c r="B1020" i="34"/>
  <c r="A1021" i="34"/>
  <c r="B1021" i="34"/>
  <c r="A1022" i="34"/>
  <c r="B1022" i="34"/>
  <c r="A1023" i="34"/>
  <c r="B1023" i="34"/>
  <c r="A1024" i="34"/>
  <c r="B1024" i="34"/>
  <c r="A1025" i="34"/>
  <c r="B1025" i="34"/>
  <c r="A1026" i="34"/>
  <c r="B1026" i="34"/>
  <c r="A1027" i="34"/>
  <c r="B1027" i="34"/>
  <c r="A1028" i="34"/>
  <c r="B1028" i="34"/>
  <c r="A1029" i="34"/>
  <c r="B1029" i="34"/>
  <c r="A1030" i="34"/>
  <c r="B1030" i="34"/>
  <c r="A1031" i="34"/>
  <c r="B1031" i="34"/>
  <c r="A1032" i="34"/>
  <c r="B1032" i="34"/>
  <c r="A1033" i="34"/>
  <c r="B1033" i="34"/>
  <c r="A1034" i="34"/>
  <c r="B1034" i="34"/>
  <c r="I20" i="41" l="1"/>
  <c r="K222" i="42"/>
  <c r="E20" i="41"/>
  <c r="I19" i="41"/>
  <c r="E17" i="40"/>
  <c r="N17" i="40" s="1"/>
  <c r="N29" i="40"/>
  <c r="E23" i="40"/>
  <c r="N23" i="40" s="1"/>
  <c r="E12" i="40"/>
  <c r="E36" i="35"/>
  <c r="E39" i="40" l="1"/>
  <c r="N12" i="40"/>
  <c r="G104" i="35"/>
  <c r="G105" i="35"/>
  <c r="G106" i="35"/>
  <c r="G108" i="35"/>
  <c r="G109" i="35"/>
  <c r="G110" i="35"/>
  <c r="G112" i="35"/>
  <c r="G113" i="35"/>
  <c r="G114" i="35"/>
  <c r="G116" i="35"/>
  <c r="G118" i="35"/>
  <c r="G119" i="35"/>
  <c r="G120" i="35"/>
  <c r="G121" i="35"/>
  <c r="G122" i="35"/>
  <c r="G123" i="35"/>
  <c r="G124" i="35"/>
  <c r="G125" i="35"/>
  <c r="G126" i="35"/>
  <c r="G127" i="35"/>
  <c r="G117" i="35"/>
  <c r="G75" i="35"/>
  <c r="G76" i="35"/>
  <c r="G77" i="35"/>
  <c r="G74" i="35"/>
  <c r="G135" i="35"/>
  <c r="G136" i="35"/>
  <c r="G137" i="35"/>
  <c r="G138" i="35"/>
  <c r="G139" i="35"/>
  <c r="G140" i="35"/>
  <c r="G141" i="35"/>
  <c r="G142" i="35"/>
  <c r="G143" i="35"/>
  <c r="G144" i="35"/>
  <c r="G146" i="35"/>
  <c r="G134" i="35"/>
  <c r="G150" i="35"/>
  <c r="G151" i="35"/>
  <c r="G152" i="35"/>
  <c r="G153" i="35"/>
  <c r="G154" i="35"/>
  <c r="G155" i="35"/>
  <c r="G156" i="35"/>
  <c r="G157" i="35"/>
  <c r="G149" i="35"/>
  <c r="G209" i="35"/>
  <c r="G210" i="35"/>
  <c r="G211" i="35"/>
  <c r="G212" i="35"/>
  <c r="G213" i="35"/>
  <c r="G217" i="35"/>
  <c r="G221" i="35"/>
  <c r="G222" i="35"/>
  <c r="G223" i="35"/>
  <c r="G224" i="35"/>
  <c r="G225" i="35"/>
  <c r="G226" i="35"/>
  <c r="G227" i="35"/>
  <c r="G220" i="35"/>
  <c r="G231" i="35"/>
  <c r="G232" i="35"/>
  <c r="G233" i="35"/>
  <c r="G230" i="35"/>
  <c r="G168" i="35"/>
  <c r="G169" i="35"/>
  <c r="G170" i="35"/>
  <c r="G171" i="35"/>
  <c r="G172" i="35"/>
  <c r="G173" i="35"/>
  <c r="G174" i="35"/>
  <c r="G179" i="35"/>
  <c r="G167" i="35"/>
  <c r="P11" i="34"/>
  <c r="P12" i="34"/>
  <c r="P13" i="34"/>
  <c r="P14" i="34"/>
  <c r="P15" i="34"/>
  <c r="P16" i="34"/>
  <c r="P10" i="34"/>
  <c r="B631" i="34"/>
  <c r="A631" i="34"/>
  <c r="A32" i="12"/>
  <c r="A793" i="34"/>
  <c r="B793" i="34"/>
  <c r="G180" i="35" l="1"/>
  <c r="A816" i="34"/>
  <c r="B816" i="34"/>
  <c r="A817" i="34"/>
  <c r="B817" i="34"/>
  <c r="F100" i="35"/>
  <c r="F59" i="35"/>
  <c r="F24" i="35"/>
  <c r="F21" i="35"/>
  <c r="F6" i="35"/>
  <c r="G87" i="35"/>
  <c r="G91" i="35" s="1"/>
  <c r="A781" i="34" l="1"/>
  <c r="B781" i="34"/>
  <c r="A782" i="34"/>
  <c r="B782" i="34"/>
  <c r="A807" i="34" l="1"/>
  <c r="B807" i="34"/>
  <c r="A795" i="34" l="1"/>
  <c r="B795" i="34"/>
  <c r="A792" i="34"/>
  <c r="B792" i="34"/>
  <c r="E149" i="35"/>
  <c r="A771" i="34"/>
  <c r="B771" i="34"/>
  <c r="A772" i="34"/>
  <c r="B772" i="34"/>
  <c r="A784" i="34"/>
  <c r="B784" i="34"/>
  <c r="F132" i="35"/>
  <c r="F30" i="35"/>
  <c r="I30" i="35" s="1"/>
  <c r="H30" i="35" l="1"/>
  <c r="H31" i="35" s="1"/>
  <c r="G30" i="35"/>
  <c r="G31" i="35" s="1"/>
  <c r="I31" i="35"/>
  <c r="F31" i="35"/>
  <c r="E31" i="35"/>
  <c r="L254" i="35"/>
  <c r="A769" i="34"/>
  <c r="B769" i="34"/>
  <c r="A770" i="34"/>
  <c r="B770" i="34"/>
  <c r="A750" i="34"/>
  <c r="B750" i="34"/>
  <c r="A773" i="34"/>
  <c r="B773" i="34"/>
  <c r="A774" i="34"/>
  <c r="B774" i="34"/>
  <c r="G243" i="35"/>
  <c r="H243" i="35" s="1"/>
  <c r="I243" i="35" s="1"/>
  <c r="G244" i="35"/>
  <c r="H244" i="35" s="1"/>
  <c r="I244" i="35" s="1"/>
  <c r="G245" i="35"/>
  <c r="H245" i="35" s="1"/>
  <c r="I245" i="35" s="1"/>
  <c r="I102" i="35"/>
  <c r="H102" i="35"/>
  <c r="G102" i="35"/>
  <c r="F102" i="35"/>
  <c r="E102" i="35"/>
  <c r="I72" i="35"/>
  <c r="H72" i="35"/>
  <c r="G72" i="35"/>
  <c r="F72" i="35"/>
  <c r="E72" i="35"/>
  <c r="A15" i="12"/>
  <c r="A20" i="12"/>
  <c r="A739" i="34"/>
  <c r="B739" i="34"/>
  <c r="A740" i="34"/>
  <c r="B740" i="34"/>
  <c r="A744" i="34"/>
  <c r="B744" i="34"/>
  <c r="A745" i="34"/>
  <c r="B745" i="34"/>
  <c r="A726" i="34"/>
  <c r="B726" i="34"/>
  <c r="A729" i="34"/>
  <c r="B729" i="34"/>
  <c r="G32" i="35" l="1"/>
  <c r="I32" i="35"/>
  <c r="I103" i="35"/>
  <c r="G103" i="35"/>
  <c r="G73" i="35"/>
  <c r="I73" i="35"/>
  <c r="H64" i="35"/>
  <c r="F239" i="35"/>
  <c r="F180" i="35"/>
  <c r="F98" i="35"/>
  <c r="F228" i="35"/>
  <c r="F218" i="35"/>
  <c r="F85" i="35"/>
  <c r="F91" i="35" s="1"/>
  <c r="F83" i="35"/>
  <c r="F206" i="35"/>
  <c r="F193" i="35"/>
  <c r="F187" i="35"/>
  <c r="F165" i="35"/>
  <c r="F158" i="35"/>
  <c r="F139" i="35"/>
  <c r="F134" i="35"/>
  <c r="F78" i="35"/>
  <c r="F64" i="35"/>
  <c r="F60" i="35"/>
  <c r="F57" i="35"/>
  <c r="F52" i="35"/>
  <c r="F36" i="35"/>
  <c r="F43" i="35" s="1"/>
  <c r="F34" i="35"/>
  <c r="F28" i="35"/>
  <c r="F25" i="35"/>
  <c r="F22" i="35"/>
  <c r="F19" i="35"/>
  <c r="F68" i="35"/>
  <c r="F16" i="35"/>
  <c r="H180" i="35"/>
  <c r="K26" i="40"/>
  <c r="L26" i="40" s="1"/>
  <c r="G64" i="35"/>
  <c r="I64" i="35"/>
  <c r="E64" i="35"/>
  <c r="G65" i="35" l="1"/>
  <c r="F147" i="35"/>
  <c r="I65" i="35"/>
  <c r="C241" i="35"/>
  <c r="A1" i="35"/>
  <c r="C242" i="35"/>
  <c r="J242" i="35"/>
  <c r="J241" i="35"/>
  <c r="J243" i="35"/>
  <c r="J244" i="35"/>
  <c r="J245" i="35"/>
  <c r="I60" i="35" l="1"/>
  <c r="H60" i="35"/>
  <c r="G60" i="35"/>
  <c r="E60" i="35"/>
  <c r="B633" i="34"/>
  <c r="A14" i="12"/>
  <c r="A31" i="12"/>
  <c r="I239" i="35"/>
  <c r="K32" i="40" s="1"/>
  <c r="H239" i="35"/>
  <c r="G239" i="35"/>
  <c r="E239" i="35"/>
  <c r="I181" i="35"/>
  <c r="E180" i="35"/>
  <c r="G181" i="35" s="1"/>
  <c r="I57" i="35"/>
  <c r="H57" i="35"/>
  <c r="G57" i="35"/>
  <c r="E57" i="35"/>
  <c r="I98" i="35"/>
  <c r="H98" i="35"/>
  <c r="G98" i="35"/>
  <c r="E98" i="35"/>
  <c r="I228" i="35"/>
  <c r="K31" i="40" s="1"/>
  <c r="L31" i="40" s="1"/>
  <c r="H228" i="35"/>
  <c r="G228" i="35"/>
  <c r="E228" i="35"/>
  <c r="I218" i="35"/>
  <c r="G218" i="35"/>
  <c r="E218" i="35"/>
  <c r="H91" i="35"/>
  <c r="I92" i="35" s="1"/>
  <c r="E91" i="35"/>
  <c r="I83" i="35"/>
  <c r="H83" i="35"/>
  <c r="G83" i="35"/>
  <c r="E83" i="35"/>
  <c r="I206" i="35"/>
  <c r="K29" i="40" s="1"/>
  <c r="L29" i="40" s="1"/>
  <c r="G206" i="35"/>
  <c r="E206" i="35"/>
  <c r="H195" i="35"/>
  <c r="H206" i="35" s="1"/>
  <c r="I193" i="35"/>
  <c r="K28" i="40" s="1"/>
  <c r="L28" i="40" s="1"/>
  <c r="H193" i="35"/>
  <c r="G193" i="35"/>
  <c r="E193" i="35"/>
  <c r="I187" i="35"/>
  <c r="K27" i="40" s="1"/>
  <c r="L27" i="40" s="1"/>
  <c r="H187" i="35"/>
  <c r="G187" i="35"/>
  <c r="E187" i="35"/>
  <c r="I165" i="35"/>
  <c r="K25" i="40" s="1"/>
  <c r="L25" i="40" s="1"/>
  <c r="H165" i="35"/>
  <c r="G165" i="35"/>
  <c r="E165" i="35"/>
  <c r="I158" i="35"/>
  <c r="K24" i="40" s="1"/>
  <c r="L24" i="40" s="1"/>
  <c r="H158" i="35"/>
  <c r="G158" i="35"/>
  <c r="E158" i="35"/>
  <c r="I147" i="35"/>
  <c r="G147" i="35"/>
  <c r="H139" i="35"/>
  <c r="H147" i="35" s="1"/>
  <c r="I78" i="35"/>
  <c r="H78" i="35"/>
  <c r="G78" i="35"/>
  <c r="E78" i="35"/>
  <c r="I132" i="35"/>
  <c r="K22" i="40" s="1"/>
  <c r="L22" i="40" s="1"/>
  <c r="H132" i="35"/>
  <c r="G132" i="35"/>
  <c r="E132" i="35"/>
  <c r="I52" i="35"/>
  <c r="H52" i="35"/>
  <c r="G52" i="35"/>
  <c r="E52" i="35"/>
  <c r="I43" i="35"/>
  <c r="G43" i="35"/>
  <c r="H36" i="35"/>
  <c r="H43" i="35" s="1"/>
  <c r="E43" i="35"/>
  <c r="I34" i="35"/>
  <c r="H34" i="35"/>
  <c r="G34" i="35"/>
  <c r="E34" i="35"/>
  <c r="I28" i="35"/>
  <c r="H28" i="35"/>
  <c r="G28" i="35"/>
  <c r="E28" i="35"/>
  <c r="I25" i="35"/>
  <c r="H25" i="35"/>
  <c r="G25" i="35"/>
  <c r="E25" i="35"/>
  <c r="I22" i="35"/>
  <c r="H22" i="35"/>
  <c r="G22" i="35"/>
  <c r="E22" i="35"/>
  <c r="I19" i="35"/>
  <c r="H19" i="35"/>
  <c r="G19" i="35"/>
  <c r="E19" i="35"/>
  <c r="I68" i="35"/>
  <c r="H68" i="35"/>
  <c r="G68" i="35"/>
  <c r="E68" i="35"/>
  <c r="I16" i="35"/>
  <c r="H16" i="35"/>
  <c r="G16" i="35"/>
  <c r="E16" i="35"/>
  <c r="G44" i="35" l="1"/>
  <c r="I44" i="35"/>
  <c r="G92" i="35"/>
  <c r="K148" i="35"/>
  <c r="H148" i="35" s="1"/>
  <c r="I148" i="35" s="1"/>
  <c r="K23" i="40"/>
  <c r="L23" i="40" s="1"/>
  <c r="K30" i="40"/>
  <c r="I219" i="35"/>
  <c r="G219" i="35"/>
  <c r="I229" i="35"/>
  <c r="I99" i="35"/>
  <c r="G58" i="35"/>
  <c r="I58" i="35"/>
  <c r="I240" i="35"/>
  <c r="A633" i="34"/>
  <c r="G99" i="35"/>
  <c r="G207" i="35"/>
  <c r="I84" i="35"/>
  <c r="G229" i="35"/>
  <c r="G240" i="35"/>
  <c r="G61" i="35"/>
  <c r="I61" i="35"/>
  <c r="I17" i="35"/>
  <c r="I69" i="35"/>
  <c r="I20" i="35"/>
  <c r="I23" i="35"/>
  <c r="I26" i="35"/>
  <c r="I29" i="35"/>
  <c r="I35" i="35"/>
  <c r="I53" i="35"/>
  <c r="I133" i="35"/>
  <c r="I79" i="35"/>
  <c r="E147" i="35"/>
  <c r="G148" i="35" s="1"/>
  <c r="G69" i="35"/>
  <c r="G20" i="35"/>
  <c r="G23" i="35"/>
  <c r="G26" i="35"/>
  <c r="G29" i="35"/>
  <c r="G35" i="35"/>
  <c r="G53" i="35"/>
  <c r="G133" i="35"/>
  <c r="G79" i="35"/>
  <c r="G159" i="35"/>
  <c r="I159" i="35"/>
  <c r="G166" i="35"/>
  <c r="I166" i="35"/>
  <c r="G188" i="35"/>
  <c r="I188" i="35"/>
  <c r="G194" i="35"/>
  <c r="I194" i="35"/>
  <c r="I207" i="35"/>
  <c r="G84" i="35"/>
  <c r="G17" i="35"/>
  <c r="L30" i="40" l="1"/>
  <c r="K253" i="35"/>
  <c r="K254" i="35"/>
  <c r="A674" i="34"/>
  <c r="B674" i="34"/>
  <c r="A673" i="34"/>
  <c r="B673" i="34"/>
  <c r="B623" i="34"/>
  <c r="B624" i="34"/>
  <c r="B607" i="34"/>
  <c r="B606" i="34"/>
  <c r="A599" i="34"/>
  <c r="B599" i="34"/>
  <c r="A600" i="34"/>
  <c r="B600" i="34"/>
  <c r="A598" i="34"/>
  <c r="B598" i="34"/>
  <c r="A629" i="34"/>
  <c r="B629" i="34"/>
  <c r="A630" i="34"/>
  <c r="B630" i="34"/>
  <c r="M11" i="34"/>
  <c r="M15" i="34"/>
  <c r="M14" i="34"/>
  <c r="M13" i="34"/>
  <c r="M12" i="34"/>
  <c r="E13" i="15" l="1" a="1"/>
  <c r="E13" i="15" s="1"/>
  <c r="F13" i="15" a="1"/>
  <c r="F13" i="15" s="1"/>
  <c r="E29" i="15" a="1"/>
  <c r="E29" i="15" s="1"/>
  <c r="F29" i="15" a="1"/>
  <c r="F29" i="15" s="1"/>
  <c r="F37" i="12" a="1"/>
  <c r="F37" i="12" s="1"/>
  <c r="F38" i="12" a="1"/>
  <c r="F38" i="12" s="1"/>
  <c r="F39" i="12" a="1"/>
  <c r="F39" i="12" s="1"/>
  <c r="E37" i="12" a="1"/>
  <c r="E37" i="12" s="1"/>
  <c r="E38" i="12" a="1"/>
  <c r="E38" i="12" s="1"/>
  <c r="E39" i="12" a="1"/>
  <c r="E39" i="12" s="1"/>
  <c r="G10" i="40" a="1"/>
  <c r="G10" i="40" s="1"/>
  <c r="H10" i="40" a="1"/>
  <c r="H10" i="40" s="1"/>
  <c r="F37" i="40" a="1"/>
  <c r="F37" i="40" s="1"/>
  <c r="F39" i="40" s="1"/>
  <c r="E37" i="15" a="1"/>
  <c r="E37" i="15" s="1"/>
  <c r="G37" i="40" a="1"/>
  <c r="G37" i="40" s="1"/>
  <c r="H17" i="40" a="1"/>
  <c r="H17" i="40" s="1"/>
  <c r="H11" i="40" a="1"/>
  <c r="H11" i="40" s="1"/>
  <c r="H13" i="40" a="1"/>
  <c r="H13" i="40" s="1"/>
  <c r="H22" i="40" a="1"/>
  <c r="H22" i="40" s="1"/>
  <c r="H24" i="40" a="1"/>
  <c r="H24" i="40" s="1"/>
  <c r="H26" i="40" a="1"/>
  <c r="H26" i="40" s="1"/>
  <c r="H28" i="40" a="1"/>
  <c r="H28" i="40" s="1"/>
  <c r="H19" i="40" a="1"/>
  <c r="H19" i="40" s="1"/>
  <c r="H31" i="40" a="1"/>
  <c r="H31" i="40" s="1"/>
  <c r="H8" i="40" a="1"/>
  <c r="H8" i="40" s="1"/>
  <c r="H32" i="40" a="1"/>
  <c r="H32" i="40" s="1"/>
  <c r="H21" i="40" a="1"/>
  <c r="H21" i="40" s="1"/>
  <c r="H9" i="40" a="1"/>
  <c r="H9" i="40" s="1"/>
  <c r="H16" i="40" a="1"/>
  <c r="H16" i="40" s="1"/>
  <c r="H34" i="40" a="1"/>
  <c r="H34" i="40" s="1"/>
  <c r="H6" i="40" a="1"/>
  <c r="H6" i="40" s="1"/>
  <c r="G17" i="40" a="1"/>
  <c r="G17" i="40" s="1"/>
  <c r="G11" i="40" a="1"/>
  <c r="G11" i="40" s="1"/>
  <c r="G13" i="40" a="1"/>
  <c r="G13" i="40" s="1"/>
  <c r="G22" i="40" a="1"/>
  <c r="G22" i="40" s="1"/>
  <c r="I22" i="40" s="1"/>
  <c r="G24" i="40" a="1"/>
  <c r="G24" i="40" s="1"/>
  <c r="I24" i="40" s="1"/>
  <c r="G26" i="40" a="1"/>
  <c r="G26" i="40" s="1"/>
  <c r="I26" i="40" s="1"/>
  <c r="G28" i="40" a="1"/>
  <c r="G28" i="40" s="1"/>
  <c r="I28" i="40" s="1"/>
  <c r="G19" i="40" a="1"/>
  <c r="G19" i="40" s="1"/>
  <c r="J19" i="40" s="1"/>
  <c r="G31" i="40" a="1"/>
  <c r="G31" i="40" s="1"/>
  <c r="I31" i="40" s="1"/>
  <c r="G8" i="40" a="1"/>
  <c r="G8" i="40" s="1"/>
  <c r="G32" i="40" a="1"/>
  <c r="G32" i="40" s="1"/>
  <c r="G21" i="40" a="1"/>
  <c r="G21" i="40" s="1"/>
  <c r="G9" i="40" a="1"/>
  <c r="G9" i="40" s="1"/>
  <c r="G16" i="40" a="1"/>
  <c r="G16" i="40" s="1"/>
  <c r="G34" i="40" a="1"/>
  <c r="G34" i="40" s="1"/>
  <c r="G6" i="40" a="1"/>
  <c r="G6" i="40" s="1"/>
  <c r="F35" i="12" a="1"/>
  <c r="F35" i="12" s="1"/>
  <c r="F36" i="12" a="1"/>
  <c r="F36" i="12" s="1"/>
  <c r="H7" i="40" a="1"/>
  <c r="H7" i="40" s="1"/>
  <c r="H12" i="40" a="1"/>
  <c r="H12" i="40" s="1"/>
  <c r="H18" i="40" a="1"/>
  <c r="H18" i="40" s="1"/>
  <c r="H23" i="40" a="1"/>
  <c r="H23" i="40" s="1"/>
  <c r="H25" i="40" a="1"/>
  <c r="H25" i="40" s="1"/>
  <c r="H27" i="40" a="1"/>
  <c r="H27" i="40" s="1"/>
  <c r="H29" i="40" a="1"/>
  <c r="H29" i="40" s="1"/>
  <c r="H30" i="40" a="1"/>
  <c r="H30" i="40" s="1"/>
  <c r="H20" i="40" a="1"/>
  <c r="H20" i="40" s="1"/>
  <c r="H15" i="40" a="1"/>
  <c r="H15" i="40" s="1"/>
  <c r="H14" i="40" a="1"/>
  <c r="H14" i="40" s="1"/>
  <c r="H5" i="40" a="1"/>
  <c r="H5" i="40" s="1"/>
  <c r="H33" i="40" a="1"/>
  <c r="H33" i="40" s="1"/>
  <c r="H35" i="40" a="1"/>
  <c r="H35" i="40" s="1"/>
  <c r="E4" i="12" a="1"/>
  <c r="E4" i="12" s="1"/>
  <c r="G7" i="40" a="1"/>
  <c r="G7" i="40" s="1"/>
  <c r="G12" i="40" a="1"/>
  <c r="G12" i="40" s="1"/>
  <c r="G18" i="40" a="1"/>
  <c r="G18" i="40" s="1"/>
  <c r="J18" i="40" s="1"/>
  <c r="G23" i="40" a="1"/>
  <c r="G23" i="40" s="1"/>
  <c r="I23" i="40" s="1"/>
  <c r="G25" i="40" a="1"/>
  <c r="G25" i="40" s="1"/>
  <c r="G27" i="40" a="1"/>
  <c r="G27" i="40" s="1"/>
  <c r="G29" i="40" a="1"/>
  <c r="G29" i="40" s="1"/>
  <c r="G30" i="40" a="1"/>
  <c r="G30" i="40" s="1"/>
  <c r="I30" i="40" s="1"/>
  <c r="G20" i="40" a="1"/>
  <c r="G20" i="40" s="1"/>
  <c r="G15" i="40" a="1"/>
  <c r="G15" i="40" s="1"/>
  <c r="G14" i="40" a="1"/>
  <c r="G14" i="40" s="1"/>
  <c r="G5" i="40" a="1"/>
  <c r="G5" i="40" s="1"/>
  <c r="G33" i="40" a="1"/>
  <c r="G33" i="40" s="1"/>
  <c r="G35" i="40" a="1"/>
  <c r="G35" i="40" s="1"/>
  <c r="F4" i="12" a="1"/>
  <c r="F4" i="12" s="1"/>
  <c r="E35" i="12" a="1"/>
  <c r="E35" i="12" s="1"/>
  <c r="G35" i="12" s="1"/>
  <c r="E36" i="12" a="1"/>
  <c r="E36" i="12" s="1"/>
  <c r="G36" i="12" s="1"/>
  <c r="E19" i="15" a="1"/>
  <c r="E19" i="15" s="1"/>
  <c r="F40" i="40" s="1"/>
  <c r="F19" i="15" a="1"/>
  <c r="F19" i="15" s="1"/>
  <c r="F34" i="12" a="1"/>
  <c r="F34" i="12" s="1"/>
  <c r="E34" i="12" a="1"/>
  <c r="E34" i="12" s="1"/>
  <c r="E33" i="12" a="1"/>
  <c r="E33" i="12" s="1"/>
  <c r="F33" i="12" a="1"/>
  <c r="F33" i="12" s="1"/>
  <c r="E32" i="12" a="1"/>
  <c r="E32" i="12" s="1"/>
  <c r="F32" i="12" a="1"/>
  <c r="F32" i="12" s="1"/>
  <c r="E242" i="35" a="1"/>
  <c r="E242" i="35" s="1"/>
  <c r="E15" i="12" a="1"/>
  <c r="E15" i="12" s="1"/>
  <c r="E20" i="12" a="1"/>
  <c r="E20" i="12" s="1"/>
  <c r="F15" i="12" a="1"/>
  <c r="F15" i="12" s="1"/>
  <c r="F20" i="12" a="1"/>
  <c r="F20" i="12" s="1"/>
  <c r="E241" i="35" a="1"/>
  <c r="E241" i="35" s="1"/>
  <c r="F241" i="35" a="1"/>
  <c r="F241" i="35" s="1"/>
  <c r="G241" i="35" s="1"/>
  <c r="H241" i="35" s="1"/>
  <c r="I241" i="35" s="1"/>
  <c r="F242" i="35" a="1"/>
  <c r="F242" i="35" s="1"/>
  <c r="G242" i="35" s="1"/>
  <c r="H242" i="35" s="1"/>
  <c r="I242" i="35" s="1"/>
  <c r="F31" i="12" a="1"/>
  <c r="F31" i="12" s="1"/>
  <c r="E31" i="12" a="1"/>
  <c r="E31" i="12" s="1"/>
  <c r="F14" i="12" a="1"/>
  <c r="F14" i="12" s="1"/>
  <c r="E14" i="12" a="1"/>
  <c r="E14" i="12" s="1"/>
  <c r="B15" i="34"/>
  <c r="A15" i="34"/>
  <c r="E16" i="34"/>
  <c r="E20" i="34"/>
  <c r="B20" i="34"/>
  <c r="A20" i="34"/>
  <c r="E19" i="34"/>
  <c r="B19" i="34"/>
  <c r="A19" i="34"/>
  <c r="E18" i="34"/>
  <c r="B18" i="34"/>
  <c r="A18" i="34"/>
  <c r="E17" i="34"/>
  <c r="B17" i="34"/>
  <c r="A17" i="34"/>
  <c r="B16" i="34"/>
  <c r="A16" i="34"/>
  <c r="A601" i="34"/>
  <c r="B601" i="34"/>
  <c r="A602" i="34"/>
  <c r="B602" i="34"/>
  <c r="A597" i="34"/>
  <c r="B597" i="34"/>
  <c r="A606" i="34"/>
  <c r="A607" i="34"/>
  <c r="A604" i="34"/>
  <c r="B604" i="34"/>
  <c r="A605" i="34"/>
  <c r="B605" i="34"/>
  <c r="A622" i="34"/>
  <c r="B622" i="34"/>
  <c r="A623" i="34"/>
  <c r="A624" i="34"/>
  <c r="A625" i="34"/>
  <c r="B625" i="34"/>
  <c r="A626" i="34"/>
  <c r="B626" i="34"/>
  <c r="A627" i="34"/>
  <c r="B627" i="34"/>
  <c r="A628" i="34"/>
  <c r="B628" i="34"/>
  <c r="A653" i="34"/>
  <c r="B653" i="34"/>
  <c r="A656" i="34"/>
  <c r="B656" i="34"/>
  <c r="A657" i="34"/>
  <c r="B657" i="34"/>
  <c r="A654" i="34"/>
  <c r="B654" i="34"/>
  <c r="A655" i="34"/>
  <c r="B655" i="34"/>
  <c r="A669" i="34"/>
  <c r="B669" i="34"/>
  <c r="A670" i="34"/>
  <c r="B670" i="34"/>
  <c r="A671" i="34"/>
  <c r="B671" i="34"/>
  <c r="A672" i="34"/>
  <c r="B672" i="34"/>
  <c r="A675" i="34"/>
  <c r="B675" i="34"/>
  <c r="A676" i="34"/>
  <c r="B676" i="34"/>
  <c r="A677" i="34"/>
  <c r="B677" i="34"/>
  <c r="A681" i="34"/>
  <c r="B681" i="34"/>
  <c r="A678" i="34"/>
  <c r="B678" i="34"/>
  <c r="A680" i="34"/>
  <c r="B680" i="34"/>
  <c r="A679" i="34"/>
  <c r="B679" i="34"/>
  <c r="A682" i="34"/>
  <c r="B682" i="34"/>
  <c r="A687" i="34"/>
  <c r="B687" i="34"/>
  <c r="A688" i="34"/>
  <c r="B688" i="34"/>
  <c r="A689" i="34"/>
  <c r="B689" i="34"/>
  <c r="A690" i="34"/>
  <c r="B690" i="34"/>
  <c r="A691" i="34"/>
  <c r="B691" i="34"/>
  <c r="A694" i="34"/>
  <c r="B694" i="34"/>
  <c r="A695" i="34"/>
  <c r="B695" i="34"/>
  <c r="A692" i="34"/>
  <c r="B692" i="34"/>
  <c r="A693" i="34"/>
  <c r="B693" i="34"/>
  <c r="A697" i="34"/>
  <c r="B697" i="34"/>
  <c r="A698" i="34"/>
  <c r="B698" i="34"/>
  <c r="A696" i="34"/>
  <c r="B696" i="34"/>
  <c r="A699" i="34"/>
  <c r="B699" i="34"/>
  <c r="A700" i="34"/>
  <c r="B700" i="34"/>
  <c r="A702" i="34"/>
  <c r="B702" i="34"/>
  <c r="A701" i="34"/>
  <c r="B701" i="34"/>
  <c r="A704" i="34"/>
  <c r="B704" i="34"/>
  <c r="A703" i="34"/>
  <c r="B703" i="34"/>
  <c r="A705" i="34"/>
  <c r="B705" i="34"/>
  <c r="A706" i="34"/>
  <c r="B706" i="34"/>
  <c r="A632" i="34"/>
  <c r="B632" i="34"/>
  <c r="A634" i="34"/>
  <c r="B634" i="34"/>
  <c r="A635" i="34"/>
  <c r="B635" i="34"/>
  <c r="A636" i="34"/>
  <c r="B636" i="34"/>
  <c r="A640" i="34"/>
  <c r="B640" i="34"/>
  <c r="A637" i="34"/>
  <c r="B637" i="34"/>
  <c r="A638" i="34"/>
  <c r="B638" i="34"/>
  <c r="A639" i="34"/>
  <c r="B639" i="34"/>
  <c r="A641" i="34"/>
  <c r="B641" i="34"/>
  <c r="A642" i="34"/>
  <c r="B642" i="34"/>
  <c r="A643" i="34"/>
  <c r="B643" i="34"/>
  <c r="A644" i="34"/>
  <c r="B644" i="34"/>
  <c r="A645" i="34"/>
  <c r="B645" i="34"/>
  <c r="A646" i="34"/>
  <c r="B646" i="34"/>
  <c r="A647" i="34"/>
  <c r="B647" i="34"/>
  <c r="A648" i="34"/>
  <c r="B648" i="34"/>
  <c r="A649" i="34"/>
  <c r="B649" i="34"/>
  <c r="A650" i="34"/>
  <c r="B650" i="34"/>
  <c r="A651" i="34"/>
  <c r="B651" i="34"/>
  <c r="A652" i="34"/>
  <c r="B652" i="34"/>
  <c r="A668" i="34"/>
  <c r="B668" i="34"/>
  <c r="A658" i="34"/>
  <c r="B658" i="34"/>
  <c r="A659" i="34"/>
  <c r="B659" i="34"/>
  <c r="A660" i="34"/>
  <c r="B660" i="34"/>
  <c r="A663" i="34"/>
  <c r="B663" i="34"/>
  <c r="A664" i="34"/>
  <c r="B664" i="34"/>
  <c r="A665" i="34"/>
  <c r="B665" i="34"/>
  <c r="A666" i="34"/>
  <c r="B666" i="34"/>
  <c r="A667" i="34"/>
  <c r="B667" i="34"/>
  <c r="A661" i="34"/>
  <c r="B661" i="34"/>
  <c r="A662" i="34"/>
  <c r="B662" i="34"/>
  <c r="A684" i="34"/>
  <c r="B684" i="34"/>
  <c r="A685" i="34"/>
  <c r="B685" i="34"/>
  <c r="A686" i="34"/>
  <c r="B686" i="34"/>
  <c r="A683" i="34"/>
  <c r="B683" i="34"/>
  <c r="A707" i="34"/>
  <c r="B707" i="34"/>
  <c r="A708" i="34"/>
  <c r="B708" i="34"/>
  <c r="A709" i="34"/>
  <c r="B709" i="34"/>
  <c r="A710" i="34"/>
  <c r="B710" i="34"/>
  <c r="A711" i="34"/>
  <c r="B711" i="34"/>
  <c r="A712" i="34"/>
  <c r="B712" i="34"/>
  <c r="A713" i="34"/>
  <c r="B713" i="34"/>
  <c r="A714" i="34"/>
  <c r="B714" i="34"/>
  <c r="A715" i="34"/>
  <c r="B715" i="34"/>
  <c r="A716" i="34"/>
  <c r="B716" i="34"/>
  <c r="A717" i="34"/>
  <c r="B717" i="34"/>
  <c r="A723" i="34"/>
  <c r="B723" i="34"/>
  <c r="A721" i="34"/>
  <c r="B721" i="34"/>
  <c r="A722" i="34"/>
  <c r="B722" i="34"/>
  <c r="A720" i="34"/>
  <c r="B720" i="34"/>
  <c r="A724" i="34"/>
  <c r="B724" i="34"/>
  <c r="A725" i="34"/>
  <c r="B725" i="34"/>
  <c r="A719" i="34"/>
  <c r="B719" i="34"/>
  <c r="A718" i="34"/>
  <c r="B718" i="34"/>
  <c r="A728" i="34"/>
  <c r="B728" i="34"/>
  <c r="A727" i="34"/>
  <c r="B727" i="34"/>
  <c r="A730" i="34"/>
  <c r="B730" i="34"/>
  <c r="A731" i="34"/>
  <c r="B731" i="34"/>
  <c r="A732" i="34"/>
  <c r="B732" i="34"/>
  <c r="A733" i="34"/>
  <c r="B733" i="34"/>
  <c r="A734" i="34"/>
  <c r="B734" i="34"/>
  <c r="A735" i="34"/>
  <c r="B735" i="34"/>
  <c r="A742" i="34"/>
  <c r="B742" i="34"/>
  <c r="A743" i="34"/>
  <c r="B743" i="34"/>
  <c r="A751" i="34"/>
  <c r="B751" i="34"/>
  <c r="A752" i="34"/>
  <c r="B752" i="34"/>
  <c r="A753" i="34"/>
  <c r="B753" i="34"/>
  <c r="A736" i="34"/>
  <c r="B736" i="34"/>
  <c r="A737" i="34"/>
  <c r="B737" i="34"/>
  <c r="A738" i="34"/>
  <c r="B738" i="34"/>
  <c r="A746" i="34"/>
  <c r="B746" i="34"/>
  <c r="A747" i="34"/>
  <c r="B747" i="34"/>
  <c r="A748" i="34"/>
  <c r="B748" i="34"/>
  <c r="A749" i="34"/>
  <c r="B749" i="34"/>
  <c r="A754" i="34"/>
  <c r="B754" i="34"/>
  <c r="A755" i="34"/>
  <c r="B755" i="34"/>
  <c r="A756" i="34"/>
  <c r="B756" i="34"/>
  <c r="A760" i="34"/>
  <c r="B760" i="34"/>
  <c r="A761" i="34"/>
  <c r="B761" i="34"/>
  <c r="A762" i="34"/>
  <c r="B762" i="34"/>
  <c r="A763" i="34"/>
  <c r="B763" i="34"/>
  <c r="A757" i="34"/>
  <c r="B757" i="34"/>
  <c r="A758" i="34"/>
  <c r="B758" i="34"/>
  <c r="A759" i="34"/>
  <c r="B759" i="34"/>
  <c r="A764" i="34"/>
  <c r="B764" i="34"/>
  <c r="A765" i="34"/>
  <c r="B765" i="34"/>
  <c r="A766" i="34"/>
  <c r="B766" i="34"/>
  <c r="A767" i="34"/>
  <c r="B767" i="34"/>
  <c r="A768" i="34"/>
  <c r="B768" i="34"/>
  <c r="A778" i="34"/>
  <c r="B778" i="34"/>
  <c r="A776" i="34"/>
  <c r="B776" i="34"/>
  <c r="A777" i="34"/>
  <c r="B777" i="34"/>
  <c r="A775" i="34"/>
  <c r="B775" i="34"/>
  <c r="A779" i="34"/>
  <c r="B779" i="34"/>
  <c r="A780" i="34"/>
  <c r="B780" i="34"/>
  <c r="A783" i="34"/>
  <c r="B783" i="34"/>
  <c r="A785" i="34"/>
  <c r="B785" i="34"/>
  <c r="A786" i="34"/>
  <c r="B786" i="34"/>
  <c r="A787" i="34"/>
  <c r="B787" i="34"/>
  <c r="A788" i="34"/>
  <c r="B788" i="34"/>
  <c r="A789" i="34"/>
  <c r="B789" i="34"/>
  <c r="A790" i="34"/>
  <c r="B790" i="34"/>
  <c r="A791" i="34"/>
  <c r="B791" i="34"/>
  <c r="A794" i="34"/>
  <c r="B794" i="34"/>
  <c r="A806" i="34"/>
  <c r="B806" i="34"/>
  <c r="A810" i="34"/>
  <c r="B810" i="34"/>
  <c r="A811" i="34"/>
  <c r="B811" i="34"/>
  <c r="A812" i="34"/>
  <c r="B812" i="34"/>
  <c r="A813" i="34"/>
  <c r="B813" i="34"/>
  <c r="A814" i="34"/>
  <c r="B814" i="34"/>
  <c r="A815" i="34"/>
  <c r="B815" i="34"/>
  <c r="A808" i="34"/>
  <c r="B808" i="34"/>
  <c r="A809" i="34"/>
  <c r="B809" i="34"/>
  <c r="A796" i="34"/>
  <c r="B796" i="34"/>
  <c r="A797" i="34"/>
  <c r="B797" i="34"/>
  <c r="A798" i="34"/>
  <c r="B798" i="34"/>
  <c r="A799" i="34"/>
  <c r="B799" i="34"/>
  <c r="A800" i="34"/>
  <c r="B800" i="34"/>
  <c r="A801" i="34"/>
  <c r="B801" i="34"/>
  <c r="A802" i="34"/>
  <c r="B802" i="34"/>
  <c r="A803" i="34"/>
  <c r="B803" i="34"/>
  <c r="A804" i="34"/>
  <c r="B804" i="34"/>
  <c r="A805" i="34"/>
  <c r="B805" i="34"/>
  <c r="A818" i="34"/>
  <c r="B818" i="34"/>
  <c r="A819" i="34"/>
  <c r="B819" i="34"/>
  <c r="A820" i="34"/>
  <c r="B820" i="34"/>
  <c r="A821" i="34"/>
  <c r="B821" i="34"/>
  <c r="A822" i="34"/>
  <c r="B822" i="34"/>
  <c r="A823" i="34"/>
  <c r="B823" i="34"/>
  <c r="A824" i="34"/>
  <c r="B824" i="34"/>
  <c r="A825" i="34"/>
  <c r="B825" i="34"/>
  <c r="A826" i="34"/>
  <c r="B826" i="34"/>
  <c r="A827" i="34"/>
  <c r="B827" i="34"/>
  <c r="A828" i="34"/>
  <c r="B828" i="34"/>
  <c r="A829" i="34"/>
  <c r="B829" i="34"/>
  <c r="A830" i="34"/>
  <c r="B830" i="34"/>
  <c r="A831" i="34"/>
  <c r="B831" i="34"/>
  <c r="A832" i="34"/>
  <c r="B832" i="34"/>
  <c r="A833" i="34"/>
  <c r="B833" i="34"/>
  <c r="A834" i="34"/>
  <c r="B834" i="34"/>
  <c r="A835" i="34"/>
  <c r="B835" i="34"/>
  <c r="A836" i="34"/>
  <c r="B836" i="34"/>
  <c r="A837" i="34"/>
  <c r="B837" i="34"/>
  <c r="A838" i="34"/>
  <c r="B838" i="34"/>
  <c r="A839" i="34"/>
  <c r="B839" i="34"/>
  <c r="A840" i="34"/>
  <c r="B840" i="34"/>
  <c r="A841" i="34"/>
  <c r="B841" i="34"/>
  <c r="A1035" i="34"/>
  <c r="B1035" i="34"/>
  <c r="A1036" i="34"/>
  <c r="B1036" i="34"/>
  <c r="A1037" i="34"/>
  <c r="B1037" i="34"/>
  <c r="A1038" i="34"/>
  <c r="B1038" i="34"/>
  <c r="A1039" i="34"/>
  <c r="B1039" i="34"/>
  <c r="A1040" i="34"/>
  <c r="B1040" i="34"/>
  <c r="A1041" i="34"/>
  <c r="B1041" i="34"/>
  <c r="A1042" i="34"/>
  <c r="B1042" i="34"/>
  <c r="A1043" i="34"/>
  <c r="B1043" i="34"/>
  <c r="A1044" i="34"/>
  <c r="B1044" i="34"/>
  <c r="A1045" i="34"/>
  <c r="B1045" i="34"/>
  <c r="A587" i="34"/>
  <c r="A588" i="34"/>
  <c r="A591" i="34"/>
  <c r="A592" i="34"/>
  <c r="A593" i="34"/>
  <c r="A594" i="34"/>
  <c r="A595" i="34"/>
  <c r="A596" i="34"/>
  <c r="A603" i="34"/>
  <c r="A616" i="34"/>
  <c r="A608" i="34"/>
  <c r="A609" i="34"/>
  <c r="A610" i="34"/>
  <c r="A611" i="34"/>
  <c r="A612" i="34"/>
  <c r="A613" i="34"/>
  <c r="A620" i="34"/>
  <c r="A617" i="34"/>
  <c r="A618" i="34"/>
  <c r="A619" i="34"/>
  <c r="A621" i="34"/>
  <c r="A13" i="12"/>
  <c r="A12" i="12"/>
  <c r="A30" i="12"/>
  <c r="B588" i="34"/>
  <c r="B591" i="34"/>
  <c r="B592" i="34"/>
  <c r="B593" i="34"/>
  <c r="B594" i="34"/>
  <c r="B595" i="34"/>
  <c r="B596" i="34"/>
  <c r="B603" i="34"/>
  <c r="B616" i="34"/>
  <c r="B608" i="34"/>
  <c r="B609" i="34"/>
  <c r="B610" i="34"/>
  <c r="B611" i="34"/>
  <c r="B612" i="34"/>
  <c r="B613" i="34"/>
  <c r="B620" i="34"/>
  <c r="B617" i="34"/>
  <c r="B618" i="34"/>
  <c r="B619" i="34"/>
  <c r="B621" i="34"/>
  <c r="A29" i="12"/>
  <c r="A11" i="12"/>
  <c r="A579" i="34"/>
  <c r="B579" i="34"/>
  <c r="A614" i="34"/>
  <c r="B614" i="34"/>
  <c r="A615" i="34"/>
  <c r="B615" i="34"/>
  <c r="A589" i="34"/>
  <c r="B589" i="34"/>
  <c r="A590" i="34"/>
  <c r="B590" i="34"/>
  <c r="A530" i="34"/>
  <c r="B530" i="34"/>
  <c r="A539" i="34"/>
  <c r="B539" i="34"/>
  <c r="A543" i="34"/>
  <c r="B543" i="34"/>
  <c r="A497" i="34"/>
  <c r="B497" i="34"/>
  <c r="A542" i="34"/>
  <c r="B542" i="34"/>
  <c r="A540" i="34"/>
  <c r="B540" i="34"/>
  <c r="A541" i="34"/>
  <c r="B541" i="34"/>
  <c r="A483" i="34"/>
  <c r="B483" i="34"/>
  <c r="A482" i="34"/>
  <c r="B482" i="34"/>
  <c r="B525" i="34"/>
  <c r="A525" i="34"/>
  <c r="B524" i="34"/>
  <c r="A524" i="34"/>
  <c r="B523" i="34"/>
  <c r="A523" i="34"/>
  <c r="A11" i="34"/>
  <c r="A28" i="12"/>
  <c r="H13" i="15" l="1"/>
  <c r="I27" i="40"/>
  <c r="G13" i="15"/>
  <c r="H29" i="15"/>
  <c r="G29" i="15"/>
  <c r="G38" i="12"/>
  <c r="I25" i="40"/>
  <c r="I29" i="40"/>
  <c r="G39" i="12"/>
  <c r="G37" i="12"/>
  <c r="H39" i="12"/>
  <c r="H37" i="12"/>
  <c r="H38" i="12"/>
  <c r="I5" i="40"/>
  <c r="J35" i="40"/>
  <c r="I35" i="40"/>
  <c r="J15" i="40"/>
  <c r="I15" i="40"/>
  <c r="J33" i="40"/>
  <c r="I33" i="40"/>
  <c r="J14" i="40"/>
  <c r="I14" i="40"/>
  <c r="J20" i="40"/>
  <c r="I20" i="40"/>
  <c r="I18" i="40"/>
  <c r="J7" i="40"/>
  <c r="I7" i="40"/>
  <c r="J6" i="40"/>
  <c r="I6" i="40"/>
  <c r="J16" i="40"/>
  <c r="I16" i="40"/>
  <c r="J21" i="40"/>
  <c r="I21" i="40"/>
  <c r="J8" i="40"/>
  <c r="I8" i="40"/>
  <c r="I19" i="40"/>
  <c r="J11" i="40"/>
  <c r="I11" i="40"/>
  <c r="J10" i="40"/>
  <c r="I10" i="40"/>
  <c r="J12" i="40"/>
  <c r="I12" i="40"/>
  <c r="J34" i="40"/>
  <c r="I34" i="40"/>
  <c r="J9" i="40"/>
  <c r="I9" i="40"/>
  <c r="L32" i="40"/>
  <c r="I32" i="40"/>
  <c r="J13" i="40"/>
  <c r="I13" i="40"/>
  <c r="J17" i="40"/>
  <c r="I17" i="40"/>
  <c r="K35" i="40"/>
  <c r="K5" i="40"/>
  <c r="K15" i="40"/>
  <c r="K12" i="40"/>
  <c r="K6" i="40"/>
  <c r="K16" i="40"/>
  <c r="K21" i="40"/>
  <c r="K8" i="40"/>
  <c r="K19" i="40"/>
  <c r="K11" i="40"/>
  <c r="J5" i="40"/>
  <c r="G39" i="40"/>
  <c r="K33" i="40"/>
  <c r="K14" i="40"/>
  <c r="K20" i="40"/>
  <c r="K18" i="40"/>
  <c r="K7" i="40"/>
  <c r="K34" i="40"/>
  <c r="K9" i="40"/>
  <c r="K13" i="40"/>
  <c r="K17" i="40"/>
  <c r="K10" i="40"/>
  <c r="N37" i="40"/>
  <c r="N39" i="40" s="1"/>
  <c r="F41" i="40"/>
  <c r="J37" i="40"/>
  <c r="H37" i="40"/>
  <c r="K37" i="40"/>
  <c r="H35" i="12"/>
  <c r="H36" i="12"/>
  <c r="G19" i="15"/>
  <c r="E20" i="15"/>
  <c r="H19" i="15"/>
  <c r="F20" i="15"/>
  <c r="G34" i="12"/>
  <c r="H34" i="12"/>
  <c r="G33" i="12"/>
  <c r="H33" i="12"/>
  <c r="G32" i="12"/>
  <c r="H32" i="12"/>
  <c r="B14" i="14"/>
  <c r="C14" i="14"/>
  <c r="A14" i="14" s="1"/>
  <c r="E14" i="14"/>
  <c r="H14" i="14"/>
  <c r="C15" i="14"/>
  <c r="A15" i="14" s="1"/>
  <c r="E15" i="14"/>
  <c r="H15" i="14"/>
  <c r="C16" i="14"/>
  <c r="A16" i="14" s="1"/>
  <c r="E16" i="14"/>
  <c r="H16" i="14"/>
  <c r="C17" i="14"/>
  <c r="A17" i="14" s="1"/>
  <c r="E17" i="14"/>
  <c r="H17" i="14"/>
  <c r="C18" i="14"/>
  <c r="A18" i="14" s="1"/>
  <c r="E18" i="14"/>
  <c r="H18" i="14"/>
  <c r="C19" i="14"/>
  <c r="A19" i="14" s="1"/>
  <c r="E19" i="14"/>
  <c r="H19" i="14"/>
  <c r="C20" i="14"/>
  <c r="A20" i="14" s="1"/>
  <c r="E20" i="14"/>
  <c r="H20" i="14"/>
  <c r="D14" i="14"/>
  <c r="G14" i="14"/>
  <c r="B15" i="14"/>
  <c r="D15" i="14"/>
  <c r="G15" i="14"/>
  <c r="B16" i="14"/>
  <c r="D16" i="14"/>
  <c r="G16" i="14"/>
  <c r="B17" i="14"/>
  <c r="D17" i="14"/>
  <c r="G17" i="14"/>
  <c r="B18" i="14"/>
  <c r="D18" i="14"/>
  <c r="G18" i="14"/>
  <c r="B19" i="14"/>
  <c r="D19" i="14"/>
  <c r="G19" i="14"/>
  <c r="B20" i="14"/>
  <c r="D20" i="14"/>
  <c r="G20" i="14"/>
  <c r="H20" i="12"/>
  <c r="H15" i="12"/>
  <c r="C44" i="14"/>
  <c r="A44" i="14" s="1"/>
  <c r="E44" i="14"/>
  <c r="H44" i="14"/>
  <c r="C45" i="14"/>
  <c r="A45" i="14" s="1"/>
  <c r="E45" i="14"/>
  <c r="H45" i="14"/>
  <c r="C46" i="14"/>
  <c r="A46" i="14" s="1"/>
  <c r="E46" i="14"/>
  <c r="H46" i="14"/>
  <c r="C47" i="14"/>
  <c r="A47" i="14" s="1"/>
  <c r="E47" i="14"/>
  <c r="H47" i="14"/>
  <c r="B48" i="14"/>
  <c r="D48" i="14"/>
  <c r="G48" i="14"/>
  <c r="B49" i="14"/>
  <c r="D49" i="14"/>
  <c r="G49" i="14"/>
  <c r="C50" i="14"/>
  <c r="A50" i="14" s="1"/>
  <c r="E50" i="14"/>
  <c r="H50" i="14"/>
  <c r="B44" i="14"/>
  <c r="D44" i="14"/>
  <c r="G44" i="14"/>
  <c r="B45" i="14"/>
  <c r="D45" i="14"/>
  <c r="G45" i="14"/>
  <c r="B46" i="14"/>
  <c r="D46" i="14"/>
  <c r="G46" i="14"/>
  <c r="B47" i="14"/>
  <c r="D47" i="14"/>
  <c r="G47" i="14"/>
  <c r="C48" i="14"/>
  <c r="A48" i="14" s="1"/>
  <c r="E48" i="14"/>
  <c r="H48" i="14"/>
  <c r="C49" i="14"/>
  <c r="A49" i="14" s="1"/>
  <c r="E49" i="14"/>
  <c r="H49" i="14"/>
  <c r="B50" i="14"/>
  <c r="D50" i="14"/>
  <c r="G50" i="14"/>
  <c r="C40" i="14"/>
  <c r="A40" i="14" s="1"/>
  <c r="E40" i="14"/>
  <c r="H40" i="14"/>
  <c r="C41" i="14"/>
  <c r="A41" i="14" s="1"/>
  <c r="E41" i="14"/>
  <c r="H41" i="14"/>
  <c r="C42" i="14"/>
  <c r="A42" i="14" s="1"/>
  <c r="E42" i="14"/>
  <c r="H42" i="14"/>
  <c r="C43" i="14"/>
  <c r="A43" i="14" s="1"/>
  <c r="E43" i="14"/>
  <c r="H43" i="14"/>
  <c r="B40" i="14"/>
  <c r="D40" i="14"/>
  <c r="G40" i="14"/>
  <c r="B41" i="14"/>
  <c r="D41" i="14"/>
  <c r="G41" i="14"/>
  <c r="B42" i="14"/>
  <c r="D42" i="14"/>
  <c r="G42" i="14"/>
  <c r="B43" i="14"/>
  <c r="D43" i="14"/>
  <c r="G43" i="14"/>
  <c r="G15" i="12"/>
  <c r="G20" i="12"/>
  <c r="F246" i="35"/>
  <c r="F248" i="35" s="1"/>
  <c r="H246" i="35"/>
  <c r="G246" i="35"/>
  <c r="G248" i="35" s="1"/>
  <c r="E246" i="35"/>
  <c r="G31" i="12"/>
  <c r="H31" i="12"/>
  <c r="G14" i="12"/>
  <c r="H14" i="12"/>
  <c r="B33" i="14"/>
  <c r="H39" i="14"/>
  <c r="E39" i="14"/>
  <c r="C39" i="14"/>
  <c r="A39" i="14" s="1"/>
  <c r="H38" i="14"/>
  <c r="E38" i="14"/>
  <c r="C38" i="14"/>
  <c r="A38" i="14" s="1"/>
  <c r="G37" i="14"/>
  <c r="D37" i="14"/>
  <c r="B37" i="14"/>
  <c r="H36" i="14"/>
  <c r="E36" i="14"/>
  <c r="C36" i="14"/>
  <c r="A36" i="14" s="1"/>
  <c r="H35" i="14"/>
  <c r="E35" i="14"/>
  <c r="C35" i="14"/>
  <c r="A35" i="14" s="1"/>
  <c r="H34" i="14"/>
  <c r="E34" i="14"/>
  <c r="C34" i="14"/>
  <c r="A34" i="14" s="1"/>
  <c r="H33" i="14"/>
  <c r="E33" i="14"/>
  <c r="C33" i="14"/>
  <c r="A33" i="14" s="1"/>
  <c r="G39" i="14"/>
  <c r="D39" i="14"/>
  <c r="B39" i="14"/>
  <c r="G38" i="14"/>
  <c r="D38" i="14"/>
  <c r="B38" i="14"/>
  <c r="H37" i="14"/>
  <c r="E37" i="14"/>
  <c r="C37" i="14"/>
  <c r="A37" i="14" s="1"/>
  <c r="G36" i="14"/>
  <c r="D36" i="14"/>
  <c r="B36" i="14"/>
  <c r="G35" i="14"/>
  <c r="D35" i="14"/>
  <c r="B35" i="14"/>
  <c r="G34" i="14"/>
  <c r="D34" i="14"/>
  <c r="B34" i="14"/>
  <c r="G33" i="14"/>
  <c r="D33" i="14"/>
  <c r="H20" i="15" l="1"/>
  <c r="I39" i="40"/>
  <c r="K39" i="40"/>
  <c r="J39" i="40"/>
  <c r="L5" i="40"/>
  <c r="L17" i="40"/>
  <c r="L13" i="40"/>
  <c r="L9" i="40"/>
  <c r="L34" i="40"/>
  <c r="L12" i="40"/>
  <c r="L10" i="40"/>
  <c r="L11" i="40"/>
  <c r="L19" i="40"/>
  <c r="L8" i="40"/>
  <c r="L21" i="40"/>
  <c r="L16" i="40"/>
  <c r="L6" i="40"/>
  <c r="L7" i="40"/>
  <c r="L18" i="40"/>
  <c r="L20" i="40"/>
  <c r="L14" i="40"/>
  <c r="L33" i="40"/>
  <c r="L15" i="40"/>
  <c r="L35" i="40"/>
  <c r="H39" i="40"/>
  <c r="G20" i="15"/>
  <c r="J14" i="14"/>
  <c r="I14" i="14"/>
  <c r="H248" i="35"/>
  <c r="I246" i="35"/>
  <c r="I248" i="35" s="1"/>
  <c r="K252" i="35"/>
  <c r="E248" i="35"/>
  <c r="L39" i="40" l="1"/>
  <c r="I15" i="14"/>
  <c r="J15" i="14"/>
  <c r="I247" i="35"/>
  <c r="B12" i="34"/>
  <c r="B10" i="34"/>
  <c r="B13" i="34"/>
  <c r="B14" i="34"/>
  <c r="B21" i="34"/>
  <c r="B22" i="34"/>
  <c r="B24" i="34"/>
  <c r="B23" i="34"/>
  <c r="B25" i="34"/>
  <c r="B26" i="34"/>
  <c r="B27" i="34"/>
  <c r="B28" i="34"/>
  <c r="B29" i="34"/>
  <c r="B30" i="34"/>
  <c r="B33" i="34"/>
  <c r="B35" i="34"/>
  <c r="B32" i="34"/>
  <c r="B34" i="34"/>
  <c r="B37" i="34"/>
  <c r="B36" i="34"/>
  <c r="B38" i="34"/>
  <c r="B40" i="34"/>
  <c r="B39" i="34"/>
  <c r="B43" i="34"/>
  <c r="B45" i="34"/>
  <c r="B41" i="34"/>
  <c r="B42" i="34"/>
  <c r="B44" i="34"/>
  <c r="B46" i="34"/>
  <c r="B47" i="34"/>
  <c r="B50" i="34"/>
  <c r="B49" i="34"/>
  <c r="B51" i="34"/>
  <c r="B52" i="34"/>
  <c r="B53" i="34"/>
  <c r="B54" i="34"/>
  <c r="B57" i="34"/>
  <c r="B56" i="34"/>
  <c r="B58" i="34"/>
  <c r="B59" i="34"/>
  <c r="B60" i="34"/>
  <c r="B61" i="34"/>
  <c r="B64" i="34"/>
  <c r="B68" i="34"/>
  <c r="B63" i="34"/>
  <c r="B67" i="34"/>
  <c r="B69" i="34"/>
  <c r="B70" i="34"/>
  <c r="B73" i="34"/>
  <c r="B72" i="34"/>
  <c r="B74" i="34"/>
  <c r="B75" i="34"/>
  <c r="B76" i="34"/>
  <c r="B77" i="34"/>
  <c r="B78" i="34"/>
  <c r="B79" i="34"/>
  <c r="B82" i="34"/>
  <c r="B81" i="34"/>
  <c r="B83" i="34"/>
  <c r="B86" i="34"/>
  <c r="B88" i="34"/>
  <c r="B85" i="34"/>
  <c r="B87" i="34"/>
  <c r="B89" i="34"/>
  <c r="B90" i="34"/>
  <c r="B91" i="34"/>
  <c r="B94" i="34"/>
  <c r="B96" i="34"/>
  <c r="B93" i="34"/>
  <c r="B95" i="34"/>
  <c r="B97" i="34"/>
  <c r="B98" i="34"/>
  <c r="B99" i="34"/>
  <c r="B100" i="34"/>
  <c r="B102" i="34"/>
  <c r="B104" i="34"/>
  <c r="B106" i="34"/>
  <c r="B105" i="34"/>
  <c r="B103" i="34"/>
  <c r="B101" i="34"/>
  <c r="B108" i="34"/>
  <c r="B110" i="34"/>
  <c r="B107" i="34"/>
  <c r="B109" i="34"/>
  <c r="B111" i="34"/>
  <c r="B112" i="34"/>
  <c r="B113" i="34"/>
  <c r="B114" i="34"/>
  <c r="B117" i="34"/>
  <c r="B116" i="34"/>
  <c r="B120" i="34"/>
  <c r="B122" i="34"/>
  <c r="B124" i="34"/>
  <c r="B119" i="34"/>
  <c r="B121" i="34"/>
  <c r="B123" i="34"/>
  <c r="B125" i="34"/>
  <c r="B126" i="34"/>
  <c r="B127" i="34"/>
  <c r="B128" i="34"/>
  <c r="B129" i="34"/>
  <c r="B132" i="34"/>
  <c r="B130" i="34"/>
  <c r="B131" i="34"/>
  <c r="B133" i="34"/>
  <c r="B134" i="34"/>
  <c r="B137" i="34"/>
  <c r="B135" i="34"/>
  <c r="B136" i="34"/>
  <c r="B139" i="34"/>
  <c r="B141" i="34"/>
  <c r="B143" i="34"/>
  <c r="B142" i="34"/>
  <c r="B140" i="34"/>
  <c r="B138" i="34"/>
  <c r="B144" i="34"/>
  <c r="B146" i="34"/>
  <c r="B148" i="34"/>
  <c r="B150" i="34"/>
  <c r="B149" i="34"/>
  <c r="B147" i="34"/>
  <c r="B145" i="34"/>
  <c r="B151" i="34"/>
  <c r="B154" i="34"/>
  <c r="B153" i="34"/>
  <c r="B156" i="34"/>
  <c r="B158" i="34"/>
  <c r="B160" i="34"/>
  <c r="B159" i="34"/>
  <c r="B157" i="34"/>
  <c r="B155" i="34"/>
  <c r="B161" i="34"/>
  <c r="B162" i="34"/>
  <c r="B165" i="34"/>
  <c r="B164" i="34"/>
  <c r="B167" i="34"/>
  <c r="B169" i="34"/>
  <c r="B171" i="34"/>
  <c r="B170" i="34"/>
  <c r="B168" i="34"/>
  <c r="B166" i="34"/>
  <c r="B172" i="34"/>
  <c r="B173" i="34"/>
  <c r="B176" i="34"/>
  <c r="B174" i="34"/>
  <c r="B175" i="34"/>
  <c r="B177" i="34"/>
  <c r="B180" i="34"/>
  <c r="B178" i="34"/>
  <c r="B179" i="34"/>
  <c r="B182" i="34"/>
  <c r="B184" i="34"/>
  <c r="B186" i="34"/>
  <c r="B185" i="34"/>
  <c r="B183" i="34"/>
  <c r="B181" i="34"/>
  <c r="B188" i="34"/>
  <c r="B190" i="34"/>
  <c r="B192" i="34"/>
  <c r="B191" i="34"/>
  <c r="B189" i="34"/>
  <c r="B187" i="34"/>
  <c r="B194" i="34"/>
  <c r="B193" i="34"/>
  <c r="B196" i="34"/>
  <c r="B198" i="34"/>
  <c r="B200" i="34"/>
  <c r="B199" i="34"/>
  <c r="B197" i="34"/>
  <c r="B195" i="34"/>
  <c r="B202" i="34"/>
  <c r="B204" i="34"/>
  <c r="B206" i="34"/>
  <c r="B205" i="34"/>
  <c r="B203" i="34"/>
  <c r="B201" i="34"/>
  <c r="B207" i="34"/>
  <c r="B208" i="34"/>
  <c r="B211" i="34"/>
  <c r="B214" i="34"/>
  <c r="B210" i="34"/>
  <c r="B213" i="34"/>
  <c r="B215" i="34"/>
  <c r="B216" i="34"/>
  <c r="B218" i="34"/>
  <c r="B217" i="34"/>
  <c r="B221" i="34"/>
  <c r="B223" i="34"/>
  <c r="B222" i="34"/>
  <c r="B226" i="34"/>
  <c r="B224" i="34"/>
  <c r="B225" i="34"/>
  <c r="B227" i="34"/>
  <c r="B230" i="34"/>
  <c r="B233" i="34"/>
  <c r="B229" i="34"/>
  <c r="B232" i="34"/>
  <c r="B234" i="34"/>
  <c r="B237" i="34"/>
  <c r="B236" i="34"/>
  <c r="B239" i="34"/>
  <c r="B241" i="34"/>
  <c r="B243" i="34"/>
  <c r="B242" i="34"/>
  <c r="B240" i="34"/>
  <c r="B238" i="34"/>
  <c r="B244" i="34"/>
  <c r="B247" i="34"/>
  <c r="B246" i="34"/>
  <c r="B248" i="34"/>
  <c r="B251" i="34"/>
  <c r="B250" i="34"/>
  <c r="B254" i="34"/>
  <c r="B255" i="34"/>
  <c r="B258" i="34"/>
  <c r="B257" i="34"/>
  <c r="B259" i="34"/>
  <c r="B260" i="34"/>
  <c r="B263" i="34"/>
  <c r="B262" i="34"/>
  <c r="B266" i="34"/>
  <c r="B265" i="34"/>
  <c r="B269" i="34"/>
  <c r="B271" i="34"/>
  <c r="B273" i="34"/>
  <c r="B275" i="34"/>
  <c r="B274" i="34"/>
  <c r="B272" i="34"/>
  <c r="B270" i="34"/>
  <c r="B278" i="34"/>
  <c r="B277" i="34"/>
  <c r="B280" i="34"/>
  <c r="B279" i="34"/>
  <c r="B282" i="34"/>
  <c r="B285" i="34"/>
  <c r="B284" i="34"/>
  <c r="B286" i="34"/>
  <c r="B287" i="34"/>
  <c r="B290" i="34"/>
  <c r="B289" i="34"/>
  <c r="B291" i="34"/>
  <c r="B292" i="34"/>
  <c r="B295" i="34"/>
  <c r="B294" i="34"/>
  <c r="B296" i="34"/>
  <c r="B299" i="34"/>
  <c r="B298" i="34"/>
  <c r="B300" i="34"/>
  <c r="B303" i="34"/>
  <c r="B306" i="34"/>
  <c r="B309" i="34"/>
  <c r="B312" i="34"/>
  <c r="B314" i="34"/>
  <c r="B302" i="34"/>
  <c r="B305" i="34"/>
  <c r="B308" i="34"/>
  <c r="B311" i="34"/>
  <c r="B313" i="34"/>
  <c r="B317" i="34"/>
  <c r="B322" i="34"/>
  <c r="B321" i="34"/>
  <c r="B323" i="34"/>
  <c r="B332" i="34"/>
  <c r="B324" i="34"/>
  <c r="B328" i="34"/>
  <c r="B331" i="34"/>
  <c r="B325" i="34"/>
  <c r="B327" i="34"/>
  <c r="B330" i="34"/>
  <c r="B334" i="34"/>
  <c r="B333" i="34"/>
  <c r="B335" i="34"/>
  <c r="B339" i="34"/>
  <c r="B341" i="34"/>
  <c r="B343" i="34"/>
  <c r="B337" i="34"/>
  <c r="B342" i="34"/>
  <c r="B340" i="34"/>
  <c r="B338" i="34"/>
  <c r="B336" i="34"/>
  <c r="B346" i="34"/>
  <c r="B345" i="34"/>
  <c r="B349" i="34"/>
  <c r="B348" i="34"/>
  <c r="B354" i="34"/>
  <c r="B353" i="34"/>
  <c r="B355" i="34"/>
  <c r="B356" i="34"/>
  <c r="B357" i="34"/>
  <c r="B362" i="34"/>
  <c r="B365" i="34"/>
  <c r="B364" i="34"/>
  <c r="B366" i="34"/>
  <c r="B369" i="34"/>
  <c r="B372" i="34"/>
  <c r="B375" i="34"/>
  <c r="B368" i="34"/>
  <c r="B371" i="34"/>
  <c r="B374" i="34"/>
  <c r="B379" i="34"/>
  <c r="B378" i="34"/>
  <c r="B380" i="34"/>
  <c r="B387" i="34"/>
  <c r="B381" i="34"/>
  <c r="B386" i="34"/>
  <c r="B382" i="34"/>
  <c r="B383" i="34"/>
  <c r="B385" i="34"/>
  <c r="B388" i="34"/>
  <c r="B390" i="34"/>
  <c r="B394" i="34"/>
  <c r="B391" i="34"/>
  <c r="B392" i="34"/>
  <c r="B393" i="34"/>
  <c r="B396" i="34"/>
  <c r="B400" i="34"/>
  <c r="B398" i="34"/>
  <c r="B395" i="34"/>
  <c r="B397" i="34"/>
  <c r="B399" i="34"/>
  <c r="B401" i="34"/>
  <c r="B402" i="34"/>
  <c r="B404" i="34"/>
  <c r="B403" i="34"/>
  <c r="B407" i="34"/>
  <c r="B406" i="34"/>
  <c r="B408" i="34"/>
  <c r="B410" i="34"/>
  <c r="B409" i="34"/>
  <c r="B413" i="34"/>
  <c r="B411" i="34"/>
  <c r="B412" i="34"/>
  <c r="B419" i="34"/>
  <c r="B414" i="34"/>
  <c r="B415" i="34"/>
  <c r="B416" i="34"/>
  <c r="B417" i="34"/>
  <c r="B418" i="34"/>
  <c r="B420" i="34"/>
  <c r="B421" i="34"/>
  <c r="B424" i="34"/>
  <c r="B427" i="34"/>
  <c r="B430" i="34"/>
  <c r="B423" i="34"/>
  <c r="B426" i="34"/>
  <c r="B429" i="34"/>
  <c r="B431" i="34"/>
  <c r="B432" i="34"/>
  <c r="B433" i="34"/>
  <c r="B434" i="34"/>
  <c r="B435" i="34"/>
  <c r="B436" i="34"/>
  <c r="B437" i="34"/>
  <c r="B438" i="34"/>
  <c r="B439" i="34"/>
  <c r="B440" i="34"/>
  <c r="B448" i="34"/>
  <c r="B450" i="34"/>
  <c r="B441" i="34"/>
  <c r="B442" i="34"/>
  <c r="B443" i="34"/>
  <c r="B444" i="34"/>
  <c r="B445" i="34"/>
  <c r="B446" i="34"/>
  <c r="B447" i="34"/>
  <c r="B449" i="34"/>
  <c r="B451" i="34"/>
  <c r="B455" i="34"/>
  <c r="B454" i="34"/>
  <c r="B453" i="34"/>
  <c r="B459" i="34"/>
  <c r="B458" i="34"/>
  <c r="B461" i="34"/>
  <c r="B460" i="34"/>
  <c r="B466" i="34"/>
  <c r="B465" i="34"/>
  <c r="B464" i="34"/>
  <c r="B463" i="34"/>
  <c r="B468" i="34"/>
  <c r="B467" i="34"/>
  <c r="B471" i="34"/>
  <c r="B470" i="34"/>
  <c r="B473" i="34"/>
  <c r="B472" i="34"/>
  <c r="B480" i="34"/>
  <c r="B481" i="34"/>
  <c r="B474" i="34"/>
  <c r="B475" i="34"/>
  <c r="B476" i="34"/>
  <c r="B477" i="34"/>
  <c r="B478" i="34"/>
  <c r="B479" i="34"/>
  <c r="B487" i="34"/>
  <c r="B489" i="34"/>
  <c r="B485" i="34"/>
  <c r="B488" i="34"/>
  <c r="B490" i="34"/>
  <c r="B493" i="34"/>
  <c r="B496" i="34"/>
  <c r="B492" i="34"/>
  <c r="B495" i="34"/>
  <c r="B500" i="34"/>
  <c r="B499" i="34"/>
  <c r="B501" i="34"/>
  <c r="B504" i="34"/>
  <c r="B503" i="34"/>
  <c r="B508" i="34"/>
  <c r="B507" i="34"/>
  <c r="B506" i="34"/>
  <c r="B511" i="34"/>
  <c r="B510" i="34"/>
  <c r="B512" i="34"/>
  <c r="B532" i="34"/>
  <c r="B520" i="34"/>
  <c r="B521" i="34"/>
  <c r="B522" i="34"/>
  <c r="B513" i="34"/>
  <c r="B514" i="34"/>
  <c r="B515" i="34"/>
  <c r="B516" i="34"/>
  <c r="B517" i="34"/>
  <c r="B518" i="34"/>
  <c r="B519" i="34"/>
  <c r="B531" i="34"/>
  <c r="B533" i="34"/>
  <c r="B534" i="34"/>
  <c r="B535" i="34"/>
  <c r="B536" i="34"/>
  <c r="B537" i="34"/>
  <c r="B538" i="34"/>
  <c r="B526" i="34"/>
  <c r="B527" i="34"/>
  <c r="B528" i="34"/>
  <c r="B529" i="34"/>
  <c r="B578" i="34"/>
  <c r="B576" i="34"/>
  <c r="B577" i="34"/>
  <c r="B574" i="34"/>
  <c r="B575" i="34"/>
  <c r="B544" i="34"/>
  <c r="B545" i="34"/>
  <c r="B546" i="34"/>
  <c r="B547" i="34"/>
  <c r="B548" i="34"/>
  <c r="B549" i="34"/>
  <c r="B553" i="34"/>
  <c r="B550" i="34"/>
  <c r="B551" i="34"/>
  <c r="B552" i="34"/>
  <c r="B554" i="34"/>
  <c r="B555" i="34"/>
  <c r="B556" i="34"/>
  <c r="B557" i="34"/>
  <c r="B558" i="34"/>
  <c r="B559" i="34"/>
  <c r="B560" i="34"/>
  <c r="B561" i="34"/>
  <c r="B562" i="34"/>
  <c r="B563" i="34"/>
  <c r="B564" i="34"/>
  <c r="B565" i="34"/>
  <c r="B566" i="34"/>
  <c r="B567" i="34"/>
  <c r="B568" i="34"/>
  <c r="B569" i="34"/>
  <c r="B570" i="34"/>
  <c r="B571" i="34"/>
  <c r="B572" i="34"/>
  <c r="B573" i="34"/>
  <c r="B580" i="34"/>
  <c r="B581" i="34"/>
  <c r="B582" i="34"/>
  <c r="B583" i="34"/>
  <c r="B584" i="34"/>
  <c r="B585" i="34"/>
  <c r="B586" i="34"/>
  <c r="B587" i="34"/>
  <c r="B11" i="34"/>
  <c r="A12" i="34"/>
  <c r="A10" i="34"/>
  <c r="A13" i="34"/>
  <c r="A14" i="34"/>
  <c r="A21" i="34"/>
  <c r="A22" i="34"/>
  <c r="A24" i="34"/>
  <c r="A23" i="34"/>
  <c r="A25" i="34"/>
  <c r="A26" i="34"/>
  <c r="A27" i="34"/>
  <c r="A28" i="34"/>
  <c r="A29" i="34"/>
  <c r="A30" i="34"/>
  <c r="A33" i="34"/>
  <c r="A35" i="34"/>
  <c r="A32" i="34"/>
  <c r="A34" i="34"/>
  <c r="A37" i="34"/>
  <c r="A36" i="34"/>
  <c r="A38" i="34"/>
  <c r="A40" i="34"/>
  <c r="A39" i="34"/>
  <c r="A43" i="34"/>
  <c r="A45" i="34"/>
  <c r="A41" i="34"/>
  <c r="A42" i="34"/>
  <c r="A44" i="34"/>
  <c r="A46" i="34"/>
  <c r="A47" i="34"/>
  <c r="A50" i="34"/>
  <c r="A49" i="34"/>
  <c r="A51" i="34"/>
  <c r="A52" i="34"/>
  <c r="A53" i="34"/>
  <c r="A54" i="34"/>
  <c r="A57" i="34"/>
  <c r="A56" i="34"/>
  <c r="A58" i="34"/>
  <c r="A59" i="34"/>
  <c r="A60" i="34"/>
  <c r="A61" i="34"/>
  <c r="A64" i="34"/>
  <c r="A68" i="34"/>
  <c r="A63" i="34"/>
  <c r="A67" i="34"/>
  <c r="A69" i="34"/>
  <c r="A70" i="34"/>
  <c r="A73" i="34"/>
  <c r="A72" i="34"/>
  <c r="A74" i="34"/>
  <c r="A75" i="34"/>
  <c r="A76" i="34"/>
  <c r="A77" i="34"/>
  <c r="A78" i="34"/>
  <c r="A79" i="34"/>
  <c r="A82" i="34"/>
  <c r="A81" i="34"/>
  <c r="A83" i="34"/>
  <c r="A86" i="34"/>
  <c r="A88" i="34"/>
  <c r="A85" i="34"/>
  <c r="A87" i="34"/>
  <c r="A89" i="34"/>
  <c r="A90" i="34"/>
  <c r="A91" i="34"/>
  <c r="A94" i="34"/>
  <c r="A96" i="34"/>
  <c r="A93" i="34"/>
  <c r="A95" i="34"/>
  <c r="A97" i="34"/>
  <c r="A98" i="34"/>
  <c r="A99" i="34"/>
  <c r="A100" i="34"/>
  <c r="A102" i="34"/>
  <c r="A104" i="34"/>
  <c r="A106" i="34"/>
  <c r="A105" i="34"/>
  <c r="A103" i="34"/>
  <c r="A101" i="34"/>
  <c r="A108" i="34"/>
  <c r="A110" i="34"/>
  <c r="A107" i="34"/>
  <c r="A109" i="34"/>
  <c r="A111" i="34"/>
  <c r="A112" i="34"/>
  <c r="A113" i="34"/>
  <c r="A114" i="34"/>
  <c r="A117" i="34"/>
  <c r="A116" i="34"/>
  <c r="A120" i="34"/>
  <c r="A122" i="34"/>
  <c r="A124" i="34"/>
  <c r="A119" i="34"/>
  <c r="A121" i="34"/>
  <c r="A123" i="34"/>
  <c r="A125" i="34"/>
  <c r="A126" i="34"/>
  <c r="A127" i="34"/>
  <c r="A128" i="34"/>
  <c r="A129" i="34"/>
  <c r="A132" i="34"/>
  <c r="A130" i="34"/>
  <c r="A131" i="34"/>
  <c r="A133" i="34"/>
  <c r="A134" i="34"/>
  <c r="A137" i="34"/>
  <c r="A135" i="34"/>
  <c r="A136" i="34"/>
  <c r="A139" i="34"/>
  <c r="A141" i="34"/>
  <c r="A143" i="34"/>
  <c r="A142" i="34"/>
  <c r="A140" i="34"/>
  <c r="A138" i="34"/>
  <c r="A144" i="34"/>
  <c r="A146" i="34"/>
  <c r="A148" i="34"/>
  <c r="A150" i="34"/>
  <c r="A149" i="34"/>
  <c r="A147" i="34"/>
  <c r="A145" i="34"/>
  <c r="A151" i="34"/>
  <c r="A154" i="34"/>
  <c r="A153" i="34"/>
  <c r="A156" i="34"/>
  <c r="A158" i="34"/>
  <c r="A160" i="34"/>
  <c r="A159" i="34"/>
  <c r="A157" i="34"/>
  <c r="A155" i="34"/>
  <c r="A161" i="34"/>
  <c r="A162" i="34"/>
  <c r="A165" i="34"/>
  <c r="A164" i="34"/>
  <c r="A167" i="34"/>
  <c r="A169" i="34"/>
  <c r="A171" i="34"/>
  <c r="A170" i="34"/>
  <c r="A168" i="34"/>
  <c r="A166" i="34"/>
  <c r="A172" i="34"/>
  <c r="A173" i="34"/>
  <c r="A176" i="34"/>
  <c r="A174" i="34"/>
  <c r="A175" i="34"/>
  <c r="A177" i="34"/>
  <c r="A180" i="34"/>
  <c r="A178" i="34"/>
  <c r="A179" i="34"/>
  <c r="A182" i="34"/>
  <c r="A184" i="34"/>
  <c r="A186" i="34"/>
  <c r="A185" i="34"/>
  <c r="A183" i="34"/>
  <c r="A181" i="34"/>
  <c r="A188" i="34"/>
  <c r="A190" i="34"/>
  <c r="A192" i="34"/>
  <c r="A191" i="34"/>
  <c r="A189" i="34"/>
  <c r="A187" i="34"/>
  <c r="A194" i="34"/>
  <c r="A193" i="34"/>
  <c r="A196" i="34"/>
  <c r="A198" i="34"/>
  <c r="A200" i="34"/>
  <c r="A199" i="34"/>
  <c r="A197" i="34"/>
  <c r="A195" i="34"/>
  <c r="A202" i="34"/>
  <c r="A204" i="34"/>
  <c r="A206" i="34"/>
  <c r="A205" i="34"/>
  <c r="A203" i="34"/>
  <c r="A201" i="34"/>
  <c r="A207" i="34"/>
  <c r="A208" i="34"/>
  <c r="A211" i="34"/>
  <c r="A214" i="34"/>
  <c r="A210" i="34"/>
  <c r="A213" i="34"/>
  <c r="A215" i="34"/>
  <c r="A216" i="34"/>
  <c r="A218" i="34"/>
  <c r="A217" i="34"/>
  <c r="A221" i="34"/>
  <c r="A223" i="34"/>
  <c r="A222" i="34"/>
  <c r="A226" i="34"/>
  <c r="A224" i="34"/>
  <c r="A225" i="34"/>
  <c r="A227" i="34"/>
  <c r="A230" i="34"/>
  <c r="A233" i="34"/>
  <c r="A229" i="34"/>
  <c r="A232" i="34"/>
  <c r="A234" i="34"/>
  <c r="A237" i="34"/>
  <c r="A236" i="34"/>
  <c r="A239" i="34"/>
  <c r="A241" i="34"/>
  <c r="A243" i="34"/>
  <c r="A242" i="34"/>
  <c r="A240" i="34"/>
  <c r="A238" i="34"/>
  <c r="A244" i="34"/>
  <c r="A247" i="34"/>
  <c r="A246" i="34"/>
  <c r="A248" i="34"/>
  <c r="A251" i="34"/>
  <c r="A250" i="34"/>
  <c r="A254" i="34"/>
  <c r="A255" i="34"/>
  <c r="A258" i="34"/>
  <c r="A257" i="34"/>
  <c r="A259" i="34"/>
  <c r="A260" i="34"/>
  <c r="A263" i="34"/>
  <c r="A262" i="34"/>
  <c r="A266" i="34"/>
  <c r="A265" i="34"/>
  <c r="A269" i="34"/>
  <c r="A271" i="34"/>
  <c r="A273" i="34"/>
  <c r="A275" i="34"/>
  <c r="A274" i="34"/>
  <c r="A272" i="34"/>
  <c r="A270" i="34"/>
  <c r="A278" i="34"/>
  <c r="A277" i="34"/>
  <c r="A280" i="34"/>
  <c r="A279" i="34"/>
  <c r="A282" i="34"/>
  <c r="A285" i="34"/>
  <c r="A284" i="34"/>
  <c r="A286" i="34"/>
  <c r="A287" i="34"/>
  <c r="A290" i="34"/>
  <c r="A289" i="34"/>
  <c r="A291" i="34"/>
  <c r="A292" i="34"/>
  <c r="A295" i="34"/>
  <c r="A294" i="34"/>
  <c r="A296" i="34"/>
  <c r="A299" i="34"/>
  <c r="A298" i="34"/>
  <c r="A300" i="34"/>
  <c r="A303" i="34"/>
  <c r="A306" i="34"/>
  <c r="A309" i="34"/>
  <c r="A312" i="34"/>
  <c r="A314" i="34"/>
  <c r="A302" i="34"/>
  <c r="A305" i="34"/>
  <c r="A308" i="34"/>
  <c r="A311" i="34"/>
  <c r="A313" i="34"/>
  <c r="A317" i="34"/>
  <c r="A322" i="34"/>
  <c r="A321" i="34"/>
  <c r="A323" i="34"/>
  <c r="A332" i="34"/>
  <c r="A324" i="34"/>
  <c r="A328" i="34"/>
  <c r="A331" i="34"/>
  <c r="A325" i="34"/>
  <c r="A327" i="34"/>
  <c r="A330" i="34"/>
  <c r="A334" i="34"/>
  <c r="A333" i="34"/>
  <c r="A335" i="34"/>
  <c r="A339" i="34"/>
  <c r="A341" i="34"/>
  <c r="A343" i="34"/>
  <c r="A337" i="34"/>
  <c r="A342" i="34"/>
  <c r="A340" i="34"/>
  <c r="A338" i="34"/>
  <c r="A336" i="34"/>
  <c r="A346" i="34"/>
  <c r="A345" i="34"/>
  <c r="A349" i="34"/>
  <c r="A348" i="34"/>
  <c r="A354" i="34"/>
  <c r="A353" i="34"/>
  <c r="A355" i="34"/>
  <c r="A356" i="34"/>
  <c r="A357" i="34"/>
  <c r="A362" i="34"/>
  <c r="A365" i="34"/>
  <c r="A364" i="34"/>
  <c r="A366" i="34"/>
  <c r="A369" i="34"/>
  <c r="A372" i="34"/>
  <c r="A375" i="34"/>
  <c r="A368" i="34"/>
  <c r="A371" i="34"/>
  <c r="A374" i="34"/>
  <c r="A379" i="34"/>
  <c r="A378" i="34"/>
  <c r="A380" i="34"/>
  <c r="A387" i="34"/>
  <c r="A381" i="34"/>
  <c r="A386" i="34"/>
  <c r="A382" i="34"/>
  <c r="A383" i="34"/>
  <c r="A385" i="34"/>
  <c r="A388" i="34"/>
  <c r="A390" i="34"/>
  <c r="A394" i="34"/>
  <c r="A391" i="34"/>
  <c r="A392" i="34"/>
  <c r="A393" i="34"/>
  <c r="A396" i="34"/>
  <c r="A400" i="34"/>
  <c r="A398" i="34"/>
  <c r="A395" i="34"/>
  <c r="A397" i="34"/>
  <c r="A399" i="34"/>
  <c r="A401" i="34"/>
  <c r="A402" i="34"/>
  <c r="A404" i="34"/>
  <c r="A403" i="34"/>
  <c r="A407" i="34"/>
  <c r="A406" i="34"/>
  <c r="A408" i="34"/>
  <c r="A410" i="34"/>
  <c r="A409" i="34"/>
  <c r="A413" i="34"/>
  <c r="A411" i="34"/>
  <c r="A412" i="34"/>
  <c r="A419" i="34"/>
  <c r="A414" i="34"/>
  <c r="A415" i="34"/>
  <c r="A416" i="34"/>
  <c r="A417" i="34"/>
  <c r="A418" i="34"/>
  <c r="A420" i="34"/>
  <c r="A421" i="34"/>
  <c r="A424" i="34"/>
  <c r="A427" i="34"/>
  <c r="A430" i="34"/>
  <c r="A423" i="34"/>
  <c r="A426" i="34"/>
  <c r="A429" i="34"/>
  <c r="A431" i="34"/>
  <c r="A432" i="34"/>
  <c r="A433" i="34"/>
  <c r="A434" i="34"/>
  <c r="A435" i="34"/>
  <c r="A436" i="34"/>
  <c r="A437" i="34"/>
  <c r="A438" i="34"/>
  <c r="A439" i="34"/>
  <c r="A440" i="34"/>
  <c r="A448" i="34"/>
  <c r="A450" i="34"/>
  <c r="A441" i="34"/>
  <c r="A442" i="34"/>
  <c r="A443" i="34"/>
  <c r="A444" i="34"/>
  <c r="A445" i="34"/>
  <c r="A446" i="34"/>
  <c r="A447" i="34"/>
  <c r="A449" i="34"/>
  <c r="A451" i="34"/>
  <c r="A455" i="34"/>
  <c r="A454" i="34"/>
  <c r="A453" i="34"/>
  <c r="A459" i="34"/>
  <c r="A458" i="34"/>
  <c r="A461" i="34"/>
  <c r="A460" i="34"/>
  <c r="A466" i="34"/>
  <c r="A465" i="34"/>
  <c r="A464" i="34"/>
  <c r="A463" i="34"/>
  <c r="A468" i="34"/>
  <c r="A467" i="34"/>
  <c r="A471" i="34"/>
  <c r="A470" i="34"/>
  <c r="A473" i="34"/>
  <c r="A472" i="34"/>
  <c r="A480" i="34"/>
  <c r="A481" i="34"/>
  <c r="A474" i="34"/>
  <c r="A475" i="34"/>
  <c r="A476" i="34"/>
  <c r="A477" i="34"/>
  <c r="A478" i="34"/>
  <c r="A479" i="34"/>
  <c r="A487" i="34"/>
  <c r="A489" i="34"/>
  <c r="A485" i="34"/>
  <c r="A488" i="34"/>
  <c r="A490" i="34"/>
  <c r="A493" i="34"/>
  <c r="A496" i="34"/>
  <c r="A492" i="34"/>
  <c r="A495" i="34"/>
  <c r="A500" i="34"/>
  <c r="A499" i="34"/>
  <c r="A501" i="34"/>
  <c r="A504" i="34"/>
  <c r="A503" i="34"/>
  <c r="A508" i="34"/>
  <c r="A507" i="34"/>
  <c r="A506" i="34"/>
  <c r="A511" i="34"/>
  <c r="A510" i="34"/>
  <c r="A512" i="34"/>
  <c r="A532" i="34"/>
  <c r="A520" i="34"/>
  <c r="A521" i="34"/>
  <c r="A522" i="34"/>
  <c r="A513" i="34"/>
  <c r="A514" i="34"/>
  <c r="A515" i="34"/>
  <c r="A516" i="34"/>
  <c r="A517" i="34"/>
  <c r="A518" i="34"/>
  <c r="A519" i="34"/>
  <c r="A531" i="34"/>
  <c r="A533" i="34"/>
  <c r="A534" i="34"/>
  <c r="A535" i="34"/>
  <c r="A536" i="34"/>
  <c r="A537" i="34"/>
  <c r="A538" i="34"/>
  <c r="A526" i="34"/>
  <c r="A527" i="34"/>
  <c r="A528" i="34"/>
  <c r="A529" i="34"/>
  <c r="A578" i="34"/>
  <c r="A576" i="34"/>
  <c r="A577" i="34"/>
  <c r="A574" i="34"/>
  <c r="A575" i="34"/>
  <c r="A544" i="34"/>
  <c r="A545" i="34"/>
  <c r="A546" i="34"/>
  <c r="A547" i="34"/>
  <c r="A548" i="34"/>
  <c r="A549" i="34"/>
  <c r="A553" i="34"/>
  <c r="A550" i="34"/>
  <c r="A551" i="34"/>
  <c r="A552" i="34"/>
  <c r="A554" i="34"/>
  <c r="A555" i="34"/>
  <c r="A556" i="34"/>
  <c r="A557" i="34"/>
  <c r="A558" i="34"/>
  <c r="A559" i="34"/>
  <c r="A560" i="34"/>
  <c r="A561" i="34"/>
  <c r="A562" i="34"/>
  <c r="A563" i="34"/>
  <c r="A564" i="34"/>
  <c r="A565" i="34"/>
  <c r="A566" i="34"/>
  <c r="A567" i="34"/>
  <c r="A568" i="34"/>
  <c r="A569" i="34"/>
  <c r="A570" i="34"/>
  <c r="A571" i="34"/>
  <c r="A572" i="34"/>
  <c r="A573" i="34"/>
  <c r="A580" i="34"/>
  <c r="A581" i="34"/>
  <c r="A582" i="34"/>
  <c r="A583" i="34"/>
  <c r="A584" i="34"/>
  <c r="A585" i="34"/>
  <c r="A586" i="34"/>
  <c r="A5" i="12"/>
  <c r="A6" i="12"/>
  <c r="A7" i="12"/>
  <c r="A8" i="12"/>
  <c r="A9" i="12"/>
  <c r="A10" i="12"/>
  <c r="A16" i="12"/>
  <c r="A22" i="12"/>
  <c r="A23" i="12"/>
  <c r="A17" i="12"/>
  <c r="A24" i="12"/>
  <c r="A25" i="12"/>
  <c r="A26" i="12"/>
  <c r="A27" i="12"/>
  <c r="A21" i="12"/>
  <c r="A18" i="12"/>
  <c r="A19" i="12"/>
  <c r="A4" i="12"/>
  <c r="I16" i="14" l="1"/>
  <c r="J16" i="14"/>
  <c r="E177" i="34"/>
  <c r="E172" i="34"/>
  <c r="C163" i="34"/>
  <c r="E161" i="34"/>
  <c r="C152" i="34"/>
  <c r="E151" i="34"/>
  <c r="E144" i="34"/>
  <c r="E133" i="34"/>
  <c r="E127" i="34"/>
  <c r="E126" i="34"/>
  <c r="E125" i="34"/>
  <c r="C118" i="34"/>
  <c r="C115" i="34"/>
  <c r="E113" i="34"/>
  <c r="C92" i="34"/>
  <c r="E91" i="34"/>
  <c r="C84" i="34"/>
  <c r="E83" i="34"/>
  <c r="C80" i="34"/>
  <c r="E78" i="34"/>
  <c r="C71" i="34"/>
  <c r="E69" i="34"/>
  <c r="C62" i="34"/>
  <c r="C66" i="34"/>
  <c r="C65" i="34"/>
  <c r="E60" i="34"/>
  <c r="C55" i="34"/>
  <c r="E53" i="34"/>
  <c r="C48" i="34"/>
  <c r="E46" i="34"/>
  <c r="E38" i="34"/>
  <c r="C31" i="34"/>
  <c r="E30" i="34"/>
  <c r="E29" i="34"/>
  <c r="E28" i="34"/>
  <c r="E27" i="34"/>
  <c r="E26" i="34"/>
  <c r="E25" i="34"/>
  <c r="E23" i="34"/>
  <c r="E24" i="34"/>
  <c r="E22" i="34"/>
  <c r="E21" i="34"/>
  <c r="I17" i="14" l="1"/>
  <c r="J17" i="14"/>
  <c r="B48" i="34"/>
  <c r="A48" i="34"/>
  <c r="B55" i="34"/>
  <c r="A55" i="34"/>
  <c r="B65" i="34"/>
  <c r="A65" i="34"/>
  <c r="B62" i="34"/>
  <c r="A62" i="34"/>
  <c r="B71" i="34"/>
  <c r="A71" i="34"/>
  <c r="B80" i="34"/>
  <c r="A80" i="34"/>
  <c r="B84" i="34"/>
  <c r="A84" i="34"/>
  <c r="B92" i="34"/>
  <c r="A92" i="34"/>
  <c r="B115" i="34"/>
  <c r="A115" i="34"/>
  <c r="B152" i="34"/>
  <c r="A152" i="34"/>
  <c r="B163" i="34"/>
  <c r="A163" i="34"/>
  <c r="B209" i="34"/>
  <c r="A209" i="34"/>
  <c r="B219" i="34"/>
  <c r="A219" i="34"/>
  <c r="B228" i="34"/>
  <c r="A228" i="34"/>
  <c r="B235" i="34"/>
  <c r="A235" i="34"/>
  <c r="B245" i="34"/>
  <c r="A245" i="34"/>
  <c r="B249" i="34"/>
  <c r="A249" i="34"/>
  <c r="B252" i="34"/>
  <c r="A252" i="34"/>
  <c r="B256" i="34"/>
  <c r="A256" i="34"/>
  <c r="B261" i="34"/>
  <c r="A261" i="34"/>
  <c r="B268" i="34"/>
  <c r="A268" i="34"/>
  <c r="B281" i="34"/>
  <c r="A281" i="34"/>
  <c r="B283" i="34"/>
  <c r="A283" i="34"/>
  <c r="B288" i="34"/>
  <c r="A288" i="34"/>
  <c r="B293" i="34"/>
  <c r="A293" i="34"/>
  <c r="B297" i="34"/>
  <c r="A297" i="34"/>
  <c r="B301" i="34"/>
  <c r="A301" i="34"/>
  <c r="B310" i="34"/>
  <c r="A310" i="34"/>
  <c r="B315" i="34"/>
  <c r="A315" i="34"/>
  <c r="B318" i="34"/>
  <c r="A318" i="34"/>
  <c r="B329" i="34"/>
  <c r="A329" i="34"/>
  <c r="B347" i="34"/>
  <c r="A347" i="34"/>
  <c r="B350" i="34"/>
  <c r="A350" i="34"/>
  <c r="B358" i="34"/>
  <c r="A358" i="34"/>
  <c r="B360" i="34"/>
  <c r="A360" i="34"/>
  <c r="B367" i="34"/>
  <c r="A367" i="34"/>
  <c r="B373" i="34"/>
  <c r="A373" i="34"/>
  <c r="B376" i="34"/>
  <c r="A376" i="34"/>
  <c r="B384" i="34"/>
  <c r="A384" i="34"/>
  <c r="B405" i="34"/>
  <c r="A405" i="34"/>
  <c r="B422" i="34"/>
  <c r="A422" i="34"/>
  <c r="B452" i="34"/>
  <c r="A452" i="34"/>
  <c r="B456" i="34"/>
  <c r="A456" i="34"/>
  <c r="B469" i="34"/>
  <c r="A469" i="34"/>
  <c r="B486" i="34"/>
  <c r="A486" i="34"/>
  <c r="B494" i="34"/>
  <c r="A494" i="34"/>
  <c r="B498" i="34"/>
  <c r="A498" i="34"/>
  <c r="B505" i="34"/>
  <c r="A505" i="34"/>
  <c r="B31" i="34"/>
  <c r="A31" i="34"/>
  <c r="B66" i="34"/>
  <c r="A66" i="34"/>
  <c r="B118" i="34"/>
  <c r="A118" i="34"/>
  <c r="B212" i="34"/>
  <c r="A212" i="34"/>
  <c r="B220" i="34"/>
  <c r="A220" i="34"/>
  <c r="B231" i="34"/>
  <c r="A231" i="34"/>
  <c r="B253" i="34"/>
  <c r="A253" i="34"/>
  <c r="B264" i="34"/>
  <c r="A264" i="34"/>
  <c r="B267" i="34"/>
  <c r="A267" i="34"/>
  <c r="B276" i="34"/>
  <c r="A276" i="34"/>
  <c r="B307" i="34"/>
  <c r="A307" i="34"/>
  <c r="B304" i="34"/>
  <c r="A304" i="34"/>
  <c r="B316" i="34"/>
  <c r="A316" i="34"/>
  <c r="B319" i="34"/>
  <c r="A319" i="34"/>
  <c r="B320" i="34"/>
  <c r="A320" i="34"/>
  <c r="B326" i="34"/>
  <c r="A326" i="34"/>
  <c r="B344" i="34"/>
  <c r="A344" i="34"/>
  <c r="B351" i="34"/>
  <c r="A351" i="34"/>
  <c r="B352" i="34"/>
  <c r="A352" i="34"/>
  <c r="B359" i="34"/>
  <c r="A359" i="34"/>
  <c r="B361" i="34"/>
  <c r="A361" i="34"/>
  <c r="B363" i="34"/>
  <c r="A363" i="34"/>
  <c r="B370" i="34"/>
  <c r="A370" i="34"/>
  <c r="B377" i="34"/>
  <c r="A377" i="34"/>
  <c r="B389" i="34"/>
  <c r="A389" i="34"/>
  <c r="B425" i="34"/>
  <c r="A425" i="34"/>
  <c r="B428" i="34"/>
  <c r="A428" i="34"/>
  <c r="B457" i="34"/>
  <c r="A457" i="34"/>
  <c r="B462" i="34"/>
  <c r="A462" i="34"/>
  <c r="B484" i="34"/>
  <c r="A484" i="34"/>
  <c r="B491" i="34"/>
  <c r="A491" i="34"/>
  <c r="B502" i="34"/>
  <c r="A502" i="34"/>
  <c r="B509" i="34"/>
  <c r="A509" i="34"/>
  <c r="I18" i="14" l="1"/>
  <c r="J18" i="14"/>
  <c r="G21" i="14"/>
  <c r="E32" i="14"/>
  <c r="H23" i="14"/>
  <c r="E27" i="14"/>
  <c r="B30" i="14"/>
  <c r="C27" i="14"/>
  <c r="A27" i="14" s="1"/>
  <c r="C29" i="14"/>
  <c r="A29" i="14" s="1"/>
  <c r="C22" i="14"/>
  <c r="A22" i="14" s="1"/>
  <c r="H32" i="14"/>
  <c r="G24" i="14"/>
  <c r="C21" i="14"/>
  <c r="A21" i="14" s="1"/>
  <c r="E26" i="14"/>
  <c r="H31" i="14"/>
  <c r="H24" i="14"/>
  <c r="C30" i="14"/>
  <c r="A30" i="14" s="1"/>
  <c r="B22" i="14"/>
  <c r="D27" i="14"/>
  <c r="G32" i="14"/>
  <c r="E24" i="14"/>
  <c r="G29" i="14"/>
  <c r="D22" i="14"/>
  <c r="B25" i="14"/>
  <c r="G27" i="14"/>
  <c r="D30" i="14"/>
  <c r="D23" i="14"/>
  <c r="B26" i="14"/>
  <c r="G28" i="14"/>
  <c r="D31" i="14"/>
  <c r="E23" i="14"/>
  <c r="C26" i="14"/>
  <c r="A26" i="14" s="1"/>
  <c r="H28" i="14"/>
  <c r="E31" i="14"/>
  <c r="B23" i="14"/>
  <c r="H25" i="14"/>
  <c r="D28" i="14"/>
  <c r="B31" i="14"/>
  <c r="H21" i="14"/>
  <c r="C23" i="14"/>
  <c r="A23" i="14" s="1"/>
  <c r="D24" i="14"/>
  <c r="G25" i="14"/>
  <c r="B27" i="14"/>
  <c r="E28" i="14"/>
  <c r="H29" i="14"/>
  <c r="C31" i="14"/>
  <c r="A31" i="14" s="1"/>
  <c r="D32" i="14"/>
  <c r="D21" i="14"/>
  <c r="H22" i="14"/>
  <c r="C24" i="14"/>
  <c r="A24" i="14" s="1"/>
  <c r="E25" i="14"/>
  <c r="G26" i="14"/>
  <c r="B28" i="14"/>
  <c r="D29" i="14"/>
  <c r="H30" i="14"/>
  <c r="C32" i="14"/>
  <c r="A32" i="14" s="1"/>
  <c r="E21" i="14"/>
  <c r="G22" i="14"/>
  <c r="B24" i="14"/>
  <c r="D25" i="14"/>
  <c r="H26" i="14"/>
  <c r="C28" i="14"/>
  <c r="A28" i="14" s="1"/>
  <c r="E29" i="14"/>
  <c r="G30" i="14"/>
  <c r="B32" i="14"/>
  <c r="B21" i="14"/>
  <c r="E22" i="14"/>
  <c r="G23" i="14"/>
  <c r="C25" i="14"/>
  <c r="A25" i="14" s="1"/>
  <c r="D26" i="14"/>
  <c r="H27" i="14"/>
  <c r="B29" i="14"/>
  <c r="E30" i="14"/>
  <c r="G31" i="14"/>
  <c r="J19" i="14" l="1"/>
  <c r="I19" i="14"/>
  <c r="H51" i="14"/>
  <c r="G51" i="14"/>
  <c r="I20" i="14" l="1"/>
  <c r="J20" i="14"/>
  <c r="I52" i="14"/>
  <c r="J52" i="14"/>
  <c r="J21" i="14" l="1"/>
  <c r="I21" i="14"/>
  <c r="I22" i="14" l="1"/>
  <c r="J22" i="14"/>
  <c r="J23" i="14" l="1"/>
  <c r="I23" i="14"/>
  <c r="I24" i="14" l="1"/>
  <c r="J24" i="14"/>
  <c r="I25" i="14" l="1"/>
  <c r="J25" i="14"/>
  <c r="I26" i="14" l="1"/>
  <c r="J26" i="14"/>
  <c r="J27" i="14" l="1"/>
  <c r="I27" i="14"/>
  <c r="J28" i="14" l="1"/>
  <c r="I28" i="14"/>
  <c r="I29" i="14" l="1"/>
  <c r="J29" i="14"/>
  <c r="J30" i="14" l="1"/>
  <c r="I30" i="14"/>
  <c r="I31" i="14" l="1"/>
  <c r="J31" i="14"/>
  <c r="J32" i="14" l="1"/>
  <c r="I32" i="14"/>
  <c r="J33" i="14" l="1"/>
  <c r="I33" i="14"/>
  <c r="I34" i="14" l="1"/>
  <c r="J34" i="14"/>
  <c r="J35" i="14" l="1"/>
  <c r="I35" i="14"/>
  <c r="F40" i="15" a="1"/>
  <c r="F40" i="15" s="1"/>
  <c r="E38" i="15" a="1"/>
  <c r="E38" i="15" s="1"/>
  <c r="F39" i="15" a="1"/>
  <c r="F39" i="15" s="1"/>
  <c r="F36" i="15" a="1"/>
  <c r="F36" i="15" s="1"/>
  <c r="F37" i="15" a="1"/>
  <c r="F37" i="15" s="1"/>
  <c r="F41" i="15" a="1"/>
  <c r="F41" i="15" s="1"/>
  <c r="F38" i="15" a="1"/>
  <c r="F38" i="15" s="1"/>
  <c r="E19" i="12" a="1"/>
  <c r="E19" i="12" s="1"/>
  <c r="E40" i="15" a="1"/>
  <c r="E40" i="15" s="1"/>
  <c r="I40" i="15" s="1"/>
  <c r="E24" i="12" a="1"/>
  <c r="E24" i="12" s="1"/>
  <c r="F23" i="12" a="1"/>
  <c r="F23" i="12" s="1"/>
  <c r="E30" i="12" a="1"/>
  <c r="E30" i="12" s="1"/>
  <c r="E28" i="12" a="1"/>
  <c r="E28" i="12" s="1"/>
  <c r="F21" i="12" a="1"/>
  <c r="F21" i="12" s="1"/>
  <c r="E18" i="12" a="1"/>
  <c r="E18" i="12" s="1"/>
  <c r="E39" i="15" a="1"/>
  <c r="E39" i="15" s="1"/>
  <c r="E17" i="15" a="1"/>
  <c r="E17" i="15" s="1"/>
  <c r="E28" i="15" a="1"/>
  <c r="E28" i="15" s="1"/>
  <c r="E30" i="15" s="1"/>
  <c r="E33" i="15" a="1"/>
  <c r="E33" i="15" s="1"/>
  <c r="F16" i="12" a="1"/>
  <c r="F16" i="12" s="1"/>
  <c r="F13" i="12" a="1"/>
  <c r="F13" i="12" s="1"/>
  <c r="F19" i="12" a="1"/>
  <c r="F19" i="12" s="1"/>
  <c r="E29" i="12" a="1"/>
  <c r="E29" i="12" s="1"/>
  <c r="E7" i="12" a="1"/>
  <c r="E7" i="12" s="1"/>
  <c r="E13" i="12" a="1"/>
  <c r="E13" i="12" s="1"/>
  <c r="G13" i="12" s="1"/>
  <c r="E41" i="15" a="1"/>
  <c r="E41" i="15" s="1"/>
  <c r="E27" i="12" a="1"/>
  <c r="E27" i="12" s="1"/>
  <c r="E23" i="12" a="1"/>
  <c r="E23" i="12" s="1"/>
  <c r="E12" i="12" a="1"/>
  <c r="E12" i="12" s="1"/>
  <c r="F31" i="15" a="1"/>
  <c r="F31" i="15" s="1"/>
  <c r="F25" i="12" a="1"/>
  <c r="F25" i="12" s="1"/>
  <c r="F12" i="12" a="1"/>
  <c r="F12" i="12" s="1"/>
  <c r="F30" i="12" a="1"/>
  <c r="F30" i="12" s="1"/>
  <c r="E17" i="12" a="1"/>
  <c r="E17" i="12" s="1"/>
  <c r="F18" i="12" a="1"/>
  <c r="F18" i="12" s="1"/>
  <c r="F24" i="12" a="1"/>
  <c r="F24" i="12" s="1"/>
  <c r="E22" i="12" a="1"/>
  <c r="E22" i="12" s="1"/>
  <c r="F6" i="12" a="1"/>
  <c r="F6" i="12" s="1"/>
  <c r="E5" i="12" a="1"/>
  <c r="E5" i="12" s="1"/>
  <c r="F11" i="12" a="1"/>
  <c r="F11" i="12" s="1"/>
  <c r="E10" i="12" a="1"/>
  <c r="E10" i="12" s="1"/>
  <c r="F27" i="12" a="1"/>
  <c r="F27" i="12" s="1"/>
  <c r="F17" i="12" a="1"/>
  <c r="F17" i="12" s="1"/>
  <c r="F28" i="12" a="1"/>
  <c r="F28" i="12" s="1"/>
  <c r="F21" i="15" a="1"/>
  <c r="F21" i="15" s="1"/>
  <c r="F43" i="12" s="1"/>
  <c r="F15" i="15" a="1"/>
  <c r="F15" i="15" s="1"/>
  <c r="E6" i="12" a="1"/>
  <c r="E6" i="12" s="1"/>
  <c r="F23" i="15" a="1"/>
  <c r="F23" i="15" s="1"/>
  <c r="F29" i="12" a="1"/>
  <c r="F29" i="12" s="1"/>
  <c r="H29" i="12" s="1"/>
  <c r="F10" i="12" a="1"/>
  <c r="F10" i="12" s="1"/>
  <c r="F9" i="12" a="1"/>
  <c r="F9" i="12" s="1"/>
  <c r="E8" i="12" a="1"/>
  <c r="E8" i="12" s="1"/>
  <c r="E26" i="15" a="1"/>
  <c r="E26" i="15" s="1"/>
  <c r="F5" i="12" a="1"/>
  <c r="F5" i="12" s="1"/>
  <c r="E42" i="15" a="1"/>
  <c r="E42" i="15" s="1"/>
  <c r="F22" i="12" a="1"/>
  <c r="F22" i="12" s="1"/>
  <c r="F12" i="15" a="1"/>
  <c r="F12" i="15" s="1"/>
  <c r="F14" i="15" s="1"/>
  <c r="E21" i="15" a="1"/>
  <c r="E21" i="15" s="1"/>
  <c r="F22" i="15" a="1"/>
  <c r="F22" i="15" s="1"/>
  <c r="F10" i="15" a="1"/>
  <c r="F10" i="15" s="1"/>
  <c r="E26" i="12" a="1"/>
  <c r="E26" i="12" s="1"/>
  <c r="F7" i="12" a="1"/>
  <c r="F7" i="12" s="1"/>
  <c r="E31" i="15" a="1"/>
  <c r="E31" i="15" s="1"/>
  <c r="F17" i="15" a="1"/>
  <c r="F17" i="15" s="1"/>
  <c r="E9" i="12" a="1"/>
  <c r="E9" i="12" s="1"/>
  <c r="E23" i="15" a="1"/>
  <c r="E23" i="15" s="1"/>
  <c r="E22" i="15" a="1"/>
  <c r="E22" i="15" s="1"/>
  <c r="E16" i="12" a="1"/>
  <c r="E16" i="12" s="1"/>
  <c r="E15" i="15" a="1"/>
  <c r="E15" i="15" s="1"/>
  <c r="F33" i="15" a="1"/>
  <c r="F33" i="15" s="1"/>
  <c r="H33" i="15" s="1"/>
  <c r="F28" i="15" a="1"/>
  <c r="F28" i="15" s="1"/>
  <c r="F30" i="15" s="1"/>
  <c r="E12" i="15" a="1"/>
  <c r="E12" i="15" s="1"/>
  <c r="E14" i="15" s="1"/>
  <c r="E10" i="15" a="1"/>
  <c r="E10" i="15" s="1"/>
  <c r="E25" i="12" a="1"/>
  <c r="E25" i="12" s="1"/>
  <c r="E36" i="15" a="1"/>
  <c r="E36" i="15" s="1"/>
  <c r="E11" i="12" a="1"/>
  <c r="E11" i="12" s="1"/>
  <c r="G11" i="12" s="1"/>
  <c r="E21" i="12" a="1"/>
  <c r="E21" i="12" s="1"/>
  <c r="F26" i="12" a="1"/>
  <c r="F26" i="12" s="1"/>
  <c r="F26" i="15" a="1"/>
  <c r="F26" i="15" s="1"/>
  <c r="M10" i="34"/>
  <c r="F8" i="12" a="1"/>
  <c r="F8" i="12" s="1"/>
  <c r="H26" i="12" l="1"/>
  <c r="E41" i="12"/>
  <c r="F41" i="12"/>
  <c r="F45" i="12" s="1"/>
  <c r="G23" i="12"/>
  <c r="H18" i="12"/>
  <c r="H8" i="12"/>
  <c r="H5" i="12"/>
  <c r="H10" i="12"/>
  <c r="G21" i="12"/>
  <c r="G16" i="12"/>
  <c r="J36" i="14"/>
  <c r="I36" i="14"/>
  <c r="I41" i="15"/>
  <c r="H7" i="12"/>
  <c r="H17" i="12"/>
  <c r="H30" i="12"/>
  <c r="G21" i="15"/>
  <c r="E43" i="12"/>
  <c r="G25" i="12"/>
  <c r="H28" i="12"/>
  <c r="H27" i="12"/>
  <c r="H24" i="12"/>
  <c r="H19" i="12"/>
  <c r="E34" i="15" a="1"/>
  <c r="E34" i="15" s="1"/>
  <c r="E35" i="15" s="1"/>
  <c r="F34" i="15" a="1"/>
  <c r="F34" i="15" s="1"/>
  <c r="F35" i="15" s="1"/>
  <c r="F42" i="15" a="1"/>
  <c r="F42" i="15" s="1"/>
  <c r="I42" i="15" s="1"/>
  <c r="I37" i="15"/>
  <c r="I39" i="15"/>
  <c r="I36" i="15"/>
  <c r="H9" i="12"/>
  <c r="H6" i="12"/>
  <c r="G17" i="12"/>
  <c r="H12" i="12"/>
  <c r="G12" i="15"/>
  <c r="G14" i="15" s="1"/>
  <c r="H28" i="15"/>
  <c r="H30" i="15" s="1"/>
  <c r="G15" i="15"/>
  <c r="E16" i="15"/>
  <c r="I22" i="15"/>
  <c r="G22" i="15"/>
  <c r="G23" i="15"/>
  <c r="G24" i="15" s="1"/>
  <c r="I23" i="15"/>
  <c r="E24" i="15"/>
  <c r="E25" i="15" s="1"/>
  <c r="H17" i="15"/>
  <c r="F18" i="15"/>
  <c r="F11" i="15"/>
  <c r="H10" i="15"/>
  <c r="H11" i="15" s="1"/>
  <c r="F24" i="15"/>
  <c r="F25" i="15" s="1"/>
  <c r="H23" i="15"/>
  <c r="H24" i="15" s="1"/>
  <c r="F16" i="15"/>
  <c r="H15" i="15"/>
  <c r="H16" i="15" s="1"/>
  <c r="H31" i="15"/>
  <c r="F32" i="15"/>
  <c r="G28" i="15"/>
  <c r="G30" i="15" s="1"/>
  <c r="G17" i="15"/>
  <c r="E18" i="15"/>
  <c r="H4" i="12"/>
  <c r="H11" i="12"/>
  <c r="G7" i="12"/>
  <c r="H16" i="12"/>
  <c r="G18" i="12"/>
  <c r="G28" i="12"/>
  <c r="G24" i="12"/>
  <c r="G19" i="12"/>
  <c r="F27" i="15"/>
  <c r="H26" i="15"/>
  <c r="H27" i="15" s="1"/>
  <c r="E11" i="15"/>
  <c r="G10" i="15"/>
  <c r="G4" i="12"/>
  <c r="E32" i="15"/>
  <c r="G31" i="15"/>
  <c r="H22" i="15"/>
  <c r="H12" i="15"/>
  <c r="H14" i="15" s="1"/>
  <c r="G26" i="15"/>
  <c r="G27" i="15" s="1"/>
  <c r="E27" i="15"/>
  <c r="G22" i="12"/>
  <c r="H22" i="12"/>
  <c r="G33" i="15"/>
  <c r="G9" i="12"/>
  <c r="G26" i="12"/>
  <c r="G8" i="12"/>
  <c r="G6" i="12"/>
  <c r="H21" i="15"/>
  <c r="G10" i="12"/>
  <c r="G5" i="12"/>
  <c r="H25" i="12"/>
  <c r="G12" i="12"/>
  <c r="G27" i="12"/>
  <c r="G29" i="12"/>
  <c r="H13" i="12"/>
  <c r="H21" i="12"/>
  <c r="G30" i="12"/>
  <c r="H23" i="12"/>
  <c r="I38" i="15"/>
  <c r="G18" i="15" l="1"/>
  <c r="G41" i="12"/>
  <c r="H41" i="12"/>
  <c r="G11" i="15"/>
  <c r="G16" i="15"/>
  <c r="E43" i="15"/>
  <c r="F43" i="15"/>
  <c r="I37" i="14"/>
  <c r="L253" i="35"/>
  <c r="M253" i="35" s="1"/>
  <c r="J37" i="14"/>
  <c r="H34" i="15"/>
  <c r="H35" i="15" s="1"/>
  <c r="G34" i="15"/>
  <c r="G35" i="15" s="1"/>
  <c r="G32" i="15"/>
  <c r="E45" i="12"/>
  <c r="H25" i="15"/>
  <c r="I25" i="15"/>
  <c r="H32" i="15"/>
  <c r="H18" i="15"/>
  <c r="I24" i="15"/>
  <c r="G25" i="15"/>
  <c r="H43" i="15" l="1"/>
  <c r="G43" i="15"/>
  <c r="J38" i="14"/>
  <c r="I38" i="14"/>
  <c r="E45" i="15"/>
  <c r="I39" i="14" l="1"/>
  <c r="J39" i="14"/>
  <c r="H45" i="15"/>
  <c r="A741" i="34"/>
  <c r="J40" i="14" l="1"/>
  <c r="I40" i="14"/>
  <c r="B741" i="34"/>
  <c r="I41" i="14" l="1"/>
  <c r="J41" i="14"/>
  <c r="J42" i="14" s="1"/>
  <c r="I42" i="14" l="1"/>
  <c r="I43" i="14" l="1"/>
  <c r="J43" i="14"/>
  <c r="J44" i="14" l="1"/>
  <c r="I44" i="14"/>
  <c r="I45" i="14" l="1"/>
  <c r="J45" i="14"/>
  <c r="J46" i="14" l="1"/>
  <c r="I46" i="14"/>
  <c r="I47" i="14" l="1"/>
  <c r="J47" i="14"/>
  <c r="J48" i="14" l="1"/>
  <c r="I48" i="14"/>
  <c r="I49" i="14" l="1"/>
  <c r="J49" i="14"/>
  <c r="J50" i="14" l="1"/>
  <c r="I50" i="14"/>
</calcChain>
</file>

<file path=xl/comments1.xml><?xml version="1.0" encoding="utf-8"?>
<comments xmlns="http://schemas.openxmlformats.org/spreadsheetml/2006/main">
  <authors>
    <author>User 1</author>
  </authors>
  <commentList>
    <comment ref="L254" authorId="0">
      <text>
        <r>
          <rPr>
            <b/>
            <sz val="9"/>
            <color indexed="81"/>
            <rFont val="Tahoma"/>
            <family val="2"/>
          </rPr>
          <t>20/5 : 33tr (CMD)
12/5 : 150tr (Phúc Vinh)
27/7: 327.600 ( Thiên Phú)</t>
        </r>
      </text>
    </comment>
  </commentList>
</comments>
</file>

<file path=xl/sharedStrings.xml><?xml version="1.0" encoding="utf-8"?>
<sst xmlns="http://schemas.openxmlformats.org/spreadsheetml/2006/main" count="7811" uniqueCount="1273">
  <si>
    <t>Diễn giải</t>
  </si>
  <si>
    <t>Ủng hộ vận động Nghĩa Tình Trà Vinh</t>
  </si>
  <si>
    <t>Thuế môn bài 2012</t>
  </si>
  <si>
    <t>Thuế môn bài 2013</t>
  </si>
  <si>
    <t>Thuế môn bài 2011</t>
  </si>
  <si>
    <t>Ứng tiền cọc betong Tân Tài</t>
  </si>
  <si>
    <t>Ứng tiền cọc betong IBS</t>
  </si>
  <si>
    <t>Thuế môn bài 2014</t>
  </si>
  <si>
    <t>Tạm ứng tiền XD CSHT - Công  Nghệ Môi Trường CMD</t>
  </si>
  <si>
    <t>Ứng tiển thiết kế - Kiến Trúc XD Bách Việt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</si>
  <si>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</si>
  <si>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</si>
  <si>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</si>
  <si>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</si>
  <si>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</si>
  <si>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</si>
  <si>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</si>
  <si>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</si>
  <si>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</si>
  <si>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</si>
  <si>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</si>
  <si>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</si>
  <si>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T02</t>
  </si>
  <si>
    <t>Phí kiểm đếm</t>
  </si>
  <si>
    <t>VAT Phí kiểm đếm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</si>
  <si>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</si>
  <si>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</si>
  <si>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</si>
  <si>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</si>
  <si>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</si>
  <si>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</si>
  <si>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</si>
  <si>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</si>
  <si>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</si>
  <si>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</si>
  <si>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</si>
  <si>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Phí điều chỉnh lệnh chi tiền</t>
  </si>
  <si>
    <t>VAT Phí điều chỉnh lệnh chi tiền</t>
  </si>
  <si>
    <t>An Lạc - Ứng vốn</t>
  </si>
  <si>
    <t>3388</t>
  </si>
  <si>
    <t>3338</t>
  </si>
  <si>
    <t>Phí NH</t>
  </si>
  <si>
    <t>x</t>
  </si>
  <si>
    <t>Phí duy trì DV SMS</t>
  </si>
  <si>
    <t>VAT Phí duy trì DV SMS</t>
  </si>
  <si>
    <t>An Lạc LA- Ứng vốn</t>
  </si>
  <si>
    <t>VAT Phí NH</t>
  </si>
  <si>
    <t>Phí duy trì DV SMS - 0982911262</t>
  </si>
  <si>
    <t>Phí duy trì DV SMS - 0913906967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</si>
  <si>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</si>
  <si>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</si>
  <si>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</si>
  <si>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</si>
  <si>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</si>
  <si>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</si>
  <si>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</si>
  <si>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Lệ phí cục thuế Trà Vinh</t>
  </si>
  <si>
    <t>Đóng góp tiền xây dựng quỹ an sinh xã hội</t>
  </si>
  <si>
    <t>Phí chuyển tiền</t>
  </si>
  <si>
    <t>Nộp thuế môn bài 2008</t>
  </si>
  <si>
    <t>Nộp thuế môn bài 2009</t>
  </si>
  <si>
    <t>Phí khắc dấu</t>
  </si>
  <si>
    <t>Phí thanh lý hợp đồng số 136/HĐ-VPPKQDA</t>
  </si>
  <si>
    <t>Lệ phí cấp giấy cục thuế Trà Vinh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</si>
  <si>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</si>
  <si>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</si>
  <si>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</si>
  <si>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</si>
  <si>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</si>
  <si>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</si>
  <si>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</si>
  <si>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</si>
  <si>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</si>
  <si>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</si>
  <si>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</si>
  <si>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</si>
  <si>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</si>
  <si>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Ngày 31 tháng  12  năm  2009</t>
  </si>
  <si>
    <t>CTGS</t>
  </si>
  <si>
    <t>STT</t>
  </si>
  <si>
    <t>ĐƠN VỊ</t>
  </si>
  <si>
    <t>ĐẦU KỲ</t>
  </si>
  <si>
    <t>PHÁT SINH</t>
  </si>
  <si>
    <t>BQL Khu Kinh Tế Trà Vinh</t>
  </si>
  <si>
    <t>VAT CSHT - KCN Long Đức</t>
  </si>
  <si>
    <t>Cty TNHH MTV XD TM DV Khánh Trân</t>
  </si>
  <si>
    <t>Cty TNHH MTV Công Nghệ Môi Trường CDM</t>
  </si>
  <si>
    <t>Lập báo cáo dự án - Trà Vinh</t>
  </si>
  <si>
    <t>VAT Lập báo cáo dự án - Trà Vinh</t>
  </si>
  <si>
    <t>Cty Cổ Phần Bê Tông IBS</t>
  </si>
  <si>
    <t>Cty Kiến Trúc XD Bách Việt</t>
  </si>
  <si>
    <t>Cty Bê Tông Tân Tài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</si>
  <si>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</si>
  <si>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</si>
  <si>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</si>
  <si>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</si>
  <si>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</si>
  <si>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</si>
  <si>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</si>
  <si>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</si>
  <si>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Cọc bê tông</t>
  </si>
  <si>
    <t>VAT Cọc bê tông</t>
  </si>
  <si>
    <t>SỐ DƯ CUỐI KỲ</t>
  </si>
  <si>
    <t>NỢ</t>
  </si>
  <si>
    <t>CÓ</t>
  </si>
  <si>
    <t>Hợp đồng giao khoán số 13/HDGK/2014</t>
  </si>
  <si>
    <t>VAT Hợp đồng giao khoán số 13/HDGK/2014</t>
  </si>
  <si>
    <t>Thanh toán hợp đồng giao khoán số 13/HDGK/2014</t>
  </si>
  <si>
    <t>Cty Cổ Phần Xây Dựng Hiền Phúc</t>
  </si>
  <si>
    <t>BQL Dự Án Xây Dựng Dân Dụng &amp; Công Nghiệp Trà Vinh</t>
  </si>
  <si>
    <t>Tạm ứng tiền dự án</t>
  </si>
  <si>
    <t>Cty CP Cơ Khí Kim Loại Xây Dựng Hoàng Kim</t>
  </si>
  <si>
    <t>Thanh toán tiền xây dựng - Khánh Trân</t>
  </si>
  <si>
    <t>Thanh toán tiền xây dựng</t>
  </si>
  <si>
    <t>Thanh toán CSHT - KCN Long Đức</t>
  </si>
  <si>
    <t>Thuê quyền SDĐ - KCN Long Đức 26/8/10-15/9/11</t>
  </si>
  <si>
    <t>Tiền sử dụng CSHT - KCN Long Đức 15/9/11-15/9/12</t>
  </si>
  <si>
    <t>Tiền sử dụng CSHT - KCN Long Đức 15/9/13-15/9/14</t>
  </si>
  <si>
    <t>Vay KU 1402LDS201401630</t>
  </si>
  <si>
    <t>Lãi vay KU 1402LDS201401630</t>
  </si>
  <si>
    <t xml:space="preserve">Phí điểu chỉnh lệnh chuyển tiền </t>
  </si>
  <si>
    <t>VAT Phí điểu chỉnh lệnh chuyển tiền</t>
  </si>
  <si>
    <t>Cọc bêtong</t>
  </si>
  <si>
    <t>VAT Cọc bêtong</t>
  </si>
  <si>
    <t>Phí hạ tầng - KCN Long Đức 15/09/14 - 15/09/15</t>
  </si>
  <si>
    <t>Thanh toán tiền dự án cấp thoát nước</t>
  </si>
  <si>
    <t>Thanh toán CSHT - KCN Long Đức 15/09/14 - 15/09/15</t>
  </si>
  <si>
    <t>Vay KU 1402LDS201402374</t>
  </si>
  <si>
    <t>Thanh toán tiền đá - Hồng Rõ</t>
  </si>
  <si>
    <t>Cty TNHH Một Thành Viên Cấp Thoát Nước Trà Vinh</t>
  </si>
  <si>
    <t>Đá 0 x 4</t>
  </si>
  <si>
    <t>VAT Đá 0 x 4</t>
  </si>
  <si>
    <t>Cty TNHH Xây Dựng Thương Mại Hồng Rõ</t>
  </si>
  <si>
    <t>C06</t>
  </si>
  <si>
    <t>C07</t>
  </si>
  <si>
    <t>C08</t>
  </si>
  <si>
    <t>Tiền mạng lưới cấp thoát nước</t>
  </si>
  <si>
    <t>VAT Tiền mạng lưới cấp thoát nước</t>
  </si>
  <si>
    <t>Cty TNHH MTV Thanh Hoàng Thanh</t>
  </si>
  <si>
    <t>Vay KU 1402LDS201402740</t>
  </si>
  <si>
    <t xml:space="preserve">Lãi vay KU 1402LDS201401630 </t>
  </si>
  <si>
    <t>Lãi vay KU 1402LDS201402000</t>
  </si>
  <si>
    <t>Vay KU 1402LDS201403045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</si>
  <si>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</si>
  <si>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</si>
  <si>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</si>
  <si>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</si>
  <si>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</si>
  <si>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</si>
  <si>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</si>
  <si>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</si>
  <si>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</si>
  <si>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</si>
  <si>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Nộp thuế môn bài 2010</t>
  </si>
  <si>
    <t>C09</t>
  </si>
  <si>
    <t>Đăng kí chữ ký số</t>
  </si>
  <si>
    <t>VAT Đăng kí chữ ký số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</si>
  <si>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</si>
  <si>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</si>
  <si>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</si>
  <si>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</si>
  <si>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</si>
  <si>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</si>
  <si>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</si>
  <si>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</si>
  <si>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</si>
  <si>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</si>
  <si>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</si>
  <si>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</si>
  <si>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</si>
  <si>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</si>
  <si>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</si>
  <si>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</si>
  <si>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</si>
  <si>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</si>
  <si>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</si>
  <si>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</si>
  <si>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</si>
  <si>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</si>
  <si>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</si>
  <si>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>Tạm ứng tiền theo dõi môi trường công trình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</si>
  <si>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</si>
  <si>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</si>
  <si>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</si>
  <si>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</si>
  <si>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</si>
  <si>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</si>
  <si>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</si>
  <si>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</si>
  <si>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Thuê quyền SDĐ - KCN Long Đức 08/03/14-08/03/15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</si>
  <si>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</si>
  <si>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</si>
  <si>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</si>
  <si>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</si>
  <si>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</si>
  <si>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</si>
  <si>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</si>
  <si>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</si>
  <si>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</si>
  <si>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</si>
  <si>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</si>
  <si>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</si>
  <si>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</si>
  <si>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</si>
  <si>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</si>
  <si>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</si>
  <si>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</si>
  <si>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</si>
  <si>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</si>
  <si>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</si>
  <si>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</si>
  <si>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</si>
  <si>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</si>
  <si>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</si>
  <si>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</si>
  <si>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</si>
  <si>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</si>
  <si>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</si>
  <si>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</si>
  <si>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</si>
  <si>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</si>
  <si>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</si>
  <si>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</si>
  <si>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</si>
  <si>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</si>
  <si>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</si>
  <si>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</si>
  <si>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</si>
  <si>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</si>
  <si>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</si>
  <si>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</si>
  <si>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</si>
  <si>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</si>
  <si>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</si>
  <si>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</si>
  <si>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</si>
  <si>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</si>
  <si>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</si>
  <si>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</si>
  <si>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</si>
  <si>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</si>
  <si>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</si>
  <si>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</si>
  <si>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</si>
  <si>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</si>
  <si>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</si>
  <si>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</si>
  <si>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</si>
  <si>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</si>
  <si>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</si>
  <si>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</si>
  <si>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</si>
  <si>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</si>
  <si>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</si>
  <si>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</si>
  <si>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</si>
  <si>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</si>
  <si>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</si>
  <si>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</si>
  <si>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</si>
  <si>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</si>
  <si>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</si>
  <si>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</si>
  <si>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</si>
  <si>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năm</t>
  </si>
  <si>
    <t>tháng</t>
  </si>
  <si>
    <t>Cty TNHH Hải Sản An Lạc - Long An</t>
  </si>
  <si>
    <t>Cty TNHH Hải Sản An Lạc - TP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</si>
  <si>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</si>
  <si>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</si>
  <si>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</si>
  <si>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</si>
  <si>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</si>
  <si>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</si>
  <si>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</si>
  <si>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</si>
  <si>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</si>
  <si>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</si>
  <si>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</si>
  <si>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</si>
  <si>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</si>
  <si>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</si>
  <si>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</si>
  <si>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</si>
  <si>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</si>
  <si>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</si>
  <si>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</si>
  <si>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</si>
  <si>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</si>
  <si>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</si>
  <si>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</si>
  <si>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</si>
  <si>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</si>
  <si>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</si>
  <si>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</si>
  <si>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</si>
  <si>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</si>
  <si>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</si>
  <si>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</si>
  <si>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</si>
  <si>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</si>
  <si>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</si>
  <si>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</si>
  <si>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</si>
  <si>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</si>
  <si>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</si>
  <si>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</si>
  <si>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</si>
  <si>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</si>
  <si>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</si>
  <si>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</si>
  <si>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</si>
  <si>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Vay KU 1402LDS201402000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</si>
  <si>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</si>
  <si>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</si>
  <si>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</si>
  <si>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</si>
  <si>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</si>
  <si>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</si>
  <si>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</si>
  <si>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</si>
  <si>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</si>
  <si>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</si>
  <si>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</si>
  <si>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</si>
  <si>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</si>
  <si>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</si>
  <si>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</si>
  <si>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</si>
  <si>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</si>
  <si>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</si>
  <si>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</si>
  <si>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</si>
  <si>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</si>
  <si>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</si>
  <si>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</si>
  <si>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</si>
  <si>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</si>
  <si>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</si>
  <si>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</si>
  <si>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</si>
  <si>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</si>
  <si>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</si>
  <si>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</si>
  <si>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</si>
  <si>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</si>
  <si>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</si>
  <si>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</si>
  <si>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</si>
  <si>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</si>
  <si>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</si>
  <si>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</si>
  <si>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</si>
  <si>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</si>
  <si>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</si>
  <si>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</si>
  <si>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</si>
  <si>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</si>
  <si>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</si>
  <si>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KHÁCH HÀNG</t>
  </si>
  <si>
    <t>SỐ HĐ</t>
  </si>
  <si>
    <t>NGÀY HĐ</t>
  </si>
  <si>
    <t>HỢP ĐỒNG - NH (10%VAT)</t>
  </si>
  <si>
    <t>GIÁ TRỊ THỰC TẾ</t>
  </si>
  <si>
    <t>NGÀY THANH TOÁN</t>
  </si>
  <si>
    <t>GHI CHÚ</t>
  </si>
  <si>
    <t>GIÁ TRỊ HĐ</t>
  </si>
  <si>
    <t>THANH TOÁN</t>
  </si>
  <si>
    <t>Thuê QSDĐ 26/8/08-15/9/09</t>
  </si>
  <si>
    <t>Thuê QSDĐ 26/8/09-15/9/10</t>
  </si>
  <si>
    <t>TP- Chuyển NH</t>
  </si>
  <si>
    <t>Thuê QSDĐ 26/8/10-15/9/11</t>
  </si>
  <si>
    <t>Thanh toán NH</t>
  </si>
  <si>
    <t>Thuê QSDĐ 15/9/11-15/9/12</t>
  </si>
  <si>
    <t>Thuê QSDĐ 15/9/12-15/9/13</t>
  </si>
  <si>
    <t>Thuê QSDĐ 15/9/13-15/9/14</t>
  </si>
  <si>
    <t>Thuê QSDĐ 8/3/14 - 8/3/15</t>
  </si>
  <si>
    <t>Phí hạ tầng 15/9/14-15/9/15</t>
  </si>
  <si>
    <t>Thuê QSDĐ 9/3/15 - 6/3/16</t>
  </si>
  <si>
    <t>CÒN LẠI</t>
  </si>
  <si>
    <t>18-11/HĐ-DVMT-2013</t>
  </si>
  <si>
    <t>13/HĐGK/2014</t>
  </si>
  <si>
    <t>Cty TNHH XDTM Hồng Rõ</t>
  </si>
  <si>
    <t>Bảo Hiểm Bảo Long</t>
  </si>
  <si>
    <t>30/HĐTK.TCXDCT</t>
  </si>
  <si>
    <t>27/02/2014/HĐKT/BT IBS PKD DA1</t>
  </si>
  <si>
    <t>Thanh toán TM</t>
  </si>
  <si>
    <t>22/HĐEC.13</t>
  </si>
  <si>
    <t>20.3 HĐ/TVTK.2013</t>
  </si>
  <si>
    <t>01/HĐXD-2011</t>
  </si>
  <si>
    <t>Thu TM</t>
  </si>
  <si>
    <t>07/2014/HĐXD (27.013.067.000)</t>
  </si>
  <si>
    <t>TM : 10ty</t>
  </si>
  <si>
    <t>02-14/HĐTC (Kết cấu thép)</t>
  </si>
  <si>
    <t>01-2015/HĐTC (kết cấu nhà xe, mái nối, thang leo, lang cang,cửa cổng)</t>
  </si>
  <si>
    <t>15/01/2015/HĐKT</t>
  </si>
  <si>
    <t>17/2015</t>
  </si>
  <si>
    <t>13/2013/HĐKT</t>
  </si>
  <si>
    <t>01/2015/HĐKT</t>
  </si>
  <si>
    <t>DNTN SX TM Nguyễn Trình</t>
  </si>
  <si>
    <t>36/2015/HĐMB/NT</t>
  </si>
  <si>
    <t>03/HĐ/2015</t>
  </si>
  <si>
    <t>14/HĐKT.15</t>
  </si>
  <si>
    <t>../2015/HĐXL</t>
  </si>
  <si>
    <t>151/2015/TP/HĐKT</t>
  </si>
  <si>
    <t>1606/HĐKT/M&amp;E/2015</t>
  </si>
  <si>
    <t>Cty TNHH Xây Dựng Hoàn Cầu</t>
  </si>
  <si>
    <t>05/HĐ-XD</t>
  </si>
  <si>
    <t>TỔNG CỘNG CHI PHÍ</t>
  </si>
  <si>
    <t>0000412</t>
  </si>
  <si>
    <t>VAT vật liệu xây dựng</t>
  </si>
  <si>
    <t>0000413</t>
  </si>
  <si>
    <t>0000415</t>
  </si>
  <si>
    <t>Kỹ Thuật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</si>
  <si>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</si>
  <si>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</si>
  <si>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</si>
  <si>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</si>
  <si>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</si>
  <si>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</si>
  <si>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</si>
  <si>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</si>
  <si>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</si>
  <si>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</si>
  <si>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</si>
  <si>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HĐ : 0011884</t>
  </si>
  <si>
    <t>Đào giếng &amp; tiền xe VC</t>
  </si>
  <si>
    <t>Chi phí khác bằng tiền mặt không hóa đơn</t>
  </si>
  <si>
    <t>Tủ tài liệu &amp; bàng làm việc</t>
  </si>
  <si>
    <t xml:space="preserve"> HÓA ĐƠN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</si>
  <si>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</si>
  <si>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</si>
  <si>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</si>
  <si>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</si>
  <si>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</si>
  <si>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</si>
  <si>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</si>
  <si>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</si>
  <si>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</si>
  <si>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</si>
  <si>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</si>
  <si>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</si>
  <si>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</si>
  <si>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</si>
  <si>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</si>
  <si>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</si>
  <si>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</si>
  <si>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</si>
  <si>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</si>
  <si>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</si>
  <si>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</si>
  <si>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</si>
  <si>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……../HTXL-2015</t>
  </si>
  <si>
    <t>Cty TNHH Thương Mại Trang Trí Nội Thất Kiến Hưng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</si>
  <si>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</si>
  <si>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</si>
  <si>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</si>
  <si>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</si>
  <si>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</si>
  <si>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</si>
  <si>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</si>
  <si>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</si>
  <si>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</si>
  <si>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</si>
  <si>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</si>
  <si>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</si>
  <si>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</si>
  <si>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</si>
  <si>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</si>
  <si>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</si>
  <si>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</si>
  <si>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</si>
  <si>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</si>
  <si>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</si>
  <si>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</si>
  <si>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</si>
  <si>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</si>
  <si>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</si>
  <si>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</si>
  <si>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</si>
  <si>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</si>
  <si>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</si>
  <si>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</si>
  <si>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</si>
  <si>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</si>
  <si>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</si>
  <si>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</si>
  <si>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</si>
  <si>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</si>
  <si>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</si>
  <si>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</si>
  <si>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</si>
  <si>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</si>
  <si>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HĐ : 4537,4539,4589,5498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</si>
  <si>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</si>
  <si>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</si>
  <si>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</si>
  <si>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</si>
  <si>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</si>
  <si>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</si>
  <si>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</si>
  <si>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</si>
  <si>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</si>
  <si>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</si>
  <si>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</si>
  <si>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</si>
  <si>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</si>
  <si>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</si>
  <si>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</si>
  <si>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</si>
  <si>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</si>
  <si>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 chứng từ</t>
  </si>
  <si>
    <t>Đặng Thành Thang</t>
  </si>
  <si>
    <t>0009268</t>
  </si>
  <si>
    <t>Đặng Vũ Thụy</t>
  </si>
  <si>
    <t>Giấy nộp tiền</t>
  </si>
  <si>
    <t>0020006, 038615</t>
  </si>
  <si>
    <t>031407</t>
  </si>
  <si>
    <t>0010228, 00100230</t>
  </si>
  <si>
    <t>Cục Thuế Tỉnh Trà Vinh</t>
  </si>
  <si>
    <t>0007164</t>
  </si>
  <si>
    <t>0065722</t>
  </si>
  <si>
    <t>Cty TNHH Kê Khai Qua Mạng Việt Nam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</si>
  <si>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</si>
  <si>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</si>
  <si>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</si>
  <si>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</si>
  <si>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</si>
  <si>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</si>
  <si>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</si>
  <si>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</si>
  <si>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</si>
  <si>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</si>
  <si>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</si>
  <si>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</si>
  <si>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</si>
  <si>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</si>
  <si>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</si>
  <si>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</si>
  <si>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</si>
  <si>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</si>
  <si>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</si>
  <si>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</si>
  <si>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</si>
  <si>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</si>
  <si>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</si>
  <si>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</si>
  <si>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</si>
  <si>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</si>
  <si>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</si>
  <si>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</si>
  <si>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</si>
  <si>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</si>
  <si>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</si>
  <si>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</si>
  <si>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</si>
  <si>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</si>
  <si>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</si>
  <si>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</si>
  <si>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0043444</t>
  </si>
  <si>
    <t>0139645</t>
  </si>
  <si>
    <t>0042089</t>
  </si>
  <si>
    <t>0000105</t>
  </si>
  <si>
    <t>0056855</t>
  </si>
  <si>
    <t>0000001</t>
  </si>
  <si>
    <t>0000559</t>
  </si>
  <si>
    <t>0000881</t>
  </si>
  <si>
    <t>0000316</t>
  </si>
  <si>
    <t>0066256</t>
  </si>
  <si>
    <t>0008366</t>
  </si>
  <si>
    <t>0000068</t>
  </si>
  <si>
    <t>0072122</t>
  </si>
  <si>
    <t>0000106</t>
  </si>
  <si>
    <t>Lê Thị Hoa</t>
  </si>
  <si>
    <t>Tạ Thị Đông Dân</t>
  </si>
  <si>
    <t>Nộp tiền mặt vào tài khoản ngân hàng</t>
  </si>
  <si>
    <t>Hoàn trả tiền mượn chuyển khoản</t>
  </si>
  <si>
    <t>Thu vốn đầu tư ban đầu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</si>
  <si>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</si>
  <si>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</si>
  <si>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</si>
  <si>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</si>
  <si>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</si>
  <si>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</si>
  <si>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</si>
  <si>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</si>
  <si>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</si>
  <si>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</si>
  <si>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</si>
  <si>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</si>
  <si>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</si>
  <si>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</si>
  <si>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</si>
  <si>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</si>
  <si>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</si>
  <si>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</si>
  <si>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</si>
  <si>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</si>
  <si>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</si>
  <si>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</si>
  <si>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</si>
  <si>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</si>
  <si>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</si>
  <si>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</si>
  <si>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</si>
  <si>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</si>
  <si>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</si>
  <si>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</si>
  <si>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</si>
  <si>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</si>
  <si>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</si>
  <si>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</si>
  <si>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</si>
  <si>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</si>
  <si>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</si>
  <si>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</si>
  <si>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</si>
  <si>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</si>
  <si>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</si>
  <si>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</si>
  <si>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</si>
  <si>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</si>
  <si>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</si>
  <si>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</si>
  <si>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</si>
  <si>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</si>
  <si>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</si>
  <si>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</si>
  <si>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</si>
  <si>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</si>
  <si>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</si>
  <si>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</si>
  <si>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</si>
  <si>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</si>
  <si>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</si>
  <si>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</si>
  <si>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</si>
  <si>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</si>
  <si>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</si>
  <si>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</si>
  <si>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</si>
  <si>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</si>
  <si>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</si>
  <si>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</si>
  <si>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</si>
  <si>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</si>
  <si>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</si>
  <si>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</si>
  <si>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</si>
  <si>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</si>
  <si>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</si>
  <si>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</si>
  <si>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</si>
  <si>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</si>
  <si>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2412</t>
  </si>
  <si>
    <t xml:space="preserve"> Xây dựng cơ bản </t>
  </si>
  <si>
    <t>241</t>
  </si>
  <si>
    <t xml:space="preserve"> Xây dựng cơ bản dở dang </t>
  </si>
  <si>
    <t>Bồn inox 2.000L</t>
  </si>
  <si>
    <t>VAT Bồn inox 2.000L</t>
  </si>
  <si>
    <t>0011991</t>
  </si>
  <si>
    <t>0057286</t>
  </si>
  <si>
    <t>Thùng rác, chân bình lọc, kệ góc inox</t>
  </si>
  <si>
    <t>Tủ 30 cửa</t>
  </si>
  <si>
    <t>VAT Tủ 30 cửa</t>
  </si>
  <si>
    <t>0000726</t>
  </si>
  <si>
    <t>Cty TNHH MTV TM DV Nguyên Cường Phát</t>
  </si>
  <si>
    <t>Hợp đồng</t>
  </si>
  <si>
    <t>Khách hàng</t>
  </si>
  <si>
    <t>Mục đích</t>
  </si>
  <si>
    <t>Trị giá hợp đồng</t>
  </si>
  <si>
    <t>Hóa đơn</t>
  </si>
  <si>
    <t>Thanh toán</t>
  </si>
  <si>
    <t>Thiết kế sơ bộ</t>
  </si>
  <si>
    <t>Mua ngoài</t>
  </si>
  <si>
    <t>Tiền VLXD (đá 0x4)</t>
  </si>
  <si>
    <t>Thoát nước</t>
  </si>
  <si>
    <t>27/02/2014/PLHĐ/BTIBSPKDD1</t>
  </si>
  <si>
    <t>Cọc Bê tông</t>
  </si>
  <si>
    <t>Ép cọc</t>
  </si>
  <si>
    <t>24/QĐ-BQL (01/07/14); 20/HĐ-CTHT (26/08/09)\</t>
  </si>
  <si>
    <t>Giám sát công trình và tiền phí hạ tầng</t>
  </si>
  <si>
    <t>07/2014HĐXD</t>
  </si>
  <si>
    <t>Thi Công nhà xưởng</t>
  </si>
  <si>
    <t>02-14/HĐTC-HK</t>
  </si>
  <si>
    <t>15/01/2015/HĐKT ngày 10/01/15</t>
  </si>
  <si>
    <t>Điện, thoát nước, điện lạnh..</t>
  </si>
  <si>
    <t>Kho lạnh</t>
  </si>
  <si>
    <t>Máy kho lạnh</t>
  </si>
  <si>
    <t>Ngày 31/03/2015</t>
  </si>
  <si>
    <t>Nồi hơi</t>
  </si>
  <si>
    <t>13/2013/HĐKT ngày 10/12/2013</t>
  </si>
  <si>
    <t>PCCC</t>
  </si>
  <si>
    <t>01/2015/HĐKT ngày 15/04/15</t>
  </si>
  <si>
    <t>Sân và bó vỉa</t>
  </si>
  <si>
    <t>03/HĐ/2015 ngày 01/05/15</t>
  </si>
  <si>
    <t>Vật tư xây dựng</t>
  </si>
  <si>
    <t>14/HĐKT.15 ngày 01/05/15</t>
  </si>
  <si>
    <t>Vách ngăn nhựa, cửa nhôm, cửa nhựa</t>
  </si>
  <si>
    <t>HĐ số  2015/HĐXL</t>
  </si>
  <si>
    <t>Biến áp và xây đường trung thế</t>
  </si>
  <si>
    <t>Hóa đơn 00068</t>
  </si>
  <si>
    <t>Cư tràm</t>
  </si>
  <si>
    <t>Hóa đơn 0011884</t>
  </si>
  <si>
    <t>Bồn Inox</t>
  </si>
  <si>
    <t>05/HĐ-XD (20/07/15)</t>
  </si>
  <si>
    <t>Nâng cấp hàng rào, sơn tường, lát đá hoa cương</t>
  </si>
  <si>
    <t>151/2015/TP/HDKT (27/06/15)</t>
  </si>
  <si>
    <t>Lưới thép hàn</t>
  </si>
  <si>
    <t>Cộng</t>
  </si>
  <si>
    <t>20/2015/HĐMB/KH</t>
  </si>
  <si>
    <t>Gạch men, vật dụng nội thất</t>
  </si>
  <si>
    <t>1811/HĐ-DVMT-2013</t>
  </si>
  <si>
    <t>0000334</t>
  </si>
  <si>
    <t>Điện kỳ 1 T10/2015</t>
  </si>
  <si>
    <t>0269053</t>
  </si>
  <si>
    <t>VAT Điện kỳ 1 T10/2015</t>
  </si>
  <si>
    <t>CSPK điện kỳ 1 T10/2015</t>
  </si>
  <si>
    <t>0000318</t>
  </si>
  <si>
    <t>VAT CSPK điện kỳ 1 T10/2015</t>
  </si>
  <si>
    <t>Thanh toán tiền điện kỳ 1 /T10</t>
  </si>
  <si>
    <t xml:space="preserve">Hoàn tiền do sai tên cty </t>
  </si>
  <si>
    <t>Thanh toán tiền tủ nhôm</t>
  </si>
  <si>
    <t>Trị giá dự toán công trình</t>
  </si>
  <si>
    <t>Máy lạnh Toshiba 2Hp</t>
  </si>
  <si>
    <t>0000646</t>
  </si>
  <si>
    <t>Cty TNHH Thương Mại &amp; Dịch Vụ Bùi Nguyễn</t>
  </si>
  <si>
    <t>VAT Máy lạnh Toshiba 2Hp</t>
  </si>
  <si>
    <t>0000670</t>
  </si>
  <si>
    <t>0000692</t>
  </si>
  <si>
    <t>0000719</t>
  </si>
  <si>
    <t>0000755</t>
  </si>
  <si>
    <t>Bảo trì, sạc gas, thay lốc máy</t>
  </si>
  <si>
    <t>0000761</t>
  </si>
  <si>
    <t>VAT Bảo trì, sạc gas, thay lốc máy</t>
  </si>
  <si>
    <t>Ống đồng</t>
  </si>
  <si>
    <t>0000782</t>
  </si>
  <si>
    <t>VAT Ống đồng</t>
  </si>
  <si>
    <t>0000789</t>
  </si>
  <si>
    <t>Gas</t>
  </si>
  <si>
    <t>0001752</t>
  </si>
  <si>
    <t>Công Ty Xăng Dầu Trà Vinh</t>
  </si>
  <si>
    <t>VAT Gas</t>
  </si>
  <si>
    <t>Ống đồng, eke, dây điện, máy lạnh</t>
  </si>
  <si>
    <t>0000811</t>
  </si>
  <si>
    <t>VAT Ống đồng, eke, dây điện, máy lạnh</t>
  </si>
  <si>
    <t>0000824</t>
  </si>
  <si>
    <t>CHÊNH LỆCH 2 HỘP ĐỒNG</t>
  </si>
  <si>
    <t>VAT 10% CHÊNH LỆCH</t>
  </si>
  <si>
    <t>5% ĐỂ LẠI</t>
  </si>
  <si>
    <t>Eximbank - Q4</t>
  </si>
  <si>
    <t>Gạch</t>
  </si>
  <si>
    <t>0003335</t>
  </si>
  <si>
    <t>Cty TNHH MTV Phát Triển TM Vật Liệu Xây Dựng Phương Nam</t>
  </si>
  <si>
    <t>VAT Gạch</t>
  </si>
  <si>
    <t>0003336</t>
  </si>
  <si>
    <t>0003337</t>
  </si>
  <si>
    <t>Tiền nước T10/2015</t>
  </si>
  <si>
    <t>0292995</t>
  </si>
  <si>
    <t>VAT Tiền nước T10/2015</t>
  </si>
  <si>
    <t>0000492</t>
  </si>
  <si>
    <t>C38</t>
  </si>
  <si>
    <t>C39</t>
  </si>
  <si>
    <t>C40</t>
  </si>
  <si>
    <t>C41</t>
  </si>
  <si>
    <t>C42</t>
  </si>
  <si>
    <t>Van đạp chân, máng rửa tay</t>
  </si>
  <si>
    <t>0000108</t>
  </si>
  <si>
    <t>Cty TNHH Năm Dũng</t>
  </si>
  <si>
    <t>VAT Van đạp chân, máng rửa tay</t>
  </si>
  <si>
    <t>C43</t>
  </si>
  <si>
    <t>Màn chắn côn trùng</t>
  </si>
  <si>
    <t>0000451</t>
  </si>
  <si>
    <t>Cty TNHH TM DV Sài Gòn Nam Phát</t>
  </si>
  <si>
    <t>VAT Màn chắn côn trùng</t>
  </si>
  <si>
    <t>C44</t>
  </si>
  <si>
    <t>0000109</t>
  </si>
  <si>
    <t>C45</t>
  </si>
  <si>
    <t>0000455</t>
  </si>
  <si>
    <t>C46</t>
  </si>
  <si>
    <t>Dịch vụ bảo vệ</t>
  </si>
  <si>
    <t>0000164</t>
  </si>
  <si>
    <t>Cty TNHH MTV Dịch Vụ Bảo Vệ Vạn Lợi</t>
  </si>
  <si>
    <t>VAT Dịch vụ bảo vệ</t>
  </si>
  <si>
    <t>C47</t>
  </si>
  <si>
    <t>Thiết bị văn phòng</t>
  </si>
  <si>
    <t>0099358</t>
  </si>
  <si>
    <t>TT Thiết Bị VP Hải Ngân</t>
  </si>
  <si>
    <t>Máy chấm công và thiết bị lắp đặt</t>
  </si>
  <si>
    <t>0000249</t>
  </si>
  <si>
    <t>Cty CP Đầu Tư Công Nghệ MHP</t>
  </si>
  <si>
    <t>VAT Máy chấm công và thiết bị lắp đặt</t>
  </si>
  <si>
    <t>C48</t>
  </si>
  <si>
    <t>Quạt chắn gió</t>
  </si>
  <si>
    <t>0000457</t>
  </si>
  <si>
    <t>VAT Quạt chắn gió</t>
  </si>
  <si>
    <t>C49</t>
  </si>
  <si>
    <t>Thùng nhựa</t>
  </si>
  <si>
    <t>0000041</t>
  </si>
  <si>
    <t>Cty TNHH MTV Nhựa Tuấn Đạt</t>
  </si>
  <si>
    <t>VAT Thùng nhựa</t>
  </si>
  <si>
    <t>C50</t>
  </si>
  <si>
    <t>C51</t>
  </si>
  <si>
    <t>C52</t>
  </si>
  <si>
    <t>Cước điện thoại + Internet T9/15</t>
  </si>
  <si>
    <t>0309883;  0309882; 0309868</t>
  </si>
  <si>
    <t>VAT Cước điện thoại + Internet T9/15</t>
  </si>
  <si>
    <t>C53</t>
  </si>
  <si>
    <t>Cước điện thoại + Internet T10/15</t>
  </si>
  <si>
    <t>0020621; 0020622; 0020620</t>
  </si>
  <si>
    <t>VAT Cước điện thoại + Internet T10/15</t>
  </si>
  <si>
    <t>C54</t>
  </si>
  <si>
    <t>0000349</t>
  </si>
  <si>
    <t>C55</t>
  </si>
  <si>
    <t>C56</t>
  </si>
  <si>
    <t>Tiền nước T11/2015</t>
  </si>
  <si>
    <t>0320537</t>
  </si>
  <si>
    <t>VAT Tiền nước T11/2015</t>
  </si>
  <si>
    <t>0006632</t>
  </si>
  <si>
    <t>Thi công công trình theo HĐTC số 02-14/HĐTC-HK</t>
  </si>
  <si>
    <t>0000053</t>
  </si>
  <si>
    <t>VAT Thi công công trình theo HĐTC số 02-14/HĐTC-HK</t>
  </si>
  <si>
    <t>Thi công công trình theo HĐTC số 01-2015/HĐTC-HK</t>
  </si>
  <si>
    <t>0000055</t>
  </si>
  <si>
    <t>VAT Thi công công trình theo HĐTC số 01-2015/HĐTC-HK</t>
  </si>
  <si>
    <t>C57</t>
  </si>
  <si>
    <t>Thiết bị điện</t>
  </si>
  <si>
    <t>0075277</t>
  </si>
  <si>
    <t>Nguyễn An Khang</t>
  </si>
  <si>
    <t>C58</t>
  </si>
  <si>
    <t>Bộ màn nhựa vàng KT cửa</t>
  </si>
  <si>
    <t>0000504</t>
  </si>
  <si>
    <t>VAT Bộ màn nhựa vàng KT cửa</t>
  </si>
  <si>
    <t>C59</t>
  </si>
  <si>
    <t>C60</t>
  </si>
  <si>
    <t>Vận chuyển hàng hóa</t>
  </si>
  <si>
    <t>0000356</t>
  </si>
  <si>
    <t>DNTN Hồng Nam</t>
  </si>
  <si>
    <t>VAT Vận chuyển hàng hóa</t>
  </si>
  <si>
    <t>Thanh toán tiền gas</t>
  </si>
  <si>
    <t>Thanh toán tiền điện kỳ 2/T10</t>
  </si>
  <si>
    <t>Thanh toán tiền điện kỳ 1/T11</t>
  </si>
  <si>
    <t>Ứng vốn - Long An</t>
  </si>
  <si>
    <t>Thu tiền mượn - Long An</t>
  </si>
  <si>
    <t>Quạt treo công nghiệp</t>
  </si>
  <si>
    <t>0002791</t>
  </si>
  <si>
    <t>Tiệm Điện Sáu Yên</t>
  </si>
  <si>
    <t>C62</t>
  </si>
  <si>
    <t>Vật liệu đường ống nước</t>
  </si>
  <si>
    <t>0075282</t>
  </si>
  <si>
    <t>C63</t>
  </si>
  <si>
    <t>Tủ treo tường, tủ âm tường</t>
  </si>
  <si>
    <t>0007426</t>
  </si>
  <si>
    <t>Cơ Sở Nhôm - Săt Công Danh</t>
  </si>
  <si>
    <t>C64</t>
  </si>
  <si>
    <t>0048292</t>
  </si>
  <si>
    <t>Hiền Thành</t>
  </si>
  <si>
    <t>C65</t>
  </si>
  <si>
    <t>0048294</t>
  </si>
  <si>
    <t>C66</t>
  </si>
  <si>
    <t>Cước điện thoại + Internet T11/2015</t>
  </si>
  <si>
    <t>0052598 ,0052600, 0052599, 0068369</t>
  </si>
  <si>
    <t>Phí dịch vụ bảo vệ T11/2015</t>
  </si>
  <si>
    <t>0000190</t>
  </si>
  <si>
    <t>Tiền điện kỳ 1 T11/2015</t>
  </si>
  <si>
    <t>0298096</t>
  </si>
  <si>
    <t>VAT Tiền điện kỳ 1 T11/2015</t>
  </si>
  <si>
    <t>Tiền điện kỳ 2 T11/2015</t>
  </si>
  <si>
    <t>VAT Tiền điện kỳ 2 T11/2015</t>
  </si>
  <si>
    <t>Cung cấp Panel EPS theo hợp đồng KT 17/2015</t>
  </si>
  <si>
    <t>0000478</t>
  </si>
  <si>
    <t>VAT Cung cấp Panel EPS theo hợp đồng KT 17/2015</t>
  </si>
  <si>
    <t>Cống BCCT, Bê tông thương phẩm</t>
  </si>
  <si>
    <t>Nhà xưởng bằng thép, Gia công kết cấu thép nhà xe, lan cang, bể nước</t>
  </si>
  <si>
    <t>Lập báo cáo GSMT, Lắp đặt hệ thống xử lý nước thải</t>
  </si>
  <si>
    <t>GIÁ TRỊ SỔ SÁCH</t>
  </si>
  <si>
    <t>THỰC TẾ</t>
  </si>
  <si>
    <t>Tủ nhôm</t>
  </si>
  <si>
    <t>Tổng đài, máy chấm công</t>
  </si>
  <si>
    <t>Chi phí lãi vay</t>
  </si>
  <si>
    <t>Chi phí XD bằng tiền mặt</t>
  </si>
  <si>
    <t>Giá trị TS không thuế</t>
  </si>
  <si>
    <t>Giá trị TS gồm thuế</t>
  </si>
  <si>
    <t>Bảo hiểm xây dựng</t>
  </si>
  <si>
    <t>C69</t>
  </si>
  <si>
    <t>Thanh toán tiền gạch</t>
  </si>
  <si>
    <t>Thanh toán tiền tổng đài &amp; máy chấm công</t>
  </si>
  <si>
    <t>Thanh toán tiền bê tông thương phẩm</t>
  </si>
  <si>
    <t>Thanh toán tiền sóng nhựa &amp; ghế nhựa</t>
  </si>
  <si>
    <t>SỐ TT</t>
  </si>
  <si>
    <t>TÊN CÔNG TÁC XÂY LẮP</t>
  </si>
  <si>
    <t>KL THEO HĐ</t>
  </si>
  <si>
    <t>KL THEO TT</t>
  </si>
  <si>
    <t>KL PS GIẢM</t>
  </si>
  <si>
    <t>KL PS TĂNG</t>
  </si>
  <si>
    <t>KL</t>
  </si>
  <si>
    <t>Đơn giá</t>
  </si>
  <si>
    <t>TT</t>
  </si>
  <si>
    <t>NHÀ XƯỞNG</t>
  </si>
  <si>
    <t>Đào móng cột trụ, hố kiểm tra, rộng &gt;1m, sâu&gt;1, đất cấp I</t>
  </si>
  <si>
    <t>M3</t>
  </si>
  <si>
    <t>Đắp đất đào móng công trình bằng thủ công độ chặt yêu cầu K=0,85</t>
  </si>
  <si>
    <t>Cắt đầu cọc</t>
  </si>
  <si>
    <t>cái</t>
  </si>
  <si>
    <t>Gia công đầu cọc</t>
  </si>
  <si>
    <t>Bê tông lót móng, đá 4x6 mac100 chiều rộng&lt;=250cm</t>
  </si>
  <si>
    <t>Lót bó nền 226x0,3x0,1</t>
  </si>
  <si>
    <t>Bê tông móng đá 1x2 mác 250, rộng&lt;=250cm</t>
  </si>
  <si>
    <t>Bê tông xà dầm, giắng nhà, đá 1x2 mác 250</t>
  </si>
  <si>
    <t>0,1x0,2x284,2</t>
  </si>
  <si>
    <t>Bê tông cột, đá 1x2 mác 250, tiết diện&lt;=0,1m, cao &lt;=4m</t>
  </si>
  <si>
    <t>Bê tông nền, đá 1x2 mác 250 83x33x0,1</t>
  </si>
  <si>
    <t>80x30x0,05</t>
  </si>
  <si>
    <t>SXLD, tháo dỡ ván khuôn móng cột vuông, chữ nhật (BT đổ tại chỗ)</t>
  </si>
  <si>
    <t>100M2</t>
  </si>
  <si>
    <t>SXLD, tháo dỡ ván khuôn xà dầm, giằng (BT đổ tại chỗ)</t>
  </si>
  <si>
    <t>284,2x0,4/100</t>
  </si>
  <si>
    <t>SXLD, tháo dỡ ván khuôn cột vuông, chữ nhật (BT đổ tại chỗ)</t>
  </si>
  <si>
    <t>SX lắp dựng cất thép móng</t>
  </si>
  <si>
    <t>tấn</t>
  </si>
  <si>
    <t>SX lắp dựng cất thép xà dầm, giằng cao &lt;=4m</t>
  </si>
  <si>
    <t>SX lắp dựng cất thép cột, trụ cao &lt;=4m</t>
  </si>
  <si>
    <t>SX lắp dựng cất thép bệ máy, đường kính &lt;=10mm</t>
  </si>
  <si>
    <t>Đấp cát nền móng công trình 2400x0,3</t>
  </si>
  <si>
    <t>Trải PVC chống thấm</t>
  </si>
  <si>
    <t>100M3</t>
  </si>
  <si>
    <t>Xây tường bằng gạch thẻ 4x8x19, dày &lt;=10cm, cao&lt;=4m, vữa ximang mác 75</t>
  </si>
  <si>
    <t>Bó nền hè 232x0,2x0,6</t>
  </si>
  <si>
    <t>xây tường bằng gạch ống 8x8x19, vữa ximang mac 75</t>
  </si>
  <si>
    <t>Trát tường ngoài, chiều dày trát 1,5cm, vữa mác 75</t>
  </si>
  <si>
    <t>M2</t>
  </si>
  <si>
    <t>Lát nền sàn gạch ceramic 400x400mm, vữa mác 75</t>
  </si>
  <si>
    <t>Ốp gạch vào tường cột, gạch 25x40</t>
  </si>
  <si>
    <t>Bả bằng matit vào tường</t>
  </si>
  <si>
    <t>Sơn tường ngoài nhà, đã bả bằng sơn Sunrise, 1 lót, 2 phủ</t>
  </si>
  <si>
    <t>Láng granito nền sàn</t>
  </si>
  <si>
    <t>KHỐI VĂN PHÒNG</t>
  </si>
  <si>
    <t>Lắp đất móng</t>
  </si>
  <si>
    <t>Đóng cọc tràm</t>
  </si>
  <si>
    <t>100M</t>
  </si>
  <si>
    <t>Bê tông lót móng, đá 4x6 mac100</t>
  </si>
  <si>
    <t>Bê tông lót móng đá 1x2 mác 200, rộng &lt;=250cm</t>
  </si>
  <si>
    <t>Bê tông xà dầm, giắng nhà, đá 1x2 mác 200</t>
  </si>
  <si>
    <t>Bê tông seno đá 1x2 mác 200</t>
  </si>
  <si>
    <t>SXLD, tháo dỡ ván khuôn móng</t>
  </si>
  <si>
    <t xml:space="preserve">SXLD, tháo dỡ ván khuôn xà dầm, giằng </t>
  </si>
  <si>
    <t>SXLD, tháo dỡ ván khuôn cột vuông, chữ nhật</t>
  </si>
  <si>
    <t>SXLD, tháo dỡ ván khuôn sê nô</t>
  </si>
  <si>
    <t>SX lắp dựng cất thép xà dầm, giằng</t>
  </si>
  <si>
    <t>SX lắp dựng cất thép cột, trụ</t>
  </si>
  <si>
    <t>SX lắp dựng cất thép sê nô</t>
  </si>
  <si>
    <t>Bê tông nền, đá 1x2 mác 200</t>
  </si>
  <si>
    <t>Lát nền sàn gạch nhám ceramic 400x400mm, vữa mác 75</t>
  </si>
  <si>
    <t>Lát nền sàn gạch thạch anh KT 600x600 vữa mác 75</t>
  </si>
  <si>
    <t>Ốp chân tường, viền tường, viền trụ, cột, kích thước gạch 250x400</t>
  </si>
  <si>
    <t>SX xà gồ thép</t>
  </si>
  <si>
    <t>Lắp dựng xà gồ thép</t>
  </si>
  <si>
    <t>Lợp mái tole sóng vuông cách nhiệt dày 0.45mm</t>
  </si>
  <si>
    <t>Xây tường bằng gạch ống 8x8x19, vữa ximang mac 75</t>
  </si>
  <si>
    <t>Làm trần thạch cao</t>
  </si>
  <si>
    <t>Láng sê nô vửa mác 75</t>
  </si>
  <si>
    <t>Đắp phào kép, vữa mác 75</t>
  </si>
  <si>
    <t>M</t>
  </si>
  <si>
    <t>Đắp phào đơn, vữa mác 75</t>
  </si>
  <si>
    <t>Quét flinkote chống thấm mái, se nô, ô văng</t>
  </si>
  <si>
    <t>Trát tường, chiều dày trát 1,5cm, vữa mác 75</t>
  </si>
  <si>
    <t>Trát sê nô, mái hắt, lam ngang, vữa mác 75</t>
  </si>
  <si>
    <t>Bả matic vào tường</t>
  </si>
  <si>
    <t>Lắp đặt ống PVC 90</t>
  </si>
  <si>
    <t>Lắp đặt co PVC 90</t>
  </si>
  <si>
    <t>KHU PHỤ TRỢ I</t>
  </si>
  <si>
    <t>Bê tông lót móng, đá 4x6 mác 100 chiều rộng &lt;=250cm</t>
  </si>
  <si>
    <t>Bê tông móng đá 1x2 mác 200, rộng&lt;=250cm</t>
  </si>
  <si>
    <t>Bê tông xà dầm , giằng nhà, đá 1x2 mác 200</t>
  </si>
  <si>
    <t>Bê tông cột, đá 1x2 mác 200, tiết diện&lt;=0,1m, cao &lt;=4m</t>
  </si>
  <si>
    <t>SXLD , tháo dỡ ván khuôn xà dầm, giằng</t>
  </si>
  <si>
    <t>SXLD , tháo dỡ ván khuôn seno</t>
  </si>
  <si>
    <t>Sản xuất lắp dựng cốt thép móng</t>
  </si>
  <si>
    <t>Tấn</t>
  </si>
  <si>
    <t>Sản xuất lắp dựng cốt thép xà dầm, giằng</t>
  </si>
  <si>
    <t>Sản xuất lắp dựng cốt thép cột</t>
  </si>
  <si>
    <t>Sản xuất lắp dựng cốt thép se no</t>
  </si>
  <si>
    <t>Trát tường chiều dày trát 1,5 cm, vữa mác 75</t>
  </si>
  <si>
    <t>Trát se no vữa mác 75</t>
  </si>
  <si>
    <t>Láng se no chiều dầy 3cm, vữa mác 75</t>
  </si>
  <si>
    <t>Mét</t>
  </si>
  <si>
    <t>Sản xuất xà gồ thép</t>
  </si>
  <si>
    <t>Lợp mái tole sóng vuông dày 0.45mm</t>
  </si>
  <si>
    <t>Bê tông nền, đá 1x2 ,mác 200</t>
  </si>
  <si>
    <t>Đắp cát nền móng công trình</t>
  </si>
  <si>
    <t>Lát nền gạch thạch anh kích thước gạch 600x600mm, vữa mác 75</t>
  </si>
  <si>
    <t>Lát nền, sàn, gạch ceramic 400x400mm, vữa mác 75</t>
  </si>
  <si>
    <t>Ốp tường, trụ, cột, kích thước gạch 250x400 mm</t>
  </si>
  <si>
    <t>Sơn tường ngoài nhà, đã bả bằng sơn Sunrise, 1 nước lót, 2 nước phủ</t>
  </si>
  <si>
    <t>Cái</t>
  </si>
  <si>
    <t>KHU PHỤ TRỢ II</t>
  </si>
  <si>
    <t>Lấp đất móng</t>
  </si>
  <si>
    <t>Bê tông lót mỏng, đá 4x6 mác 100</t>
  </si>
  <si>
    <t>Bê tông móng, đá 1x2  mác 200, rộng &lt;= 250cm</t>
  </si>
  <si>
    <t>Bê tông xà dầm, giằng nhà, đá 1x2 mác 200</t>
  </si>
  <si>
    <t>SXLD , tháo dỡ ván khuôn mỏng</t>
  </si>
  <si>
    <t>SXLD, tháo dỡ ván khuôn xà dầm, giằng</t>
  </si>
  <si>
    <t>SXLD, tháo dỡ ván khuôn se no</t>
  </si>
  <si>
    <t>Sản xuất lắp dựng cốt thép xà dầm</t>
  </si>
  <si>
    <t>Trát xà dầm, vữa mác 75</t>
  </si>
  <si>
    <t>Lợp mái bằng tôn múi dày 0,45mm</t>
  </si>
  <si>
    <t>Sơn tường nhà đã bả bằng sơn Sunrise, 1 nước lót, 2 nước phủ</t>
  </si>
  <si>
    <t>HỒ NƯỚC 80 M3</t>
  </si>
  <si>
    <t>Bể nước: 5.7x6.4x2.6x1.3</t>
  </si>
  <si>
    <t>Đóng cọc tràm vào đất cấp I, chiều dài cọc &gt;2.5m</t>
  </si>
  <si>
    <t>Bê tông lót móng , đá 4x6 mác 200</t>
  </si>
  <si>
    <t>Bê tông tường đá 1x2 mác 200, dày &lt;=45cm, cao &lt;=4m</t>
  </si>
  <si>
    <t>Bê tông sàn mái đá 1x2 mác 200</t>
  </si>
  <si>
    <t>SXLD, tháo dỡ ván khuôn xà dầm, giằng D5: 2x0.8x2.5/100</t>
  </si>
  <si>
    <t>SXLD, tháo dỡ ván khuôn tường</t>
  </si>
  <si>
    <t>SXLD, tháo dỡ ván khuôn sàn</t>
  </si>
  <si>
    <t>SXLD cốt thép xà dầm, giằng 1099,12/1000</t>
  </si>
  <si>
    <t>SXLD cốt thép cột</t>
  </si>
  <si>
    <t>SXLD cốt thép hồ nước</t>
  </si>
  <si>
    <t>SXLD cốt thép sàn</t>
  </si>
  <si>
    <t>Trát trụ, cột vữa mác 75</t>
  </si>
  <si>
    <t>Trát trần, vữa mác 75</t>
  </si>
  <si>
    <t>Láng bể nước dầy 2cm, vữa mác 75</t>
  </si>
  <si>
    <t>NHÀ XE</t>
  </si>
  <si>
    <t>Đào đất móng</t>
  </si>
  <si>
    <t>Đào đất đà kiềng</t>
  </si>
  <si>
    <t>Lấp đất móng, đà kiềng</t>
  </si>
  <si>
    <t>Bê tông lót móng đá 4x6 mác 100</t>
  </si>
  <si>
    <t>Bê tông móng đá 1x2 mác 200, rộng &lt;=250cm</t>
  </si>
  <si>
    <t>Xây tường bằng gạch ống thẻ 4x8x19, hày &lt;=10cm,cao &lt;=4m, vữa xi măng 75</t>
  </si>
  <si>
    <t>SXLD cốt thép móng</t>
  </si>
  <si>
    <t>SXLD cốt thép xà dầm, giằng</t>
  </si>
  <si>
    <t>SXLD cốt thép nền</t>
  </si>
  <si>
    <t>HẦM TỰ HOẠI VP I</t>
  </si>
  <si>
    <t>Đóng cọc tràm vào đất cấp II, chiều dài cọc &gt;2.5m</t>
  </si>
  <si>
    <t>Đắp dất nền móng công trình bằng thủ công độ chặt yêu cầu K=0.85</t>
  </si>
  <si>
    <t>Bê tông đáy HTH đá 1x2 mác 200, rộng &lt;=250cm</t>
  </si>
  <si>
    <t>Bê tông đan đá 1x2 mác 200</t>
  </si>
  <si>
    <t>SXLD cốt thép đan cao &lt;=4m, đường kính &lt;=10mm</t>
  </si>
  <si>
    <t>Lắp đặt đan HTH</t>
  </si>
  <si>
    <t>Láng HTH dầy 2cm, vữa mác 100</t>
  </si>
  <si>
    <t>Than củi</t>
  </si>
  <si>
    <t>HẦM TỰ HOẠI VP II</t>
  </si>
  <si>
    <t>HẦM TỰ HOẠI KHU PHỤ TRỢ I</t>
  </si>
  <si>
    <t>HỒ XỬ LÝ NƯỚC THẢI</t>
  </si>
  <si>
    <t>PHẦN SAN LẤP NGOÀI DTXD</t>
  </si>
  <si>
    <t>PHẦN SAN LẤP TRONG DTXD</t>
  </si>
  <si>
    <t>PHÁT SINH KHÁC</t>
  </si>
  <si>
    <t>TỔNG CỘNG CÔNG TRÌNH</t>
  </si>
  <si>
    <t>Tiền điện kỳ 2 T10/2015</t>
  </si>
  <si>
    <t>0286099</t>
  </si>
  <si>
    <t>VAT Tiền điện kỳ 2 T10/2015</t>
  </si>
  <si>
    <t>C67</t>
  </si>
  <si>
    <t>C68</t>
  </si>
  <si>
    <t>T03</t>
  </si>
  <si>
    <t>Còn lại</t>
  </si>
  <si>
    <t>Thanh toán tiền điện kỳ 1/T12</t>
  </si>
  <si>
    <t>Vay KU 1402LDS201504108</t>
  </si>
  <si>
    <t>KU 1402LDS201504108</t>
  </si>
  <si>
    <t>Rút tiền mặt nhập quỹ</t>
  </si>
  <si>
    <t>Thanh toán tiền bảo hiểm Số:15/99/AT/KD/KC/1242</t>
  </si>
  <si>
    <t>VAT CL</t>
  </si>
  <si>
    <t>5% Bảo Hành</t>
  </si>
  <si>
    <t>Ghi Chú</t>
  </si>
  <si>
    <t>5% Bảo hành</t>
  </si>
  <si>
    <t>C71</t>
  </si>
  <si>
    <t>0031477</t>
  </si>
  <si>
    <t>Phí bảo hiểm cháy nổ bắt buộc</t>
  </si>
  <si>
    <t>0010889</t>
  </si>
  <si>
    <t>Cty CP Bảo Hiểm Viễn Đông (VASS)</t>
  </si>
  <si>
    <t>VAT Phí bảo hiểm cháy nổ bắt buộc</t>
  </si>
  <si>
    <t>Tiền điện kỳ 1 T12/2015</t>
  </si>
  <si>
    <t>0325267</t>
  </si>
  <si>
    <t>VAT Tiền điện kỳ 1 T12/2015</t>
  </si>
  <si>
    <t>Nguyễn Văn Bé Tư</t>
  </si>
  <si>
    <t>Thanh toán tiền điện kỳ 2/T12</t>
  </si>
  <si>
    <t>Hoàn thuế GTGT - QĐ:</t>
  </si>
  <si>
    <t>Dịch vụ RHC</t>
  </si>
  <si>
    <t>0000023</t>
  </si>
  <si>
    <t>Cty TNHH MTV Công Trình Đô Thị Trà Vinh</t>
  </si>
  <si>
    <t>VAT Dịch vụ RHC</t>
  </si>
  <si>
    <t>0315200</t>
  </si>
  <si>
    <t>C70</t>
  </si>
  <si>
    <t>Văn phòng phẩm</t>
  </si>
  <si>
    <t>0002247</t>
  </si>
  <si>
    <t>Cty CP Văn Hóa Tổng Hợp Trà Vinh</t>
  </si>
  <si>
    <t>VAT Văn phòng phẩm</t>
  </si>
  <si>
    <t>C61</t>
  </si>
  <si>
    <t xml:space="preserve">Đá Granite </t>
  </si>
  <si>
    <t>0000152</t>
  </si>
  <si>
    <t>Cty TNHH Thương Mại Xuất Nhập Khẩu HLT</t>
  </si>
  <si>
    <t xml:space="preserve">VAT Đá Granite </t>
  </si>
  <si>
    <t>VAT Cước điện thoại + Internet T11/2015</t>
  </si>
  <si>
    <t>VAT Phí dịch vụ bảo vệ T11/2015</t>
  </si>
  <si>
    <t>C72</t>
  </si>
  <si>
    <t>Panel EPS 50mm T30kg/m3 mặt tôn inox</t>
  </si>
  <si>
    <t>0000005</t>
  </si>
  <si>
    <t>VAT Panel EPS 50mm T30kg/m3 mặt tôn inox</t>
  </si>
  <si>
    <t>C73</t>
  </si>
  <si>
    <t>Tiền vật liệu xây dựng</t>
  </si>
  <si>
    <t>0000558</t>
  </si>
  <si>
    <t>VAT Tiền vật liệu xây dựng</t>
  </si>
  <si>
    <t>C74</t>
  </si>
  <si>
    <t>T04</t>
  </si>
  <si>
    <t>C75</t>
  </si>
  <si>
    <t>C76</t>
  </si>
  <si>
    <t>Tiền nước T12/2015</t>
  </si>
  <si>
    <t>0351363</t>
  </si>
  <si>
    <t>VAT Tiền nước T12/2015</t>
  </si>
  <si>
    <t>C77</t>
  </si>
  <si>
    <t>Tiền HĐ lấy và thử nghiệm mẫu</t>
  </si>
  <si>
    <t>0075624</t>
  </si>
  <si>
    <t>Trung Tâm Kỹ Thuật Tài Nguyên &amp; Môi Trường</t>
  </si>
  <si>
    <t>VAT Tiền HĐ lấy và thử nghiệm mẫu</t>
  </si>
  <si>
    <t>Tiền HĐ cung cấp&amp; lắp đặt nồi hơi</t>
  </si>
  <si>
    <t>0000010</t>
  </si>
  <si>
    <t>VAT Tiền HĐ cung cấp&amp; lắp đặt nồi hơi</t>
  </si>
  <si>
    <t>C78</t>
  </si>
  <si>
    <t>Khóa Yerti</t>
  </si>
  <si>
    <t>0002196</t>
  </si>
  <si>
    <t>Huỳnh Từ Hải</t>
  </si>
  <si>
    <t>C79</t>
  </si>
  <si>
    <t>C80</t>
  </si>
  <si>
    <t>Thép 6, thép 18</t>
  </si>
  <si>
    <t>0000390</t>
  </si>
  <si>
    <t>Cty TNHH MTV Vật Liệu Xây Dựng Sơn Đông</t>
  </si>
  <si>
    <t>VAT Thép 6, thép 18</t>
  </si>
  <si>
    <t>Xi măng Holcim</t>
  </si>
  <si>
    <t>0000391</t>
  </si>
  <si>
    <t>VAT Xi măng Holcim</t>
  </si>
  <si>
    <t>Cty CP Đá Thiên Nhiên An Phú</t>
  </si>
  <si>
    <t>0000008</t>
  </si>
  <si>
    <t>Xi măng Hà Tiên</t>
  </si>
  <si>
    <t>VAT Xi măng Hà Tiên</t>
  </si>
  <si>
    <t>C81</t>
  </si>
  <si>
    <t>C82</t>
  </si>
  <si>
    <t>C83</t>
  </si>
  <si>
    <t>Tiền điện kỳ 2 T12/2015</t>
  </si>
  <si>
    <t>0344437</t>
  </si>
  <si>
    <t>VAT Tiền điện kỳ 2 T12/2015</t>
  </si>
  <si>
    <t>C84</t>
  </si>
  <si>
    <t>C85</t>
  </si>
  <si>
    <t>C86</t>
  </si>
  <si>
    <t>C87</t>
  </si>
  <si>
    <t>C88</t>
  </si>
  <si>
    <t>Hợp đồng giám sát môi trường</t>
  </si>
  <si>
    <t>0076220</t>
  </si>
  <si>
    <t>VAT Hợp đồng giám sát môi trường</t>
  </si>
  <si>
    <t>Bàn Inox 80x230</t>
  </si>
  <si>
    <t>VAT Bàn Inox 80x230</t>
  </si>
  <si>
    <t>La bàn, que hàn</t>
  </si>
  <si>
    <t>VAT La bàn, que hàn</t>
  </si>
  <si>
    <t>Phí dịch vụ bảo vệ T12/2015</t>
  </si>
  <si>
    <t>VAT Phí dịch vụ bảo vệ T12/2015</t>
  </si>
  <si>
    <t>0001956</t>
  </si>
  <si>
    <t>0000216</t>
  </si>
  <si>
    <t>0117416; 0117417; 0116822; 0117418</t>
  </si>
  <si>
    <t>0000019</t>
  </si>
  <si>
    <t>0000029</t>
  </si>
  <si>
    <t>0000111</t>
  </si>
  <si>
    <t>Tiển công trình đường dây trung thế</t>
  </si>
  <si>
    <t>VAT Tiển công trình đường dây trung thế</t>
  </si>
  <si>
    <t>Chi phí nhân công, máy, ván khuông thi công HĐ: 01/2015/HĐKT</t>
  </si>
  <si>
    <t>VAT Chi phí nhân công, máy</t>
  </si>
  <si>
    <t>Lắp đặt hệ thống PCCC</t>
  </si>
  <si>
    <t>VAT Lắp đặt hệ thống PCCC</t>
  </si>
  <si>
    <t>C89</t>
  </si>
  <si>
    <t>0000532</t>
  </si>
  <si>
    <t>0000169</t>
  </si>
  <si>
    <t>Sơn dầu</t>
  </si>
  <si>
    <t>0047573</t>
  </si>
  <si>
    <t>Cửa Hàng Ống Nước Đồ Sắt Minh Tuấn</t>
  </si>
  <si>
    <t>0032017</t>
  </si>
  <si>
    <t>Lắp đặt thiết bị và vận hành hệ thống xử lý nước thải</t>
  </si>
  <si>
    <t>0000245</t>
  </si>
  <si>
    <t>VAT Lắp đặt thiết bị và vận hành hệ thống xử lý nước thải</t>
  </si>
  <si>
    <t>Bình MT5</t>
  </si>
  <si>
    <t>Cty TNHH Thương Mại Hải An Phát</t>
  </si>
  <si>
    <t>VAT Bình MT5</t>
  </si>
  <si>
    <t>Bình MFZ35, MFZ8</t>
  </si>
  <si>
    <t>0000069</t>
  </si>
  <si>
    <t>VAT Bình MFZ35, MFZ8</t>
  </si>
  <si>
    <t>Bình MFZ8, MT5, Nối quy tiêu lệnh, đế bình</t>
  </si>
  <si>
    <t>0000070</t>
  </si>
  <si>
    <t>VAT Bình MFZ8, MT5, Nối quy tiêu lệnh, đế bình</t>
  </si>
  <si>
    <t>0032019</t>
  </si>
  <si>
    <t>Vật liệu điện</t>
  </si>
  <si>
    <t>0067368</t>
  </si>
  <si>
    <t>Thép không gỉ</t>
  </si>
  <si>
    <t>0000087</t>
  </si>
  <si>
    <t>Cty TNHH Thương Mại Và Sản Xuất Sơn Thành Phát</t>
  </si>
  <si>
    <t>VAT Thép không gỉ</t>
  </si>
  <si>
    <t>Thuế môn bài 2016</t>
  </si>
  <si>
    <t>Q4 - Rút tiền mặt</t>
  </si>
  <si>
    <t>Lãi vay</t>
  </si>
  <si>
    <t>Q4 - Nộp tiền mặt</t>
  </si>
  <si>
    <t>Thanh toán tiền điện kỳ 1 tháng 1</t>
  </si>
  <si>
    <t>Thanh toán tiền điện kỳ 2 tháng 1</t>
  </si>
  <si>
    <t>Thanh toán tiền vật liệu xây dựng</t>
  </si>
  <si>
    <t>Thanh toán tiền giám sát</t>
  </si>
  <si>
    <t>Ứng vốn - LA</t>
  </si>
  <si>
    <t>Cty TNHH Hải Sản An Lạc</t>
  </si>
  <si>
    <t>Trả TM</t>
  </si>
  <si>
    <t>0002601</t>
  </si>
  <si>
    <t>0032022</t>
  </si>
  <si>
    <t>Tiền nước tháng 1/2016</t>
  </si>
  <si>
    <t>0012490</t>
  </si>
  <si>
    <t>VAT Tiền nước tháng 1/2016</t>
  </si>
  <si>
    <t>Vật liệu hệ thống nước</t>
  </si>
  <si>
    <t>0031516</t>
  </si>
  <si>
    <t>Máy nén Sanyo 15HP</t>
  </si>
  <si>
    <t>0069745</t>
  </si>
  <si>
    <t>Cửa Hàng Văn Hiếu</t>
  </si>
  <si>
    <t>0065464</t>
  </si>
  <si>
    <t>Tiệm Điện Thành Tâm</t>
  </si>
  <si>
    <t>Nộp phí BVMT - Quý IV/2015</t>
  </si>
  <si>
    <t>Máy nén Sanyo 20HP</t>
  </si>
  <si>
    <t>0069746</t>
  </si>
  <si>
    <t>0000749</t>
  </si>
  <si>
    <t>Doanh Nghiệp Tư Nhân Hồng Nam</t>
  </si>
  <si>
    <t>0032032; 0032030</t>
  </si>
  <si>
    <t>Thu hoàn trả vốn mượn</t>
  </si>
  <si>
    <t>Phí dịch vụ bảo vệ T1/2016</t>
  </si>
  <si>
    <t>0000241</t>
  </si>
  <si>
    <t>VAT Phí dịch vụ bảo vệ T1/2016</t>
  </si>
  <si>
    <t>Cước điện thoại + Internet T1/2016</t>
  </si>
  <si>
    <t>0187069; 0187068; 0187070; 0187071</t>
  </si>
  <si>
    <t>VAT Cước điện thoại + Internet T1/2016</t>
  </si>
  <si>
    <t>Trả vốn mượn</t>
  </si>
  <si>
    <t>Thanh toán tiền điện kỳ 1 tháng 2</t>
  </si>
  <si>
    <t>0012060</t>
  </si>
  <si>
    <t>Tiền điện kỳ 1 T1/2016</t>
  </si>
  <si>
    <t>VAT Tiền điện kỳ 1 T1/2016</t>
  </si>
  <si>
    <t>0029236</t>
  </si>
  <si>
    <t>Tiền điện kỳ 2 T1/2016</t>
  </si>
  <si>
    <t>VAT Tiền điện kỳ 2 T1/2016</t>
  </si>
  <si>
    <t>Tiền xử lý mước thải T01/2016</t>
  </si>
  <si>
    <t>VAT Tiền xử lý mước thải</t>
  </si>
  <si>
    <t>Cty TNHH Thương Mại DV Môi Trường Trà Vinh</t>
  </si>
  <si>
    <t>3412</t>
  </si>
  <si>
    <t>Vay dài hạn</t>
  </si>
  <si>
    <t>Vay ngắn hạn</t>
  </si>
  <si>
    <t>1122</t>
  </si>
  <si>
    <t xml:space="preserve"> Tiền Gữi Ngoại Tệ </t>
  </si>
  <si>
    <t>Q4</t>
  </si>
  <si>
    <t>0076266</t>
  </si>
  <si>
    <t>Thu gom rác thải 11/15 - 1/16</t>
  </si>
  <si>
    <t>VAT Thu gom rác thải 11/15 - 1/17</t>
  </si>
  <si>
    <t>Tiền nước tháng 2/2016</t>
  </si>
  <si>
    <t>0032690</t>
  </si>
  <si>
    <t>VAT Tiền nước tháng 2/2016</t>
  </si>
  <si>
    <t>Phí nộp thuế điện tử</t>
  </si>
  <si>
    <t>VAT Phí nộp thuế điện tử</t>
  </si>
  <si>
    <t>Keo nano, keo non</t>
  </si>
  <si>
    <t>0089877</t>
  </si>
  <si>
    <t>0032050</t>
  </si>
  <si>
    <t>Phí dịch vụ bảo vệ T2/2016</t>
  </si>
  <si>
    <t>0000266</t>
  </si>
  <si>
    <t>VAT Phí dịch vụ bảo vệ T2/2016</t>
  </si>
  <si>
    <t>VL/N01</t>
  </si>
  <si>
    <t>Túi PE 86*75</t>
  </si>
  <si>
    <t>0000757</t>
  </si>
  <si>
    <t>CN Công Ty TNHH Tân Hy Xí Nghiệp In &amp; Bao Bì Duy Nhật</t>
  </si>
  <si>
    <t>1522</t>
  </si>
  <si>
    <t>Túi PE 40*60</t>
  </si>
  <si>
    <t>VAT Túi PE</t>
  </si>
  <si>
    <t>0252860, 0252861, 0252862, 0252863</t>
  </si>
  <si>
    <t>0089890</t>
  </si>
  <si>
    <t>Ứng vốn</t>
  </si>
  <si>
    <t>Phí hạ tầng từ 15/9/15 đến 15/9/16</t>
  </si>
  <si>
    <t>Thanh toán tiền điện kỳ 2 tháng 2</t>
  </si>
  <si>
    <t>Thanh toán tiền VLXD</t>
  </si>
  <si>
    <t>Thu vốn mượn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</si>
</sst>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_(* #,##0.0000_);_(* \(#,##0.0000\);_(* &quot;-&quot;??_);_(@_)"/>
  </numFmts>
  <fonts count="6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sz val="10"/>
      <color indexed="10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rgb="FFC00000"/>
      <name val="Times New Roman"/>
      <family val="1"/>
    </font>
    <font>
      <sz val="10"/>
      <color rgb="FF0070C0"/>
      <name val="Times New Roman"/>
      <family val="1"/>
    </font>
    <font>
      <sz val="10"/>
      <color rgb="FF7030A0"/>
      <name val="Times New Roman"/>
      <family val="1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2"/>
      <name val="VNI-Times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9"/>
      <color theme="1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0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3" fontId="24" fillId="21" borderId="2"/>
    <xf numFmtId="0" fontId="9" fillId="22" borderId="3" applyNumberFormat="0" applyAlignment="0" applyProtection="0"/>
    <xf numFmtId="43" fontId="4" fillId="0" borderId="0" applyFont="0" applyFill="0" applyBorder="0" applyAlignment="0" applyProtection="0"/>
    <xf numFmtId="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4" fillId="21" borderId="2">
      <alignment horizontal="centerContinuous" vertical="center" wrapText="1"/>
    </xf>
    <xf numFmtId="3" fontId="24" fillId="21" borderId="2">
      <alignment horizontal="center" vertical="center" wrapText="1"/>
    </xf>
    <xf numFmtId="2" fontId="25" fillId="0" borderId="0" applyFont="0" applyFill="0" applyBorder="0" applyAlignment="0" applyProtection="0"/>
    <xf numFmtId="0" fontId="11" fillId="4" borderId="0" applyNumberFormat="0" applyBorder="0" applyAlignment="0" applyProtection="0"/>
    <xf numFmtId="0" fontId="26" fillId="0" borderId="4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3" fontId="24" fillId="0" borderId="9"/>
    <xf numFmtId="3" fontId="27" fillId="0" borderId="10"/>
    <xf numFmtId="3" fontId="24" fillId="0" borderId="2">
      <alignment horizontal="center" vertical="center" wrapText="1"/>
    </xf>
    <xf numFmtId="3" fontId="24" fillId="0" borderId="2">
      <alignment horizontal="centerContinuous" vertical="center"/>
    </xf>
    <xf numFmtId="0" fontId="16" fillId="0" borderId="11" applyNumberFormat="0" applyFill="0" applyAlignment="0" applyProtection="0"/>
    <xf numFmtId="170" fontId="28" fillId="0" borderId="12"/>
    <xf numFmtId="0" fontId="17" fillId="23" borderId="0" applyNumberFormat="0" applyBorder="0" applyAlignment="0" applyProtection="0"/>
    <xf numFmtId="0" fontId="4" fillId="0" borderId="0"/>
    <xf numFmtId="0" fontId="27" fillId="0" borderId="0"/>
    <xf numFmtId="0" fontId="4" fillId="0" borderId="0"/>
    <xf numFmtId="0" fontId="38" fillId="0" borderId="0"/>
    <xf numFmtId="0" fontId="5" fillId="24" borderId="13" applyNumberFormat="0" applyFont="0" applyAlignment="0" applyProtection="0"/>
    <xf numFmtId="0" fontId="18" fillId="20" borderId="14" applyNumberFormat="0" applyAlignment="0" applyProtection="0"/>
    <xf numFmtId="0" fontId="29" fillId="0" borderId="0">
      <alignment horizontal="centerContinuous"/>
    </xf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31" fillId="0" borderId="0"/>
    <xf numFmtId="168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6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3" fillId="0" borderId="0"/>
    <xf numFmtId="0" fontId="27" fillId="0" borderId="0"/>
    <xf numFmtId="43" fontId="38" fillId="0" borderId="0" applyFont="0" applyFill="0" applyBorder="0" applyAlignment="0" applyProtection="0"/>
    <xf numFmtId="0" fontId="24" fillId="21" borderId="2">
      <alignment horizontal="centerContinuous" vertical="center" wrapText="1"/>
    </xf>
    <xf numFmtId="0" fontId="25" fillId="0" borderId="0"/>
    <xf numFmtId="0" fontId="38" fillId="0" borderId="0"/>
    <xf numFmtId="0" fontId="25" fillId="0" borderId="0"/>
    <xf numFmtId="0" fontId="49" fillId="0" borderId="0">
      <alignment horizontal="center"/>
    </xf>
    <xf numFmtId="43" fontId="61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1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</cellStyleXfs>
  <cellXfs count="551">
    <xf numFmtId="0" fontId="0" fillId="0" borderId="0" xfId="0"/>
    <xf numFmtId="0" fontId="34" fillId="0" borderId="0" xfId="54" applyFont="1" applyAlignment="1">
      <alignment horizontal="left" vertical="center"/>
    </xf>
    <xf numFmtId="164" fontId="37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vertical="center"/>
    </xf>
    <xf numFmtId="3" fontId="35" fillId="0" borderId="16" xfId="46" applyFont="1" applyBorder="1" applyAlignment="1">
      <alignment horizontal="center" vertical="center"/>
    </xf>
    <xf numFmtId="3" fontId="35" fillId="0" borderId="16" xfId="46" applyFont="1" applyBorder="1" applyAlignment="1">
      <alignment vertical="center"/>
    </xf>
    <xf numFmtId="164" fontId="35" fillId="0" borderId="16" xfId="29" applyNumberFormat="1" applyFont="1" applyBorder="1" applyAlignment="1">
      <alignment vertical="center"/>
    </xf>
    <xf numFmtId="3" fontId="41" fillId="0" borderId="16" xfId="46" applyFont="1" applyBorder="1" applyAlignment="1">
      <alignment vertical="center"/>
    </xf>
    <xf numFmtId="164" fontId="41" fillId="0" borderId="16" xfId="29" applyNumberFormat="1" applyFont="1" applyBorder="1" applyAlignment="1">
      <alignment vertical="center"/>
    </xf>
    <xf numFmtId="14" fontId="35" fillId="0" borderId="22" xfId="55" applyNumberFormat="1" applyFont="1" applyBorder="1" applyAlignment="1">
      <alignment horizontal="center" vertical="center" wrapText="1"/>
    </xf>
    <xf numFmtId="0" fontId="27" fillId="0" borderId="0" xfId="53" applyAlignment="1">
      <alignment vertical="center"/>
    </xf>
    <xf numFmtId="0" fontId="35" fillId="0" borderId="0" xfId="53" applyFont="1" applyAlignment="1">
      <alignment vertical="center"/>
    </xf>
    <xf numFmtId="0" fontId="41" fillId="0" borderId="0" xfId="53" applyFont="1" applyAlignment="1">
      <alignment vertical="center"/>
    </xf>
    <xf numFmtId="0" fontId="42" fillId="0" borderId="0" xfId="53" applyFont="1" applyAlignment="1">
      <alignment vertical="center"/>
    </xf>
    <xf numFmtId="0" fontId="35" fillId="21" borderId="2" xfId="53" applyFont="1" applyFill="1" applyBorder="1" applyAlignment="1">
      <alignment vertical="center"/>
    </xf>
    <xf numFmtId="3" fontId="35" fillId="21" borderId="2" xfId="27" applyFont="1" applyFill="1" applyBorder="1" applyAlignment="1">
      <alignment vertical="center"/>
    </xf>
    <xf numFmtId="164" fontId="35" fillId="21" borderId="2" xfId="29" applyNumberFormat="1" applyFont="1" applyFill="1" applyBorder="1" applyAlignment="1">
      <alignment vertical="center"/>
    </xf>
    <xf numFmtId="0" fontId="35" fillId="21" borderId="0" xfId="53" applyFont="1" applyFill="1" applyAlignment="1">
      <alignment vertical="center"/>
    </xf>
    <xf numFmtId="164" fontId="27" fillId="0" borderId="0" xfId="29" applyNumberFormat="1" applyFont="1" applyAlignment="1">
      <alignment vertical="center"/>
    </xf>
    <xf numFmtId="164" fontId="35" fillId="0" borderId="0" xfId="29" applyNumberFormat="1" applyFont="1" applyAlignment="1">
      <alignment vertical="center"/>
    </xf>
    <xf numFmtId="164" fontId="42" fillId="0" borderId="0" xfId="29" applyNumberFormat="1" applyFont="1" applyAlignment="1">
      <alignment vertical="center"/>
    </xf>
    <xf numFmtId="164" fontId="35" fillId="21" borderId="0" xfId="29" applyNumberFormat="1" applyFont="1" applyFill="1" applyAlignment="1">
      <alignment vertical="center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0" fontId="35" fillId="0" borderId="0" xfId="52" applyFont="1" applyAlignment="1">
      <alignment vertical="center"/>
    </xf>
    <xf numFmtId="0" fontId="35" fillId="0" borderId="0" xfId="52" applyFont="1" applyAlignment="1">
      <alignment horizontal="center" vertical="center"/>
    </xf>
    <xf numFmtId="0" fontId="35" fillId="0" borderId="0" xfId="52" applyFont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35" fillId="0" borderId="2" xfId="52" quotePrefix="1" applyFont="1" applyBorder="1" applyAlignment="1">
      <alignment vertical="center"/>
    </xf>
    <xf numFmtId="0" fontId="35" fillId="0" borderId="2" xfId="52" applyFont="1" applyBorder="1" applyAlignment="1">
      <alignment vertical="center"/>
    </xf>
    <xf numFmtId="164" fontId="35" fillId="0" borderId="22" xfId="29" applyNumberFormat="1" applyFont="1" applyBorder="1" applyAlignment="1">
      <alignment vertical="center"/>
    </xf>
    <xf numFmtId="14" fontId="35" fillId="0" borderId="2" xfId="52" applyNumberFormat="1" applyFont="1" applyBorder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/>
    </xf>
    <xf numFmtId="0" fontId="35" fillId="0" borderId="0" xfId="52" quotePrefix="1" applyFont="1" applyAlignment="1">
      <alignment horizontal="left" vertical="center"/>
    </xf>
    <xf numFmtId="0" fontId="25" fillId="0" borderId="0" xfId="0" applyFont="1"/>
    <xf numFmtId="0" fontId="35" fillId="0" borderId="2" xfId="52" applyFont="1" applyBorder="1" applyAlignment="1">
      <alignment horizontal="center" vertical="center" wrapText="1" shrinkToFit="1"/>
    </xf>
    <xf numFmtId="0" fontId="24" fillId="0" borderId="0" xfId="73" applyFont="1"/>
    <xf numFmtId="164" fontId="27" fillId="0" borderId="0" xfId="74" applyNumberFormat="1" applyFont="1"/>
    <xf numFmtId="0" fontId="27" fillId="0" borderId="0" xfId="73"/>
    <xf numFmtId="0" fontId="29" fillId="0" borderId="0" xfId="58">
      <alignment horizontal="centerContinuous"/>
    </xf>
    <xf numFmtId="164" fontId="29" fillId="0" borderId="0" xfId="74" applyNumberFormat="1" applyFont="1" applyAlignment="1">
      <alignment horizontal="centerContinuous"/>
    </xf>
    <xf numFmtId="0" fontId="29" fillId="0" borderId="0" xfId="58" applyFont="1">
      <alignment horizontal="centerContinuous"/>
    </xf>
    <xf numFmtId="0" fontId="24" fillId="21" borderId="17" xfId="75" applyBorder="1">
      <alignment horizontal="centerContinuous" vertical="center" wrapText="1"/>
    </xf>
    <xf numFmtId="164" fontId="24" fillId="21" borderId="2" xfId="74" applyNumberFormat="1" applyFont="1" applyFill="1" applyBorder="1" applyAlignment="1">
      <alignment horizontal="centerContinuous" vertical="center" wrapText="1"/>
    </xf>
    <xf numFmtId="0" fontId="24" fillId="21" borderId="2" xfId="75">
      <alignment horizontal="centerContinuous" vertical="center" wrapText="1"/>
    </xf>
    <xf numFmtId="0" fontId="24" fillId="21" borderId="18" xfId="75" applyBorder="1">
      <alignment horizontal="centerContinuous" vertical="center" wrapText="1"/>
    </xf>
    <xf numFmtId="164" fontId="45" fillId="0" borderId="25" xfId="74" quotePrefix="1" applyNumberFormat="1" applyFont="1" applyBorder="1" applyAlignment="1">
      <alignment horizontal="center"/>
    </xf>
    <xf numFmtId="164" fontId="46" fillId="0" borderId="25" xfId="74" applyNumberFormat="1" applyFont="1" applyBorder="1" applyAlignment="1">
      <alignment horizontal="center"/>
    </xf>
    <xf numFmtId="164" fontId="45" fillId="0" borderId="25" xfId="74" applyNumberFormat="1" applyFont="1" applyBorder="1"/>
    <xf numFmtId="164" fontId="45" fillId="0" borderId="27" xfId="74" applyNumberFormat="1" applyFont="1" applyBorder="1"/>
    <xf numFmtId="164" fontId="27" fillId="0" borderId="0" xfId="74" applyNumberFormat="1" applyFont="1" applyFill="1"/>
    <xf numFmtId="164" fontId="24" fillId="0" borderId="10" xfId="74" applyNumberFormat="1" applyFont="1" applyBorder="1" applyAlignment="1">
      <alignment horizontal="left"/>
    </xf>
    <xf numFmtId="164" fontId="44" fillId="0" borderId="10" xfId="74" applyNumberFormat="1" applyFont="1" applyBorder="1" applyAlignment="1">
      <alignment horizontal="left"/>
    </xf>
    <xf numFmtId="164" fontId="24" fillId="0" borderId="10" xfId="74" applyNumberFormat="1" applyFont="1" applyBorder="1"/>
    <xf numFmtId="164" fontId="45" fillId="0" borderId="25" xfId="74" applyNumberFormat="1" applyFont="1" applyBorder="1" applyAlignment="1">
      <alignment horizontal="center"/>
    </xf>
    <xf numFmtId="164" fontId="24" fillId="0" borderId="10" xfId="74" quotePrefix="1" applyNumberFormat="1" applyFont="1" applyBorder="1" applyAlignment="1">
      <alignment horizontal="left"/>
    </xf>
    <xf numFmtId="164" fontId="27" fillId="0" borderId="28" xfId="74" applyNumberFormat="1" applyFont="1" applyBorder="1"/>
    <xf numFmtId="164" fontId="27" fillId="0" borderId="28" xfId="74" quotePrefix="1" applyNumberFormat="1" applyFont="1" applyBorder="1" applyAlignment="1">
      <alignment horizontal="right"/>
    </xf>
    <xf numFmtId="164" fontId="36" fillId="0" borderId="28" xfId="74" applyNumberFormat="1" applyFont="1" applyBorder="1" applyAlignment="1">
      <alignment horizontal="right"/>
    </xf>
    <xf numFmtId="164" fontId="24" fillId="0" borderId="2" xfId="74" applyNumberFormat="1" applyFont="1" applyBorder="1"/>
    <xf numFmtId="3" fontId="27" fillId="0" borderId="0" xfId="73" applyNumberFormat="1"/>
    <xf numFmtId="164" fontId="27" fillId="0" borderId="0" xfId="73" applyNumberFormat="1"/>
    <xf numFmtId="0" fontId="27" fillId="0" borderId="0" xfId="73" applyBorder="1"/>
    <xf numFmtId="0" fontId="35" fillId="0" borderId="0" xfId="76" applyFont="1" applyFill="1" applyAlignment="1">
      <alignment horizontal="left" vertical="center"/>
    </xf>
    <xf numFmtId="0" fontId="40" fillId="0" borderId="0" xfId="76" applyFont="1" applyFill="1" applyAlignment="1">
      <alignment horizontal="center" vertical="center" wrapText="1"/>
    </xf>
    <xf numFmtId="0" fontId="40" fillId="0" borderId="0" xfId="76" applyFont="1" applyFill="1" applyAlignment="1">
      <alignment vertical="center" wrapText="1"/>
    </xf>
    <xf numFmtId="1" fontId="35" fillId="0" borderId="0" xfId="76" applyNumberFormat="1" applyFont="1" applyFill="1" applyAlignment="1">
      <alignment horizontal="center" vertical="center"/>
    </xf>
    <xf numFmtId="1" fontId="35" fillId="0" borderId="0" xfId="76" applyNumberFormat="1" applyFont="1" applyFill="1" applyAlignment="1">
      <alignment horizontal="center" vertical="center" wrapText="1"/>
    </xf>
    <xf numFmtId="0" fontId="48" fillId="0" borderId="2" xfId="76" applyFont="1" applyFill="1" applyBorder="1" applyAlignment="1">
      <alignment horizontal="center" vertical="center"/>
    </xf>
    <xf numFmtId="0" fontId="35" fillId="0" borderId="16" xfId="77" applyNumberFormat="1" applyFont="1" applyFill="1" applyBorder="1" applyAlignment="1">
      <alignment horizontal="center" vertical="center"/>
    </xf>
    <xf numFmtId="14" fontId="35" fillId="0" borderId="16" xfId="76" applyNumberFormat="1" applyFont="1" applyFill="1" applyBorder="1" applyAlignment="1">
      <alignment horizontal="center" vertical="center"/>
    </xf>
    <xf numFmtId="164" fontId="35" fillId="0" borderId="16" xfId="77" applyNumberFormat="1" applyFont="1" applyFill="1" applyBorder="1" applyAlignment="1">
      <alignment vertical="center"/>
    </xf>
    <xf numFmtId="0" fontId="35" fillId="0" borderId="16" xfId="76" quotePrefix="1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left" vertical="center"/>
    </xf>
    <xf numFmtId="0" fontId="35" fillId="0" borderId="16" xfId="76" applyNumberFormat="1" applyFont="1" applyFill="1" applyBorder="1" applyAlignment="1">
      <alignment horizontal="center" vertical="center"/>
    </xf>
    <xf numFmtId="1" fontId="35" fillId="0" borderId="16" xfId="76" quotePrefix="1" applyNumberFormat="1" applyFont="1" applyFill="1" applyBorder="1" applyAlignment="1">
      <alignment horizontal="center" vertical="center"/>
    </xf>
    <xf numFmtId="14" fontId="50" fillId="0" borderId="16" xfId="76" applyNumberFormat="1" applyFont="1" applyFill="1" applyBorder="1" applyAlignment="1">
      <alignment horizontal="center" vertical="center"/>
    </xf>
    <xf numFmtId="164" fontId="50" fillId="0" borderId="16" xfId="76" applyNumberFormat="1" applyFont="1" applyFill="1" applyBorder="1" applyAlignment="1">
      <alignment horizontal="left" vertical="center"/>
    </xf>
    <xf numFmtId="164" fontId="50" fillId="0" borderId="16" xfId="77" applyNumberFormat="1" applyFont="1" applyFill="1" applyBorder="1" applyAlignment="1">
      <alignment vertical="center"/>
    </xf>
    <xf numFmtId="1" fontId="50" fillId="0" borderId="16" xfId="76" quotePrefix="1" applyNumberFormat="1" applyFont="1" applyFill="1" applyBorder="1" applyAlignment="1">
      <alignment horizontal="center" vertical="center"/>
    </xf>
    <xf numFmtId="0" fontId="50" fillId="0" borderId="16" xfId="76" quotePrefix="1" applyNumberFormat="1" applyFont="1" applyFill="1" applyBorder="1" applyAlignment="1">
      <alignment horizontal="center" vertical="center"/>
    </xf>
    <xf numFmtId="14" fontId="51" fillId="0" borderId="16" xfId="76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left" vertical="center"/>
    </xf>
    <xf numFmtId="164" fontId="51" fillId="0" borderId="16" xfId="77" applyNumberFormat="1" applyFont="1" applyFill="1" applyBorder="1" applyAlignment="1">
      <alignment vertical="center"/>
    </xf>
    <xf numFmtId="0" fontId="51" fillId="0" borderId="16" xfId="76" quotePrefix="1" applyNumberFormat="1" applyFont="1" applyFill="1" applyBorder="1" applyAlignment="1">
      <alignment horizontal="center" vertical="center"/>
    </xf>
    <xf numFmtId="14" fontId="52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left" vertical="center"/>
    </xf>
    <xf numFmtId="164" fontId="52" fillId="0" borderId="16" xfId="77" applyNumberFormat="1" applyFont="1" applyFill="1" applyBorder="1" applyAlignment="1">
      <alignment vertical="center"/>
    </xf>
    <xf numFmtId="0" fontId="52" fillId="0" borderId="16" xfId="76" quotePrefix="1" applyNumberFormat="1" applyFont="1" applyFill="1" applyBorder="1" applyAlignment="1">
      <alignment horizontal="center" vertical="center"/>
    </xf>
    <xf numFmtId="14" fontId="53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left" vertical="center"/>
    </xf>
    <xf numFmtId="164" fontId="53" fillId="0" borderId="16" xfId="77" applyNumberFormat="1" applyFont="1" applyFill="1" applyBorder="1" applyAlignment="1">
      <alignment vertical="center"/>
    </xf>
    <xf numFmtId="0" fontId="53" fillId="0" borderId="16" xfId="76" quotePrefix="1" applyNumberFormat="1" applyFont="1" applyFill="1" applyBorder="1" applyAlignment="1">
      <alignment horizontal="center" vertical="center"/>
    </xf>
    <xf numFmtId="14" fontId="53" fillId="0" borderId="16" xfId="78" applyNumberFormat="1" applyFont="1" applyBorder="1" applyAlignment="1">
      <alignment horizontal="center"/>
    </xf>
    <xf numFmtId="0" fontId="53" fillId="0" borderId="16" xfId="78" applyFont="1" applyBorder="1" applyAlignment="1">
      <alignment horizontal="center"/>
    </xf>
    <xf numFmtId="14" fontId="53" fillId="0" borderId="21" xfId="76" applyNumberFormat="1" applyFont="1" applyFill="1" applyBorder="1" applyAlignment="1">
      <alignment horizontal="center" vertical="center"/>
    </xf>
    <xf numFmtId="14" fontId="53" fillId="0" borderId="21" xfId="78" applyNumberFormat="1" applyFont="1" applyBorder="1" applyAlignment="1">
      <alignment horizontal="center"/>
    </xf>
    <xf numFmtId="164" fontId="53" fillId="0" borderId="21" xfId="76" applyNumberFormat="1" applyFont="1" applyFill="1" applyBorder="1" applyAlignment="1">
      <alignment horizontal="left" vertical="center"/>
    </xf>
    <xf numFmtId="164" fontId="53" fillId="0" borderId="21" xfId="77" applyNumberFormat="1" applyFont="1" applyFill="1" applyBorder="1" applyAlignment="1">
      <alignment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2" xfId="76" applyNumberFormat="1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/>
    </xf>
    <xf numFmtId="14" fontId="35" fillId="0" borderId="16" xfId="77" applyNumberFormat="1" applyFont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0" fontId="0" fillId="0" borderId="0" xfId="0" applyAlignment="1"/>
    <xf numFmtId="14" fontId="53" fillId="0" borderId="16" xfId="77" applyNumberFormat="1" applyFont="1" applyBorder="1" applyAlignment="1">
      <alignment horizontal="center" vertical="center"/>
    </xf>
    <xf numFmtId="0" fontId="53" fillId="0" borderId="16" xfId="78" applyFont="1" applyBorder="1" applyAlignment="1"/>
    <xf numFmtId="164" fontId="53" fillId="0" borderId="16" xfId="74" applyNumberFormat="1" applyFont="1" applyBorder="1" applyAlignment="1"/>
    <xf numFmtId="0" fontId="53" fillId="0" borderId="16" xfId="78" applyFont="1" applyFill="1" applyBorder="1" applyAlignment="1"/>
    <xf numFmtId="164" fontId="53" fillId="0" borderId="16" xfId="74" applyNumberFormat="1" applyFont="1" applyFill="1" applyBorder="1" applyAlignment="1"/>
    <xf numFmtId="49" fontId="35" fillId="0" borderId="0" xfId="76" applyNumberFormat="1" applyFont="1" applyFill="1" applyAlignment="1">
      <alignment horizontal="center" vertical="center"/>
    </xf>
    <xf numFmtId="49" fontId="50" fillId="0" borderId="16" xfId="76" applyNumberFormat="1" applyFont="1" applyFill="1" applyBorder="1" applyAlignment="1">
      <alignment horizontal="left" vertical="center"/>
    </xf>
    <xf numFmtId="49" fontId="51" fillId="0" borderId="16" xfId="76" applyNumberFormat="1" applyFont="1" applyFill="1" applyBorder="1" applyAlignment="1">
      <alignment horizontal="left" vertical="center"/>
    </xf>
    <xf numFmtId="49" fontId="51" fillId="0" borderId="16" xfId="76" quotePrefix="1" applyNumberFormat="1" applyFont="1" applyFill="1" applyBorder="1" applyAlignment="1">
      <alignment horizontal="left" vertical="center"/>
    </xf>
    <xf numFmtId="49" fontId="52" fillId="0" borderId="16" xfId="76" applyNumberFormat="1" applyFont="1" applyFill="1" applyBorder="1" applyAlignment="1">
      <alignment horizontal="left" vertical="center"/>
    </xf>
    <xf numFmtId="49" fontId="53" fillId="0" borderId="16" xfId="76" applyNumberFormat="1" applyFont="1" applyFill="1" applyBorder="1" applyAlignment="1">
      <alignment horizontal="left" vertical="center"/>
    </xf>
    <xf numFmtId="49" fontId="53" fillId="0" borderId="16" xfId="76" quotePrefix="1" applyNumberFormat="1" applyFont="1" applyFill="1" applyBorder="1" applyAlignment="1">
      <alignment horizontal="left" vertical="center"/>
    </xf>
    <xf numFmtId="49" fontId="35" fillId="0" borderId="16" xfId="76" applyNumberFormat="1" applyFont="1" applyFill="1" applyBorder="1" applyAlignment="1">
      <alignment horizontal="left" vertical="center"/>
    </xf>
    <xf numFmtId="49" fontId="35" fillId="0" borderId="16" xfId="76" quotePrefix="1" applyNumberFormat="1" applyFont="1" applyFill="1" applyBorder="1" applyAlignment="1">
      <alignment horizontal="left" vertical="center"/>
    </xf>
    <xf numFmtId="49" fontId="35" fillId="0" borderId="16" xfId="77" applyNumberFormat="1" applyFont="1" applyFill="1" applyBorder="1" applyAlignment="1">
      <alignment vertical="center"/>
    </xf>
    <xf numFmtId="49" fontId="35" fillId="0" borderId="16" xfId="76" applyNumberFormat="1" applyFont="1" applyFill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center" vertical="center" wrapText="1"/>
    </xf>
    <xf numFmtId="164" fontId="35" fillId="0" borderId="2" xfId="29" applyNumberFormat="1" applyFont="1" applyBorder="1" applyAlignment="1">
      <alignment vertical="center"/>
    </xf>
    <xf numFmtId="0" fontId="54" fillId="0" borderId="16" xfId="77" applyNumberFormat="1" applyFont="1" applyFill="1" applyBorder="1" applyAlignment="1">
      <alignment horizontal="center" vertical="center"/>
    </xf>
    <xf numFmtId="14" fontId="54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left" vertical="center"/>
    </xf>
    <xf numFmtId="49" fontId="54" fillId="0" borderId="16" xfId="76" applyNumberFormat="1" applyFont="1" applyFill="1" applyBorder="1" applyAlignment="1">
      <alignment horizontal="left" vertical="center"/>
    </xf>
    <xf numFmtId="164" fontId="54" fillId="0" borderId="16" xfId="77" applyNumberFormat="1" applyFont="1" applyFill="1" applyBorder="1" applyAlignment="1">
      <alignment vertical="center"/>
    </xf>
    <xf numFmtId="0" fontId="54" fillId="0" borderId="16" xfId="76" quotePrefix="1" applyNumberFormat="1" applyFont="1" applyFill="1" applyBorder="1" applyAlignment="1">
      <alignment horizontal="center" vertical="center"/>
    </xf>
    <xf numFmtId="0" fontId="55" fillId="0" borderId="0" xfId="0" applyFont="1" applyAlignment="1"/>
    <xf numFmtId="0" fontId="56" fillId="0" borderId="16" xfId="76" quotePrefix="1" applyNumberFormat="1" applyFont="1" applyFill="1" applyBorder="1" applyAlignment="1">
      <alignment horizontal="center" vertical="center"/>
    </xf>
    <xf numFmtId="14" fontId="35" fillId="0" borderId="16" xfId="76" quotePrefix="1" applyNumberFormat="1" applyFont="1" applyFill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164" fontId="24" fillId="0" borderId="28" xfId="74" applyNumberFormat="1" applyFont="1" applyBorder="1"/>
    <xf numFmtId="164" fontId="24" fillId="0" borderId="29" xfId="74" applyNumberFormat="1" applyFont="1" applyBorder="1"/>
    <xf numFmtId="1" fontId="54" fillId="0" borderId="16" xfId="76" quotePrefix="1" applyNumberFormat="1" applyFont="1" applyFill="1" applyBorder="1" applyAlignment="1">
      <alignment horizontal="center" vertical="center"/>
    </xf>
    <xf numFmtId="49" fontId="54" fillId="0" borderId="16" xfId="76" quotePrefix="1" applyNumberFormat="1" applyFont="1" applyFill="1" applyBorder="1" applyAlignment="1">
      <alignment horizontal="left" vertical="center"/>
    </xf>
    <xf numFmtId="164" fontId="27" fillId="0" borderId="0" xfId="53" applyNumberFormat="1" applyAlignment="1">
      <alignment vertical="center"/>
    </xf>
    <xf numFmtId="0" fontId="23" fillId="0" borderId="0" xfId="0" applyFont="1" applyAlignment="1">
      <alignment vertical="center" wrapText="1"/>
    </xf>
    <xf numFmtId="0" fontId="40" fillId="0" borderId="0" xfId="0" applyFont="1" applyAlignment="1">
      <alignment horizontal="center" vertical="center" wrapText="1"/>
    </xf>
    <xf numFmtId="164" fontId="40" fillId="0" borderId="2" xfId="29" applyNumberFormat="1" applyFont="1" applyBorder="1" applyAlignment="1">
      <alignment vertical="center" wrapText="1"/>
    </xf>
    <xf numFmtId="164" fontId="40" fillId="0" borderId="2" xfId="29" applyNumberFormat="1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42" fillId="0" borderId="16" xfId="0" applyFont="1" applyBorder="1" applyAlignment="1">
      <alignment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vertical="center" wrapText="1"/>
    </xf>
    <xf numFmtId="0" fontId="42" fillId="0" borderId="16" xfId="0" applyFont="1" applyBorder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42" fillId="0" borderId="21" xfId="0" applyFont="1" applyBorder="1" applyAlignment="1">
      <alignment vertical="center" wrapText="1"/>
    </xf>
    <xf numFmtId="14" fontId="42" fillId="0" borderId="21" xfId="0" applyNumberFormat="1" applyFont="1" applyBorder="1" applyAlignment="1">
      <alignment horizontal="center" vertical="center" wrapText="1"/>
    </xf>
    <xf numFmtId="164" fontId="42" fillId="0" borderId="21" xfId="29" applyNumberFormat="1" applyFont="1" applyBorder="1" applyAlignment="1">
      <alignment vertical="center" wrapText="1"/>
    </xf>
    <xf numFmtId="0" fontId="42" fillId="0" borderId="22" xfId="0" applyFont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vertical="center" wrapText="1"/>
    </xf>
    <xf numFmtId="14" fontId="57" fillId="25" borderId="2" xfId="0" applyNumberFormat="1" applyFont="1" applyFill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horizontal="center" vertical="center" wrapText="1"/>
    </xf>
    <xf numFmtId="0" fontId="57" fillId="0" borderId="0" xfId="0" applyFont="1" applyAlignment="1">
      <alignment vertical="center" wrapText="1"/>
    </xf>
    <xf numFmtId="164" fontId="57" fillId="25" borderId="26" xfId="0" applyNumberFormat="1" applyFont="1" applyFill="1" applyBorder="1" applyAlignment="1">
      <alignment vertical="center" wrapText="1"/>
    </xf>
    <xf numFmtId="164" fontId="57" fillId="25" borderId="20" xfId="0" applyNumberFormat="1" applyFont="1" applyFill="1" applyBorder="1" applyAlignment="1">
      <alignment vertical="center" wrapText="1"/>
    </xf>
    <xf numFmtId="164" fontId="42" fillId="0" borderId="22" xfId="29" applyNumberFormat="1" applyFont="1" applyBorder="1" applyAlignment="1">
      <alignment vertical="center" wrapText="1"/>
    </xf>
    <xf numFmtId="14" fontId="42" fillId="0" borderId="22" xfId="55" applyNumberFormat="1" applyFont="1" applyBorder="1" applyAlignment="1">
      <alignment horizontal="center" vertical="center" wrapText="1"/>
    </xf>
    <xf numFmtId="14" fontId="42" fillId="0" borderId="16" xfId="55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0" fontId="42" fillId="0" borderId="21" xfId="0" applyFont="1" applyBorder="1" applyAlignment="1">
      <alignment horizontal="center" vertical="center" wrapText="1"/>
    </xf>
    <xf numFmtId="164" fontId="42" fillId="0" borderId="19" xfId="29" applyNumberFormat="1" applyFont="1" applyBorder="1" applyAlignment="1">
      <alignment vertical="center" wrapText="1"/>
    </xf>
    <xf numFmtId="14" fontId="42" fillId="0" borderId="19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vertical="center" wrapText="1"/>
    </xf>
    <xf numFmtId="14" fontId="35" fillId="0" borderId="22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vertical="center" wrapText="1"/>
    </xf>
    <xf numFmtId="0" fontId="35" fillId="0" borderId="16" xfId="0" applyFont="1" applyBorder="1" applyAlignment="1">
      <alignment horizontal="center" vertical="center" wrapText="1"/>
    </xf>
    <xf numFmtId="164" fontId="35" fillId="0" borderId="12" xfId="29" applyNumberFormat="1" applyFont="1" applyBorder="1" applyAlignment="1">
      <alignment vertical="center" wrapText="1"/>
    </xf>
    <xf numFmtId="0" fontId="43" fillId="0" borderId="0" xfId="0" applyFont="1" applyAlignment="1">
      <alignment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64" fontId="43" fillId="0" borderId="16" xfId="29" applyNumberFormat="1" applyFont="1" applyBorder="1" applyAlignment="1">
      <alignment vertical="center" wrapText="1"/>
    </xf>
    <xf numFmtId="14" fontId="43" fillId="0" borderId="22" xfId="0" applyNumberFormat="1" applyFont="1" applyBorder="1" applyAlignment="1">
      <alignment horizontal="center" vertical="center" wrapText="1"/>
    </xf>
    <xf numFmtId="0" fontId="43" fillId="0" borderId="22" xfId="0" applyFont="1" applyBorder="1" applyAlignment="1">
      <alignment horizontal="center" vertical="center" wrapText="1"/>
    </xf>
    <xf numFmtId="164" fontId="35" fillId="0" borderId="16" xfId="0" applyNumberFormat="1" applyFont="1" applyBorder="1" applyAlignment="1">
      <alignment horizontal="center" vertical="center" wrapText="1"/>
    </xf>
    <xf numFmtId="14" fontId="35" fillId="0" borderId="12" xfId="0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14" fontId="35" fillId="0" borderId="19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64" fontId="56" fillId="0" borderId="16" xfId="29" applyNumberFormat="1" applyFont="1" applyBorder="1" applyAlignment="1">
      <alignment vertical="center" wrapText="1"/>
    </xf>
    <xf numFmtId="14" fontId="56" fillId="0" borderId="16" xfId="0" applyNumberFormat="1" applyFont="1" applyBorder="1" applyAlignment="1">
      <alignment horizontal="center" vertical="center" wrapText="1"/>
    </xf>
    <xf numFmtId="164" fontId="56" fillId="0" borderId="16" xfId="0" applyNumberFormat="1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35" fillId="0" borderId="0" xfId="29" applyNumberFormat="1" applyFont="1" applyAlignment="1">
      <alignment vertical="center" wrapText="1"/>
    </xf>
    <xf numFmtId="0" fontId="40" fillId="0" borderId="0" xfId="0" applyFont="1" applyBorder="1" applyAlignment="1">
      <alignment vertical="center" wrapText="1"/>
    </xf>
    <xf numFmtId="164" fontId="40" fillId="0" borderId="0" xfId="29" applyNumberFormat="1" applyFont="1" applyAlignment="1">
      <alignment horizontal="center" vertical="center" wrapText="1"/>
    </xf>
    <xf numFmtId="164" fontId="35" fillId="0" borderId="0" xfId="0" applyNumberFormat="1" applyFont="1" applyAlignment="1">
      <alignment vertical="center" wrapText="1"/>
    </xf>
    <xf numFmtId="0" fontId="58" fillId="0" borderId="0" xfId="0" applyFont="1" applyBorder="1" applyAlignment="1">
      <alignment vertical="center" wrapText="1"/>
    </xf>
    <xf numFmtId="164" fontId="35" fillId="0" borderId="0" xfId="0" applyNumberFormat="1" applyFont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55" fillId="0" borderId="0" xfId="0" applyFont="1"/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49" fontId="40" fillId="0" borderId="0" xfId="76" applyNumberFormat="1" applyFont="1" applyFill="1" applyAlignment="1">
      <alignment vertical="center"/>
    </xf>
    <xf numFmtId="49" fontId="40" fillId="0" borderId="0" xfId="76" applyNumberFormat="1" applyFont="1" applyFill="1" applyAlignment="1">
      <alignment horizontal="center" vertical="center"/>
    </xf>
    <xf numFmtId="49" fontId="0" fillId="0" borderId="0" xfId="0" applyNumberFormat="1" applyAlignment="1"/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left" vertical="center" wrapText="1"/>
    </xf>
    <xf numFmtId="0" fontId="56" fillId="0" borderId="16" xfId="77" applyNumberFormat="1" applyFont="1" applyFill="1" applyBorder="1" applyAlignment="1">
      <alignment horizontal="center" vertical="center"/>
    </xf>
    <xf numFmtId="14" fontId="56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left" vertical="center"/>
    </xf>
    <xf numFmtId="49" fontId="56" fillId="0" borderId="16" xfId="76" applyNumberFormat="1" applyFont="1" applyFill="1" applyBorder="1" applyAlignment="1">
      <alignment horizontal="left" vertical="center"/>
    </xf>
    <xf numFmtId="164" fontId="56" fillId="0" borderId="16" xfId="77" applyNumberFormat="1" applyFont="1" applyFill="1" applyBorder="1" applyAlignment="1">
      <alignment vertical="center"/>
    </xf>
    <xf numFmtId="0" fontId="60" fillId="0" borderId="0" xfId="0" applyFont="1"/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76" applyNumberFormat="1" applyFont="1" applyFill="1" applyBorder="1" applyAlignment="1">
      <alignment horizontal="left" vertical="center"/>
    </xf>
    <xf numFmtId="0" fontId="35" fillId="0" borderId="16" xfId="55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5" fillId="0" borderId="2" xfId="0" applyFont="1" applyBorder="1" applyAlignment="1">
      <alignment horizontal="center"/>
    </xf>
    <xf numFmtId="0" fontId="35" fillId="0" borderId="16" xfId="77" applyNumberFormat="1" applyFont="1" applyFill="1" applyBorder="1" applyAlignment="1">
      <alignment horizontal="center" vertical="center" wrapText="1"/>
    </xf>
    <xf numFmtId="14" fontId="35" fillId="0" borderId="16" xfId="76" applyNumberFormat="1" applyFont="1" applyFill="1" applyBorder="1" applyAlignment="1">
      <alignment horizontal="center" vertical="center" wrapText="1"/>
    </xf>
    <xf numFmtId="164" fontId="35" fillId="0" borderId="16" xfId="77" applyNumberFormat="1" applyFont="1" applyFill="1" applyBorder="1" applyAlignment="1">
      <alignment vertical="center" wrapText="1"/>
    </xf>
    <xf numFmtId="0" fontId="35" fillId="0" borderId="16" xfId="76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51" fillId="0" borderId="16" xfId="76" quotePrefix="1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center" vertical="center"/>
    </xf>
    <xf numFmtId="164" fontId="52" fillId="0" borderId="16" xfId="76" quotePrefix="1" applyNumberFormat="1" applyFont="1" applyFill="1" applyBorder="1" applyAlignment="1">
      <alignment horizontal="center" vertical="center"/>
    </xf>
    <xf numFmtId="164" fontId="53" fillId="0" borderId="16" xfId="76" quotePrefix="1" applyNumberFormat="1" applyFont="1" applyFill="1" applyBorder="1" applyAlignment="1">
      <alignment horizontal="center" vertical="center"/>
    </xf>
    <xf numFmtId="164" fontId="35" fillId="0" borderId="16" xfId="76" quotePrefix="1" applyNumberFormat="1" applyFont="1" applyFill="1" applyBorder="1" applyAlignment="1">
      <alignment horizontal="center" vertical="center"/>
    </xf>
    <xf numFmtId="164" fontId="54" fillId="0" borderId="16" xfId="76" quotePrefix="1" applyNumberFormat="1" applyFont="1" applyFill="1" applyBorder="1" applyAlignment="1">
      <alignment horizontal="center" vertical="center"/>
    </xf>
    <xf numFmtId="164" fontId="35" fillId="0" borderId="22" xfId="76" applyNumberFormat="1" applyFont="1" applyFill="1" applyBorder="1" applyAlignment="1">
      <alignment horizontal="center" vertical="center"/>
    </xf>
    <xf numFmtId="0" fontId="35" fillId="0" borderId="16" xfId="55" applyNumberFormat="1" applyFont="1" applyBorder="1" applyAlignment="1">
      <alignment horizontal="center" vertical="center" wrapText="1"/>
    </xf>
    <xf numFmtId="164" fontId="50" fillId="0" borderId="16" xfId="76" applyNumberFormat="1" applyFont="1" applyFill="1" applyBorder="1" applyAlignment="1">
      <alignment horizontal="center" vertical="center"/>
    </xf>
    <xf numFmtId="164" fontId="53" fillId="0" borderId="21" xfId="76" applyNumberFormat="1" applyFont="1" applyFill="1" applyBorder="1" applyAlignment="1">
      <alignment horizontal="center" vertical="center"/>
    </xf>
    <xf numFmtId="0" fontId="53" fillId="0" borderId="16" xfId="78" applyFont="1" applyFill="1" applyBorder="1" applyAlignment="1">
      <alignment horizontal="center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54" fillId="0" borderId="16" xfId="77" applyNumberFormat="1" applyFont="1" applyFill="1" applyBorder="1" applyAlignment="1">
      <alignment horizontal="center" vertical="center" wrapText="1"/>
    </xf>
    <xf numFmtId="14" fontId="54" fillId="0" borderId="16" xfId="76" applyNumberFormat="1" applyFont="1" applyFill="1" applyBorder="1" applyAlignment="1">
      <alignment horizontal="center" vertical="center" wrapText="1"/>
    </xf>
    <xf numFmtId="164" fontId="54" fillId="0" borderId="16" xfId="76" applyNumberFormat="1" applyFont="1" applyFill="1" applyBorder="1" applyAlignment="1">
      <alignment horizontal="left" vertical="center" wrapText="1"/>
    </xf>
    <xf numFmtId="164" fontId="54" fillId="0" borderId="16" xfId="77" applyNumberFormat="1" applyFont="1" applyFill="1" applyBorder="1" applyAlignment="1">
      <alignment vertical="center" wrapText="1"/>
    </xf>
    <xf numFmtId="0" fontId="54" fillId="0" borderId="16" xfId="76" quotePrefix="1" applyNumberFormat="1" applyFont="1" applyFill="1" applyBorder="1" applyAlignment="1">
      <alignment horizontal="center" vertical="center" wrapText="1"/>
    </xf>
    <xf numFmtId="0" fontId="55" fillId="0" borderId="0" xfId="0" applyFont="1" applyAlignment="1">
      <alignment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57" fillId="0" borderId="0" xfId="0" applyNumberFormat="1" applyFont="1" applyAlignment="1">
      <alignment vertical="center" wrapText="1"/>
    </xf>
    <xf numFmtId="164" fontId="57" fillId="0" borderId="0" xfId="29" applyNumberFormat="1" applyFont="1" applyAlignment="1">
      <alignment vertical="center" wrapText="1"/>
    </xf>
    <xf numFmtId="164" fontId="23" fillId="0" borderId="0" xfId="29" applyNumberFormat="1" applyFont="1" applyAlignment="1">
      <alignment vertical="center" wrapText="1"/>
    </xf>
    <xf numFmtId="164" fontId="35" fillId="0" borderId="0" xfId="29" applyNumberFormat="1" applyFont="1" applyAlignment="1">
      <alignment horizontal="center" vertical="center" wrapText="1"/>
    </xf>
    <xf numFmtId="164" fontId="42" fillId="0" borderId="0" xfId="29" applyNumberFormat="1" applyFont="1" applyAlignment="1">
      <alignment vertical="center" wrapText="1"/>
    </xf>
    <xf numFmtId="164" fontId="43" fillId="0" borderId="0" xfId="29" applyNumberFormat="1" applyFont="1" applyAlignment="1">
      <alignment vertical="center" wrapText="1"/>
    </xf>
    <xf numFmtId="164" fontId="35" fillId="0" borderId="0" xfId="53" applyNumberFormat="1" applyFont="1" applyAlignment="1">
      <alignment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center" vertical="center" wrapText="1"/>
    </xf>
    <xf numFmtId="14" fontId="35" fillId="0" borderId="16" xfId="87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left" vertical="center"/>
    </xf>
    <xf numFmtId="164" fontId="35" fillId="0" borderId="16" xfId="87" quotePrefix="1" applyNumberFormat="1" applyFont="1" applyFill="1" applyBorder="1" applyAlignment="1">
      <alignment horizontal="center" vertical="center"/>
    </xf>
    <xf numFmtId="49" fontId="35" fillId="0" borderId="16" xfId="87" applyNumberFormat="1" applyFont="1" applyFill="1" applyBorder="1" applyAlignment="1">
      <alignment horizontal="left" vertical="center"/>
    </xf>
    <xf numFmtId="0" fontId="35" fillId="0" borderId="16" xfId="87" quotePrefix="1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center" vertical="center"/>
    </xf>
    <xf numFmtId="14" fontId="54" fillId="0" borderId="16" xfId="87" applyNumberFormat="1" applyFont="1" applyFill="1" applyBorder="1" applyAlignment="1">
      <alignment horizontal="center" vertical="center"/>
    </xf>
    <xf numFmtId="164" fontId="54" fillId="0" borderId="16" xfId="87" applyNumberFormat="1" applyFont="1" applyFill="1" applyBorder="1" applyAlignment="1">
      <alignment horizontal="left" vertical="center"/>
    </xf>
    <xf numFmtId="164" fontId="54" fillId="0" borderId="16" xfId="87" quotePrefix="1" applyNumberFormat="1" applyFont="1" applyFill="1" applyBorder="1" applyAlignment="1">
      <alignment horizontal="center" vertical="center"/>
    </xf>
    <xf numFmtId="49" fontId="54" fillId="0" borderId="16" xfId="87" applyNumberFormat="1" applyFont="1" applyFill="1" applyBorder="1" applyAlignment="1">
      <alignment horizontal="left" vertical="center"/>
    </xf>
    <xf numFmtId="0" fontId="54" fillId="0" borderId="16" xfId="87" quotePrefix="1" applyNumberFormat="1" applyFont="1" applyFill="1" applyBorder="1" applyAlignment="1">
      <alignment horizontal="center" vertical="center"/>
    </xf>
    <xf numFmtId="164" fontId="57" fillId="25" borderId="2" xfId="29" applyNumberFormat="1" applyFont="1" applyFill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43" fontId="62" fillId="0" borderId="0" xfId="88" applyFont="1" applyAlignment="1">
      <alignment horizontal="center" vertical="center" wrapText="1"/>
    </xf>
    <xf numFmtId="171" fontId="62" fillId="0" borderId="2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171" fontId="62" fillId="0" borderId="12" xfId="88" applyNumberFormat="1" applyFont="1" applyBorder="1" applyAlignment="1">
      <alignment horizontal="center" vertical="center" wrapText="1"/>
    </xf>
    <xf numFmtId="164" fontId="62" fillId="0" borderId="12" xfId="88" applyNumberFormat="1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3" fillId="0" borderId="22" xfId="88" applyNumberFormat="1" applyFont="1" applyBorder="1" applyAlignment="1">
      <alignment horizontal="center" vertical="center" wrapText="1"/>
    </xf>
    <xf numFmtId="43" fontId="63" fillId="0" borderId="22" xfId="88" applyFont="1" applyBorder="1" applyAlignment="1">
      <alignment horizontal="left" vertical="center" wrapText="1"/>
    </xf>
    <xf numFmtId="43" fontId="63" fillId="0" borderId="22" xfId="88" applyFont="1" applyBorder="1" applyAlignment="1">
      <alignment horizontal="center" vertical="center" wrapText="1"/>
    </xf>
    <xf numFmtId="171" fontId="63" fillId="0" borderId="22" xfId="88" applyNumberFormat="1" applyFont="1" applyBorder="1" applyAlignment="1">
      <alignment horizontal="center" vertical="center" wrapText="1"/>
    </xf>
    <xf numFmtId="164" fontId="63" fillId="0" borderId="22" xfId="88" applyNumberFormat="1" applyFont="1" applyBorder="1" applyAlignment="1">
      <alignment horizontal="center" vertical="center" wrapText="1"/>
    </xf>
    <xf numFmtId="171" fontId="63" fillId="0" borderId="16" xfId="88" applyNumberFormat="1" applyFont="1" applyBorder="1" applyAlignment="1">
      <alignment horizontal="center" vertical="center" wrapText="1"/>
    </xf>
    <xf numFmtId="164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center" vertical="center" wrapText="1"/>
    </xf>
    <xf numFmtId="43" fontId="63" fillId="0" borderId="0" xfId="88" applyFont="1" applyAlignment="1">
      <alignment horizontal="center" vertical="center" wrapText="1"/>
    </xf>
    <xf numFmtId="0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left" vertical="center" wrapText="1"/>
    </xf>
    <xf numFmtId="0" fontId="63" fillId="25" borderId="16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left" vertical="center" wrapText="1"/>
    </xf>
    <xf numFmtId="43" fontId="63" fillId="25" borderId="22" xfId="88" applyFont="1" applyFill="1" applyBorder="1" applyAlignment="1">
      <alignment horizontal="center" vertical="center" wrapText="1"/>
    </xf>
    <xf numFmtId="171" fontId="63" fillId="25" borderId="16" xfId="88" applyNumberFormat="1" applyFont="1" applyFill="1" applyBorder="1" applyAlignment="1">
      <alignment horizontal="center" vertical="center" wrapText="1"/>
    </xf>
    <xf numFmtId="164" fontId="63" fillId="25" borderId="16" xfId="88" applyNumberFormat="1" applyFont="1" applyFill="1" applyBorder="1" applyAlignment="1">
      <alignment horizontal="center" vertical="center" wrapText="1"/>
    </xf>
    <xf numFmtId="164" fontId="63" fillId="25" borderId="22" xfId="88" applyNumberFormat="1" applyFont="1" applyFill="1" applyBorder="1" applyAlignment="1">
      <alignment horizontal="center" vertical="center" wrapText="1"/>
    </xf>
    <xf numFmtId="171" fontId="63" fillId="25" borderId="22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center" vertical="center" wrapText="1"/>
    </xf>
    <xf numFmtId="43" fontId="63" fillId="25" borderId="0" xfId="88" applyFont="1" applyFill="1" applyAlignment="1">
      <alignment horizontal="center" vertical="center" wrapText="1"/>
    </xf>
    <xf numFmtId="0" fontId="63" fillId="25" borderId="21" xfId="88" applyNumberFormat="1" applyFont="1" applyFill="1" applyBorder="1" applyAlignment="1">
      <alignment horizontal="center" vertical="center" wrapText="1"/>
    </xf>
    <xf numFmtId="43" fontId="63" fillId="25" borderId="21" xfId="88" applyFont="1" applyFill="1" applyBorder="1" applyAlignment="1">
      <alignment horizontal="left" vertical="center" wrapText="1"/>
    </xf>
    <xf numFmtId="43" fontId="63" fillId="25" borderId="21" xfId="88" applyFont="1" applyFill="1" applyBorder="1" applyAlignment="1">
      <alignment horizontal="center" vertical="center" wrapText="1"/>
    </xf>
    <xf numFmtId="171" fontId="63" fillId="25" borderId="21" xfId="88" applyNumberFormat="1" applyFont="1" applyFill="1" applyBorder="1" applyAlignment="1">
      <alignment horizontal="center" vertical="center" wrapText="1"/>
    </xf>
    <xf numFmtId="164" fontId="63" fillId="25" borderId="21" xfId="88" applyNumberFormat="1" applyFont="1" applyFill="1" applyBorder="1" applyAlignment="1">
      <alignment horizontal="center" vertical="center" wrapText="1"/>
    </xf>
    <xf numFmtId="164" fontId="63" fillId="25" borderId="25" xfId="88" applyNumberFormat="1" applyFont="1" applyFill="1" applyBorder="1" applyAlignment="1">
      <alignment horizontal="center" vertical="center" wrapText="1"/>
    </xf>
    <xf numFmtId="171" fontId="63" fillId="25" borderId="25" xfId="88" applyNumberFormat="1" applyFont="1" applyFill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171" fontId="62" fillId="0" borderId="22" xfId="88" applyNumberFormat="1" applyFont="1" applyBorder="1" applyAlignment="1">
      <alignment horizontal="center" vertical="center" wrapText="1"/>
    </xf>
    <xf numFmtId="164" fontId="62" fillId="0" borderId="22" xfId="88" applyNumberFormat="1" applyFont="1" applyBorder="1" applyAlignment="1">
      <alignment horizontal="center" vertical="center" wrapText="1"/>
    </xf>
    <xf numFmtId="43" fontId="62" fillId="0" borderId="22" xfId="88" applyFont="1" applyBorder="1" applyAlignment="1">
      <alignment horizontal="center" vertical="center" wrapText="1"/>
    </xf>
    <xf numFmtId="43" fontId="63" fillId="25" borderId="0" xfId="88" applyFont="1" applyFill="1" applyAlignment="1">
      <alignment horizontal="left" vertical="center" wrapText="1"/>
    </xf>
    <xf numFmtId="164" fontId="63" fillId="25" borderId="0" xfId="88" applyNumberFormat="1" applyFont="1" applyFill="1" applyAlignment="1">
      <alignment horizontal="center" vertical="center" wrapText="1"/>
    </xf>
    <xf numFmtId="43" fontId="63" fillId="25" borderId="25" xfId="88" applyFont="1" applyFill="1" applyBorder="1" applyAlignment="1">
      <alignment horizontal="center" vertical="center" wrapText="1"/>
    </xf>
    <xf numFmtId="171" fontId="62" fillId="0" borderId="16" xfId="88" applyNumberFormat="1" applyFont="1" applyBorder="1" applyAlignment="1">
      <alignment horizontal="center" vertical="center" wrapText="1"/>
    </xf>
    <xf numFmtId="164" fontId="62" fillId="0" borderId="16" xfId="88" applyNumberFormat="1" applyFont="1" applyBorder="1" applyAlignment="1">
      <alignment horizontal="center" vertical="center" wrapText="1"/>
    </xf>
    <xf numFmtId="43" fontId="62" fillId="0" borderId="16" xfId="88" applyFont="1" applyBorder="1" applyAlignment="1">
      <alignment horizontal="center" vertical="center" wrapText="1"/>
    </xf>
    <xf numFmtId="171" fontId="62" fillId="0" borderId="19" xfId="88" applyNumberFormat="1" applyFont="1" applyBorder="1" applyAlignment="1">
      <alignment horizontal="center" vertical="center" wrapText="1"/>
    </xf>
    <xf numFmtId="164" fontId="62" fillId="0" borderId="19" xfId="88" applyNumberFormat="1" applyFont="1" applyBorder="1" applyAlignment="1">
      <alignment horizontal="center" vertical="center" wrapText="1"/>
    </xf>
    <xf numFmtId="43" fontId="62" fillId="0" borderId="19" xfId="88" applyFont="1" applyBorder="1" applyAlignment="1">
      <alignment horizontal="center" vertical="center" wrapText="1"/>
    </xf>
    <xf numFmtId="0" fontId="63" fillId="0" borderId="0" xfId="88" applyNumberFormat="1" applyFont="1" applyAlignment="1">
      <alignment horizontal="center" vertical="center" wrapText="1"/>
    </xf>
    <xf numFmtId="171" fontId="63" fillId="0" borderId="0" xfId="88" applyNumberFormat="1" applyFont="1" applyAlignment="1">
      <alignment horizontal="center" vertical="center" wrapText="1"/>
    </xf>
    <xf numFmtId="164" fontId="63" fillId="0" borderId="0" xfId="88" applyNumberFormat="1" applyFont="1" applyAlignment="1">
      <alignment horizontal="center" vertical="center" wrapText="1"/>
    </xf>
    <xf numFmtId="171" fontId="63" fillId="26" borderId="0" xfId="88" applyNumberFormat="1" applyFont="1" applyFill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vertical="center" wrapText="1"/>
    </xf>
    <xf numFmtId="164" fontId="35" fillId="0" borderId="21" xfId="29" applyNumberFormat="1" applyFont="1" applyBorder="1" applyAlignment="1">
      <alignment vertical="center" wrapText="1"/>
    </xf>
    <xf numFmtId="14" fontId="57" fillId="25" borderId="20" xfId="0" applyNumberFormat="1" applyFont="1" applyFill="1" applyBorder="1" applyAlignment="1">
      <alignment vertical="center" wrapText="1"/>
    </xf>
    <xf numFmtId="0" fontId="34" fillId="0" borderId="0" xfId="0" applyFont="1"/>
    <xf numFmtId="0" fontId="40" fillId="26" borderId="0" xfId="85" applyFont="1" applyFill="1" applyAlignment="1">
      <alignment vertical="center" wrapText="1"/>
    </xf>
    <xf numFmtId="0" fontId="35" fillId="26" borderId="0" xfId="85" applyFont="1" applyFill="1" applyAlignment="1">
      <alignment horizontal="center" vertical="center" wrapText="1"/>
    </xf>
    <xf numFmtId="0" fontId="35" fillId="26" borderId="0" xfId="85" applyFont="1" applyFill="1" applyAlignment="1">
      <alignment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vertical="center" wrapText="1"/>
    </xf>
    <xf numFmtId="164" fontId="35" fillId="26" borderId="22" xfId="86" applyNumberFormat="1" applyFont="1" applyFill="1" applyBorder="1" applyAlignment="1">
      <alignment horizontal="center" vertical="center" wrapText="1"/>
    </xf>
    <xf numFmtId="164" fontId="35" fillId="26" borderId="0" xfId="85" applyNumberFormat="1" applyFont="1" applyFill="1" applyAlignment="1">
      <alignment vertical="center" wrapText="1"/>
    </xf>
    <xf numFmtId="0" fontId="35" fillId="26" borderId="16" xfId="85" applyFont="1" applyFill="1" applyBorder="1" applyAlignment="1">
      <alignment horizontal="center" vertical="center" wrapText="1"/>
    </xf>
    <xf numFmtId="0" fontId="35" fillId="26" borderId="16" xfId="85" applyFont="1" applyFill="1" applyBorder="1" applyAlignment="1">
      <alignment vertical="center" wrapText="1"/>
    </xf>
    <xf numFmtId="164" fontId="35" fillId="26" borderId="16" xfId="86" applyNumberFormat="1" applyFont="1" applyFill="1" applyBorder="1" applyAlignment="1">
      <alignment horizontal="center" vertical="center" wrapText="1"/>
    </xf>
    <xf numFmtId="3" fontId="35" fillId="26" borderId="16" xfId="46" applyFont="1" applyFill="1" applyBorder="1" applyAlignment="1">
      <alignment vertical="center" wrapText="1"/>
    </xf>
    <xf numFmtId="0" fontId="35" fillId="26" borderId="16" xfId="85" quotePrefix="1" applyFont="1" applyFill="1" applyBorder="1" applyAlignment="1">
      <alignment horizontal="center" vertical="center" wrapText="1"/>
    </xf>
    <xf numFmtId="0" fontId="35" fillId="26" borderId="19" xfId="85" applyFont="1" applyFill="1" applyBorder="1" applyAlignment="1">
      <alignment horizontal="center" vertical="center" wrapText="1"/>
    </xf>
    <xf numFmtId="164" fontId="40" fillId="26" borderId="2" xfId="86" applyNumberFormat="1" applyFont="1" applyFill="1" applyBorder="1" applyAlignment="1">
      <alignment horizontal="center" vertical="center" wrapText="1"/>
    </xf>
    <xf numFmtId="164" fontId="35" fillId="26" borderId="0" xfId="29" applyNumberFormat="1" applyFont="1" applyFill="1" applyAlignment="1">
      <alignment vertical="center" wrapText="1"/>
    </xf>
    <xf numFmtId="0" fontId="35" fillId="26" borderId="22" xfId="89" applyFont="1" applyFill="1" applyBorder="1" applyAlignment="1" applyProtection="1">
      <alignment horizontal="center" vertical="center" wrapText="1"/>
    </xf>
    <xf numFmtId="164" fontId="35" fillId="0" borderId="16" xfId="87" quotePrefix="1" applyNumberFormat="1" applyFont="1" applyFill="1" applyBorder="1" applyAlignment="1">
      <alignment horizontal="center" vertical="center" wrapText="1"/>
    </xf>
    <xf numFmtId="14" fontId="35" fillId="25" borderId="16" xfId="87" applyNumberFormat="1" applyFont="1" applyFill="1" applyBorder="1" applyAlignment="1">
      <alignment horizontal="center" vertical="center"/>
    </xf>
    <xf numFmtId="164" fontId="35" fillId="25" borderId="16" xfId="87" applyNumberFormat="1" applyFont="1" applyFill="1" applyBorder="1" applyAlignment="1">
      <alignment horizontal="left" vertical="center"/>
    </xf>
    <xf numFmtId="164" fontId="35" fillId="25" borderId="16" xfId="87" quotePrefix="1" applyNumberFormat="1" applyFont="1" applyFill="1" applyBorder="1" applyAlignment="1">
      <alignment horizontal="center" vertical="center" wrapText="1"/>
    </xf>
    <xf numFmtId="49" fontId="35" fillId="25" borderId="16" xfId="87" applyNumberFormat="1" applyFont="1" applyFill="1" applyBorder="1" applyAlignment="1">
      <alignment horizontal="left" vertical="center"/>
    </xf>
    <xf numFmtId="164" fontId="35" fillId="25" borderId="16" xfId="77" applyNumberFormat="1" applyFont="1" applyFill="1" applyBorder="1" applyAlignment="1">
      <alignment vertical="center"/>
    </xf>
    <xf numFmtId="0" fontId="35" fillId="25" borderId="16" xfId="87" quotePrefix="1" applyNumberFormat="1" applyFont="1" applyFill="1" applyBorder="1" applyAlignment="1">
      <alignment horizontal="center" vertical="center"/>
    </xf>
    <xf numFmtId="0" fontId="36" fillId="26" borderId="16" xfId="89" applyFont="1" applyFill="1" applyBorder="1" applyAlignment="1" applyProtection="1">
      <alignment horizontal="center" vertical="center" wrapText="1"/>
    </xf>
    <xf numFmtId="0" fontId="36" fillId="26" borderId="22" xfId="89" applyFont="1" applyFill="1" applyBorder="1" applyAlignment="1" applyProtection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87" applyNumberFormat="1" applyFont="1" applyFill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0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27" borderId="22" xfId="86" applyNumberFormat="1" applyFont="1" applyFill="1" applyBorder="1" applyAlignment="1">
      <alignment horizontal="center" vertical="center" wrapText="1"/>
    </xf>
    <xf numFmtId="164" fontId="40" fillId="27" borderId="2" xfId="86" applyNumberFormat="1" applyFont="1" applyFill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49" fontId="35" fillId="0" borderId="2" xfId="76" applyNumberFormat="1" applyFont="1" applyFill="1" applyBorder="1" applyAlignment="1">
      <alignment horizontal="center" vertical="center"/>
    </xf>
    <xf numFmtId="0" fontId="35" fillId="0" borderId="17" xfId="76" applyFont="1" applyFill="1" applyBorder="1" applyAlignment="1">
      <alignment horizontal="center" vertical="center"/>
    </xf>
    <xf numFmtId="0" fontId="35" fillId="0" borderId="18" xfId="76" applyFont="1" applyFill="1" applyBorder="1" applyAlignment="1">
      <alignment horizontal="center" vertical="center"/>
    </xf>
    <xf numFmtId="49" fontId="35" fillId="0" borderId="2" xfId="76" applyNumberFormat="1" applyFont="1" applyFill="1" applyBorder="1" applyAlignment="1">
      <alignment horizontal="center" vertical="center"/>
    </xf>
    <xf numFmtId="0" fontId="35" fillId="0" borderId="2" xfId="76" applyNumberFormat="1" applyFont="1" applyFill="1" applyBorder="1" applyAlignment="1">
      <alignment horizontal="center" vertical="center" wrapText="1"/>
    </xf>
    <xf numFmtId="0" fontId="47" fillId="0" borderId="0" xfId="76" applyFont="1" applyFill="1" applyAlignment="1">
      <alignment horizontal="center" vertical="center"/>
    </xf>
    <xf numFmtId="0" fontId="37" fillId="0" borderId="0" xfId="76" applyFont="1" applyFill="1" applyAlignment="1">
      <alignment horizontal="center"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5" xfId="76" applyFont="1" applyFill="1" applyBorder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17" xfId="76" applyFont="1" applyFill="1" applyBorder="1" applyAlignment="1">
      <alignment horizontal="center" vertical="center" wrapText="1"/>
    </xf>
    <xf numFmtId="0" fontId="35" fillId="0" borderId="18" xfId="76" applyFont="1" applyFill="1" applyBorder="1" applyAlignment="1">
      <alignment horizontal="center"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40" fillId="26" borderId="17" xfId="85" applyFont="1" applyFill="1" applyBorder="1" applyAlignment="1">
      <alignment horizontal="center" vertical="center" wrapText="1"/>
    </xf>
    <xf numFmtId="0" fontId="40" fillId="26" borderId="18" xfId="85" applyFont="1" applyFill="1" applyBorder="1" applyAlignment="1">
      <alignment horizontal="center" vertical="center" wrapText="1"/>
    </xf>
    <xf numFmtId="0" fontId="40" fillId="26" borderId="25" xfId="85" applyFont="1" applyFill="1" applyBorder="1" applyAlignment="1">
      <alignment horizontal="center" vertical="center" wrapText="1"/>
    </xf>
    <xf numFmtId="0" fontId="40" fillId="26" borderId="26" xfId="85" applyFont="1" applyFill="1" applyBorder="1" applyAlignment="1">
      <alignment horizontal="center" vertical="center" wrapText="1"/>
    </xf>
    <xf numFmtId="0" fontId="40" fillId="26" borderId="20" xfId="85" applyFont="1" applyFill="1" applyBorder="1" applyAlignment="1">
      <alignment horizontal="center" vertical="center" wrapText="1"/>
    </xf>
    <xf numFmtId="0" fontId="40" fillId="27" borderId="26" xfId="85" applyFont="1" applyFill="1" applyBorder="1" applyAlignment="1">
      <alignment horizontal="center" vertical="center" wrapText="1"/>
    </xf>
    <xf numFmtId="0" fontId="40" fillId="27" borderId="5" xfId="85" applyFont="1" applyFill="1" applyBorder="1" applyAlignment="1">
      <alignment horizontal="center" vertical="center" wrapText="1"/>
    </xf>
    <xf numFmtId="0" fontId="40" fillId="27" borderId="20" xfId="85" applyFont="1" applyFill="1" applyBorder="1" applyAlignment="1">
      <alignment horizontal="center" vertical="center" wrapText="1"/>
    </xf>
    <xf numFmtId="0" fontId="40" fillId="27" borderId="17" xfId="85" applyFont="1" applyFill="1" applyBorder="1" applyAlignment="1">
      <alignment horizontal="center" vertical="center" wrapText="1"/>
    </xf>
    <xf numFmtId="0" fontId="40" fillId="27" borderId="18" xfId="85" applyFont="1" applyFill="1" applyBorder="1" applyAlignment="1">
      <alignment horizontal="center" vertical="center" wrapText="1"/>
    </xf>
    <xf numFmtId="0" fontId="40" fillId="27" borderId="25" xfId="85" applyFont="1" applyFill="1" applyBorder="1" applyAlignment="1">
      <alignment horizontal="center" vertical="center" wrapText="1"/>
    </xf>
    <xf numFmtId="0" fontId="40" fillId="27" borderId="2" xfId="85" applyFont="1" applyFill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0" fontId="40" fillId="0" borderId="26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40" fillId="0" borderId="20" xfId="0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3" fontId="35" fillId="0" borderId="2" xfId="46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0" fontId="57" fillId="25" borderId="26" xfId="0" applyFont="1" applyFill="1" applyBorder="1" applyAlignment="1">
      <alignment horizontal="center" vertical="center" wrapText="1"/>
    </xf>
    <xf numFmtId="0" fontId="57" fillId="25" borderId="20" xfId="0" applyFont="1" applyFill="1" applyBorder="1" applyAlignment="1">
      <alignment horizontal="center" vertical="center" wrapText="1"/>
    </xf>
    <xf numFmtId="0" fontId="35" fillId="0" borderId="21" xfId="0" quotePrefix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12" xfId="29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64" fontId="35" fillId="0" borderId="32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14" fontId="35" fillId="0" borderId="17" xfId="0" applyNumberFormat="1" applyFont="1" applyBorder="1" applyAlignment="1">
      <alignment horizontal="center" vertical="center" wrapText="1"/>
    </xf>
    <xf numFmtId="14" fontId="35" fillId="0" borderId="18" xfId="0" applyNumberFormat="1" applyFont="1" applyBorder="1" applyAlignment="1">
      <alignment horizontal="center" vertical="center" wrapText="1"/>
    </xf>
    <xf numFmtId="164" fontId="35" fillId="0" borderId="17" xfId="29" applyNumberFormat="1" applyFont="1" applyBorder="1" applyAlignment="1">
      <alignment horizontal="center" vertical="center" wrapText="1"/>
    </xf>
    <xf numFmtId="164" fontId="35" fillId="0" borderId="18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30" xfId="0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 wrapText="1"/>
    </xf>
    <xf numFmtId="14" fontId="35" fillId="0" borderId="31" xfId="0" applyNumberFormat="1" applyFont="1" applyBorder="1" applyAlignment="1">
      <alignment horizontal="center" vertical="center" wrapText="1"/>
    </xf>
    <xf numFmtId="14" fontId="35" fillId="0" borderId="32" xfId="0" applyNumberFormat="1" applyFont="1" applyBorder="1" applyAlignment="1">
      <alignment horizontal="center" vertical="center" wrapText="1"/>
    </xf>
    <xf numFmtId="14" fontId="35" fillId="0" borderId="38" xfId="0" applyNumberFormat="1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 wrapText="1"/>
    </xf>
    <xf numFmtId="14" fontId="23" fillId="0" borderId="0" xfId="0" applyNumberFormat="1" applyFont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40" fillId="0" borderId="30" xfId="29" applyNumberFormat="1" applyFont="1" applyBorder="1" applyAlignment="1">
      <alignment horizontal="center" vertical="center" wrapText="1"/>
    </xf>
    <xf numFmtId="164" fontId="40" fillId="0" borderId="33" xfId="29" applyNumberFormat="1" applyFont="1" applyBorder="1" applyAlignment="1">
      <alignment horizontal="center" vertical="center" wrapText="1"/>
    </xf>
    <xf numFmtId="164" fontId="40" fillId="0" borderId="31" xfId="29" applyNumberFormat="1" applyFont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 wrapText="1"/>
    </xf>
    <xf numFmtId="0" fontId="40" fillId="0" borderId="18" xfId="0" applyFont="1" applyBorder="1" applyAlignment="1">
      <alignment horizontal="center" vertical="center" wrapText="1"/>
    </xf>
    <xf numFmtId="0" fontId="42" fillId="0" borderId="17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164" fontId="42" fillId="0" borderId="17" xfId="29" applyNumberFormat="1" applyFont="1" applyBorder="1" applyAlignment="1">
      <alignment horizontal="center" vertical="center" wrapText="1"/>
    </xf>
    <xf numFmtId="0" fontId="0" fillId="0" borderId="25" xfId="0" applyBorder="1"/>
    <xf numFmtId="0" fontId="42" fillId="0" borderId="22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4" fontId="35" fillId="0" borderId="12" xfId="29" applyNumberFormat="1" applyFont="1" applyBorder="1" applyAlignment="1">
      <alignment horizontal="center" vertical="center" wrapText="1"/>
    </xf>
    <xf numFmtId="14" fontId="35" fillId="0" borderId="16" xfId="29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4" fontId="35" fillId="0" borderId="21" xfId="29" applyNumberFormat="1" applyFont="1" applyBorder="1" applyAlignment="1">
      <alignment horizontal="center" vertical="center" wrapText="1"/>
    </xf>
    <xf numFmtId="14" fontId="35" fillId="0" borderId="19" xfId="29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42" fillId="0" borderId="22" xfId="29" applyNumberFormat="1" applyFont="1" applyBorder="1" applyAlignment="1">
      <alignment horizontal="center" vertical="center" wrapText="1"/>
    </xf>
    <xf numFmtId="0" fontId="40" fillId="21" borderId="26" xfId="34" applyFont="1" applyBorder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164" fontId="35" fillId="0" borderId="23" xfId="29" applyNumberFormat="1" applyFont="1" applyBorder="1" applyAlignment="1">
      <alignment horizontal="center" vertical="center"/>
    </xf>
    <xf numFmtId="0" fontId="39" fillId="0" borderId="24" xfId="58" applyFont="1" applyBorder="1" applyAlignment="1">
      <alignment horizontal="center" vertical="center"/>
    </xf>
    <xf numFmtId="0" fontId="40" fillId="21" borderId="17" xfId="53" applyFont="1" applyFill="1" applyBorder="1" applyAlignment="1">
      <alignment horizontal="center" vertical="center"/>
    </xf>
    <xf numFmtId="0" fontId="40" fillId="21" borderId="25" xfId="53" applyFont="1" applyFill="1" applyBorder="1" applyAlignment="1">
      <alignment horizontal="center" vertical="center"/>
    </xf>
    <xf numFmtId="0" fontId="40" fillId="21" borderId="17" xfId="34" applyFont="1" applyBorder="1" applyAlignment="1">
      <alignment horizontal="center" vertical="center" wrapText="1"/>
    </xf>
    <xf numFmtId="0" fontId="40" fillId="21" borderId="25" xfId="34" applyFont="1" applyBorder="1" applyAlignment="1">
      <alignment horizontal="center" vertical="center" wrapText="1"/>
    </xf>
    <xf numFmtId="0" fontId="35" fillId="0" borderId="0" xfId="52" applyFont="1" applyAlignment="1">
      <alignment horizontal="center" vertical="center"/>
    </xf>
    <xf numFmtId="0" fontId="35" fillId="0" borderId="2" xfId="52" applyFont="1" applyBorder="1" applyAlignment="1">
      <alignment horizontal="center" vertical="center" wrapText="1"/>
    </xf>
    <xf numFmtId="164" fontId="40" fillId="0" borderId="0" xfId="54" applyNumberFormat="1" applyFont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 wrapText="1"/>
    </xf>
    <xf numFmtId="0" fontId="35" fillId="0" borderId="0" xfId="52" applyFont="1" applyAlignment="1">
      <alignment horizontal="left" vertical="center"/>
    </xf>
    <xf numFmtId="0" fontId="35" fillId="0" borderId="24" xfId="52" applyFont="1" applyBorder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6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23" fillId="0" borderId="0" xfId="52" applyFont="1" applyAlignment="1">
      <alignment horizontal="center" vertical="center"/>
    </xf>
    <xf numFmtId="0" fontId="57" fillId="25" borderId="2" xfId="0" applyFont="1" applyFill="1" applyBorder="1" applyAlignment="1">
      <alignment horizontal="center" vertical="center" wrapText="1"/>
    </xf>
    <xf numFmtId="0" fontId="62" fillId="0" borderId="2" xfId="88" applyNumberFormat="1" applyFont="1" applyBorder="1" applyAlignment="1">
      <alignment horizontal="center" vertical="center" wrapText="1"/>
    </xf>
    <xf numFmtId="0" fontId="62" fillId="0" borderId="26" xfId="88" applyNumberFormat="1" applyFont="1" applyBorder="1" applyAlignment="1">
      <alignment horizontal="center" vertical="center" wrapText="1"/>
    </xf>
    <xf numFmtId="0" fontId="62" fillId="0" borderId="5" xfId="88" applyNumberFormat="1" applyFont="1" applyBorder="1" applyAlignment="1">
      <alignment horizontal="center" vertical="center" wrapText="1"/>
    </xf>
    <xf numFmtId="0" fontId="62" fillId="0" borderId="20" xfId="88" applyNumberFormat="1" applyFont="1" applyBorder="1" applyAlignment="1">
      <alignment horizontal="center" vertical="center" wrapText="1"/>
    </xf>
    <xf numFmtId="0" fontId="62" fillId="0" borderId="12" xfId="88" applyNumberFormat="1" applyFont="1" applyBorder="1" applyAlignment="1">
      <alignment horizontal="center" vertical="center" wrapText="1"/>
    </xf>
    <xf numFmtId="0" fontId="62" fillId="0" borderId="16" xfId="88" applyNumberFormat="1" applyFont="1" applyBorder="1" applyAlignment="1">
      <alignment horizontal="center" vertical="center" wrapText="1"/>
    </xf>
    <xf numFmtId="0" fontId="62" fillId="0" borderId="19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2" fillId="0" borderId="34" xfId="88" applyNumberFormat="1" applyFont="1" applyBorder="1" applyAlignment="1">
      <alignment horizontal="center" vertical="center" wrapText="1"/>
    </xf>
    <xf numFmtId="0" fontId="62" fillId="0" borderId="35" xfId="88" applyNumberFormat="1" applyFont="1" applyBorder="1" applyAlignment="1">
      <alignment horizontal="center" vertical="center" wrapText="1"/>
    </xf>
    <xf numFmtId="0" fontId="62" fillId="0" borderId="36" xfId="88" applyNumberFormat="1" applyFont="1" applyBorder="1" applyAlignment="1">
      <alignment horizontal="center" vertical="center" wrapText="1"/>
    </xf>
    <xf numFmtId="49" fontId="53" fillId="0" borderId="21" xfId="76" applyNumberFormat="1" applyFont="1" applyFill="1" applyBorder="1" applyAlignment="1">
      <alignment horizontal="left" vertical="center"/>
    </xf>
  </cellXfs>
  <cellStyles count="9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0"/>
    <cellStyle name="Comma 4" xfId="81"/>
    <cellStyle name="Comma 5" xfId="82"/>
    <cellStyle name="Comma 6" xfId="86"/>
    <cellStyle name="Comma 7" xfId="88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9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3"/>
    <cellStyle name="Normal 4" xfId="84"/>
    <cellStyle name="Normal 5" xfId="85"/>
    <cellStyle name="Normal_Bao cao" xfId="73"/>
    <cellStyle name="Normal_Copy of Ke-toan-mo-phong-mauso_ke_toan_NKC_excel-2" xfId="52"/>
    <cellStyle name="Normal_Copy of Ke-toan-mo-phong-mauso_ke_toan_NKC_excel-2 2" xfId="78"/>
    <cellStyle name="Normal_Ctkt08" xfId="53"/>
    <cellStyle name="Normal_ketoanthucte_NhatKySoCai" xfId="54"/>
    <cellStyle name="Normal_ketoanthucte_NhatKySoCai 2" xfId="76"/>
    <cellStyle name="Normal_ketoanthucte_NhatKySoCai 2 2" xfId="87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9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B12" sqref="B12:B13"/>
    </sheetView>
  </sheetViews>
  <sheetFormatPr defaultColWidth="8" defaultRowHeight="13.5"/>
  <cols>
    <col min="1" max="1" width="7.42578125" style="41" customWidth="1"/>
    <col min="2" max="2" width="35.85546875" style="41" customWidth="1"/>
    <col min="3" max="3" width="14.5703125" style="40" customWidth="1"/>
    <col min="4" max="4" width="13.5703125" style="40" customWidth="1"/>
    <col min="5" max="5" width="15.140625" style="41" customWidth="1"/>
    <col min="6" max="6" width="17.28515625" style="41" customWidth="1"/>
    <col min="7" max="7" width="13.85546875" style="41" customWidth="1"/>
    <col min="8" max="8" width="14.7109375" style="41" customWidth="1"/>
    <col min="9" max="9" width="6.140625" style="41" customWidth="1"/>
    <col min="10" max="10" width="15.42578125" style="41" customWidth="1"/>
    <col min="11" max="11" width="13.7109375" style="41" customWidth="1"/>
    <col min="12" max="16384" width="8" style="41"/>
  </cols>
  <sheetData>
    <row r="1" spans="1:12">
      <c r="A1" s="39" t="s">
        <v>191</v>
      </c>
      <c r="B1" s="39"/>
    </row>
    <row r="2" spans="1:12">
      <c r="A2" s="39" t="s">
        <v>192</v>
      </c>
      <c r="B2" s="39"/>
    </row>
    <row r="3" spans="1:12">
      <c r="A3" s="39" t="s">
        <v>193</v>
      </c>
      <c r="B3" s="39"/>
    </row>
    <row r="5" spans="1:12" ht="15.75">
      <c r="A5" s="42" t="s">
        <v>194</v>
      </c>
      <c r="B5" s="42"/>
      <c r="C5" s="43"/>
      <c r="D5" s="43"/>
      <c r="E5" s="42"/>
      <c r="F5" s="42"/>
      <c r="G5" s="42"/>
      <c r="H5" s="42"/>
    </row>
    <row r="6" spans="1:12" ht="15.75">
      <c r="A6" s="44" t="s">
        <v>195</v>
      </c>
      <c r="B6" s="42"/>
      <c r="C6" s="43"/>
      <c r="D6" s="43"/>
      <c r="E6" s="42"/>
      <c r="F6" s="42"/>
      <c r="G6" s="42"/>
      <c r="H6" s="42"/>
    </row>
    <row r="8" spans="1:12">
      <c r="A8" s="45"/>
      <c r="B8" s="45" t="s">
        <v>196</v>
      </c>
      <c r="C8" s="46" t="s">
        <v>197</v>
      </c>
      <c r="D8" s="46"/>
      <c r="E8" s="47" t="s">
        <v>198</v>
      </c>
      <c r="F8" s="47"/>
      <c r="G8" s="47" t="s">
        <v>199</v>
      </c>
      <c r="H8" s="47"/>
    </row>
    <row r="9" spans="1:12">
      <c r="A9" s="48" t="s">
        <v>200</v>
      </c>
      <c r="B9" s="48"/>
      <c r="C9" s="46" t="s">
        <v>201</v>
      </c>
      <c r="D9" s="46" t="s">
        <v>202</v>
      </c>
      <c r="E9" s="47" t="s">
        <v>201</v>
      </c>
      <c r="F9" s="47" t="s">
        <v>202</v>
      </c>
      <c r="G9" s="47" t="s">
        <v>201</v>
      </c>
      <c r="H9" s="47" t="s">
        <v>202</v>
      </c>
    </row>
    <row r="10" spans="1:12" s="40" customFormat="1">
      <c r="A10" s="49" t="s">
        <v>203</v>
      </c>
      <c r="B10" s="50" t="s">
        <v>204</v>
      </c>
      <c r="C10" s="51"/>
      <c r="D10" s="51"/>
      <c r="E10" s="51">
        <f t="array" ref="E10">SUM(IF(A10=KHN,TH))</f>
        <v>12520000000</v>
      </c>
      <c r="F10" s="51">
        <f t="array" ref="F10">SUM(IF(A10=KHC,TH))</f>
        <v>11606373519</v>
      </c>
      <c r="G10" s="52">
        <f>MAX(C10+E10-D10-F10,0)</f>
        <v>913626481</v>
      </c>
      <c r="H10" s="52">
        <f>MAX(D10+F10-E10-C10,0)</f>
        <v>0</v>
      </c>
      <c r="K10" s="53"/>
      <c r="L10" s="53"/>
    </row>
    <row r="11" spans="1:12" s="40" customFormat="1">
      <c r="A11" s="54" t="s">
        <v>33</v>
      </c>
      <c r="B11" s="55" t="s">
        <v>205</v>
      </c>
      <c r="C11" s="56"/>
      <c r="D11" s="56"/>
      <c r="E11" s="56">
        <f>E10</f>
        <v>12520000000</v>
      </c>
      <c r="F11" s="56">
        <f>F10</f>
        <v>11606373519</v>
      </c>
      <c r="G11" s="56">
        <f>G10</f>
        <v>913626481</v>
      </c>
      <c r="H11" s="56">
        <f>H10</f>
        <v>0</v>
      </c>
      <c r="K11" s="53"/>
    </row>
    <row r="12" spans="1:12" s="40" customFormat="1">
      <c r="A12" s="57" t="s">
        <v>54</v>
      </c>
      <c r="B12" s="50" t="s">
        <v>206</v>
      </c>
      <c r="C12" s="51"/>
      <c r="D12" s="51"/>
      <c r="E12" s="51">
        <f t="array" ref="E12">SUM(IF(A12=KHN,TH))</f>
        <v>34245712284</v>
      </c>
      <c r="F12" s="51">
        <f t="array" ref="F12">SUM(IF(A12=KHC,TH))</f>
        <v>34243995020</v>
      </c>
      <c r="G12" s="52">
        <f>MAX(C12+E12-D12-F12,0)</f>
        <v>1717264</v>
      </c>
      <c r="H12" s="52">
        <f>MAX(D12+F12-E12-C12,0)</f>
        <v>0</v>
      </c>
      <c r="K12" s="53"/>
      <c r="L12" s="53"/>
    </row>
    <row r="13" spans="1:12" s="40" customFormat="1">
      <c r="A13" s="57" t="s">
        <v>1242</v>
      </c>
      <c r="B13" s="50" t="s">
        <v>1243</v>
      </c>
      <c r="C13" s="51"/>
      <c r="D13" s="51"/>
      <c r="E13" s="51">
        <f t="array" ref="E13">SUM(IF(A13=KHN,TH))</f>
        <v>0</v>
      </c>
      <c r="F13" s="51">
        <f t="array" ref="F13">SUM(IF(A13=KHC,TH))</f>
        <v>0</v>
      </c>
      <c r="G13" s="52">
        <f>MAX(C13+E13-D13-F13,0)</f>
        <v>0</v>
      </c>
      <c r="H13" s="52">
        <f>MAX(D13+F13-E13-C13,0)</f>
        <v>0</v>
      </c>
      <c r="K13" s="53"/>
      <c r="L13" s="53"/>
    </row>
    <row r="14" spans="1:12" s="40" customFormat="1">
      <c r="A14" s="54" t="s">
        <v>207</v>
      </c>
      <c r="B14" s="55" t="s">
        <v>208</v>
      </c>
      <c r="C14" s="56"/>
      <c r="D14" s="56"/>
      <c r="E14" s="56">
        <f>E12+E13</f>
        <v>34245712284</v>
      </c>
      <c r="F14" s="56">
        <f t="shared" ref="F14:H14" si="0">F12+F13</f>
        <v>34243995020</v>
      </c>
      <c r="G14" s="56">
        <f t="shared" si="0"/>
        <v>1717264</v>
      </c>
      <c r="H14" s="56">
        <f t="shared" si="0"/>
        <v>0</v>
      </c>
      <c r="K14" s="53"/>
    </row>
    <row r="15" spans="1:12" s="40" customFormat="1">
      <c r="A15" s="57" t="s">
        <v>19</v>
      </c>
      <c r="B15" s="50" t="s">
        <v>209</v>
      </c>
      <c r="C15" s="51"/>
      <c r="D15" s="51"/>
      <c r="E15" s="51">
        <f t="array" ref="E15">SUM(IF(A15=KHN,TH))</f>
        <v>2327076192</v>
      </c>
      <c r="F15" s="51">
        <f t="array" ref="F15">SUM(IF(A15=KHC,TH))</f>
        <v>1678844208</v>
      </c>
      <c r="G15" s="52">
        <f>MAX(C15+E15-D15-F15,0)</f>
        <v>648231984</v>
      </c>
      <c r="H15" s="52">
        <f>MAX(D15+F15-E15-C15,0)</f>
        <v>0</v>
      </c>
      <c r="K15" s="53"/>
    </row>
    <row r="16" spans="1:12" s="40" customFormat="1">
      <c r="A16" s="54" t="s">
        <v>210</v>
      </c>
      <c r="B16" s="55" t="s">
        <v>211</v>
      </c>
      <c r="C16" s="56"/>
      <c r="D16" s="56"/>
      <c r="E16" s="56">
        <f>E15</f>
        <v>2327076192</v>
      </c>
      <c r="F16" s="56">
        <f>F15</f>
        <v>1678844208</v>
      </c>
      <c r="G16" s="56">
        <f>G15</f>
        <v>648231984</v>
      </c>
      <c r="H16" s="56">
        <f>H15</f>
        <v>0</v>
      </c>
      <c r="K16" s="53"/>
    </row>
    <row r="17" spans="1:11" s="40" customFormat="1">
      <c r="A17" s="57" t="s">
        <v>212</v>
      </c>
      <c r="B17" s="50" t="s">
        <v>213</v>
      </c>
      <c r="C17" s="51"/>
      <c r="D17" s="51"/>
      <c r="E17" s="51">
        <f t="array" ref="E17">SUM(IF(A17=KHN,TH))</f>
        <v>2160421193</v>
      </c>
      <c r="F17" s="51">
        <f t="array" ref="F17">SUM(IF(A17=KHC,TH))</f>
        <v>2160421193</v>
      </c>
      <c r="G17" s="52">
        <f t="shared" ref="G17:G23" si="1">MAX(C17+E17-D17-F17,0)</f>
        <v>0</v>
      </c>
      <c r="H17" s="52">
        <f t="shared" ref="H17:H23" si="2">MAX(D17+F17-E17-C17,0)</f>
        <v>0</v>
      </c>
      <c r="K17" s="53"/>
    </row>
    <row r="18" spans="1:11" s="40" customFormat="1">
      <c r="A18" s="54" t="s">
        <v>214</v>
      </c>
      <c r="B18" s="55" t="s">
        <v>215</v>
      </c>
      <c r="C18" s="56"/>
      <c r="D18" s="56"/>
      <c r="E18" s="56">
        <f>E17</f>
        <v>2160421193</v>
      </c>
      <c r="F18" s="56">
        <f>F17</f>
        <v>2160421193</v>
      </c>
      <c r="G18" s="56">
        <f t="shared" si="1"/>
        <v>0</v>
      </c>
      <c r="H18" s="56">
        <f t="shared" si="2"/>
        <v>0</v>
      </c>
      <c r="K18" s="53"/>
    </row>
    <row r="19" spans="1:11" s="40" customFormat="1">
      <c r="A19" s="57" t="s">
        <v>654</v>
      </c>
      <c r="B19" s="50" t="s">
        <v>655</v>
      </c>
      <c r="C19" s="51"/>
      <c r="D19" s="51"/>
      <c r="E19" s="51">
        <f t="array" ref="E19">SUM(IF(A19=KHN,TH))</f>
        <v>24956244880</v>
      </c>
      <c r="F19" s="51">
        <f t="array" ref="F19">SUM(IF(A19=KHC,TH))</f>
        <v>0</v>
      </c>
      <c r="G19" s="52">
        <f t="shared" si="1"/>
        <v>24956244880</v>
      </c>
      <c r="H19" s="52">
        <f t="shared" si="2"/>
        <v>0</v>
      </c>
      <c r="K19" s="53"/>
    </row>
    <row r="20" spans="1:11" s="40" customFormat="1">
      <c r="A20" s="54" t="s">
        <v>656</v>
      </c>
      <c r="B20" s="55" t="s">
        <v>657</v>
      </c>
      <c r="C20" s="56"/>
      <c r="D20" s="56"/>
      <c r="E20" s="56">
        <f>E19</f>
        <v>24956244880</v>
      </c>
      <c r="F20" s="56">
        <f>F19</f>
        <v>0</v>
      </c>
      <c r="G20" s="56">
        <f t="shared" si="1"/>
        <v>24956244880</v>
      </c>
      <c r="H20" s="56">
        <f t="shared" si="2"/>
        <v>0</v>
      </c>
      <c r="K20" s="53"/>
    </row>
    <row r="21" spans="1:11" s="40" customFormat="1">
      <c r="A21" s="54" t="s">
        <v>18</v>
      </c>
      <c r="B21" s="55" t="s">
        <v>216</v>
      </c>
      <c r="C21" s="56"/>
      <c r="D21" s="56"/>
      <c r="E21" s="139">
        <f t="array" ref="E21">SUM(IF(A21=KHN,TH))</f>
        <v>29308592604</v>
      </c>
      <c r="F21" s="139">
        <f t="array" ref="F21">SUM(IF(A21=KHC,TH))</f>
        <v>24584501294</v>
      </c>
      <c r="G21" s="56">
        <f t="shared" si="1"/>
        <v>4724091310</v>
      </c>
      <c r="H21" s="56">
        <f t="shared" si="2"/>
        <v>0</v>
      </c>
      <c r="K21" s="53"/>
    </row>
    <row r="22" spans="1:11" s="40" customFormat="1">
      <c r="A22" s="57" t="s">
        <v>217</v>
      </c>
      <c r="B22" s="50" t="s">
        <v>218</v>
      </c>
      <c r="C22" s="51"/>
      <c r="D22" s="51"/>
      <c r="E22" s="51">
        <f t="array" ref="E22">SUM(IF(A22=KHN,TH))</f>
        <v>0</v>
      </c>
      <c r="F22" s="51">
        <f t="array" ref="F22">SUM(IF(A22=KHC,TH))</f>
        <v>0</v>
      </c>
      <c r="G22" s="51">
        <f t="shared" si="1"/>
        <v>0</v>
      </c>
      <c r="H22" s="51">
        <f t="shared" si="2"/>
        <v>0</v>
      </c>
      <c r="I22" s="40">
        <f t="shared" ref="I22:I25" si="3">E22-F22</f>
        <v>0</v>
      </c>
    </row>
    <row r="23" spans="1:11" s="40" customFormat="1">
      <c r="A23" s="60" t="s">
        <v>219</v>
      </c>
      <c r="B23" s="61" t="s">
        <v>220</v>
      </c>
      <c r="C23" s="59"/>
      <c r="D23" s="59"/>
      <c r="E23" s="59">
        <f t="array" ref="E23">SUM(IF(A23=KHN,TH))</f>
        <v>12750000</v>
      </c>
      <c r="F23" s="59">
        <f t="array" ref="F23">SUM(IF(A23=KHC,TH))</f>
        <v>12750000</v>
      </c>
      <c r="G23" s="59">
        <f t="shared" si="1"/>
        <v>0</v>
      </c>
      <c r="H23" s="59">
        <f t="shared" si="2"/>
        <v>0</v>
      </c>
      <c r="I23" s="40">
        <f t="shared" si="3"/>
        <v>0</v>
      </c>
    </row>
    <row r="24" spans="1:11" s="40" customFormat="1">
      <c r="A24" s="57" t="s">
        <v>40</v>
      </c>
      <c r="B24" s="50" t="s">
        <v>221</v>
      </c>
      <c r="C24" s="51"/>
      <c r="D24" s="51"/>
      <c r="E24" s="51">
        <f>E23</f>
        <v>12750000</v>
      </c>
      <c r="F24" s="51">
        <f>F23</f>
        <v>12750000</v>
      </c>
      <c r="G24" s="51">
        <f>G23</f>
        <v>0</v>
      </c>
      <c r="H24" s="51">
        <f>H23</f>
        <v>0</v>
      </c>
      <c r="I24" s="40">
        <f t="shared" si="3"/>
        <v>0</v>
      </c>
    </row>
    <row r="25" spans="1:11" s="40" customFormat="1">
      <c r="A25" s="54" t="s">
        <v>222</v>
      </c>
      <c r="B25" s="55" t="s">
        <v>223</v>
      </c>
      <c r="C25" s="56"/>
      <c r="D25" s="56"/>
      <c r="E25" s="56">
        <f>E22+E24</f>
        <v>12750000</v>
      </c>
      <c r="F25" s="56">
        <f>F22+F24</f>
        <v>12750000</v>
      </c>
      <c r="G25" s="56">
        <f>G22+G24</f>
        <v>0</v>
      </c>
      <c r="H25" s="56">
        <f>H22+H24</f>
        <v>0</v>
      </c>
      <c r="I25" s="40">
        <f t="shared" si="3"/>
        <v>0</v>
      </c>
    </row>
    <row r="26" spans="1:11" s="40" customFormat="1">
      <c r="A26" s="57" t="s">
        <v>39</v>
      </c>
      <c r="B26" s="50" t="s">
        <v>224</v>
      </c>
      <c r="C26" s="51"/>
      <c r="D26" s="51"/>
      <c r="E26" s="51">
        <f t="array" ref="E26">SUM(IF(A26=KHN,TH))</f>
        <v>1444500000</v>
      </c>
      <c r="F26" s="51">
        <f t="array" ref="F26">SUM(IF(A26=KHC,TH))</f>
        <v>7444500000</v>
      </c>
      <c r="G26" s="51">
        <f>MAX(C26+E26-D26-F26,0)</f>
        <v>0</v>
      </c>
      <c r="H26" s="51">
        <f>MAX(D26+F26-E26-C26,0)</f>
        <v>6000000000</v>
      </c>
    </row>
    <row r="27" spans="1:11" s="40" customFormat="1">
      <c r="A27" s="54" t="s">
        <v>225</v>
      </c>
      <c r="B27" s="55" t="s">
        <v>226</v>
      </c>
      <c r="C27" s="56"/>
      <c r="D27" s="56"/>
      <c r="E27" s="56">
        <f>E26</f>
        <v>1444500000</v>
      </c>
      <c r="F27" s="56">
        <f>F26</f>
        <v>7444500000</v>
      </c>
      <c r="G27" s="56">
        <f>G26</f>
        <v>0</v>
      </c>
      <c r="H27" s="56">
        <f>H26</f>
        <v>6000000000</v>
      </c>
    </row>
    <row r="28" spans="1:11" s="40" customFormat="1">
      <c r="A28" s="49" t="s">
        <v>227</v>
      </c>
      <c r="B28" s="50" t="s">
        <v>1240</v>
      </c>
      <c r="C28" s="51"/>
      <c r="D28" s="51"/>
      <c r="E28" s="51">
        <f t="array" ref="E28">SUM(IF(A28=KHN,TH))</f>
        <v>0</v>
      </c>
      <c r="F28" s="51">
        <f t="array" ref="F28">SUM(IF(A28=KHC,TH))</f>
        <v>20000000000</v>
      </c>
      <c r="G28" s="52">
        <f>MAX(C28+E28-D28-F28,0)</f>
        <v>0</v>
      </c>
      <c r="H28" s="52">
        <f>MAX(D28+F28-E28-C28,0)</f>
        <v>20000000000</v>
      </c>
    </row>
    <row r="29" spans="1:11" s="40" customFormat="1">
      <c r="A29" s="49" t="s">
        <v>1239</v>
      </c>
      <c r="B29" s="50" t="s">
        <v>1241</v>
      </c>
      <c r="C29" s="51"/>
      <c r="D29" s="51"/>
      <c r="E29" s="51">
        <f t="array" ref="E29">SUM(IF(A29=KHN,TH))</f>
        <v>0</v>
      </c>
      <c r="F29" s="51">
        <f t="array" ref="F29">SUM(IF(A29=KHC,TH))</f>
        <v>1982640000</v>
      </c>
      <c r="G29" s="52">
        <f>MAX(C29+E29-D29-F29,0)</f>
        <v>0</v>
      </c>
      <c r="H29" s="52">
        <f>MAX(D29+F29-E29-C29,0)</f>
        <v>1982640000</v>
      </c>
    </row>
    <row r="30" spans="1:11" s="40" customFormat="1">
      <c r="A30" s="58" t="s">
        <v>97</v>
      </c>
      <c r="B30" s="55" t="s">
        <v>228</v>
      </c>
      <c r="C30" s="56"/>
      <c r="D30" s="56"/>
      <c r="E30" s="56">
        <f>E28+E29</f>
        <v>0</v>
      </c>
      <c r="F30" s="56">
        <f t="shared" ref="F30:H30" si="4">F28+F29</f>
        <v>21982640000</v>
      </c>
      <c r="G30" s="56">
        <f t="shared" si="4"/>
        <v>0</v>
      </c>
      <c r="H30" s="56">
        <f t="shared" si="4"/>
        <v>21982640000</v>
      </c>
    </row>
    <row r="31" spans="1:11" s="40" customFormat="1">
      <c r="A31" s="57" t="s">
        <v>55</v>
      </c>
      <c r="B31" s="50" t="s">
        <v>229</v>
      </c>
      <c r="C31" s="51"/>
      <c r="D31" s="51"/>
      <c r="E31" s="51">
        <f t="array" ref="E31">SUM(IF(A31=KHN,TH))</f>
        <v>0</v>
      </c>
      <c r="F31" s="51">
        <f t="array" ref="F31">SUM(IF(A31=KHC,TH))</f>
        <v>4000000000</v>
      </c>
      <c r="G31" s="52">
        <f>MAX(C31+E31-D31-F31,0)</f>
        <v>0</v>
      </c>
      <c r="H31" s="52">
        <f>MAX(D31+F31-E31-C31,0)</f>
        <v>4000000000</v>
      </c>
    </row>
    <row r="32" spans="1:11" s="40" customFormat="1">
      <c r="A32" s="54" t="s">
        <v>230</v>
      </c>
      <c r="B32" s="55" t="s">
        <v>231</v>
      </c>
      <c r="C32" s="56"/>
      <c r="D32" s="56"/>
      <c r="E32" s="56">
        <f>E31</f>
        <v>0</v>
      </c>
      <c r="F32" s="56">
        <f>F31</f>
        <v>4000000000</v>
      </c>
      <c r="G32" s="56">
        <f>MAX(C32+E32-D32-F32,0)</f>
        <v>0</v>
      </c>
      <c r="H32" s="56">
        <f>MAX(D32+F32-E32-C32,0)</f>
        <v>4000000000</v>
      </c>
    </row>
    <row r="33" spans="1:9" s="40" customFormat="1">
      <c r="A33" s="49" t="s">
        <v>232</v>
      </c>
      <c r="B33" s="50" t="s">
        <v>233</v>
      </c>
      <c r="C33" s="51"/>
      <c r="D33" s="51"/>
      <c r="E33" s="51">
        <f t="array" ref="E33">SUM(IF(A33=KHN,TH))</f>
        <v>0</v>
      </c>
      <c r="F33" s="51">
        <f t="array" ref="F33">SUM(IF(A33=KHC,TH))</f>
        <v>0</v>
      </c>
      <c r="G33" s="52">
        <f>MAX(C33+E33-D33-F33,0)</f>
        <v>0</v>
      </c>
      <c r="H33" s="52">
        <f>MAX(D33+F33-E33-C33,0)</f>
        <v>0</v>
      </c>
    </row>
    <row r="34" spans="1:9" s="40" customFormat="1">
      <c r="A34" s="57" t="s">
        <v>234</v>
      </c>
      <c r="B34" s="50" t="s">
        <v>235</v>
      </c>
      <c r="C34" s="51"/>
      <c r="D34" s="51"/>
      <c r="E34" s="51">
        <f t="array" ref="E34">SUM(IF(A34=TH!$N$10:$N$1825,TH!$M$10:$M$1825))</f>
        <v>705728081</v>
      </c>
      <c r="F34" s="51">
        <f t="array" ref="F34">SUM(IF(A34=TH!$O$10:$O$1825,TH!$M$10:$M$1825))</f>
        <v>0</v>
      </c>
      <c r="G34" s="51">
        <f>MAX(C34+E34-D34-F34,0)</f>
        <v>705728081</v>
      </c>
      <c r="H34" s="51">
        <f>MAX(D34+F34-E34-C34,0)</f>
        <v>0</v>
      </c>
    </row>
    <row r="35" spans="1:9" s="40" customFormat="1">
      <c r="A35" s="54" t="s">
        <v>236</v>
      </c>
      <c r="B35" s="55" t="s">
        <v>237</v>
      </c>
      <c r="C35" s="56"/>
      <c r="D35" s="56"/>
      <c r="E35" s="56">
        <f>E34+E33</f>
        <v>705728081</v>
      </c>
      <c r="F35" s="56">
        <f>F34+F33</f>
        <v>0</v>
      </c>
      <c r="G35" s="56">
        <f>G34+G33</f>
        <v>705728081</v>
      </c>
      <c r="H35" s="56">
        <f>H34+H33</f>
        <v>0</v>
      </c>
    </row>
    <row r="36" spans="1:9" s="40" customFormat="1">
      <c r="A36" s="54" t="s">
        <v>99</v>
      </c>
      <c r="B36" s="55" t="s">
        <v>238</v>
      </c>
      <c r="C36" s="56"/>
      <c r="D36" s="56"/>
      <c r="E36" s="139">
        <f t="array" ref="E36">SUM(IF(A36=KHN,TH))</f>
        <v>1951091</v>
      </c>
      <c r="F36" s="139">
        <f t="array" ref="F36">SUM(IF(A36=KHC,TH))</f>
        <v>1951091</v>
      </c>
      <c r="G36" s="56"/>
      <c r="H36" s="56"/>
      <c r="I36" s="40">
        <f t="shared" ref="I36:I42" si="5">E36-F36</f>
        <v>0</v>
      </c>
    </row>
    <row r="37" spans="1:9" s="40" customFormat="1" ht="12.75" customHeight="1">
      <c r="A37" s="54" t="s">
        <v>239</v>
      </c>
      <c r="B37" s="55" t="s">
        <v>240</v>
      </c>
      <c r="C37" s="56"/>
      <c r="D37" s="56"/>
      <c r="E37" s="139">
        <f t="array" ref="E37">SUM(IF(A37=KHN,TH))</f>
        <v>2031565927</v>
      </c>
      <c r="F37" s="139">
        <f t="array" ref="F37">SUM(IF(A37=KHC,TH))</f>
        <v>2031565927</v>
      </c>
      <c r="G37" s="56"/>
      <c r="H37" s="56"/>
      <c r="I37" s="40">
        <f t="shared" si="5"/>
        <v>0</v>
      </c>
    </row>
    <row r="38" spans="1:9" s="40" customFormat="1" ht="12.75" customHeight="1">
      <c r="A38" s="54" t="s">
        <v>241</v>
      </c>
      <c r="B38" s="55" t="s">
        <v>242</v>
      </c>
      <c r="C38" s="56"/>
      <c r="D38" s="56"/>
      <c r="E38" s="139">
        <f t="array" ref="E38">SUM(IF(A38=KHN,TH))</f>
        <v>678659172</v>
      </c>
      <c r="F38" s="139">
        <f t="array" ref="F38">SUM(IF(A38=KHC,TH))</f>
        <v>678659172</v>
      </c>
      <c r="G38" s="56"/>
      <c r="H38" s="56"/>
      <c r="I38" s="40">
        <f t="shared" si="5"/>
        <v>0</v>
      </c>
    </row>
    <row r="39" spans="1:9" s="40" customFormat="1" ht="12.75" customHeight="1">
      <c r="A39" s="58" t="s">
        <v>243</v>
      </c>
      <c r="B39" s="55" t="s">
        <v>244</v>
      </c>
      <c r="C39" s="56"/>
      <c r="D39" s="56"/>
      <c r="E39" s="139">
        <f t="array" ref="E39">SUM(IF(A39=KHN,TH))</f>
        <v>900000</v>
      </c>
      <c r="F39" s="139">
        <f t="array" ref="F39">SUM(IF(A39=KHC,TH))</f>
        <v>900000</v>
      </c>
      <c r="G39" s="56"/>
      <c r="H39" s="56"/>
      <c r="I39" s="40">
        <f t="shared" si="5"/>
        <v>0</v>
      </c>
    </row>
    <row r="40" spans="1:9" s="40" customFormat="1" ht="12.75" customHeight="1">
      <c r="A40" s="54" t="s">
        <v>245</v>
      </c>
      <c r="B40" s="55" t="s">
        <v>246</v>
      </c>
      <c r="C40" s="56"/>
      <c r="D40" s="56"/>
      <c r="E40" s="139">
        <f t="array" ref="E40">SUM(IF(A40=KHN,TH))</f>
        <v>29920000</v>
      </c>
      <c r="F40" s="139">
        <f t="array" ref="F40">SUM(IF(A40=KHC,TH))</f>
        <v>29920000</v>
      </c>
      <c r="G40" s="56"/>
      <c r="H40" s="56"/>
      <c r="I40" s="40">
        <f t="shared" si="5"/>
        <v>0</v>
      </c>
    </row>
    <row r="41" spans="1:9" s="40" customFormat="1" ht="12.75" customHeight="1">
      <c r="A41" s="58" t="s">
        <v>247</v>
      </c>
      <c r="B41" s="55" t="s">
        <v>248</v>
      </c>
      <c r="C41" s="56"/>
      <c r="D41" s="56"/>
      <c r="E41" s="139">
        <f t="array" ref="E41">SUM(IF(A41=KHN,TH))</f>
        <v>0</v>
      </c>
      <c r="F41" s="139">
        <f t="array" ref="F41">SUM(IF(A41=KHC,TH))</f>
        <v>0</v>
      </c>
      <c r="G41" s="56"/>
      <c r="H41" s="56"/>
      <c r="I41" s="40">
        <f t="shared" si="5"/>
        <v>0</v>
      </c>
    </row>
    <row r="42" spans="1:9" s="40" customFormat="1">
      <c r="A42" s="54" t="s">
        <v>249</v>
      </c>
      <c r="B42" s="55" t="s">
        <v>250</v>
      </c>
      <c r="C42" s="56"/>
      <c r="D42" s="56"/>
      <c r="E42" s="140">
        <f t="array" ref="E42">SUM(IF(A42=KHN,TH))</f>
        <v>708579172</v>
      </c>
      <c r="F42" s="140">
        <f t="array" ref="F42">SUM(IF(A42=TH!$O$10:$O$1825,TH!$M$10:$M$1825))</f>
        <v>708579172</v>
      </c>
      <c r="G42" s="56"/>
      <c r="H42" s="56"/>
      <c r="I42" s="40">
        <f t="shared" si="5"/>
        <v>0</v>
      </c>
    </row>
    <row r="43" spans="1:9" s="40" customFormat="1">
      <c r="A43" s="62" t="s">
        <v>251</v>
      </c>
      <c r="B43" s="62"/>
      <c r="C43" s="62">
        <f>C11+C14+C16+C18+C21+C25+C27+C30+C32+C35+C36+C37+C38+C39+C40+C41+C42+C20</f>
        <v>0</v>
      </c>
      <c r="D43" s="62">
        <f t="shared" ref="D43:H43" si="6">D11+D14+D16+D18+D21+D25+D27+D30+D32+D35+D36+D37+D38+D39+D40+D41+D42+D20</f>
        <v>0</v>
      </c>
      <c r="E43" s="62">
        <f t="shared" si="6"/>
        <v>111132600596</v>
      </c>
      <c r="F43" s="62">
        <f t="shared" si="6"/>
        <v>111165600596</v>
      </c>
      <c r="G43" s="62">
        <f t="shared" si="6"/>
        <v>31949640000</v>
      </c>
      <c r="H43" s="62">
        <f t="shared" si="6"/>
        <v>31982640000</v>
      </c>
    </row>
    <row r="44" spans="1:9">
      <c r="E44" s="63"/>
      <c r="F44" s="64"/>
    </row>
    <row r="45" spans="1:9">
      <c r="E45" s="64">
        <f>E43-F43</f>
        <v>-33000000</v>
      </c>
      <c r="H45" s="64">
        <f>G43-H43</f>
        <v>-33000000</v>
      </c>
    </row>
    <row r="46" spans="1:9">
      <c r="E46" s="65"/>
      <c r="F46" s="65"/>
    </row>
    <row r="47" spans="1:9">
      <c r="E47" s="65"/>
      <c r="F47" s="65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Q1825"/>
  <sheetViews>
    <sheetView tabSelected="1" topLeftCell="A7" workbookViewId="0">
      <pane ySplit="3" topLeftCell="A1342" activePane="bottomLeft" state="frozen"/>
      <selection activeCell="A7" sqref="A7"/>
      <selection pane="bottomLeft" activeCell="F1364" sqref="F1364"/>
    </sheetView>
  </sheetViews>
  <sheetFormatPr defaultRowHeight="12.75"/>
  <cols>
    <col min="1" max="2" width="4.85546875" customWidth="1"/>
    <col min="3" max="3" width="9.140625" customWidth="1"/>
    <col min="4" max="4" width="6.85546875" customWidth="1"/>
    <col min="5" max="5" width="9.140625" customWidth="1"/>
    <col min="6" max="6" width="33.7109375" customWidth="1"/>
    <col min="7" max="7" width="8.5703125" style="254" customWidth="1"/>
    <col min="8" max="8" width="48.42578125" style="241" customWidth="1"/>
    <col min="9" max="12" width="7.140625" style="241" hidden="1" customWidth="1"/>
    <col min="13" max="13" width="13.140625" customWidth="1"/>
    <col min="14" max="15" width="7" customWidth="1"/>
    <col min="16" max="16" width="4.42578125" customWidth="1"/>
  </cols>
  <sheetData>
    <row r="1" spans="1:16">
      <c r="A1" s="66"/>
      <c r="B1" s="66"/>
      <c r="C1" s="66" t="s">
        <v>262</v>
      </c>
      <c r="D1" s="67"/>
      <c r="E1" s="67"/>
      <c r="F1" s="68"/>
      <c r="G1" s="67"/>
      <c r="H1" s="239"/>
      <c r="I1" s="239"/>
      <c r="J1" s="239"/>
      <c r="K1" s="239"/>
      <c r="L1" s="239"/>
      <c r="M1" s="106"/>
      <c r="N1" s="69"/>
      <c r="O1" s="69"/>
      <c r="P1" s="69"/>
    </row>
    <row r="2" spans="1:16">
      <c r="A2" s="66"/>
      <c r="B2" s="66"/>
      <c r="C2" s="66" t="s">
        <v>263</v>
      </c>
      <c r="D2" s="67"/>
      <c r="E2" s="67"/>
      <c r="F2" s="67"/>
      <c r="G2" s="67"/>
      <c r="H2" s="240"/>
      <c r="I2" s="240"/>
      <c r="J2" s="240"/>
      <c r="K2" s="240"/>
      <c r="L2" s="240"/>
      <c r="M2" s="106"/>
      <c r="N2" s="69"/>
      <c r="O2" s="69"/>
      <c r="P2" s="69"/>
    </row>
    <row r="3" spans="1:16">
      <c r="A3" s="67"/>
      <c r="B3" s="67"/>
      <c r="C3" s="67"/>
      <c r="D3" s="67"/>
      <c r="E3" s="67"/>
      <c r="F3" s="67"/>
      <c r="G3" s="67"/>
      <c r="H3" s="240"/>
      <c r="I3" s="240"/>
      <c r="J3" s="240"/>
      <c r="K3" s="240"/>
      <c r="L3" s="240"/>
      <c r="M3" s="103"/>
      <c r="N3" s="70"/>
      <c r="O3" s="70"/>
      <c r="P3" s="70"/>
    </row>
    <row r="4" spans="1:16" ht="22.5">
      <c r="A4" s="106"/>
      <c r="B4" s="106"/>
      <c r="C4" s="439" t="s">
        <v>252</v>
      </c>
      <c r="D4" s="439"/>
      <c r="E4" s="439"/>
      <c r="F4" s="439"/>
      <c r="G4" s="439"/>
      <c r="H4" s="439"/>
      <c r="I4" s="439"/>
      <c r="J4" s="439"/>
      <c r="K4" s="439"/>
      <c r="L4" s="439"/>
      <c r="M4" s="439"/>
      <c r="N4" s="439"/>
      <c r="O4" s="439"/>
    </row>
    <row r="5" spans="1:16" ht="14.25">
      <c r="A5" s="106"/>
      <c r="B5" s="106"/>
      <c r="C5" s="440"/>
      <c r="D5" s="440"/>
      <c r="E5" s="440"/>
      <c r="F5" s="440"/>
      <c r="G5" s="440"/>
      <c r="H5" s="440"/>
      <c r="I5" s="440"/>
      <c r="J5" s="440"/>
      <c r="K5" s="440"/>
      <c r="L5" s="440"/>
      <c r="M5" s="440"/>
      <c r="N5" s="440"/>
      <c r="O5" s="440"/>
    </row>
    <row r="6" spans="1:16">
      <c r="A6" s="106"/>
      <c r="B6" s="106"/>
      <c r="C6" s="106"/>
      <c r="D6" s="106"/>
      <c r="E6" s="106"/>
      <c r="F6" s="106"/>
      <c r="G6" s="106"/>
      <c r="H6" s="115"/>
      <c r="I6" s="115"/>
      <c r="J6" s="115"/>
      <c r="K6" s="115"/>
      <c r="L6" s="115"/>
      <c r="M6" s="106"/>
      <c r="N6" s="69"/>
      <c r="O6" s="69"/>
      <c r="P6" s="69"/>
    </row>
    <row r="7" spans="1:16">
      <c r="A7" s="435" t="s">
        <v>264</v>
      </c>
      <c r="B7" s="435" t="s">
        <v>265</v>
      </c>
      <c r="C7" s="441" t="s">
        <v>50</v>
      </c>
      <c r="D7" s="442" t="s">
        <v>10</v>
      </c>
      <c r="E7" s="443"/>
      <c r="F7" s="441" t="s">
        <v>0</v>
      </c>
      <c r="G7" s="444" t="s">
        <v>511</v>
      </c>
      <c r="H7" s="437" t="s">
        <v>184</v>
      </c>
      <c r="I7" s="434"/>
      <c r="J7" s="434"/>
      <c r="K7" s="434"/>
      <c r="L7" s="434"/>
      <c r="M7" s="441" t="s">
        <v>253</v>
      </c>
      <c r="N7" s="438" t="s">
        <v>254</v>
      </c>
      <c r="O7" s="438"/>
      <c r="P7" s="438">
        <v>331</v>
      </c>
    </row>
    <row r="8" spans="1:16" ht="25.5">
      <c r="A8" s="436"/>
      <c r="B8" s="436"/>
      <c r="C8" s="441"/>
      <c r="D8" s="104" t="s">
        <v>32</v>
      </c>
      <c r="E8" s="102" t="s">
        <v>70</v>
      </c>
      <c r="F8" s="441"/>
      <c r="G8" s="445"/>
      <c r="H8" s="437"/>
      <c r="I8" s="434"/>
      <c r="J8" s="434"/>
      <c r="K8" s="434"/>
      <c r="L8" s="434"/>
      <c r="M8" s="441"/>
      <c r="N8" s="105" t="s">
        <v>52</v>
      </c>
      <c r="O8" s="105" t="s">
        <v>53</v>
      </c>
      <c r="P8" s="438"/>
    </row>
    <row r="9" spans="1:16">
      <c r="A9" s="71">
        <v>2</v>
      </c>
      <c r="B9" s="255">
        <v>3</v>
      </c>
      <c r="C9" s="71">
        <v>4</v>
      </c>
      <c r="D9" s="255">
        <v>5</v>
      </c>
      <c r="E9" s="71">
        <v>6</v>
      </c>
      <c r="F9" s="255">
        <v>7</v>
      </c>
      <c r="G9" s="71">
        <v>8</v>
      </c>
      <c r="H9" s="255">
        <v>9</v>
      </c>
      <c r="I9" s="255"/>
      <c r="J9" s="255"/>
      <c r="K9" s="255"/>
      <c r="L9" s="255"/>
      <c r="M9" s="71">
        <v>10</v>
      </c>
      <c r="N9" s="255">
        <v>11</v>
      </c>
      <c r="O9" s="71">
        <v>12</v>
      </c>
      <c r="P9" s="255">
        <v>13</v>
      </c>
    </row>
    <row r="10" spans="1:16" s="109" customFormat="1">
      <c r="A10" s="72">
        <f>IF(C10&lt;&gt;"",YEAR(C10),"")</f>
        <v>2015</v>
      </c>
      <c r="B10" s="72">
        <f>IF(C10&lt;&gt;"",MONTH(C10),"")</f>
        <v>12</v>
      </c>
      <c r="C10" s="130">
        <v>42369</v>
      </c>
      <c r="D10" s="130" t="s">
        <v>255</v>
      </c>
      <c r="E10" s="130">
        <v>42369</v>
      </c>
      <c r="F10" s="131" t="s">
        <v>258</v>
      </c>
      <c r="G10" s="266"/>
      <c r="H10" s="132"/>
      <c r="I10" s="132"/>
      <c r="J10" s="132"/>
      <c r="K10" s="132"/>
      <c r="L10" s="132"/>
      <c r="M10" s="133">
        <f>MAX(SUMIF(KHN,"911",TH)-SUMIF(KHC,"911",TH),SUMIF(KHC,"911",TH)-SUMIF(KHN,"911",TH))</f>
        <v>705728081</v>
      </c>
      <c r="N10" s="134" t="s">
        <v>234</v>
      </c>
      <c r="O10" s="134" t="s">
        <v>249</v>
      </c>
      <c r="P10" s="134" t="str">
        <f>IF(AND('331-CT'!$E$7=TH!H10,OR(N10="331",O10="331")),"x","")</f>
        <v/>
      </c>
    </row>
    <row r="11" spans="1:16" s="109" customFormat="1">
      <c r="A11" s="72">
        <f>IF(C11&lt;&gt;"",YEAR(C11),"")</f>
        <v>2015</v>
      </c>
      <c r="B11" s="72">
        <f>IF(C11&lt;&gt;"",MONTH(C11),"")</f>
        <v>12</v>
      </c>
      <c r="C11" s="130">
        <v>42369</v>
      </c>
      <c r="D11" s="130" t="s">
        <v>255</v>
      </c>
      <c r="E11" s="130">
        <v>42369</v>
      </c>
      <c r="F11" s="131" t="s">
        <v>256</v>
      </c>
      <c r="G11" s="266"/>
      <c r="H11" s="132"/>
      <c r="I11" s="132"/>
      <c r="J11" s="132"/>
      <c r="K11" s="132"/>
      <c r="L11" s="132"/>
      <c r="M11" s="133">
        <f>SUMIF(KHN,"635",TH)</f>
        <v>2031565927</v>
      </c>
      <c r="N11" s="141" t="s">
        <v>654</v>
      </c>
      <c r="O11" s="134" t="s">
        <v>239</v>
      </c>
      <c r="P11" s="134" t="str">
        <f>IF(AND('331-CT'!$E$7=TH!H11,OR(N11="331",O11="331")),"x","")</f>
        <v/>
      </c>
    </row>
    <row r="12" spans="1:16" s="109" customFormat="1">
      <c r="A12" s="72">
        <f>IF(C12&lt;&gt;"",YEAR(C12),"")</f>
        <v>2015</v>
      </c>
      <c r="B12" s="72">
        <f>IF(C12&lt;&gt;"",MONTH(C12),"")</f>
        <v>12</v>
      </c>
      <c r="C12" s="130">
        <v>42369</v>
      </c>
      <c r="D12" s="130" t="s">
        <v>255</v>
      </c>
      <c r="E12" s="130">
        <v>42369</v>
      </c>
      <c r="F12" s="131" t="s">
        <v>257</v>
      </c>
      <c r="G12" s="266"/>
      <c r="H12" s="132"/>
      <c r="I12" s="132"/>
      <c r="J12" s="132"/>
      <c r="K12" s="132"/>
      <c r="L12" s="132"/>
      <c r="M12" s="133">
        <f>SUMIF(KHN,"642",TH)</f>
        <v>678659172</v>
      </c>
      <c r="N12" s="141" t="s">
        <v>249</v>
      </c>
      <c r="O12" s="134" t="s">
        <v>241</v>
      </c>
      <c r="P12" s="134" t="str">
        <f>IF(AND('331-CT'!$E$7=TH!H12,OR(N12="331",O12="331")),"x","")</f>
        <v/>
      </c>
    </row>
    <row r="13" spans="1:16" s="109" customFormat="1">
      <c r="A13" s="72">
        <f t="shared" ref="A13:A14" si="0">IF(C13&lt;&gt;"",YEAR(C13),"")</f>
        <v>2015</v>
      </c>
      <c r="B13" s="72">
        <f t="shared" ref="B13:B14" si="1">IF(C13&lt;&gt;"",MONTH(C13),"")</f>
        <v>12</v>
      </c>
      <c r="C13" s="130">
        <v>42369</v>
      </c>
      <c r="D13" s="130" t="s">
        <v>255</v>
      </c>
      <c r="E13" s="130">
        <v>42369</v>
      </c>
      <c r="F13" s="131" t="s">
        <v>259</v>
      </c>
      <c r="G13" s="266"/>
      <c r="H13" s="142"/>
      <c r="I13" s="142"/>
      <c r="J13" s="142"/>
      <c r="K13" s="142"/>
      <c r="L13" s="142"/>
      <c r="M13" s="133">
        <f>SUMIF(KHC,"515",TH)</f>
        <v>1951091</v>
      </c>
      <c r="N13" s="134" t="s">
        <v>99</v>
      </c>
      <c r="O13" s="134" t="s">
        <v>249</v>
      </c>
      <c r="P13" s="134" t="str">
        <f>IF(AND('331-CT'!$E$7=TH!H13,OR(N13="331",O13="331")),"x","")</f>
        <v/>
      </c>
    </row>
    <row r="14" spans="1:16" s="109" customFormat="1">
      <c r="A14" s="72">
        <f t="shared" si="0"/>
        <v>2015</v>
      </c>
      <c r="B14" s="72">
        <f t="shared" si="1"/>
        <v>12</v>
      </c>
      <c r="C14" s="130">
        <v>42369</v>
      </c>
      <c r="D14" s="130" t="s">
        <v>255</v>
      </c>
      <c r="E14" s="130">
        <v>42369</v>
      </c>
      <c r="F14" s="131" t="s">
        <v>260</v>
      </c>
      <c r="G14" s="266"/>
      <c r="H14" s="132"/>
      <c r="I14" s="132"/>
      <c r="J14" s="132"/>
      <c r="K14" s="132"/>
      <c r="L14" s="132"/>
      <c r="M14" s="133">
        <f>SUMIF(KHC,"711",TH)</f>
        <v>900000</v>
      </c>
      <c r="N14" s="134" t="s">
        <v>243</v>
      </c>
      <c r="O14" s="134" t="s">
        <v>249</v>
      </c>
      <c r="P14" s="134" t="str">
        <f>IF(AND('331-CT'!$E$7=TH!H14,OR(N14="331",O14="331")),"x","")</f>
        <v/>
      </c>
    </row>
    <row r="15" spans="1:16" s="109" customFormat="1">
      <c r="A15" s="72">
        <f t="shared" ref="A15" si="2">IF(C15&lt;&gt;"",YEAR(C15),"")</f>
        <v>2015</v>
      </c>
      <c r="B15" s="72">
        <f t="shared" ref="B15" si="3">IF(C15&lt;&gt;"",MONTH(C15),"")</f>
        <v>12</v>
      </c>
      <c r="C15" s="130">
        <v>42369</v>
      </c>
      <c r="D15" s="130" t="s">
        <v>255</v>
      </c>
      <c r="E15" s="130">
        <v>42369</v>
      </c>
      <c r="F15" s="131" t="s">
        <v>261</v>
      </c>
      <c r="G15" s="266"/>
      <c r="H15" s="132"/>
      <c r="I15" s="132"/>
      <c r="J15" s="132"/>
      <c r="K15" s="132"/>
      <c r="L15" s="132"/>
      <c r="M15" s="133">
        <f>SUMIF(KHN,"811",TH)</f>
        <v>29920000</v>
      </c>
      <c r="N15" s="134" t="s">
        <v>249</v>
      </c>
      <c r="O15" s="134" t="s">
        <v>245</v>
      </c>
      <c r="P15" s="134" t="str">
        <f>IF(AND('331-CT'!$E$7=TH!H15,OR(N15="331",O15="331")),"x","")</f>
        <v/>
      </c>
    </row>
    <row r="16" spans="1:16" s="109" customFormat="1">
      <c r="A16" s="72">
        <f t="shared" ref="A16:A75" si="4">IF(C16&lt;&gt;"",YEAR(C16),"")</f>
        <v>2008</v>
      </c>
      <c r="B16" s="72">
        <f t="shared" ref="B16:B75" si="5">IF(C16&lt;&gt;"",MONTH(C16),"")</f>
        <v>2</v>
      </c>
      <c r="C16" s="79">
        <v>39479</v>
      </c>
      <c r="D16" s="79" t="s">
        <v>20</v>
      </c>
      <c r="E16" s="79">
        <f t="shared" ref="E16:E30" si="6">C16</f>
        <v>39479</v>
      </c>
      <c r="F16" s="80" t="s">
        <v>577</v>
      </c>
      <c r="G16" s="274"/>
      <c r="H16" s="116" t="s">
        <v>430</v>
      </c>
      <c r="I16" s="116"/>
      <c r="J16" s="116"/>
      <c r="K16" s="116"/>
      <c r="L16" s="116"/>
      <c r="M16" s="81">
        <v>2400000000</v>
      </c>
      <c r="N16" s="82" t="s">
        <v>203</v>
      </c>
      <c r="O16" s="83" t="s">
        <v>55</v>
      </c>
      <c r="P16" s="134" t="str">
        <f>IF(AND('331-CT'!$E$7=TH!H16,OR(N16="331",O16="331")),"x","")</f>
        <v/>
      </c>
    </row>
    <row r="17" spans="1:16" s="109" customFormat="1">
      <c r="A17" s="72">
        <f t="shared" si="4"/>
        <v>2008</v>
      </c>
      <c r="B17" s="72">
        <f t="shared" si="5"/>
        <v>2</v>
      </c>
      <c r="C17" s="79">
        <v>39479</v>
      </c>
      <c r="D17" s="79" t="s">
        <v>22</v>
      </c>
      <c r="E17" s="79">
        <f t="shared" si="6"/>
        <v>39479</v>
      </c>
      <c r="F17" s="80" t="s">
        <v>577</v>
      </c>
      <c r="G17" s="274"/>
      <c r="H17" s="116" t="s">
        <v>573</v>
      </c>
      <c r="I17" s="116"/>
      <c r="J17" s="116"/>
      <c r="K17" s="116"/>
      <c r="L17" s="116"/>
      <c r="M17" s="81">
        <v>1600000000</v>
      </c>
      <c r="N17" s="82" t="s">
        <v>203</v>
      </c>
      <c r="O17" s="83" t="s">
        <v>55</v>
      </c>
      <c r="P17" s="134" t="str">
        <f>IF(AND('331-CT'!$E$7=TH!H17,OR(N17="331",O17="331")),"x","")</f>
        <v/>
      </c>
    </row>
    <row r="18" spans="1:16" s="109" customFormat="1">
      <c r="A18" s="72">
        <f t="shared" si="4"/>
        <v>2009</v>
      </c>
      <c r="B18" s="72">
        <f t="shared" si="5"/>
        <v>1</v>
      </c>
      <c r="C18" s="84">
        <v>39834</v>
      </c>
      <c r="D18" s="84" t="s">
        <v>73</v>
      </c>
      <c r="E18" s="84">
        <f t="shared" si="6"/>
        <v>39834</v>
      </c>
      <c r="F18" s="85" t="s">
        <v>60</v>
      </c>
      <c r="G18" s="261" t="s">
        <v>513</v>
      </c>
      <c r="H18" s="117" t="s">
        <v>512</v>
      </c>
      <c r="I18" s="117"/>
      <c r="J18" s="117"/>
      <c r="K18" s="117"/>
      <c r="L18" s="117"/>
      <c r="M18" s="86">
        <v>1500000</v>
      </c>
      <c r="N18" s="87" t="s">
        <v>219</v>
      </c>
      <c r="O18" s="87" t="s">
        <v>203</v>
      </c>
      <c r="P18" s="134" t="str">
        <f>IF(AND('331-CT'!$E$7=TH!H18,OR(N18="331",O18="331")),"x","")</f>
        <v/>
      </c>
    </row>
    <row r="19" spans="1:16" s="109" customFormat="1">
      <c r="A19" s="72">
        <f t="shared" si="4"/>
        <v>2009</v>
      </c>
      <c r="B19" s="72">
        <f t="shared" si="5"/>
        <v>1</v>
      </c>
      <c r="C19" s="84">
        <v>39834</v>
      </c>
      <c r="D19" s="84" t="s">
        <v>78</v>
      </c>
      <c r="E19" s="84">
        <f t="shared" si="6"/>
        <v>39834</v>
      </c>
      <c r="F19" s="85" t="s">
        <v>60</v>
      </c>
      <c r="G19" s="262"/>
      <c r="H19" s="118"/>
      <c r="I19" s="118"/>
      <c r="J19" s="118"/>
      <c r="K19" s="118"/>
      <c r="L19" s="118"/>
      <c r="M19" s="86">
        <v>1500000</v>
      </c>
      <c r="N19" s="87" t="s">
        <v>241</v>
      </c>
      <c r="O19" s="87" t="s">
        <v>219</v>
      </c>
      <c r="P19" s="134" t="str">
        <f>IF(AND('331-CT'!$E$7=TH!H19,OR(N19="331",O19="331")),"x","")</f>
        <v/>
      </c>
    </row>
    <row r="20" spans="1:16" s="109" customFormat="1">
      <c r="A20" s="72">
        <f t="shared" si="4"/>
        <v>2009</v>
      </c>
      <c r="B20" s="72">
        <f t="shared" si="5"/>
        <v>5</v>
      </c>
      <c r="C20" s="84">
        <v>39959</v>
      </c>
      <c r="D20" s="84" t="s">
        <v>92</v>
      </c>
      <c r="E20" s="84">
        <f t="shared" si="6"/>
        <v>39959</v>
      </c>
      <c r="F20" s="85" t="s">
        <v>57</v>
      </c>
      <c r="G20" s="262" t="s">
        <v>515</v>
      </c>
      <c r="H20" s="117" t="s">
        <v>514</v>
      </c>
      <c r="I20" s="117"/>
      <c r="J20" s="117"/>
      <c r="K20" s="117"/>
      <c r="L20" s="117"/>
      <c r="M20" s="86">
        <v>1000000</v>
      </c>
      <c r="N20" s="87" t="s">
        <v>241</v>
      </c>
      <c r="O20" s="87" t="s">
        <v>203</v>
      </c>
      <c r="P20" s="134" t="str">
        <f>IF(AND('331-CT'!$E$7=TH!H20,OR(N20="331",O20="331")),"x","")</f>
        <v/>
      </c>
    </row>
    <row r="21" spans="1:16" s="109" customFormat="1">
      <c r="A21" s="72">
        <f t="shared" si="4"/>
        <v>2009</v>
      </c>
      <c r="B21" s="72">
        <f t="shared" si="5"/>
        <v>5</v>
      </c>
      <c r="C21" s="84">
        <v>39959</v>
      </c>
      <c r="D21" s="84" t="s">
        <v>92</v>
      </c>
      <c r="E21" s="84">
        <f t="shared" si="6"/>
        <v>39959</v>
      </c>
      <c r="F21" s="85" t="s">
        <v>58</v>
      </c>
      <c r="G21" s="262"/>
      <c r="H21" s="117"/>
      <c r="I21" s="117"/>
      <c r="J21" s="117"/>
      <c r="K21" s="117"/>
      <c r="L21" s="117"/>
      <c r="M21" s="86">
        <v>25000</v>
      </c>
      <c r="N21" s="87" t="s">
        <v>241</v>
      </c>
      <c r="O21" s="87" t="s">
        <v>203</v>
      </c>
      <c r="P21" s="134" t="str">
        <f>IF(AND('331-CT'!$E$7=TH!H21,OR(N21="331",O21="331")),"x","")</f>
        <v/>
      </c>
    </row>
    <row r="22" spans="1:16" s="109" customFormat="1">
      <c r="A22" s="72">
        <f t="shared" si="4"/>
        <v>2009</v>
      </c>
      <c r="B22" s="72">
        <f t="shared" si="5"/>
        <v>9</v>
      </c>
      <c r="C22" s="84">
        <v>40079</v>
      </c>
      <c r="D22" s="84" t="s">
        <v>93</v>
      </c>
      <c r="E22" s="84">
        <f t="shared" si="6"/>
        <v>40079</v>
      </c>
      <c r="F22" s="85" t="s">
        <v>59</v>
      </c>
      <c r="G22" s="262" t="s">
        <v>515</v>
      </c>
      <c r="H22" s="117" t="s">
        <v>514</v>
      </c>
      <c r="I22" s="117"/>
      <c r="J22" s="117"/>
      <c r="K22" s="117"/>
      <c r="L22" s="117"/>
      <c r="M22" s="86">
        <v>750000</v>
      </c>
      <c r="N22" s="87" t="s">
        <v>219</v>
      </c>
      <c r="O22" s="87" t="s">
        <v>203</v>
      </c>
      <c r="P22" s="134" t="str">
        <f>IF(AND('331-CT'!$E$7=TH!H22,OR(N22="331",O22="331")),"x","")</f>
        <v/>
      </c>
    </row>
    <row r="23" spans="1:16" s="109" customFormat="1">
      <c r="A23" s="72">
        <f t="shared" si="4"/>
        <v>2009</v>
      </c>
      <c r="B23" s="72">
        <f t="shared" si="5"/>
        <v>9</v>
      </c>
      <c r="C23" s="84">
        <v>40079</v>
      </c>
      <c r="D23" s="84" t="s">
        <v>78</v>
      </c>
      <c r="E23" s="84">
        <f t="shared" si="6"/>
        <v>40079</v>
      </c>
      <c r="F23" s="85" t="s">
        <v>59</v>
      </c>
      <c r="G23" s="262"/>
      <c r="H23" s="117"/>
      <c r="I23" s="117"/>
      <c r="J23" s="117"/>
      <c r="K23" s="117"/>
      <c r="L23" s="117"/>
      <c r="M23" s="86">
        <v>750000</v>
      </c>
      <c r="N23" s="87" t="s">
        <v>241</v>
      </c>
      <c r="O23" s="87" t="s">
        <v>219</v>
      </c>
      <c r="P23" s="134" t="str">
        <f>IF(AND('331-CT'!$E$7=TH!H23,OR(N23="331",O23="331")),"x","")</f>
        <v/>
      </c>
    </row>
    <row r="24" spans="1:16" s="109" customFormat="1">
      <c r="A24" s="72">
        <f t="shared" si="4"/>
        <v>2009</v>
      </c>
      <c r="B24" s="72">
        <f t="shared" si="5"/>
        <v>9</v>
      </c>
      <c r="C24" s="84">
        <v>40079</v>
      </c>
      <c r="D24" s="84" t="s">
        <v>93</v>
      </c>
      <c r="E24" s="84">
        <f t="shared" si="6"/>
        <v>40079</v>
      </c>
      <c r="F24" s="85" t="s">
        <v>58</v>
      </c>
      <c r="G24" s="262"/>
      <c r="H24" s="117"/>
      <c r="I24" s="117"/>
      <c r="J24" s="117"/>
      <c r="K24" s="117"/>
      <c r="L24" s="117"/>
      <c r="M24" s="86">
        <v>25000</v>
      </c>
      <c r="N24" s="87" t="s">
        <v>241</v>
      </c>
      <c r="O24" s="87" t="s">
        <v>203</v>
      </c>
      <c r="P24" s="134" t="str">
        <f>IF(AND('331-CT'!$E$7=TH!H24,OR(N24="331",O24="331")),"x","")</f>
        <v/>
      </c>
    </row>
    <row r="25" spans="1:16" s="109" customFormat="1">
      <c r="A25" s="72">
        <f t="shared" si="4"/>
        <v>2010</v>
      </c>
      <c r="B25" s="72">
        <f t="shared" si="5"/>
        <v>5</v>
      </c>
      <c r="C25" s="88">
        <v>40317</v>
      </c>
      <c r="D25" s="88" t="s">
        <v>73</v>
      </c>
      <c r="E25" s="88">
        <f t="shared" si="6"/>
        <v>40317</v>
      </c>
      <c r="F25" s="89" t="s">
        <v>153</v>
      </c>
      <c r="G25" s="262" t="s">
        <v>515</v>
      </c>
      <c r="H25" s="117" t="s">
        <v>514</v>
      </c>
      <c r="I25" s="117"/>
      <c r="J25" s="117"/>
      <c r="K25" s="117"/>
      <c r="L25" s="117"/>
      <c r="M25" s="90">
        <v>1500000</v>
      </c>
      <c r="N25" s="91" t="s">
        <v>219</v>
      </c>
      <c r="O25" s="91" t="s">
        <v>203</v>
      </c>
      <c r="P25" s="134" t="str">
        <f>IF(AND('331-CT'!$E$7=TH!H25,OR(N25="331",O25="331")),"x","")</f>
        <v/>
      </c>
    </row>
    <row r="26" spans="1:16" s="109" customFormat="1">
      <c r="A26" s="72">
        <f t="shared" si="4"/>
        <v>2010</v>
      </c>
      <c r="B26" s="72">
        <f t="shared" si="5"/>
        <v>5</v>
      </c>
      <c r="C26" s="88">
        <v>40317</v>
      </c>
      <c r="D26" s="88" t="s">
        <v>78</v>
      </c>
      <c r="E26" s="88">
        <f t="shared" si="6"/>
        <v>40317</v>
      </c>
      <c r="F26" s="89" t="s">
        <v>153</v>
      </c>
      <c r="G26" s="263"/>
      <c r="H26" s="119"/>
      <c r="I26" s="119"/>
      <c r="J26" s="119"/>
      <c r="K26" s="119"/>
      <c r="L26" s="119"/>
      <c r="M26" s="90">
        <v>1500000</v>
      </c>
      <c r="N26" s="91" t="s">
        <v>241</v>
      </c>
      <c r="O26" s="91" t="s">
        <v>219</v>
      </c>
      <c r="P26" s="134" t="str">
        <f>IF(AND('331-CT'!$E$7=TH!H26,OR(N26="331",O26="331")),"x","")</f>
        <v/>
      </c>
    </row>
    <row r="27" spans="1:16" s="109" customFormat="1">
      <c r="A27" s="72">
        <f t="shared" si="4"/>
        <v>2010</v>
      </c>
      <c r="B27" s="72">
        <f t="shared" si="5"/>
        <v>9</v>
      </c>
      <c r="C27" s="88">
        <v>40437</v>
      </c>
      <c r="D27" s="88" t="s">
        <v>92</v>
      </c>
      <c r="E27" s="88">
        <f t="shared" si="6"/>
        <v>40437</v>
      </c>
      <c r="F27" s="89" t="s">
        <v>61</v>
      </c>
      <c r="G27" s="268" t="s">
        <v>516</v>
      </c>
      <c r="H27" s="117" t="s">
        <v>430</v>
      </c>
      <c r="I27" s="117"/>
      <c r="J27" s="117"/>
      <c r="K27" s="117"/>
      <c r="L27" s="117"/>
      <c r="M27" s="90">
        <v>390000</v>
      </c>
      <c r="N27" s="91" t="s">
        <v>241</v>
      </c>
      <c r="O27" s="91" t="s">
        <v>203</v>
      </c>
      <c r="P27" s="134" t="str">
        <f>IF(AND('331-CT'!$E$7=TH!H27,OR(N27="331",O27="331")),"x","")</f>
        <v/>
      </c>
    </row>
    <row r="28" spans="1:16" s="109" customFormat="1">
      <c r="A28" s="72">
        <f t="shared" si="4"/>
        <v>2010</v>
      </c>
      <c r="B28" s="72">
        <f t="shared" si="5"/>
        <v>9</v>
      </c>
      <c r="C28" s="88">
        <v>40451</v>
      </c>
      <c r="D28" s="88" t="s">
        <v>93</v>
      </c>
      <c r="E28" s="88">
        <f t="shared" si="6"/>
        <v>40451</v>
      </c>
      <c r="F28" s="89" t="s">
        <v>56</v>
      </c>
      <c r="G28" s="268" t="s">
        <v>517</v>
      </c>
      <c r="H28" s="117" t="s">
        <v>430</v>
      </c>
      <c r="I28" s="117"/>
      <c r="J28" s="117"/>
      <c r="K28" s="117"/>
      <c r="L28" s="117"/>
      <c r="M28" s="90">
        <v>20000</v>
      </c>
      <c r="N28" s="91" t="s">
        <v>241</v>
      </c>
      <c r="O28" s="91" t="s">
        <v>203</v>
      </c>
      <c r="P28" s="134" t="str">
        <f>IF(AND('331-CT'!$E$7=TH!H28,OR(N28="331",O28="331")),"x","")</f>
        <v/>
      </c>
    </row>
    <row r="29" spans="1:16" s="109" customFormat="1">
      <c r="A29" s="72">
        <f t="shared" si="4"/>
        <v>2011</v>
      </c>
      <c r="B29" s="72">
        <f t="shared" si="5"/>
        <v>1</v>
      </c>
      <c r="C29" s="92">
        <v>40570</v>
      </c>
      <c r="D29" s="92" t="s">
        <v>73</v>
      </c>
      <c r="E29" s="92">
        <f t="shared" si="6"/>
        <v>40570</v>
      </c>
      <c r="F29" s="93" t="s">
        <v>575</v>
      </c>
      <c r="G29" s="264"/>
      <c r="H29" s="116" t="s">
        <v>430</v>
      </c>
      <c r="I29" s="116"/>
      <c r="J29" s="116"/>
      <c r="K29" s="116"/>
      <c r="L29" s="116"/>
      <c r="M29" s="94">
        <v>100000000</v>
      </c>
      <c r="N29" s="95" t="s">
        <v>54</v>
      </c>
      <c r="O29" s="95" t="s">
        <v>203</v>
      </c>
      <c r="P29" s="134" t="str">
        <f>IF(AND('331-CT'!$E$7=TH!H29,OR(N29="331",O29="331")),"x","")</f>
        <v/>
      </c>
    </row>
    <row r="30" spans="1:16" s="109" customFormat="1">
      <c r="A30" s="72">
        <f t="shared" si="4"/>
        <v>2011</v>
      </c>
      <c r="B30" s="72">
        <f t="shared" si="5"/>
        <v>1</v>
      </c>
      <c r="C30" s="92">
        <v>40570</v>
      </c>
      <c r="D30" s="92" t="s">
        <v>73</v>
      </c>
      <c r="E30" s="92">
        <f t="shared" si="6"/>
        <v>40570</v>
      </c>
      <c r="F30" s="93" t="s">
        <v>575</v>
      </c>
      <c r="G30" s="264"/>
      <c r="H30" s="116" t="s">
        <v>430</v>
      </c>
      <c r="I30" s="116"/>
      <c r="J30" s="116"/>
      <c r="K30" s="116"/>
      <c r="L30" s="116"/>
      <c r="M30" s="94">
        <v>100000</v>
      </c>
      <c r="N30" s="95" t="s">
        <v>54</v>
      </c>
      <c r="O30" s="95" t="s">
        <v>203</v>
      </c>
      <c r="P30" s="134" t="str">
        <f>IF(AND('331-CT'!$E$7=TH!H30,OR(N30="331",O30="331")),"x","")</f>
        <v/>
      </c>
    </row>
    <row r="31" spans="1:16" s="109" customFormat="1">
      <c r="A31" s="72">
        <f t="shared" si="4"/>
        <v>2011</v>
      </c>
      <c r="B31" s="72">
        <f t="shared" si="5"/>
        <v>1</v>
      </c>
      <c r="C31" s="110">
        <f>E31</f>
        <v>40570</v>
      </c>
      <c r="D31" s="92" t="s">
        <v>17</v>
      </c>
      <c r="E31" s="92">
        <v>40570</v>
      </c>
      <c r="F31" s="93" t="s">
        <v>112</v>
      </c>
      <c r="G31" s="264"/>
      <c r="H31" s="120" t="s">
        <v>85</v>
      </c>
      <c r="I31" s="120"/>
      <c r="J31" s="120"/>
      <c r="K31" s="120"/>
      <c r="L31" s="120"/>
      <c r="M31" s="94">
        <v>100000000</v>
      </c>
      <c r="N31" s="95" t="s">
        <v>18</v>
      </c>
      <c r="O31" s="95" t="s">
        <v>54</v>
      </c>
      <c r="P31" s="134" t="str">
        <f>IF(AND('331-CT'!$E$7=TH!H31,OR(N31="331",O31="331")),"x","")</f>
        <v/>
      </c>
    </row>
    <row r="32" spans="1:16" s="109" customFormat="1">
      <c r="A32" s="72">
        <f t="shared" si="4"/>
        <v>2011</v>
      </c>
      <c r="B32" s="72">
        <f t="shared" si="5"/>
        <v>1</v>
      </c>
      <c r="C32" s="110">
        <v>40570</v>
      </c>
      <c r="D32" s="92" t="s">
        <v>17</v>
      </c>
      <c r="E32" s="92">
        <v>40570</v>
      </c>
      <c r="F32" s="93" t="s">
        <v>34</v>
      </c>
      <c r="G32" s="264"/>
      <c r="H32" s="120"/>
      <c r="I32" s="120"/>
      <c r="J32" s="120"/>
      <c r="K32" s="120"/>
      <c r="L32" s="120"/>
      <c r="M32" s="94">
        <v>50000</v>
      </c>
      <c r="N32" s="95" t="s">
        <v>241</v>
      </c>
      <c r="O32" s="95" t="s">
        <v>54</v>
      </c>
      <c r="P32" s="134" t="str">
        <f>IF(AND('331-CT'!$E$7=TH!H32,OR(N32="331",O32="331")),"x","")</f>
        <v/>
      </c>
    </row>
    <row r="33" spans="1:16" s="109" customFormat="1">
      <c r="A33" s="72">
        <f t="shared" si="4"/>
        <v>2011</v>
      </c>
      <c r="B33" s="72">
        <f t="shared" si="5"/>
        <v>1</v>
      </c>
      <c r="C33" s="110">
        <v>40570</v>
      </c>
      <c r="D33" s="92" t="s">
        <v>17</v>
      </c>
      <c r="E33" s="92">
        <v>40570</v>
      </c>
      <c r="F33" s="93" t="s">
        <v>35</v>
      </c>
      <c r="G33" s="264"/>
      <c r="H33" s="120"/>
      <c r="I33" s="120"/>
      <c r="J33" s="120"/>
      <c r="K33" s="120"/>
      <c r="L33" s="120"/>
      <c r="M33" s="94">
        <v>5000</v>
      </c>
      <c r="N33" s="95" t="s">
        <v>241</v>
      </c>
      <c r="O33" s="95" t="s">
        <v>54</v>
      </c>
      <c r="P33" s="134" t="str">
        <f>IF(AND('331-CT'!$E$7=TH!H33,OR(N33="331",O33="331")),"x","")</f>
        <v/>
      </c>
    </row>
    <row r="34" spans="1:16" s="109" customFormat="1">
      <c r="A34" s="72">
        <f t="shared" si="4"/>
        <v>2011</v>
      </c>
      <c r="B34" s="72">
        <f t="shared" si="5"/>
        <v>1</v>
      </c>
      <c r="C34" s="110">
        <v>40570</v>
      </c>
      <c r="D34" s="92" t="s">
        <v>17</v>
      </c>
      <c r="E34" s="92">
        <v>40570</v>
      </c>
      <c r="F34" s="93" t="s">
        <v>23</v>
      </c>
      <c r="G34" s="264"/>
      <c r="H34" s="120"/>
      <c r="I34" s="120"/>
      <c r="J34" s="120"/>
      <c r="K34" s="120"/>
      <c r="L34" s="120"/>
      <c r="M34" s="94">
        <v>30000</v>
      </c>
      <c r="N34" s="95" t="s">
        <v>241</v>
      </c>
      <c r="O34" s="95" t="s">
        <v>54</v>
      </c>
      <c r="P34" s="134" t="str">
        <f>IF(AND('331-CT'!$E$7=TH!H34,OR(N34="331",O34="331")),"x","")</f>
        <v/>
      </c>
    </row>
    <row r="35" spans="1:16" s="109" customFormat="1">
      <c r="A35" s="72">
        <f t="shared" si="4"/>
        <v>2011</v>
      </c>
      <c r="B35" s="72">
        <f t="shared" si="5"/>
        <v>1</v>
      </c>
      <c r="C35" s="110">
        <v>40570</v>
      </c>
      <c r="D35" s="92" t="s">
        <v>17</v>
      </c>
      <c r="E35" s="92">
        <v>40570</v>
      </c>
      <c r="F35" s="93" t="s">
        <v>24</v>
      </c>
      <c r="G35" s="264"/>
      <c r="H35" s="120"/>
      <c r="I35" s="120"/>
      <c r="J35" s="120"/>
      <c r="K35" s="120"/>
      <c r="L35" s="120"/>
      <c r="M35" s="94">
        <v>3000</v>
      </c>
      <c r="N35" s="95" t="s">
        <v>241</v>
      </c>
      <c r="O35" s="95" t="s">
        <v>54</v>
      </c>
      <c r="P35" s="134" t="str">
        <f>IF(AND('331-CT'!$E$7=TH!H35,OR(N35="331",O35="331")),"x","")</f>
        <v/>
      </c>
    </row>
    <row r="36" spans="1:16" s="109" customFormat="1">
      <c r="A36" s="72">
        <f t="shared" si="4"/>
        <v>2011</v>
      </c>
      <c r="B36" s="72">
        <f t="shared" si="5"/>
        <v>1</v>
      </c>
      <c r="C36" s="110">
        <v>40571</v>
      </c>
      <c r="D36" s="92" t="s">
        <v>17</v>
      </c>
      <c r="E36" s="92">
        <v>40571</v>
      </c>
      <c r="F36" s="93" t="s">
        <v>36</v>
      </c>
      <c r="G36" s="264"/>
      <c r="H36" s="120"/>
      <c r="I36" s="120"/>
      <c r="J36" s="120"/>
      <c r="K36" s="120"/>
      <c r="L36" s="120"/>
      <c r="M36" s="94">
        <v>10000</v>
      </c>
      <c r="N36" s="95" t="s">
        <v>241</v>
      </c>
      <c r="O36" s="95" t="s">
        <v>54</v>
      </c>
      <c r="P36" s="134" t="str">
        <f>IF(AND('331-CT'!$E$7=TH!H36,OR(N36="331",O36="331")),"x","")</f>
        <v/>
      </c>
    </row>
    <row r="37" spans="1:16" s="109" customFormat="1">
      <c r="A37" s="72">
        <f t="shared" si="4"/>
        <v>2011</v>
      </c>
      <c r="B37" s="72">
        <f t="shared" si="5"/>
        <v>1</v>
      </c>
      <c r="C37" s="110">
        <v>40571</v>
      </c>
      <c r="D37" s="92" t="s">
        <v>17</v>
      </c>
      <c r="E37" s="92">
        <v>40571</v>
      </c>
      <c r="F37" s="93" t="s">
        <v>37</v>
      </c>
      <c r="G37" s="264"/>
      <c r="H37" s="120"/>
      <c r="I37" s="120"/>
      <c r="J37" s="120"/>
      <c r="K37" s="120"/>
      <c r="L37" s="120"/>
      <c r="M37" s="94">
        <v>1000</v>
      </c>
      <c r="N37" s="95" t="s">
        <v>241</v>
      </c>
      <c r="O37" s="95" t="s">
        <v>54</v>
      </c>
      <c r="P37" s="134" t="str">
        <f>IF(AND('331-CT'!$E$7=TH!H37,OR(N37="331",O37="331")),"x","")</f>
        <v/>
      </c>
    </row>
    <row r="38" spans="1:16" s="109" customFormat="1">
      <c r="A38" s="72">
        <f t="shared" si="4"/>
        <v>2011</v>
      </c>
      <c r="B38" s="72">
        <f t="shared" si="5"/>
        <v>1</v>
      </c>
      <c r="C38" s="92">
        <v>40572</v>
      </c>
      <c r="D38" s="92" t="s">
        <v>92</v>
      </c>
      <c r="E38" s="92">
        <f>C38</f>
        <v>40572</v>
      </c>
      <c r="F38" s="93" t="s">
        <v>576</v>
      </c>
      <c r="G38" s="264"/>
      <c r="H38" s="120" t="s">
        <v>267</v>
      </c>
      <c r="I38" s="120"/>
      <c r="J38" s="120"/>
      <c r="K38" s="120"/>
      <c r="L38" s="120"/>
      <c r="M38" s="94">
        <v>2000000</v>
      </c>
      <c r="N38" s="95" t="s">
        <v>39</v>
      </c>
      <c r="O38" s="95" t="s">
        <v>203</v>
      </c>
      <c r="P38" s="134" t="str">
        <f>IF(AND('331-CT'!$E$7=TH!H38,OR(N38="331",O38="331")),"x","")</f>
        <v/>
      </c>
    </row>
    <row r="39" spans="1:16" s="109" customFormat="1">
      <c r="A39" s="72">
        <f t="shared" si="4"/>
        <v>2011</v>
      </c>
      <c r="B39" s="72">
        <f t="shared" si="5"/>
        <v>1</v>
      </c>
      <c r="C39" s="110">
        <v>40572</v>
      </c>
      <c r="D39" s="92" t="s">
        <v>21</v>
      </c>
      <c r="E39" s="92">
        <v>40572</v>
      </c>
      <c r="F39" s="93" t="s">
        <v>38</v>
      </c>
      <c r="G39" s="264"/>
      <c r="H39" s="120" t="s">
        <v>267</v>
      </c>
      <c r="I39" s="120"/>
      <c r="J39" s="120"/>
      <c r="K39" s="120"/>
      <c r="L39" s="120"/>
      <c r="M39" s="94">
        <v>2000000</v>
      </c>
      <c r="N39" s="95" t="s">
        <v>54</v>
      </c>
      <c r="O39" s="95" t="s">
        <v>39</v>
      </c>
      <c r="P39" s="134" t="str">
        <f>IF(AND('331-CT'!$E$7=TH!H39,OR(N39="331",O39="331")),"x","")</f>
        <v/>
      </c>
    </row>
    <row r="40" spans="1:16" s="109" customFormat="1">
      <c r="A40" s="72">
        <f t="shared" si="4"/>
        <v>2011</v>
      </c>
      <c r="B40" s="72">
        <f t="shared" si="5"/>
        <v>1</v>
      </c>
      <c r="C40" s="92">
        <v>40572</v>
      </c>
      <c r="D40" s="92" t="s">
        <v>78</v>
      </c>
      <c r="E40" s="92">
        <v>40572</v>
      </c>
      <c r="F40" s="93" t="s">
        <v>4</v>
      </c>
      <c r="G40" s="264"/>
      <c r="H40" s="120"/>
      <c r="I40" s="120"/>
      <c r="J40" s="120"/>
      <c r="K40" s="120"/>
      <c r="L40" s="120"/>
      <c r="M40" s="94">
        <v>1500000</v>
      </c>
      <c r="N40" s="95" t="s">
        <v>241</v>
      </c>
      <c r="O40" s="95" t="s">
        <v>219</v>
      </c>
      <c r="P40" s="134" t="str">
        <f>IF(AND('331-CT'!$E$7=TH!H40,OR(N40="331",O40="331")),"x","")</f>
        <v/>
      </c>
    </row>
    <row r="41" spans="1:16" s="109" customFormat="1">
      <c r="A41" s="72">
        <f t="shared" si="4"/>
        <v>2011</v>
      </c>
      <c r="B41" s="72">
        <f t="shared" si="5"/>
        <v>1</v>
      </c>
      <c r="C41" s="110">
        <v>40572</v>
      </c>
      <c r="D41" s="92" t="s">
        <v>17</v>
      </c>
      <c r="E41" s="92">
        <v>40572</v>
      </c>
      <c r="F41" s="93" t="s">
        <v>4</v>
      </c>
      <c r="G41" s="264"/>
      <c r="H41" s="120"/>
      <c r="I41" s="120"/>
      <c r="J41" s="120"/>
      <c r="K41" s="120"/>
      <c r="L41" s="120"/>
      <c r="M41" s="94">
        <v>1500000</v>
      </c>
      <c r="N41" s="95" t="s">
        <v>219</v>
      </c>
      <c r="O41" s="95" t="s">
        <v>54</v>
      </c>
      <c r="P41" s="134" t="str">
        <f>IF(AND('331-CT'!$E$7=TH!H41,OR(N41="331",O41="331")),"x","")</f>
        <v/>
      </c>
    </row>
    <row r="42" spans="1:16" s="109" customFormat="1">
      <c r="A42" s="72">
        <f t="shared" si="4"/>
        <v>2011</v>
      </c>
      <c r="B42" s="72">
        <f t="shared" si="5"/>
        <v>1</v>
      </c>
      <c r="C42" s="110">
        <v>40572</v>
      </c>
      <c r="D42" s="92" t="s">
        <v>17</v>
      </c>
      <c r="E42" s="92">
        <v>40572</v>
      </c>
      <c r="F42" s="93" t="s">
        <v>34</v>
      </c>
      <c r="G42" s="264"/>
      <c r="H42" s="120"/>
      <c r="I42" s="120"/>
      <c r="J42" s="120"/>
      <c r="K42" s="120"/>
      <c r="L42" s="120"/>
      <c r="M42" s="94">
        <v>20000</v>
      </c>
      <c r="N42" s="95" t="s">
        <v>241</v>
      </c>
      <c r="O42" s="95" t="s">
        <v>54</v>
      </c>
      <c r="P42" s="134" t="str">
        <f>IF(AND('331-CT'!$E$7=TH!H42,OR(N42="331",O42="331")),"x","")</f>
        <v/>
      </c>
    </row>
    <row r="43" spans="1:16" s="109" customFormat="1">
      <c r="A43" s="72">
        <f t="shared" si="4"/>
        <v>2011</v>
      </c>
      <c r="B43" s="72">
        <f t="shared" si="5"/>
        <v>1</v>
      </c>
      <c r="C43" s="110">
        <v>40572</v>
      </c>
      <c r="D43" s="92" t="s">
        <v>17</v>
      </c>
      <c r="E43" s="92">
        <v>40572</v>
      </c>
      <c r="F43" s="93" t="s">
        <v>35</v>
      </c>
      <c r="G43" s="264"/>
      <c r="H43" s="120"/>
      <c r="I43" s="120"/>
      <c r="J43" s="120"/>
      <c r="K43" s="120"/>
      <c r="L43" s="120"/>
      <c r="M43" s="94">
        <v>2000</v>
      </c>
      <c r="N43" s="95" t="s">
        <v>241</v>
      </c>
      <c r="O43" s="95" t="s">
        <v>54</v>
      </c>
      <c r="P43" s="134" t="str">
        <f>IF(AND('331-CT'!$E$7=TH!H43,OR(N43="331",O43="331")),"x","")</f>
        <v/>
      </c>
    </row>
    <row r="44" spans="1:16" s="109" customFormat="1">
      <c r="A44" s="72">
        <f t="shared" si="4"/>
        <v>2011</v>
      </c>
      <c r="B44" s="72">
        <f t="shared" si="5"/>
        <v>1</v>
      </c>
      <c r="C44" s="110">
        <v>40572</v>
      </c>
      <c r="D44" s="92" t="s">
        <v>17</v>
      </c>
      <c r="E44" s="92">
        <v>40572</v>
      </c>
      <c r="F44" s="93" t="s">
        <v>36</v>
      </c>
      <c r="G44" s="264"/>
      <c r="H44" s="120"/>
      <c r="I44" s="120"/>
      <c r="J44" s="120"/>
      <c r="K44" s="120"/>
      <c r="L44" s="120"/>
      <c r="M44" s="94">
        <v>10000</v>
      </c>
      <c r="N44" s="95" t="s">
        <v>241</v>
      </c>
      <c r="O44" s="95" t="s">
        <v>54</v>
      </c>
      <c r="P44" s="134" t="str">
        <f>IF(AND('331-CT'!$E$7=TH!H44,OR(N44="331",O44="331")),"x","")</f>
        <v/>
      </c>
    </row>
    <row r="45" spans="1:16" s="109" customFormat="1">
      <c r="A45" s="72">
        <f t="shared" si="4"/>
        <v>2011</v>
      </c>
      <c r="B45" s="72">
        <f t="shared" si="5"/>
        <v>1</v>
      </c>
      <c r="C45" s="110">
        <v>40572</v>
      </c>
      <c r="D45" s="92" t="s">
        <v>17</v>
      </c>
      <c r="E45" s="92">
        <v>40572</v>
      </c>
      <c r="F45" s="93" t="s">
        <v>37</v>
      </c>
      <c r="G45" s="264"/>
      <c r="H45" s="120"/>
      <c r="I45" s="120"/>
      <c r="J45" s="120"/>
      <c r="K45" s="120"/>
      <c r="L45" s="120"/>
      <c r="M45" s="94">
        <v>1000</v>
      </c>
      <c r="N45" s="95" t="s">
        <v>241</v>
      </c>
      <c r="O45" s="95" t="s">
        <v>54</v>
      </c>
      <c r="P45" s="134" t="str">
        <f>IF(AND('331-CT'!$E$7=TH!H45,OR(N45="331",O45="331")),"x","")</f>
        <v/>
      </c>
    </row>
    <row r="46" spans="1:16" s="109" customFormat="1">
      <c r="A46" s="72">
        <f t="shared" si="4"/>
        <v>2011</v>
      </c>
      <c r="B46" s="72">
        <f t="shared" si="5"/>
        <v>2</v>
      </c>
      <c r="C46" s="92">
        <v>40588</v>
      </c>
      <c r="D46" s="92" t="s">
        <v>93</v>
      </c>
      <c r="E46" s="92">
        <f>C46</f>
        <v>40588</v>
      </c>
      <c r="F46" s="93" t="s">
        <v>576</v>
      </c>
      <c r="G46" s="264"/>
      <c r="H46" s="120" t="s">
        <v>266</v>
      </c>
      <c r="I46" s="120"/>
      <c r="J46" s="120"/>
      <c r="K46" s="120"/>
      <c r="L46" s="120"/>
      <c r="M46" s="94">
        <v>50000000</v>
      </c>
      <c r="N46" s="95" t="s">
        <v>39</v>
      </c>
      <c r="O46" s="95" t="s">
        <v>203</v>
      </c>
      <c r="P46" s="134" t="str">
        <f>IF(AND('331-CT'!$E$7=TH!H46,OR(N46="331",O46="331")),"x","")</f>
        <v/>
      </c>
    </row>
    <row r="47" spans="1:16" s="109" customFormat="1">
      <c r="A47" s="72">
        <f t="shared" si="4"/>
        <v>2011</v>
      </c>
      <c r="B47" s="72">
        <f t="shared" si="5"/>
        <v>2</v>
      </c>
      <c r="C47" s="110">
        <v>40588</v>
      </c>
      <c r="D47" s="92" t="s">
        <v>21</v>
      </c>
      <c r="E47" s="92">
        <v>40588</v>
      </c>
      <c r="F47" s="93" t="s">
        <v>45</v>
      </c>
      <c r="G47" s="264"/>
      <c r="H47" s="120" t="s">
        <v>266</v>
      </c>
      <c r="I47" s="120"/>
      <c r="J47" s="120"/>
      <c r="K47" s="120"/>
      <c r="L47" s="120"/>
      <c r="M47" s="94">
        <v>50000000</v>
      </c>
      <c r="N47" s="95" t="s">
        <v>54</v>
      </c>
      <c r="O47" s="95" t="s">
        <v>39</v>
      </c>
      <c r="P47" s="134" t="str">
        <f>IF(AND('331-CT'!$E$7=TH!H47,OR(N47="331",O47="331")),"x","")</f>
        <v/>
      </c>
    </row>
    <row r="48" spans="1:16" s="109" customFormat="1">
      <c r="A48" s="72">
        <f t="shared" si="4"/>
        <v>2011</v>
      </c>
      <c r="B48" s="72">
        <f t="shared" si="5"/>
        <v>2</v>
      </c>
      <c r="C48" s="110">
        <f>E48</f>
        <v>40588</v>
      </c>
      <c r="D48" s="92" t="s">
        <v>17</v>
      </c>
      <c r="E48" s="92">
        <v>40588</v>
      </c>
      <c r="F48" s="93" t="s">
        <v>112</v>
      </c>
      <c r="G48" s="264"/>
      <c r="H48" s="120" t="s">
        <v>85</v>
      </c>
      <c r="I48" s="120"/>
      <c r="J48" s="120"/>
      <c r="K48" s="120"/>
      <c r="L48" s="120"/>
      <c r="M48" s="94">
        <v>50000000</v>
      </c>
      <c r="N48" s="95" t="s">
        <v>18</v>
      </c>
      <c r="O48" s="95" t="s">
        <v>54</v>
      </c>
      <c r="P48" s="134" t="str">
        <f>IF(AND('331-CT'!$E$7=TH!H48,OR(N48="331",O48="331")),"x","")</f>
        <v/>
      </c>
    </row>
    <row r="49" spans="1:16" s="109" customFormat="1">
      <c r="A49" s="72">
        <f t="shared" si="4"/>
        <v>2011</v>
      </c>
      <c r="B49" s="72">
        <f t="shared" si="5"/>
        <v>2</v>
      </c>
      <c r="C49" s="110">
        <v>40588</v>
      </c>
      <c r="D49" s="92" t="s">
        <v>17</v>
      </c>
      <c r="E49" s="92">
        <v>40588</v>
      </c>
      <c r="F49" s="93" t="s">
        <v>34</v>
      </c>
      <c r="G49" s="264"/>
      <c r="H49" s="120"/>
      <c r="I49" s="120"/>
      <c r="J49" s="120"/>
      <c r="K49" s="120"/>
      <c r="L49" s="120"/>
      <c r="M49" s="94">
        <v>25000</v>
      </c>
      <c r="N49" s="95" t="s">
        <v>241</v>
      </c>
      <c r="O49" s="95" t="s">
        <v>54</v>
      </c>
      <c r="P49" s="134" t="str">
        <f>IF(AND('331-CT'!$E$7=TH!H49,OR(N49="331",O49="331")),"x","")</f>
        <v/>
      </c>
    </row>
    <row r="50" spans="1:16" s="109" customFormat="1">
      <c r="A50" s="72">
        <f t="shared" si="4"/>
        <v>2011</v>
      </c>
      <c r="B50" s="72">
        <f t="shared" si="5"/>
        <v>2</v>
      </c>
      <c r="C50" s="110">
        <v>40588</v>
      </c>
      <c r="D50" s="92" t="s">
        <v>17</v>
      </c>
      <c r="E50" s="92">
        <v>40588</v>
      </c>
      <c r="F50" s="93" t="s">
        <v>35</v>
      </c>
      <c r="G50" s="264"/>
      <c r="H50" s="120"/>
      <c r="I50" s="120"/>
      <c r="J50" s="120"/>
      <c r="K50" s="120"/>
      <c r="L50" s="120"/>
      <c r="M50" s="94">
        <v>2500</v>
      </c>
      <c r="N50" s="95" t="s">
        <v>241</v>
      </c>
      <c r="O50" s="95" t="s">
        <v>54</v>
      </c>
      <c r="P50" s="134" t="str">
        <f>IF(AND('331-CT'!$E$7=TH!H50,OR(N50="331",O50="331")),"x","")</f>
        <v/>
      </c>
    </row>
    <row r="51" spans="1:16" s="109" customFormat="1">
      <c r="A51" s="72">
        <f t="shared" si="4"/>
        <v>2011</v>
      </c>
      <c r="B51" s="72">
        <f t="shared" si="5"/>
        <v>2</v>
      </c>
      <c r="C51" s="110">
        <v>40590</v>
      </c>
      <c r="D51" s="92" t="s">
        <v>17</v>
      </c>
      <c r="E51" s="92">
        <v>40590</v>
      </c>
      <c r="F51" s="93" t="s">
        <v>41</v>
      </c>
      <c r="G51" s="264"/>
      <c r="H51" s="120"/>
      <c r="I51" s="120"/>
      <c r="J51" s="120"/>
      <c r="K51" s="120"/>
      <c r="L51" s="120"/>
      <c r="M51" s="94">
        <v>5500</v>
      </c>
      <c r="N51" s="95" t="s">
        <v>241</v>
      </c>
      <c r="O51" s="95" t="s">
        <v>54</v>
      </c>
      <c r="P51" s="134" t="str">
        <f>IF(AND('331-CT'!$E$7=TH!H51,OR(N51="331",O51="331")),"x","")</f>
        <v/>
      </c>
    </row>
    <row r="52" spans="1:16" s="109" customFormat="1">
      <c r="A52" s="72">
        <f t="shared" si="4"/>
        <v>2011</v>
      </c>
      <c r="B52" s="72">
        <f t="shared" si="5"/>
        <v>2</v>
      </c>
      <c r="C52" s="110">
        <v>40591</v>
      </c>
      <c r="D52" s="92" t="s">
        <v>17</v>
      </c>
      <c r="E52" s="92">
        <v>40591</v>
      </c>
      <c r="F52" s="93" t="s">
        <v>41</v>
      </c>
      <c r="G52" s="264"/>
      <c r="H52" s="120"/>
      <c r="I52" s="120"/>
      <c r="J52" s="120"/>
      <c r="K52" s="120"/>
      <c r="L52" s="120"/>
      <c r="M52" s="94">
        <v>5500</v>
      </c>
      <c r="N52" s="95" t="s">
        <v>241</v>
      </c>
      <c r="O52" s="95" t="s">
        <v>54</v>
      </c>
      <c r="P52" s="134" t="str">
        <f>IF(AND('331-CT'!$E$7=TH!H52,OR(N52="331",O52="331")),"x","")</f>
        <v/>
      </c>
    </row>
    <row r="53" spans="1:16" s="109" customFormat="1">
      <c r="A53" s="72">
        <f t="shared" si="4"/>
        <v>2011</v>
      </c>
      <c r="B53" s="72">
        <f t="shared" si="5"/>
        <v>3</v>
      </c>
      <c r="C53" s="92">
        <v>40605</v>
      </c>
      <c r="D53" s="92" t="s">
        <v>72</v>
      </c>
      <c r="E53" s="92">
        <f>C53</f>
        <v>40605</v>
      </c>
      <c r="F53" s="93" t="s">
        <v>576</v>
      </c>
      <c r="G53" s="264"/>
      <c r="H53" s="120" t="s">
        <v>267</v>
      </c>
      <c r="I53" s="120"/>
      <c r="J53" s="120"/>
      <c r="K53" s="120"/>
      <c r="L53" s="120"/>
      <c r="M53" s="94">
        <v>100000000</v>
      </c>
      <c r="N53" s="95" t="s">
        <v>39</v>
      </c>
      <c r="O53" s="95" t="s">
        <v>203</v>
      </c>
      <c r="P53" s="134" t="str">
        <f>IF(AND('331-CT'!$E$7=TH!H53,OR(N53="331",O53="331")),"x","")</f>
        <v/>
      </c>
    </row>
    <row r="54" spans="1:16" s="109" customFormat="1">
      <c r="A54" s="72">
        <f t="shared" si="4"/>
        <v>2011</v>
      </c>
      <c r="B54" s="72">
        <f t="shared" si="5"/>
        <v>3</v>
      </c>
      <c r="C54" s="110">
        <v>40605</v>
      </c>
      <c r="D54" s="92" t="s">
        <v>21</v>
      </c>
      <c r="E54" s="92">
        <v>40605</v>
      </c>
      <c r="F54" s="93" t="s">
        <v>38</v>
      </c>
      <c r="G54" s="264"/>
      <c r="H54" s="120" t="s">
        <v>267</v>
      </c>
      <c r="I54" s="120"/>
      <c r="J54" s="120"/>
      <c r="K54" s="120"/>
      <c r="L54" s="120"/>
      <c r="M54" s="94">
        <v>100000000</v>
      </c>
      <c r="N54" s="95" t="s">
        <v>54</v>
      </c>
      <c r="O54" s="95" t="s">
        <v>39</v>
      </c>
      <c r="P54" s="134" t="str">
        <f>IF(AND('331-CT'!$E$7=TH!H54,OR(N54="331",O54="331")),"x","")</f>
        <v/>
      </c>
    </row>
    <row r="55" spans="1:16" s="109" customFormat="1">
      <c r="A55" s="72">
        <f t="shared" si="4"/>
        <v>2011</v>
      </c>
      <c r="B55" s="72">
        <f t="shared" si="5"/>
        <v>3</v>
      </c>
      <c r="C55" s="110">
        <f>E55</f>
        <v>40605</v>
      </c>
      <c r="D55" s="92" t="s">
        <v>17</v>
      </c>
      <c r="E55" s="92">
        <v>40605</v>
      </c>
      <c r="F55" s="93" t="s">
        <v>112</v>
      </c>
      <c r="G55" s="264"/>
      <c r="H55" s="120" t="s">
        <v>85</v>
      </c>
      <c r="I55" s="120"/>
      <c r="J55" s="120"/>
      <c r="K55" s="120"/>
      <c r="L55" s="120"/>
      <c r="M55" s="94">
        <v>100000000</v>
      </c>
      <c r="N55" s="95" t="s">
        <v>18</v>
      </c>
      <c r="O55" s="95" t="s">
        <v>54</v>
      </c>
      <c r="P55" s="134" t="str">
        <f>IF(AND('331-CT'!$E$7=TH!H55,OR(N55="331",O55="331")),"x","")</f>
        <v/>
      </c>
    </row>
    <row r="56" spans="1:16" s="109" customFormat="1">
      <c r="A56" s="72">
        <f t="shared" si="4"/>
        <v>2011</v>
      </c>
      <c r="B56" s="72">
        <f t="shared" si="5"/>
        <v>3</v>
      </c>
      <c r="C56" s="110">
        <v>40605</v>
      </c>
      <c r="D56" s="92" t="s">
        <v>17</v>
      </c>
      <c r="E56" s="92">
        <v>40605</v>
      </c>
      <c r="F56" s="93" t="s">
        <v>34</v>
      </c>
      <c r="G56" s="264"/>
      <c r="H56" s="120"/>
      <c r="I56" s="120"/>
      <c r="J56" s="120"/>
      <c r="K56" s="120"/>
      <c r="L56" s="120"/>
      <c r="M56" s="94">
        <v>50000</v>
      </c>
      <c r="N56" s="95" t="s">
        <v>241</v>
      </c>
      <c r="O56" s="95" t="s">
        <v>54</v>
      </c>
      <c r="P56" s="134" t="str">
        <f>IF(AND('331-CT'!$E$7=TH!H56,OR(N56="331",O56="331")),"x","")</f>
        <v/>
      </c>
    </row>
    <row r="57" spans="1:16" s="109" customFormat="1">
      <c r="A57" s="72">
        <f t="shared" si="4"/>
        <v>2011</v>
      </c>
      <c r="B57" s="72">
        <f t="shared" si="5"/>
        <v>3</v>
      </c>
      <c r="C57" s="110">
        <v>40605</v>
      </c>
      <c r="D57" s="92" t="s">
        <v>17</v>
      </c>
      <c r="E57" s="92">
        <v>40605</v>
      </c>
      <c r="F57" s="93" t="s">
        <v>35</v>
      </c>
      <c r="G57" s="264"/>
      <c r="H57" s="120"/>
      <c r="I57" s="120"/>
      <c r="J57" s="120"/>
      <c r="K57" s="120"/>
      <c r="L57" s="120"/>
      <c r="M57" s="94">
        <v>5000</v>
      </c>
      <c r="N57" s="95" t="s">
        <v>241</v>
      </c>
      <c r="O57" s="95" t="s">
        <v>54</v>
      </c>
      <c r="P57" s="134" t="str">
        <f>IF(AND('331-CT'!$E$7=TH!H57,OR(N57="331",O57="331")),"x","")</f>
        <v/>
      </c>
    </row>
    <row r="58" spans="1:16" s="109" customFormat="1">
      <c r="A58" s="72">
        <f t="shared" si="4"/>
        <v>2011</v>
      </c>
      <c r="B58" s="72">
        <f t="shared" si="5"/>
        <v>3</v>
      </c>
      <c r="C58" s="110">
        <v>40618</v>
      </c>
      <c r="D58" s="92" t="s">
        <v>17</v>
      </c>
      <c r="E58" s="92">
        <v>40618</v>
      </c>
      <c r="F58" s="111" t="s">
        <v>41</v>
      </c>
      <c r="G58" s="97"/>
      <c r="H58" s="120"/>
      <c r="I58" s="120"/>
      <c r="J58" s="120"/>
      <c r="K58" s="120"/>
      <c r="L58" s="120"/>
      <c r="M58" s="94">
        <v>5500</v>
      </c>
      <c r="N58" s="95" t="s">
        <v>241</v>
      </c>
      <c r="O58" s="95" t="s">
        <v>54</v>
      </c>
      <c r="P58" s="134" t="str">
        <f>IF(AND('331-CT'!$E$7=TH!H58,OR(N58="331",O58="331")),"x","")</f>
        <v/>
      </c>
    </row>
    <row r="59" spans="1:16" s="109" customFormat="1">
      <c r="A59" s="72">
        <f t="shared" si="4"/>
        <v>2011</v>
      </c>
      <c r="B59" s="72">
        <f t="shared" si="5"/>
        <v>3</v>
      </c>
      <c r="C59" s="110">
        <v>40619</v>
      </c>
      <c r="D59" s="92" t="s">
        <v>17</v>
      </c>
      <c r="E59" s="92">
        <v>40619</v>
      </c>
      <c r="F59" s="93" t="s">
        <v>41</v>
      </c>
      <c r="G59" s="264"/>
      <c r="H59" s="120"/>
      <c r="I59" s="120"/>
      <c r="J59" s="120"/>
      <c r="K59" s="120"/>
      <c r="L59" s="120"/>
      <c r="M59" s="94">
        <v>5500</v>
      </c>
      <c r="N59" s="95" t="s">
        <v>241</v>
      </c>
      <c r="O59" s="95" t="s">
        <v>54</v>
      </c>
      <c r="P59" s="134" t="str">
        <f>IF(AND('331-CT'!$E$7=TH!H59,OR(N59="331",O59="331")),"x","")</f>
        <v/>
      </c>
    </row>
    <row r="60" spans="1:16" s="109" customFormat="1">
      <c r="A60" s="72">
        <f t="shared" si="4"/>
        <v>2011</v>
      </c>
      <c r="B60" s="72">
        <f t="shared" si="5"/>
        <v>3</v>
      </c>
      <c r="C60" s="92">
        <v>40623</v>
      </c>
      <c r="D60" s="92" t="s">
        <v>71</v>
      </c>
      <c r="E60" s="92">
        <f>C60</f>
        <v>40623</v>
      </c>
      <c r="F60" s="93" t="s">
        <v>576</v>
      </c>
      <c r="G60" s="264"/>
      <c r="H60" s="120" t="s">
        <v>266</v>
      </c>
      <c r="I60" s="120"/>
      <c r="J60" s="120"/>
      <c r="K60" s="120"/>
      <c r="L60" s="120"/>
      <c r="M60" s="94">
        <v>232500000</v>
      </c>
      <c r="N60" s="95" t="s">
        <v>39</v>
      </c>
      <c r="O60" s="95" t="s">
        <v>203</v>
      </c>
      <c r="P60" s="134" t="str">
        <f>IF(AND('331-CT'!$E$7=TH!H60,OR(N60="331",O60="331")),"x","")</f>
        <v/>
      </c>
    </row>
    <row r="61" spans="1:16" s="109" customFormat="1">
      <c r="A61" s="72">
        <f t="shared" si="4"/>
        <v>2011</v>
      </c>
      <c r="B61" s="72">
        <f t="shared" si="5"/>
        <v>3</v>
      </c>
      <c r="C61" s="110">
        <v>40623</v>
      </c>
      <c r="D61" s="92" t="s">
        <v>21</v>
      </c>
      <c r="E61" s="92">
        <v>40623</v>
      </c>
      <c r="F61" s="93" t="s">
        <v>45</v>
      </c>
      <c r="G61" s="264"/>
      <c r="H61" s="120" t="s">
        <v>266</v>
      </c>
      <c r="I61" s="120"/>
      <c r="J61" s="120"/>
      <c r="K61" s="120"/>
      <c r="L61" s="120"/>
      <c r="M61" s="94">
        <v>232500000</v>
      </c>
      <c r="N61" s="95" t="s">
        <v>54</v>
      </c>
      <c r="O61" s="95" t="s">
        <v>39</v>
      </c>
      <c r="P61" s="134" t="str">
        <f>IF(AND('331-CT'!$E$7=TH!H61,OR(N61="331",O61="331")),"x","")</f>
        <v/>
      </c>
    </row>
    <row r="62" spans="1:16" s="109" customFormat="1">
      <c r="A62" s="72">
        <f t="shared" si="4"/>
        <v>2011</v>
      </c>
      <c r="B62" s="72">
        <f t="shared" si="5"/>
        <v>3</v>
      </c>
      <c r="C62" s="110">
        <f>E62</f>
        <v>40623</v>
      </c>
      <c r="D62" s="92" t="s">
        <v>17</v>
      </c>
      <c r="E62" s="92">
        <v>40623</v>
      </c>
      <c r="F62" s="93" t="s">
        <v>112</v>
      </c>
      <c r="G62" s="264"/>
      <c r="H62" s="120" t="s">
        <v>85</v>
      </c>
      <c r="I62" s="120"/>
      <c r="J62" s="120"/>
      <c r="K62" s="120"/>
      <c r="L62" s="120"/>
      <c r="M62" s="94">
        <v>200000000</v>
      </c>
      <c r="N62" s="95" t="s">
        <v>18</v>
      </c>
      <c r="O62" s="95" t="s">
        <v>54</v>
      </c>
      <c r="P62" s="134" t="str">
        <f>IF(AND('331-CT'!$E$7=TH!H62,OR(N62="331",O62="331")),"x","")</f>
        <v/>
      </c>
    </row>
    <row r="63" spans="1:16" s="109" customFormat="1">
      <c r="A63" s="72">
        <f t="shared" si="4"/>
        <v>2011</v>
      </c>
      <c r="B63" s="72">
        <f t="shared" si="5"/>
        <v>3</v>
      </c>
      <c r="C63" s="110">
        <v>40623</v>
      </c>
      <c r="D63" s="92" t="s">
        <v>17</v>
      </c>
      <c r="E63" s="92">
        <v>40623</v>
      </c>
      <c r="F63" s="93" t="s">
        <v>34</v>
      </c>
      <c r="G63" s="264"/>
      <c r="H63" s="120"/>
      <c r="I63" s="120"/>
      <c r="J63" s="120"/>
      <c r="K63" s="120"/>
      <c r="L63" s="120"/>
      <c r="M63" s="94">
        <v>100000</v>
      </c>
      <c r="N63" s="95" t="s">
        <v>241</v>
      </c>
      <c r="O63" s="95" t="s">
        <v>54</v>
      </c>
      <c r="P63" s="134" t="str">
        <f>IF(AND('331-CT'!$E$7=TH!H63,OR(N63="331",O63="331")),"x","")</f>
        <v/>
      </c>
    </row>
    <row r="64" spans="1:16" s="109" customFormat="1">
      <c r="A64" s="72">
        <f t="shared" si="4"/>
        <v>2011</v>
      </c>
      <c r="B64" s="72">
        <f t="shared" si="5"/>
        <v>3</v>
      </c>
      <c r="C64" s="110">
        <v>40623</v>
      </c>
      <c r="D64" s="92" t="s">
        <v>17</v>
      </c>
      <c r="E64" s="92">
        <v>40623</v>
      </c>
      <c r="F64" s="93" t="s">
        <v>35</v>
      </c>
      <c r="G64" s="264"/>
      <c r="H64" s="120"/>
      <c r="I64" s="120"/>
      <c r="J64" s="120"/>
      <c r="K64" s="120"/>
      <c r="L64" s="120"/>
      <c r="M64" s="94">
        <v>10000</v>
      </c>
      <c r="N64" s="95" t="s">
        <v>241</v>
      </c>
      <c r="O64" s="95" t="s">
        <v>54</v>
      </c>
      <c r="P64" s="134" t="str">
        <f>IF(AND('331-CT'!$E$7=TH!H64,OR(N64="331",O64="331")),"x","")</f>
        <v/>
      </c>
    </row>
    <row r="65" spans="1:16" s="109" customFormat="1">
      <c r="A65" s="72">
        <f t="shared" si="4"/>
        <v>2011</v>
      </c>
      <c r="B65" s="72">
        <f t="shared" si="5"/>
        <v>3</v>
      </c>
      <c r="C65" s="92">
        <f>E65</f>
        <v>40623</v>
      </c>
      <c r="D65" s="92" t="s">
        <v>78</v>
      </c>
      <c r="E65" s="92">
        <v>40623</v>
      </c>
      <c r="F65" s="93" t="s">
        <v>115</v>
      </c>
      <c r="G65" s="269" t="s">
        <v>560</v>
      </c>
      <c r="H65" s="121" t="s">
        <v>83</v>
      </c>
      <c r="I65" s="121"/>
      <c r="J65" s="121"/>
      <c r="K65" s="121"/>
      <c r="L65" s="121"/>
      <c r="M65" s="94">
        <v>32288666</v>
      </c>
      <c r="N65" s="95" t="s">
        <v>241</v>
      </c>
      <c r="O65" s="95" t="s">
        <v>18</v>
      </c>
      <c r="P65" s="134" t="str">
        <f>IF(AND('331-CT'!$E$7=TH!H65,OR(N65="331",O65="331")),"x","")</f>
        <v>x</v>
      </c>
    </row>
    <row r="66" spans="1:16" s="109" customFormat="1">
      <c r="A66" s="72">
        <f t="shared" si="4"/>
        <v>2011</v>
      </c>
      <c r="B66" s="72">
        <f t="shared" si="5"/>
        <v>3</v>
      </c>
      <c r="C66" s="110">
        <f>E66</f>
        <v>40623</v>
      </c>
      <c r="D66" s="92" t="s">
        <v>17</v>
      </c>
      <c r="E66" s="92">
        <v>40623</v>
      </c>
      <c r="F66" s="93" t="s">
        <v>114</v>
      </c>
      <c r="G66" s="264"/>
      <c r="H66" s="120" t="s">
        <v>83</v>
      </c>
      <c r="I66" s="120"/>
      <c r="J66" s="120"/>
      <c r="K66" s="120"/>
      <c r="L66" s="120"/>
      <c r="M66" s="94">
        <v>32288666</v>
      </c>
      <c r="N66" s="95" t="s">
        <v>18</v>
      </c>
      <c r="O66" s="95" t="s">
        <v>54</v>
      </c>
      <c r="P66" s="134" t="str">
        <f>IF(AND('331-CT'!$E$7=TH!H66,OR(N66="331",O66="331")),"x","")</f>
        <v>x</v>
      </c>
    </row>
    <row r="67" spans="1:16" s="109" customFormat="1">
      <c r="A67" s="72">
        <f t="shared" si="4"/>
        <v>2011</v>
      </c>
      <c r="B67" s="72">
        <f t="shared" si="5"/>
        <v>3</v>
      </c>
      <c r="C67" s="110">
        <v>40623</v>
      </c>
      <c r="D67" s="92" t="s">
        <v>17</v>
      </c>
      <c r="E67" s="92">
        <v>40623</v>
      </c>
      <c r="F67" s="93" t="s">
        <v>34</v>
      </c>
      <c r="G67" s="264"/>
      <c r="H67" s="120"/>
      <c r="I67" s="120"/>
      <c r="J67" s="120"/>
      <c r="K67" s="120"/>
      <c r="L67" s="120"/>
      <c r="M67" s="94">
        <v>20000</v>
      </c>
      <c r="N67" s="95" t="s">
        <v>241</v>
      </c>
      <c r="O67" s="95" t="s">
        <v>54</v>
      </c>
      <c r="P67" s="134" t="str">
        <f>IF(AND('331-CT'!$E$7=TH!H67,OR(N67="331",O67="331")),"x","")</f>
        <v/>
      </c>
    </row>
    <row r="68" spans="1:16" s="109" customFormat="1">
      <c r="A68" s="72">
        <f t="shared" si="4"/>
        <v>2011</v>
      </c>
      <c r="B68" s="72">
        <f t="shared" si="5"/>
        <v>3</v>
      </c>
      <c r="C68" s="110">
        <v>40623</v>
      </c>
      <c r="D68" s="92" t="s">
        <v>17</v>
      </c>
      <c r="E68" s="92">
        <v>40623</v>
      </c>
      <c r="F68" s="93" t="s">
        <v>35</v>
      </c>
      <c r="G68" s="264"/>
      <c r="H68" s="120"/>
      <c r="I68" s="120"/>
      <c r="J68" s="120"/>
      <c r="K68" s="120"/>
      <c r="L68" s="120"/>
      <c r="M68" s="94">
        <v>2000</v>
      </c>
      <c r="N68" s="95" t="s">
        <v>241</v>
      </c>
      <c r="O68" s="95" t="s">
        <v>54</v>
      </c>
      <c r="P68" s="134" t="str">
        <f>IF(AND('331-CT'!$E$7=TH!H68,OR(N68="331",O68="331")),"x","")</f>
        <v/>
      </c>
    </row>
    <row r="69" spans="1:16" s="109" customFormat="1">
      <c r="A69" s="72">
        <f t="shared" si="4"/>
        <v>2011</v>
      </c>
      <c r="B69" s="72">
        <f t="shared" si="5"/>
        <v>3</v>
      </c>
      <c r="C69" s="92">
        <v>40630</v>
      </c>
      <c r="D69" s="92" t="s">
        <v>133</v>
      </c>
      <c r="E69" s="92">
        <f>C69</f>
        <v>40630</v>
      </c>
      <c r="F69" s="93" t="s">
        <v>576</v>
      </c>
      <c r="G69" s="264"/>
      <c r="H69" s="120" t="s">
        <v>267</v>
      </c>
      <c r="I69" s="120"/>
      <c r="J69" s="120"/>
      <c r="K69" s="120"/>
      <c r="L69" s="120"/>
      <c r="M69" s="94">
        <v>100000000</v>
      </c>
      <c r="N69" s="95" t="s">
        <v>39</v>
      </c>
      <c r="O69" s="95" t="s">
        <v>203</v>
      </c>
      <c r="P69" s="134" t="str">
        <f>IF(AND('331-CT'!$E$7=TH!H69,OR(N69="331",O69="331")),"x","")</f>
        <v/>
      </c>
    </row>
    <row r="70" spans="1:16" s="109" customFormat="1">
      <c r="A70" s="72">
        <f t="shared" si="4"/>
        <v>2011</v>
      </c>
      <c r="B70" s="72">
        <f t="shared" si="5"/>
        <v>3</v>
      </c>
      <c r="C70" s="110">
        <v>40630</v>
      </c>
      <c r="D70" s="92" t="s">
        <v>21</v>
      </c>
      <c r="E70" s="92">
        <v>40630</v>
      </c>
      <c r="F70" s="93" t="s">
        <v>38</v>
      </c>
      <c r="G70" s="264"/>
      <c r="H70" s="120" t="s">
        <v>267</v>
      </c>
      <c r="I70" s="120"/>
      <c r="J70" s="120"/>
      <c r="K70" s="120"/>
      <c r="L70" s="120"/>
      <c r="M70" s="94">
        <v>100000000</v>
      </c>
      <c r="N70" s="95" t="s">
        <v>54</v>
      </c>
      <c r="O70" s="95" t="s">
        <v>39</v>
      </c>
      <c r="P70" s="134" t="str">
        <f>IF(AND('331-CT'!$E$7=TH!H70,OR(N70="331",O70="331")),"x","")</f>
        <v/>
      </c>
    </row>
    <row r="71" spans="1:16" s="109" customFormat="1">
      <c r="A71" s="72">
        <f t="shared" si="4"/>
        <v>2011</v>
      </c>
      <c r="B71" s="72">
        <f t="shared" si="5"/>
        <v>3</v>
      </c>
      <c r="C71" s="110">
        <f>E71</f>
        <v>40630</v>
      </c>
      <c r="D71" s="92" t="s">
        <v>17</v>
      </c>
      <c r="E71" s="92">
        <v>40630</v>
      </c>
      <c r="F71" s="93" t="s">
        <v>112</v>
      </c>
      <c r="G71" s="264"/>
      <c r="H71" s="120" t="s">
        <v>85</v>
      </c>
      <c r="I71" s="120"/>
      <c r="J71" s="120"/>
      <c r="K71" s="120"/>
      <c r="L71" s="120"/>
      <c r="M71" s="94">
        <v>100000000</v>
      </c>
      <c r="N71" s="95" t="s">
        <v>18</v>
      </c>
      <c r="O71" s="95" t="s">
        <v>54</v>
      </c>
      <c r="P71" s="134" t="str">
        <f>IF(AND('331-CT'!$E$7=TH!H71,OR(N71="331",O71="331")),"x","")</f>
        <v/>
      </c>
    </row>
    <row r="72" spans="1:16" s="109" customFormat="1">
      <c r="A72" s="72">
        <f t="shared" si="4"/>
        <v>2011</v>
      </c>
      <c r="B72" s="72">
        <f t="shared" si="5"/>
        <v>3</v>
      </c>
      <c r="C72" s="110">
        <v>40630</v>
      </c>
      <c r="D72" s="92" t="s">
        <v>17</v>
      </c>
      <c r="E72" s="92">
        <v>40630</v>
      </c>
      <c r="F72" s="93" t="s">
        <v>34</v>
      </c>
      <c r="G72" s="264"/>
      <c r="H72" s="120"/>
      <c r="I72" s="120"/>
      <c r="J72" s="120"/>
      <c r="K72" s="120"/>
      <c r="L72" s="120"/>
      <c r="M72" s="94">
        <v>50000</v>
      </c>
      <c r="N72" s="95" t="s">
        <v>241</v>
      </c>
      <c r="O72" s="95" t="s">
        <v>54</v>
      </c>
      <c r="P72" s="134" t="str">
        <f>IF(AND('331-CT'!$E$7=TH!H72,OR(N72="331",O72="331")),"x","")</f>
        <v/>
      </c>
    </row>
    <row r="73" spans="1:16" s="109" customFormat="1">
      <c r="A73" s="72">
        <f t="shared" si="4"/>
        <v>2011</v>
      </c>
      <c r="B73" s="72">
        <f t="shared" si="5"/>
        <v>3</v>
      </c>
      <c r="C73" s="110">
        <v>40630</v>
      </c>
      <c r="D73" s="92" t="s">
        <v>17</v>
      </c>
      <c r="E73" s="92">
        <v>40630</v>
      </c>
      <c r="F73" s="93" t="s">
        <v>35</v>
      </c>
      <c r="G73" s="264"/>
      <c r="H73" s="120"/>
      <c r="I73" s="120"/>
      <c r="J73" s="120"/>
      <c r="K73" s="120"/>
      <c r="L73" s="120"/>
      <c r="M73" s="94">
        <v>5000</v>
      </c>
      <c r="N73" s="95" t="s">
        <v>241</v>
      </c>
      <c r="O73" s="95" t="s">
        <v>54</v>
      </c>
      <c r="P73" s="134" t="str">
        <f>IF(AND('331-CT'!$E$7=TH!H73,OR(N73="331",O73="331")),"x","")</f>
        <v/>
      </c>
    </row>
    <row r="74" spans="1:16" s="109" customFormat="1">
      <c r="A74" s="72">
        <f t="shared" si="4"/>
        <v>2011</v>
      </c>
      <c r="B74" s="72">
        <f t="shared" si="5"/>
        <v>4</v>
      </c>
      <c r="C74" s="110">
        <v>40649</v>
      </c>
      <c r="D74" s="92" t="s">
        <v>17</v>
      </c>
      <c r="E74" s="92">
        <v>40649</v>
      </c>
      <c r="F74" s="93" t="s">
        <v>41</v>
      </c>
      <c r="G74" s="264"/>
      <c r="H74" s="120"/>
      <c r="I74" s="120"/>
      <c r="J74" s="120"/>
      <c r="K74" s="120"/>
      <c r="L74" s="120"/>
      <c r="M74" s="94">
        <v>5500</v>
      </c>
      <c r="N74" s="95" t="s">
        <v>241</v>
      </c>
      <c r="O74" s="95" t="s">
        <v>54</v>
      </c>
      <c r="P74" s="134" t="str">
        <f>IF(AND('331-CT'!$E$7=TH!H74,OR(N74="331",O74="331")),"x","")</f>
        <v/>
      </c>
    </row>
    <row r="75" spans="1:16" s="109" customFormat="1">
      <c r="A75" s="72">
        <f t="shared" si="4"/>
        <v>2011</v>
      </c>
      <c r="B75" s="72">
        <f t="shared" si="5"/>
        <v>4</v>
      </c>
      <c r="C75" s="110">
        <v>40651</v>
      </c>
      <c r="D75" s="92" t="s">
        <v>17</v>
      </c>
      <c r="E75" s="92">
        <v>40651</v>
      </c>
      <c r="F75" s="93" t="s">
        <v>41</v>
      </c>
      <c r="G75" s="264"/>
      <c r="H75" s="120"/>
      <c r="I75" s="120"/>
      <c r="J75" s="120"/>
      <c r="K75" s="120"/>
      <c r="L75" s="120"/>
      <c r="M75" s="94">
        <v>5500</v>
      </c>
      <c r="N75" s="95" t="s">
        <v>241</v>
      </c>
      <c r="O75" s="95" t="s">
        <v>54</v>
      </c>
      <c r="P75" s="134" t="str">
        <f>IF(AND('331-CT'!$E$7=TH!H75,OR(N75="331",O75="331")),"x","")</f>
        <v/>
      </c>
    </row>
    <row r="76" spans="1:16" s="109" customFormat="1">
      <c r="A76" s="72">
        <f t="shared" ref="A76:A139" si="7">IF(C76&lt;&gt;"",YEAR(C76),"")</f>
        <v>2011</v>
      </c>
      <c r="B76" s="72">
        <f t="shared" ref="B76:B139" si="8">IF(C76&lt;&gt;"",MONTH(C76),"")</f>
        <v>5</v>
      </c>
      <c r="C76" s="110">
        <v>40679</v>
      </c>
      <c r="D76" s="92" t="s">
        <v>17</v>
      </c>
      <c r="E76" s="92">
        <v>40679</v>
      </c>
      <c r="F76" s="93" t="s">
        <v>41</v>
      </c>
      <c r="G76" s="264"/>
      <c r="H76" s="120"/>
      <c r="I76" s="120"/>
      <c r="J76" s="120"/>
      <c r="K76" s="120"/>
      <c r="L76" s="120"/>
      <c r="M76" s="94">
        <v>5500</v>
      </c>
      <c r="N76" s="95" t="s">
        <v>241</v>
      </c>
      <c r="O76" s="95" t="s">
        <v>54</v>
      </c>
      <c r="P76" s="134" t="str">
        <f>IF(AND('331-CT'!$E$7=TH!H76,OR(N76="331",O76="331")),"x","")</f>
        <v/>
      </c>
    </row>
    <row r="77" spans="1:16" s="109" customFormat="1">
      <c r="A77" s="72">
        <f t="shared" si="7"/>
        <v>2011</v>
      </c>
      <c r="B77" s="72">
        <f t="shared" si="8"/>
        <v>5</v>
      </c>
      <c r="C77" s="110">
        <v>40680</v>
      </c>
      <c r="D77" s="92" t="s">
        <v>17</v>
      </c>
      <c r="E77" s="92">
        <v>40680</v>
      </c>
      <c r="F77" s="93" t="s">
        <v>41</v>
      </c>
      <c r="G77" s="264"/>
      <c r="H77" s="120"/>
      <c r="I77" s="120"/>
      <c r="J77" s="120"/>
      <c r="K77" s="120"/>
      <c r="L77" s="120"/>
      <c r="M77" s="94">
        <v>5500</v>
      </c>
      <c r="N77" s="95" t="s">
        <v>241</v>
      </c>
      <c r="O77" s="95" t="s">
        <v>54</v>
      </c>
      <c r="P77" s="134" t="str">
        <f>IF(AND('331-CT'!$E$7=TH!H77,OR(N77="331",O77="331")),"x","")</f>
        <v/>
      </c>
    </row>
    <row r="78" spans="1:16" s="109" customFormat="1">
      <c r="A78" s="72">
        <f t="shared" si="7"/>
        <v>2011</v>
      </c>
      <c r="B78" s="72">
        <f t="shared" si="8"/>
        <v>5</v>
      </c>
      <c r="C78" s="92">
        <v>40686</v>
      </c>
      <c r="D78" s="92" t="s">
        <v>134</v>
      </c>
      <c r="E78" s="92">
        <f>C78</f>
        <v>40686</v>
      </c>
      <c r="F78" s="93" t="s">
        <v>576</v>
      </c>
      <c r="G78" s="264"/>
      <c r="H78" s="120" t="s">
        <v>267</v>
      </c>
      <c r="I78" s="120"/>
      <c r="J78" s="120"/>
      <c r="K78" s="120"/>
      <c r="L78" s="120"/>
      <c r="M78" s="94">
        <v>100000000</v>
      </c>
      <c r="N78" s="95" t="s">
        <v>39</v>
      </c>
      <c r="O78" s="95" t="s">
        <v>203</v>
      </c>
      <c r="P78" s="134" t="str">
        <f>IF(AND('331-CT'!$E$7=TH!H78,OR(N78="331",O78="331")),"x","")</f>
        <v/>
      </c>
    </row>
    <row r="79" spans="1:16" s="109" customFormat="1">
      <c r="A79" s="72">
        <f t="shared" si="7"/>
        <v>2011</v>
      </c>
      <c r="B79" s="72">
        <f t="shared" si="8"/>
        <v>5</v>
      </c>
      <c r="C79" s="110">
        <v>40686</v>
      </c>
      <c r="D79" s="92" t="s">
        <v>21</v>
      </c>
      <c r="E79" s="92">
        <v>40686</v>
      </c>
      <c r="F79" s="93" t="s">
        <v>38</v>
      </c>
      <c r="G79" s="264"/>
      <c r="H79" s="120" t="s">
        <v>267</v>
      </c>
      <c r="I79" s="120"/>
      <c r="J79" s="120"/>
      <c r="K79" s="120"/>
      <c r="L79" s="120"/>
      <c r="M79" s="94">
        <v>100000000</v>
      </c>
      <c r="N79" s="95" t="s">
        <v>54</v>
      </c>
      <c r="O79" s="95" t="s">
        <v>39</v>
      </c>
      <c r="P79" s="134" t="str">
        <f>IF(AND('331-CT'!$E$7=TH!H79,OR(N79="331",O79="331")),"x","")</f>
        <v/>
      </c>
    </row>
    <row r="80" spans="1:16" s="109" customFormat="1">
      <c r="A80" s="72">
        <f t="shared" si="7"/>
        <v>2011</v>
      </c>
      <c r="B80" s="72">
        <f t="shared" si="8"/>
        <v>5</v>
      </c>
      <c r="C80" s="110">
        <f>E80</f>
        <v>40686</v>
      </c>
      <c r="D80" s="92" t="s">
        <v>17</v>
      </c>
      <c r="E80" s="92">
        <v>40686</v>
      </c>
      <c r="F80" s="93" t="s">
        <v>112</v>
      </c>
      <c r="G80" s="264"/>
      <c r="H80" s="120" t="s">
        <v>85</v>
      </c>
      <c r="I80" s="120"/>
      <c r="J80" s="120"/>
      <c r="K80" s="120"/>
      <c r="L80" s="120"/>
      <c r="M80" s="94">
        <v>100000000</v>
      </c>
      <c r="N80" s="95" t="s">
        <v>18</v>
      </c>
      <c r="O80" s="95" t="s">
        <v>54</v>
      </c>
      <c r="P80" s="134" t="str">
        <f>IF(AND('331-CT'!$E$7=TH!H80,OR(N80="331",O80="331")),"x","")</f>
        <v/>
      </c>
    </row>
    <row r="81" spans="1:16" s="109" customFormat="1">
      <c r="A81" s="72">
        <f t="shared" si="7"/>
        <v>2011</v>
      </c>
      <c r="B81" s="72">
        <f t="shared" si="8"/>
        <v>5</v>
      </c>
      <c r="C81" s="110">
        <v>40686</v>
      </c>
      <c r="D81" s="92" t="s">
        <v>17</v>
      </c>
      <c r="E81" s="92">
        <v>40686</v>
      </c>
      <c r="F81" s="93" t="s">
        <v>34</v>
      </c>
      <c r="G81" s="264"/>
      <c r="H81" s="120"/>
      <c r="I81" s="120"/>
      <c r="J81" s="120"/>
      <c r="K81" s="120"/>
      <c r="L81" s="120"/>
      <c r="M81" s="94">
        <v>50000</v>
      </c>
      <c r="N81" s="95" t="s">
        <v>241</v>
      </c>
      <c r="O81" s="95" t="s">
        <v>54</v>
      </c>
      <c r="P81" s="134" t="str">
        <f>IF(AND('331-CT'!$E$7=TH!H81,OR(N81="331",O81="331")),"x","")</f>
        <v/>
      </c>
    </row>
    <row r="82" spans="1:16" s="109" customFormat="1">
      <c r="A82" s="72">
        <f t="shared" si="7"/>
        <v>2011</v>
      </c>
      <c r="B82" s="72">
        <f t="shared" si="8"/>
        <v>5</v>
      </c>
      <c r="C82" s="110">
        <v>40686</v>
      </c>
      <c r="D82" s="92" t="s">
        <v>17</v>
      </c>
      <c r="E82" s="92">
        <v>40686</v>
      </c>
      <c r="F82" s="93" t="s">
        <v>35</v>
      </c>
      <c r="G82" s="264"/>
      <c r="H82" s="120"/>
      <c r="I82" s="120"/>
      <c r="J82" s="120"/>
      <c r="K82" s="120"/>
      <c r="L82" s="120"/>
      <c r="M82" s="94">
        <v>5000</v>
      </c>
      <c r="N82" s="95" t="s">
        <v>241</v>
      </c>
      <c r="O82" s="95" t="s">
        <v>54</v>
      </c>
      <c r="P82" s="134" t="str">
        <f>IF(AND('331-CT'!$E$7=TH!H82,OR(N82="331",O82="331")),"x","")</f>
        <v/>
      </c>
    </row>
    <row r="83" spans="1:16" s="109" customFormat="1">
      <c r="A83" s="72">
        <f t="shared" si="7"/>
        <v>2011</v>
      </c>
      <c r="B83" s="72">
        <f t="shared" si="8"/>
        <v>5</v>
      </c>
      <c r="C83" s="92">
        <v>40690</v>
      </c>
      <c r="D83" s="92" t="s">
        <v>135</v>
      </c>
      <c r="E83" s="92">
        <f>C83</f>
        <v>40690</v>
      </c>
      <c r="F83" s="93" t="s">
        <v>575</v>
      </c>
      <c r="G83" s="264"/>
      <c r="H83" s="116" t="s">
        <v>430</v>
      </c>
      <c r="I83" s="116"/>
      <c r="J83" s="116"/>
      <c r="K83" s="116"/>
      <c r="L83" s="116"/>
      <c r="M83" s="94">
        <v>50000000</v>
      </c>
      <c r="N83" s="95" t="s">
        <v>54</v>
      </c>
      <c r="O83" s="95" t="s">
        <v>203</v>
      </c>
      <c r="P83" s="134" t="str">
        <f>IF(AND('331-CT'!$E$7=TH!H83,OR(N83="331",O83="331")),"x","")</f>
        <v/>
      </c>
    </row>
    <row r="84" spans="1:16" s="109" customFormat="1">
      <c r="A84" s="72">
        <f t="shared" si="7"/>
        <v>2011</v>
      </c>
      <c r="B84" s="72">
        <f t="shared" si="8"/>
        <v>5</v>
      </c>
      <c r="C84" s="110">
        <f>E84</f>
        <v>40690</v>
      </c>
      <c r="D84" s="92" t="s">
        <v>17</v>
      </c>
      <c r="E84" s="92">
        <v>40690</v>
      </c>
      <c r="F84" s="93" t="s">
        <v>112</v>
      </c>
      <c r="G84" s="264"/>
      <c r="H84" s="120" t="s">
        <v>85</v>
      </c>
      <c r="I84" s="120"/>
      <c r="J84" s="120"/>
      <c r="K84" s="120"/>
      <c r="L84" s="120"/>
      <c r="M84" s="94">
        <v>50000000</v>
      </c>
      <c r="N84" s="95" t="s">
        <v>18</v>
      </c>
      <c r="O84" s="95" t="s">
        <v>54</v>
      </c>
      <c r="P84" s="134" t="str">
        <f>IF(AND('331-CT'!$E$7=TH!H84,OR(N84="331",O84="331")),"x","")</f>
        <v/>
      </c>
    </row>
    <row r="85" spans="1:16" s="109" customFormat="1">
      <c r="A85" s="72">
        <f t="shared" si="7"/>
        <v>2011</v>
      </c>
      <c r="B85" s="72">
        <f t="shared" si="8"/>
        <v>5</v>
      </c>
      <c r="C85" s="110">
        <v>40690</v>
      </c>
      <c r="D85" s="92" t="s">
        <v>17</v>
      </c>
      <c r="E85" s="92">
        <v>40690</v>
      </c>
      <c r="F85" s="93" t="s">
        <v>34</v>
      </c>
      <c r="G85" s="264"/>
      <c r="H85" s="120"/>
      <c r="I85" s="120"/>
      <c r="J85" s="120"/>
      <c r="K85" s="120"/>
      <c r="L85" s="120"/>
      <c r="M85" s="94">
        <v>25000</v>
      </c>
      <c r="N85" s="95" t="s">
        <v>241</v>
      </c>
      <c r="O85" s="95" t="s">
        <v>54</v>
      </c>
      <c r="P85" s="134" t="str">
        <f>IF(AND('331-CT'!$E$7=TH!H85,OR(N85="331",O85="331")),"x","")</f>
        <v/>
      </c>
    </row>
    <row r="86" spans="1:16" s="109" customFormat="1">
      <c r="A86" s="72">
        <f t="shared" si="7"/>
        <v>2011</v>
      </c>
      <c r="B86" s="72">
        <f t="shared" si="8"/>
        <v>5</v>
      </c>
      <c r="C86" s="110">
        <v>40690</v>
      </c>
      <c r="D86" s="92" t="s">
        <v>17</v>
      </c>
      <c r="E86" s="92">
        <v>40690</v>
      </c>
      <c r="F86" s="93" t="s">
        <v>35</v>
      </c>
      <c r="G86" s="264"/>
      <c r="H86" s="120"/>
      <c r="I86" s="120"/>
      <c r="J86" s="120"/>
      <c r="K86" s="120"/>
      <c r="L86" s="120"/>
      <c r="M86" s="94">
        <v>14907</v>
      </c>
      <c r="N86" s="95" t="s">
        <v>241</v>
      </c>
      <c r="O86" s="95" t="s">
        <v>54</v>
      </c>
      <c r="P86" s="134" t="str">
        <f>IF(AND('331-CT'!$E$7=TH!H86,OR(N86="331",O86="331")),"x","")</f>
        <v/>
      </c>
    </row>
    <row r="87" spans="1:16" s="109" customFormat="1">
      <c r="A87" s="72">
        <f t="shared" si="7"/>
        <v>2011</v>
      </c>
      <c r="B87" s="72">
        <f t="shared" si="8"/>
        <v>5</v>
      </c>
      <c r="C87" s="110">
        <v>40690</v>
      </c>
      <c r="D87" s="92" t="s">
        <v>17</v>
      </c>
      <c r="E87" s="92">
        <v>40690</v>
      </c>
      <c r="F87" s="93" t="s">
        <v>23</v>
      </c>
      <c r="G87" s="264"/>
      <c r="H87" s="120"/>
      <c r="I87" s="120"/>
      <c r="J87" s="120"/>
      <c r="K87" s="120"/>
      <c r="L87" s="120"/>
      <c r="M87" s="94">
        <v>2500</v>
      </c>
      <c r="N87" s="95" t="s">
        <v>241</v>
      </c>
      <c r="O87" s="95" t="s">
        <v>54</v>
      </c>
      <c r="P87" s="134" t="str">
        <f>IF(AND('331-CT'!$E$7=TH!H87,OR(N87="331",O87="331")),"x","")</f>
        <v/>
      </c>
    </row>
    <row r="88" spans="1:16" s="109" customFormat="1">
      <c r="A88" s="72">
        <f t="shared" si="7"/>
        <v>2011</v>
      </c>
      <c r="B88" s="72">
        <f t="shared" si="8"/>
        <v>5</v>
      </c>
      <c r="C88" s="110">
        <v>40690</v>
      </c>
      <c r="D88" s="92" t="s">
        <v>17</v>
      </c>
      <c r="E88" s="92">
        <v>40690</v>
      </c>
      <c r="F88" s="93" t="s">
        <v>24</v>
      </c>
      <c r="G88" s="264"/>
      <c r="H88" s="120"/>
      <c r="I88" s="120"/>
      <c r="J88" s="120"/>
      <c r="K88" s="120"/>
      <c r="L88" s="120"/>
      <c r="M88" s="94">
        <v>1491</v>
      </c>
      <c r="N88" s="95" t="s">
        <v>241</v>
      </c>
      <c r="O88" s="95" t="s">
        <v>54</v>
      </c>
      <c r="P88" s="134" t="str">
        <f>IF(AND('331-CT'!$E$7=TH!H88,OR(N88="331",O88="331")),"x","")</f>
        <v/>
      </c>
    </row>
    <row r="89" spans="1:16" s="109" customFormat="1">
      <c r="A89" s="72">
        <f t="shared" si="7"/>
        <v>2011</v>
      </c>
      <c r="B89" s="72">
        <f t="shared" si="8"/>
        <v>6</v>
      </c>
      <c r="C89" s="96">
        <v>40710</v>
      </c>
      <c r="D89" s="97" t="s">
        <v>17</v>
      </c>
      <c r="E89" s="96">
        <v>40710</v>
      </c>
      <c r="F89" s="111" t="s">
        <v>41</v>
      </c>
      <c r="G89" s="97"/>
      <c r="H89" s="120"/>
      <c r="I89" s="120"/>
      <c r="J89" s="120"/>
      <c r="K89" s="120"/>
      <c r="L89" s="120"/>
      <c r="M89" s="112">
        <v>5500</v>
      </c>
      <c r="N89" s="95" t="s">
        <v>241</v>
      </c>
      <c r="O89" s="95" t="s">
        <v>54</v>
      </c>
      <c r="P89" s="134" t="str">
        <f>IF(AND('331-CT'!$E$7=TH!H89,OR(N89="331",O89="331")),"x","")</f>
        <v/>
      </c>
    </row>
    <row r="90" spans="1:16" s="109" customFormat="1">
      <c r="A90" s="72">
        <f t="shared" si="7"/>
        <v>2011</v>
      </c>
      <c r="B90" s="72">
        <f t="shared" si="8"/>
        <v>6</v>
      </c>
      <c r="C90" s="110">
        <v>40711</v>
      </c>
      <c r="D90" s="92" t="s">
        <v>17</v>
      </c>
      <c r="E90" s="92">
        <v>40711</v>
      </c>
      <c r="F90" s="93" t="s">
        <v>41</v>
      </c>
      <c r="G90" s="264"/>
      <c r="H90" s="120"/>
      <c r="I90" s="120"/>
      <c r="J90" s="120"/>
      <c r="K90" s="120"/>
      <c r="L90" s="120"/>
      <c r="M90" s="94">
        <v>5500</v>
      </c>
      <c r="N90" s="95" t="s">
        <v>241</v>
      </c>
      <c r="O90" s="95" t="s">
        <v>54</v>
      </c>
      <c r="P90" s="134" t="str">
        <f>IF(AND('331-CT'!$E$7=TH!H90,OR(N90="331",O90="331")),"x","")</f>
        <v/>
      </c>
    </row>
    <row r="91" spans="1:16" s="109" customFormat="1">
      <c r="A91" s="72">
        <f t="shared" si="7"/>
        <v>2011</v>
      </c>
      <c r="B91" s="72">
        <f t="shared" si="8"/>
        <v>6</v>
      </c>
      <c r="C91" s="92">
        <v>40724</v>
      </c>
      <c r="D91" s="92" t="s">
        <v>154</v>
      </c>
      <c r="E91" s="92">
        <f>C91</f>
        <v>40724</v>
      </c>
      <c r="F91" s="93" t="s">
        <v>575</v>
      </c>
      <c r="G91" s="264"/>
      <c r="H91" s="120" t="s">
        <v>512</v>
      </c>
      <c r="I91" s="120"/>
      <c r="J91" s="120"/>
      <c r="K91" s="120"/>
      <c r="L91" s="120"/>
      <c r="M91" s="94">
        <v>100000000</v>
      </c>
      <c r="N91" s="95" t="s">
        <v>54</v>
      </c>
      <c r="O91" s="95" t="s">
        <v>203</v>
      </c>
      <c r="P91" s="134" t="str">
        <f>IF(AND('331-CT'!$E$7=TH!H91,OR(N91="331",O91="331")),"x","")</f>
        <v/>
      </c>
    </row>
    <row r="92" spans="1:16" s="109" customFormat="1">
      <c r="A92" s="72">
        <f t="shared" si="7"/>
        <v>2011</v>
      </c>
      <c r="B92" s="72">
        <f t="shared" si="8"/>
        <v>6</v>
      </c>
      <c r="C92" s="110">
        <f>E92</f>
        <v>40724</v>
      </c>
      <c r="D92" s="97" t="s">
        <v>17</v>
      </c>
      <c r="E92" s="96">
        <v>40724</v>
      </c>
      <c r="F92" s="111" t="s">
        <v>112</v>
      </c>
      <c r="G92" s="97"/>
      <c r="H92" s="120" t="s">
        <v>85</v>
      </c>
      <c r="I92" s="120"/>
      <c r="J92" s="120"/>
      <c r="K92" s="120"/>
      <c r="L92" s="120"/>
      <c r="M92" s="112">
        <v>100000000</v>
      </c>
      <c r="N92" s="95" t="s">
        <v>18</v>
      </c>
      <c r="O92" s="95" t="s">
        <v>54</v>
      </c>
      <c r="P92" s="134" t="str">
        <f>IF(AND('331-CT'!$E$7=TH!H92,OR(N92="331",O92="331")),"x","")</f>
        <v/>
      </c>
    </row>
    <row r="93" spans="1:16" s="109" customFormat="1">
      <c r="A93" s="72">
        <f t="shared" si="7"/>
        <v>2011</v>
      </c>
      <c r="B93" s="72">
        <f t="shared" si="8"/>
        <v>6</v>
      </c>
      <c r="C93" s="96">
        <v>40724</v>
      </c>
      <c r="D93" s="97" t="s">
        <v>17</v>
      </c>
      <c r="E93" s="96">
        <v>40724</v>
      </c>
      <c r="F93" s="111" t="s">
        <v>34</v>
      </c>
      <c r="G93" s="97"/>
      <c r="H93" s="120"/>
      <c r="I93" s="120"/>
      <c r="J93" s="120"/>
      <c r="K93" s="120"/>
      <c r="L93" s="120"/>
      <c r="M93" s="112">
        <v>50000</v>
      </c>
      <c r="N93" s="95" t="s">
        <v>241</v>
      </c>
      <c r="O93" s="95" t="s">
        <v>54</v>
      </c>
      <c r="P93" s="134" t="str">
        <f>IF(AND('331-CT'!$E$7=TH!H93,OR(N93="331",O93="331")),"x","")</f>
        <v/>
      </c>
    </row>
    <row r="94" spans="1:16" s="109" customFormat="1">
      <c r="A94" s="72">
        <f t="shared" si="7"/>
        <v>2011</v>
      </c>
      <c r="B94" s="72">
        <f t="shared" si="8"/>
        <v>6</v>
      </c>
      <c r="C94" s="96">
        <v>40724</v>
      </c>
      <c r="D94" s="97" t="s">
        <v>17</v>
      </c>
      <c r="E94" s="96">
        <v>40724</v>
      </c>
      <c r="F94" s="111" t="s">
        <v>35</v>
      </c>
      <c r="G94" s="97"/>
      <c r="H94" s="120"/>
      <c r="I94" s="120"/>
      <c r="J94" s="120"/>
      <c r="K94" s="120"/>
      <c r="L94" s="120"/>
      <c r="M94" s="112">
        <v>5000</v>
      </c>
      <c r="N94" s="95" t="s">
        <v>241</v>
      </c>
      <c r="O94" s="95" t="s">
        <v>54</v>
      </c>
      <c r="P94" s="134" t="str">
        <f>IF(AND('331-CT'!$E$7=TH!H94,OR(N94="331",O94="331")),"x","")</f>
        <v/>
      </c>
    </row>
    <row r="95" spans="1:16" s="109" customFormat="1">
      <c r="A95" s="72">
        <f t="shared" si="7"/>
        <v>2011</v>
      </c>
      <c r="B95" s="72">
        <f t="shared" si="8"/>
        <v>6</v>
      </c>
      <c r="C95" s="96">
        <v>40724</v>
      </c>
      <c r="D95" s="97" t="s">
        <v>17</v>
      </c>
      <c r="E95" s="96">
        <v>40724</v>
      </c>
      <c r="F95" s="111" t="s">
        <v>23</v>
      </c>
      <c r="G95" s="97"/>
      <c r="H95" s="120"/>
      <c r="I95" s="120"/>
      <c r="J95" s="120"/>
      <c r="K95" s="120"/>
      <c r="L95" s="120"/>
      <c r="M95" s="112">
        <v>29923</v>
      </c>
      <c r="N95" s="95" t="s">
        <v>241</v>
      </c>
      <c r="O95" s="95" t="s">
        <v>54</v>
      </c>
      <c r="P95" s="134" t="str">
        <f>IF(AND('331-CT'!$E$7=TH!H95,OR(N95="331",O95="331")),"x","")</f>
        <v/>
      </c>
    </row>
    <row r="96" spans="1:16" s="109" customFormat="1">
      <c r="A96" s="72">
        <f t="shared" si="7"/>
        <v>2011</v>
      </c>
      <c r="B96" s="72">
        <f t="shared" si="8"/>
        <v>6</v>
      </c>
      <c r="C96" s="110">
        <v>40724</v>
      </c>
      <c r="D96" s="92" t="s">
        <v>17</v>
      </c>
      <c r="E96" s="96">
        <v>40724</v>
      </c>
      <c r="F96" s="93" t="s">
        <v>24</v>
      </c>
      <c r="G96" s="264"/>
      <c r="H96" s="120"/>
      <c r="I96" s="120"/>
      <c r="J96" s="120"/>
      <c r="K96" s="120"/>
      <c r="L96" s="120"/>
      <c r="M96" s="94">
        <v>2992</v>
      </c>
      <c r="N96" s="95" t="s">
        <v>241</v>
      </c>
      <c r="O96" s="95" t="s">
        <v>54</v>
      </c>
      <c r="P96" s="134" t="str">
        <f>IF(AND('331-CT'!$E$7=TH!H96,OR(N96="331",O96="331")),"x","")</f>
        <v/>
      </c>
    </row>
    <row r="97" spans="1:16" s="109" customFormat="1">
      <c r="A97" s="72">
        <f t="shared" si="7"/>
        <v>2011</v>
      </c>
      <c r="B97" s="72">
        <f t="shared" si="8"/>
        <v>7</v>
      </c>
      <c r="C97" s="110">
        <v>40740</v>
      </c>
      <c r="D97" s="98" t="s">
        <v>17</v>
      </c>
      <c r="E97" s="99">
        <v>40740</v>
      </c>
      <c r="F97" s="100" t="s">
        <v>41</v>
      </c>
      <c r="G97" s="275"/>
      <c r="H97" s="120"/>
      <c r="I97" s="120"/>
      <c r="J97" s="120"/>
      <c r="K97" s="120"/>
      <c r="L97" s="120"/>
      <c r="M97" s="94">
        <v>5500</v>
      </c>
      <c r="N97" s="95" t="s">
        <v>241</v>
      </c>
      <c r="O97" s="95" t="s">
        <v>54</v>
      </c>
      <c r="P97" s="134" t="str">
        <f>IF(AND('331-CT'!$E$7=TH!H97,OR(N97="331",O97="331")),"x","")</f>
        <v/>
      </c>
    </row>
    <row r="98" spans="1:16" s="109" customFormat="1">
      <c r="A98" s="72">
        <f t="shared" si="7"/>
        <v>2011</v>
      </c>
      <c r="B98" s="72">
        <f t="shared" si="8"/>
        <v>7</v>
      </c>
      <c r="C98" s="110">
        <v>40742</v>
      </c>
      <c r="D98" s="92" t="s">
        <v>17</v>
      </c>
      <c r="E98" s="96">
        <v>40742</v>
      </c>
      <c r="F98" s="93" t="s">
        <v>41</v>
      </c>
      <c r="G98" s="264"/>
      <c r="H98" s="120"/>
      <c r="I98" s="120"/>
      <c r="J98" s="120"/>
      <c r="K98" s="120"/>
      <c r="L98" s="120"/>
      <c r="M98" s="94">
        <v>5500</v>
      </c>
      <c r="N98" s="95" t="s">
        <v>241</v>
      </c>
      <c r="O98" s="95" t="s">
        <v>54</v>
      </c>
      <c r="P98" s="134" t="str">
        <f>IF(AND('331-CT'!$E$7=TH!H98,OR(N98="331",O98="331")),"x","")</f>
        <v/>
      </c>
    </row>
    <row r="99" spans="1:16" s="109" customFormat="1">
      <c r="A99" s="72">
        <f t="shared" si="7"/>
        <v>2011</v>
      </c>
      <c r="B99" s="72">
        <f t="shared" si="8"/>
        <v>8</v>
      </c>
      <c r="C99" s="110">
        <v>40771</v>
      </c>
      <c r="D99" s="92" t="s">
        <v>17</v>
      </c>
      <c r="E99" s="96">
        <v>40771</v>
      </c>
      <c r="F99" s="93" t="s">
        <v>41</v>
      </c>
      <c r="G99" s="264"/>
      <c r="H99" s="120"/>
      <c r="I99" s="120"/>
      <c r="J99" s="120"/>
      <c r="K99" s="120"/>
      <c r="L99" s="120"/>
      <c r="M99" s="94">
        <v>5500</v>
      </c>
      <c r="N99" s="95" t="s">
        <v>241</v>
      </c>
      <c r="O99" s="95" t="s">
        <v>54</v>
      </c>
      <c r="P99" s="134" t="str">
        <f>IF(AND('331-CT'!$E$7=TH!H99,OR(N99="331",O99="331")),"x","")</f>
        <v/>
      </c>
    </row>
    <row r="100" spans="1:16" s="109" customFormat="1">
      <c r="A100" s="72">
        <f t="shared" si="7"/>
        <v>2011</v>
      </c>
      <c r="B100" s="72">
        <f t="shared" si="8"/>
        <v>8</v>
      </c>
      <c r="C100" s="92">
        <v>40772</v>
      </c>
      <c r="D100" s="92" t="s">
        <v>17</v>
      </c>
      <c r="E100" s="96">
        <v>40772</v>
      </c>
      <c r="F100" s="93" t="s">
        <v>41</v>
      </c>
      <c r="G100" s="264"/>
      <c r="H100" s="120"/>
      <c r="I100" s="120"/>
      <c r="J100" s="120"/>
      <c r="K100" s="120"/>
      <c r="L100" s="120"/>
      <c r="M100" s="94">
        <v>5500</v>
      </c>
      <c r="N100" s="95" t="s">
        <v>241</v>
      </c>
      <c r="O100" s="95" t="s">
        <v>54</v>
      </c>
      <c r="P100" s="134" t="str">
        <f>IF(AND('331-CT'!$E$7=TH!H100,OR(N100="331",O100="331")),"x","")</f>
        <v/>
      </c>
    </row>
    <row r="101" spans="1:16" s="109" customFormat="1">
      <c r="A101" s="72">
        <f t="shared" si="7"/>
        <v>2011</v>
      </c>
      <c r="B101" s="72">
        <f t="shared" si="8"/>
        <v>9</v>
      </c>
      <c r="C101" s="110">
        <v>40802</v>
      </c>
      <c r="D101" s="98" t="s">
        <v>17</v>
      </c>
      <c r="E101" s="92">
        <v>40802</v>
      </c>
      <c r="F101" s="100" t="s">
        <v>49</v>
      </c>
      <c r="G101" s="275"/>
      <c r="H101" s="120"/>
      <c r="I101" s="550"/>
      <c r="J101" s="550"/>
      <c r="K101" s="550"/>
      <c r="L101" s="550"/>
      <c r="M101" s="101">
        <v>24000</v>
      </c>
      <c r="N101" s="95" t="s">
        <v>241</v>
      </c>
      <c r="O101" s="95" t="s">
        <v>54</v>
      </c>
      <c r="P101" s="134" t="str">
        <f>IF(AND('331-CT'!$E$7=TH!H101,OR(N101="331",O101="331")),"x","")</f>
        <v/>
      </c>
    </row>
    <row r="102" spans="1:16" s="109" customFormat="1">
      <c r="A102" s="72">
        <f t="shared" si="7"/>
        <v>2011</v>
      </c>
      <c r="B102" s="72">
        <f t="shared" si="8"/>
        <v>9</v>
      </c>
      <c r="C102" s="110">
        <v>40802</v>
      </c>
      <c r="D102" s="92" t="s">
        <v>17</v>
      </c>
      <c r="E102" s="92">
        <v>40802</v>
      </c>
      <c r="F102" s="93" t="s">
        <v>44</v>
      </c>
      <c r="G102" s="264"/>
      <c r="H102" s="120"/>
      <c r="I102" s="120"/>
      <c r="J102" s="120"/>
      <c r="K102" s="120"/>
      <c r="L102" s="120"/>
      <c r="M102" s="94">
        <v>2400</v>
      </c>
      <c r="N102" s="95" t="s">
        <v>241</v>
      </c>
      <c r="O102" s="95" t="s">
        <v>54</v>
      </c>
      <c r="P102" s="134" t="str">
        <f>IF(AND('331-CT'!$E$7=TH!H102,OR(N102="331",O102="331")),"x","")</f>
        <v/>
      </c>
    </row>
    <row r="103" spans="1:16" s="109" customFormat="1">
      <c r="A103" s="72">
        <f t="shared" si="7"/>
        <v>2011</v>
      </c>
      <c r="B103" s="72">
        <f t="shared" si="8"/>
        <v>9</v>
      </c>
      <c r="C103" s="110">
        <v>40802</v>
      </c>
      <c r="D103" s="98" t="s">
        <v>17</v>
      </c>
      <c r="E103" s="92">
        <v>40802</v>
      </c>
      <c r="F103" s="100" t="s">
        <v>48</v>
      </c>
      <c r="G103" s="275"/>
      <c r="H103" s="120"/>
      <c r="I103" s="550"/>
      <c r="J103" s="550"/>
      <c r="K103" s="550"/>
      <c r="L103" s="550"/>
      <c r="M103" s="101">
        <v>24000</v>
      </c>
      <c r="N103" s="95" t="s">
        <v>241</v>
      </c>
      <c r="O103" s="95" t="s">
        <v>54</v>
      </c>
      <c r="P103" s="134" t="str">
        <f>IF(AND('331-CT'!$E$7=TH!H103,OR(N103="331",O103="331")),"x","")</f>
        <v/>
      </c>
    </row>
    <row r="104" spans="1:16" s="109" customFormat="1">
      <c r="A104" s="72">
        <f t="shared" si="7"/>
        <v>2011</v>
      </c>
      <c r="B104" s="72">
        <f t="shared" si="8"/>
        <v>9</v>
      </c>
      <c r="C104" s="110">
        <v>40802</v>
      </c>
      <c r="D104" s="92" t="s">
        <v>17</v>
      </c>
      <c r="E104" s="92">
        <v>40802</v>
      </c>
      <c r="F104" s="93" t="s">
        <v>44</v>
      </c>
      <c r="G104" s="264"/>
      <c r="H104" s="120"/>
      <c r="I104" s="120"/>
      <c r="J104" s="120"/>
      <c r="K104" s="120"/>
      <c r="L104" s="120"/>
      <c r="M104" s="94">
        <v>2400</v>
      </c>
      <c r="N104" s="95" t="s">
        <v>241</v>
      </c>
      <c r="O104" s="95" t="s">
        <v>54</v>
      </c>
      <c r="P104" s="134" t="str">
        <f>IF(AND('331-CT'!$E$7=TH!H104,OR(N104="331",O104="331")),"x","")</f>
        <v/>
      </c>
    </row>
    <row r="105" spans="1:16" s="109" customFormat="1">
      <c r="A105" s="72">
        <f t="shared" si="7"/>
        <v>2011</v>
      </c>
      <c r="B105" s="72">
        <f t="shared" si="8"/>
        <v>9</v>
      </c>
      <c r="C105" s="92">
        <v>40802</v>
      </c>
      <c r="D105" s="92" t="s">
        <v>17</v>
      </c>
      <c r="E105" s="96">
        <v>40802</v>
      </c>
      <c r="F105" s="93" t="s">
        <v>47</v>
      </c>
      <c r="G105" s="264"/>
      <c r="H105" s="120"/>
      <c r="I105" s="120"/>
      <c r="J105" s="120"/>
      <c r="K105" s="120"/>
      <c r="L105" s="120"/>
      <c r="M105" s="94">
        <v>24000</v>
      </c>
      <c r="N105" s="95" t="s">
        <v>241</v>
      </c>
      <c r="O105" s="95" t="s">
        <v>54</v>
      </c>
      <c r="P105" s="134" t="str">
        <f>IF(AND('331-CT'!$E$7=TH!H105,OR(N105="331",O105="331")),"x","")</f>
        <v/>
      </c>
    </row>
    <row r="106" spans="1:16" s="109" customFormat="1">
      <c r="A106" s="72">
        <f t="shared" si="7"/>
        <v>2011</v>
      </c>
      <c r="B106" s="72">
        <f t="shared" si="8"/>
        <v>9</v>
      </c>
      <c r="C106" s="110">
        <v>40802</v>
      </c>
      <c r="D106" s="92" t="s">
        <v>17</v>
      </c>
      <c r="E106" s="92">
        <v>40802</v>
      </c>
      <c r="F106" s="93" t="s">
        <v>44</v>
      </c>
      <c r="G106" s="264"/>
      <c r="H106" s="120"/>
      <c r="I106" s="120"/>
      <c r="J106" s="120"/>
      <c r="K106" s="120"/>
      <c r="L106" s="120"/>
      <c r="M106" s="94">
        <v>2400</v>
      </c>
      <c r="N106" s="95" t="s">
        <v>241</v>
      </c>
      <c r="O106" s="95" t="s">
        <v>54</v>
      </c>
      <c r="P106" s="134" t="str">
        <f>IF(AND('331-CT'!$E$7=TH!H106,OR(N106="331",O106="331")),"x","")</f>
        <v/>
      </c>
    </row>
    <row r="107" spans="1:16" s="109" customFormat="1">
      <c r="A107" s="72">
        <f t="shared" si="7"/>
        <v>2011</v>
      </c>
      <c r="B107" s="72">
        <f t="shared" si="8"/>
        <v>9</v>
      </c>
      <c r="C107" s="110">
        <v>40803</v>
      </c>
      <c r="D107" s="92" t="s">
        <v>17</v>
      </c>
      <c r="E107" s="92">
        <v>40803</v>
      </c>
      <c r="F107" s="93" t="s">
        <v>43</v>
      </c>
      <c r="G107" s="264"/>
      <c r="H107" s="120"/>
      <c r="I107" s="120"/>
      <c r="J107" s="120"/>
      <c r="K107" s="120"/>
      <c r="L107" s="120"/>
      <c r="M107" s="94">
        <v>24000</v>
      </c>
      <c r="N107" s="95" t="s">
        <v>241</v>
      </c>
      <c r="O107" s="95" t="s">
        <v>54</v>
      </c>
      <c r="P107" s="134" t="str">
        <f>IF(AND('331-CT'!$E$7=TH!H107,OR(N107="331",O107="331")),"x","")</f>
        <v/>
      </c>
    </row>
    <row r="108" spans="1:16" s="109" customFormat="1">
      <c r="A108" s="72">
        <f t="shared" si="7"/>
        <v>2011</v>
      </c>
      <c r="B108" s="72">
        <f t="shared" si="8"/>
        <v>9</v>
      </c>
      <c r="C108" s="110">
        <v>40803</v>
      </c>
      <c r="D108" s="92" t="s">
        <v>17</v>
      </c>
      <c r="E108" s="92">
        <v>40803</v>
      </c>
      <c r="F108" s="113" t="s">
        <v>44</v>
      </c>
      <c r="G108" s="276"/>
      <c r="H108" s="120"/>
      <c r="I108" s="120"/>
      <c r="J108" s="120"/>
      <c r="K108" s="120"/>
      <c r="L108" s="120"/>
      <c r="M108" s="114">
        <v>2400</v>
      </c>
      <c r="N108" s="95" t="s">
        <v>241</v>
      </c>
      <c r="O108" s="95" t="s">
        <v>54</v>
      </c>
      <c r="P108" s="134" t="str">
        <f>IF(AND('331-CT'!$E$7=TH!H108,OR(N108="331",O108="331")),"x","")</f>
        <v/>
      </c>
    </row>
    <row r="109" spans="1:16" s="109" customFormat="1">
      <c r="A109" s="72">
        <f t="shared" si="7"/>
        <v>2011</v>
      </c>
      <c r="B109" s="72">
        <f t="shared" si="8"/>
        <v>9</v>
      </c>
      <c r="C109" s="110">
        <v>40803</v>
      </c>
      <c r="D109" s="92" t="s">
        <v>17</v>
      </c>
      <c r="E109" s="92">
        <v>40803</v>
      </c>
      <c r="F109" s="113" t="s">
        <v>23</v>
      </c>
      <c r="G109" s="276"/>
      <c r="H109" s="120"/>
      <c r="I109" s="120"/>
      <c r="J109" s="120"/>
      <c r="K109" s="120"/>
      <c r="L109" s="120"/>
      <c r="M109" s="114">
        <v>12746</v>
      </c>
      <c r="N109" s="95" t="s">
        <v>241</v>
      </c>
      <c r="O109" s="95" t="s">
        <v>54</v>
      </c>
      <c r="P109" s="134" t="str">
        <f>IF(AND('331-CT'!$E$7=TH!H109,OR(N109="331",O109="331")),"x","")</f>
        <v/>
      </c>
    </row>
    <row r="110" spans="1:16" s="109" customFormat="1">
      <c r="A110" s="72">
        <f t="shared" si="7"/>
        <v>2011</v>
      </c>
      <c r="B110" s="72">
        <f t="shared" si="8"/>
        <v>9</v>
      </c>
      <c r="C110" s="110">
        <v>40803</v>
      </c>
      <c r="D110" s="92" t="s">
        <v>17</v>
      </c>
      <c r="E110" s="92">
        <v>40803</v>
      </c>
      <c r="F110" s="113" t="s">
        <v>24</v>
      </c>
      <c r="G110" s="276"/>
      <c r="H110" s="120"/>
      <c r="I110" s="120"/>
      <c r="J110" s="120"/>
      <c r="K110" s="120"/>
      <c r="L110" s="120"/>
      <c r="M110" s="114">
        <v>1275</v>
      </c>
      <c r="N110" s="95" t="s">
        <v>241</v>
      </c>
      <c r="O110" s="95" t="s">
        <v>54</v>
      </c>
      <c r="P110" s="134" t="str">
        <f>IF(AND('331-CT'!$E$7=TH!H110,OR(N110="331",O110="331")),"x","")</f>
        <v/>
      </c>
    </row>
    <row r="111" spans="1:16" s="109" customFormat="1">
      <c r="A111" s="72">
        <f t="shared" si="7"/>
        <v>2011</v>
      </c>
      <c r="B111" s="72">
        <f t="shared" si="8"/>
        <v>9</v>
      </c>
      <c r="C111" s="110">
        <v>40803</v>
      </c>
      <c r="D111" s="92" t="s">
        <v>17</v>
      </c>
      <c r="E111" s="92">
        <v>40803</v>
      </c>
      <c r="F111" s="93" t="s">
        <v>41</v>
      </c>
      <c r="G111" s="264"/>
      <c r="H111" s="120"/>
      <c r="I111" s="120"/>
      <c r="J111" s="120"/>
      <c r="K111" s="120"/>
      <c r="L111" s="120"/>
      <c r="M111" s="94">
        <v>14021</v>
      </c>
      <c r="N111" s="95" t="s">
        <v>241</v>
      </c>
      <c r="O111" s="95" t="s">
        <v>54</v>
      </c>
      <c r="P111" s="134" t="str">
        <f>IF(AND('331-CT'!$E$7=TH!H111,OR(N111="331",O111="331")),"x","")</f>
        <v/>
      </c>
    </row>
    <row r="112" spans="1:16" s="109" customFormat="1">
      <c r="A112" s="72">
        <f t="shared" si="7"/>
        <v>2011</v>
      </c>
      <c r="B112" s="72">
        <f t="shared" si="8"/>
        <v>9</v>
      </c>
      <c r="C112" s="92">
        <v>40803</v>
      </c>
      <c r="D112" s="92" t="s">
        <v>17</v>
      </c>
      <c r="E112" s="92">
        <v>40803</v>
      </c>
      <c r="F112" s="93" t="s">
        <v>41</v>
      </c>
      <c r="G112" s="264"/>
      <c r="H112" s="120"/>
      <c r="I112" s="120"/>
      <c r="J112" s="120"/>
      <c r="K112" s="120"/>
      <c r="L112" s="120"/>
      <c r="M112" s="94">
        <v>12379</v>
      </c>
      <c r="N112" s="95" t="s">
        <v>241</v>
      </c>
      <c r="O112" s="95" t="s">
        <v>54</v>
      </c>
      <c r="P112" s="134" t="str">
        <f>IF(AND('331-CT'!$E$7=TH!H112,OR(N112="331",O112="331")),"x","")</f>
        <v/>
      </c>
    </row>
    <row r="113" spans="1:16" s="109" customFormat="1">
      <c r="A113" s="72">
        <f t="shared" si="7"/>
        <v>2011</v>
      </c>
      <c r="B113" s="72">
        <f t="shared" si="8"/>
        <v>11</v>
      </c>
      <c r="C113" s="92">
        <v>40872</v>
      </c>
      <c r="D113" s="92" t="s">
        <v>157</v>
      </c>
      <c r="E113" s="92">
        <f>C113</f>
        <v>40872</v>
      </c>
      <c r="F113" s="93" t="s">
        <v>576</v>
      </c>
      <c r="G113" s="264"/>
      <c r="H113" s="120" t="s">
        <v>266</v>
      </c>
      <c r="I113" s="120"/>
      <c r="J113" s="120"/>
      <c r="K113" s="120"/>
      <c r="L113" s="120"/>
      <c r="M113" s="94">
        <v>30000000</v>
      </c>
      <c r="N113" s="95" t="s">
        <v>39</v>
      </c>
      <c r="O113" s="95" t="s">
        <v>203</v>
      </c>
      <c r="P113" s="134" t="str">
        <f>IF(AND('331-CT'!$E$7=TH!H113,OR(N113="331",O113="331")),"x","")</f>
        <v/>
      </c>
    </row>
    <row r="114" spans="1:16" s="109" customFormat="1">
      <c r="A114" s="72">
        <f t="shared" si="7"/>
        <v>2011</v>
      </c>
      <c r="B114" s="72">
        <f t="shared" si="8"/>
        <v>11</v>
      </c>
      <c r="C114" s="110">
        <v>40872</v>
      </c>
      <c r="D114" s="92" t="s">
        <v>21</v>
      </c>
      <c r="E114" s="92">
        <v>40872</v>
      </c>
      <c r="F114" s="93" t="s">
        <v>45</v>
      </c>
      <c r="G114" s="264"/>
      <c r="H114" s="120" t="s">
        <v>266</v>
      </c>
      <c r="I114" s="120"/>
      <c r="J114" s="120"/>
      <c r="K114" s="120"/>
      <c r="L114" s="120"/>
      <c r="M114" s="94">
        <v>30000000</v>
      </c>
      <c r="N114" s="95" t="s">
        <v>54</v>
      </c>
      <c r="O114" s="95" t="s">
        <v>39</v>
      </c>
      <c r="P114" s="134" t="str">
        <f>IF(AND('331-CT'!$E$7=TH!H114,OR(N114="331",O114="331")),"x","")</f>
        <v/>
      </c>
    </row>
    <row r="115" spans="1:16" s="109" customFormat="1">
      <c r="A115" s="72">
        <f t="shared" si="7"/>
        <v>2011</v>
      </c>
      <c r="B115" s="72">
        <f t="shared" si="8"/>
        <v>11</v>
      </c>
      <c r="C115" s="110">
        <f>E115</f>
        <v>40872</v>
      </c>
      <c r="D115" s="92" t="s">
        <v>17</v>
      </c>
      <c r="E115" s="92">
        <v>40872</v>
      </c>
      <c r="F115" s="93" t="s">
        <v>114</v>
      </c>
      <c r="G115" s="264"/>
      <c r="H115" s="120" t="s">
        <v>83</v>
      </c>
      <c r="I115" s="120"/>
      <c r="J115" s="120"/>
      <c r="K115" s="120"/>
      <c r="L115" s="120"/>
      <c r="M115" s="94">
        <v>29920000</v>
      </c>
      <c r="N115" s="95" t="s">
        <v>18</v>
      </c>
      <c r="O115" s="95" t="s">
        <v>54</v>
      </c>
      <c r="P115" s="134" t="str">
        <f>IF(AND('331-CT'!$E$7=TH!H115,OR(N115="331",O115="331")),"x","")</f>
        <v>x</v>
      </c>
    </row>
    <row r="116" spans="1:16" s="109" customFormat="1">
      <c r="A116" s="72">
        <f t="shared" si="7"/>
        <v>2011</v>
      </c>
      <c r="B116" s="72">
        <f t="shared" si="8"/>
        <v>11</v>
      </c>
      <c r="C116" s="92">
        <v>40872</v>
      </c>
      <c r="D116" s="92" t="s">
        <v>17</v>
      </c>
      <c r="E116" s="92">
        <v>40872</v>
      </c>
      <c r="F116" s="93" t="s">
        <v>34</v>
      </c>
      <c r="G116" s="264"/>
      <c r="H116" s="120"/>
      <c r="I116" s="120"/>
      <c r="J116" s="120"/>
      <c r="K116" s="120"/>
      <c r="L116" s="120"/>
      <c r="M116" s="94">
        <v>20000</v>
      </c>
      <c r="N116" s="95" t="s">
        <v>241</v>
      </c>
      <c r="O116" s="95" t="s">
        <v>54</v>
      </c>
      <c r="P116" s="134" t="str">
        <f>IF(AND('331-CT'!$E$7=TH!H116,OR(N116="331",O116="331")),"x","")</f>
        <v/>
      </c>
    </row>
    <row r="117" spans="1:16" s="109" customFormat="1">
      <c r="A117" s="72">
        <f t="shared" si="7"/>
        <v>2011</v>
      </c>
      <c r="B117" s="72">
        <f t="shared" si="8"/>
        <v>11</v>
      </c>
      <c r="C117" s="92">
        <v>40872</v>
      </c>
      <c r="D117" s="92" t="s">
        <v>17</v>
      </c>
      <c r="E117" s="92">
        <v>40872</v>
      </c>
      <c r="F117" s="93" t="s">
        <v>35</v>
      </c>
      <c r="G117" s="264"/>
      <c r="H117" s="120"/>
      <c r="I117" s="120"/>
      <c r="J117" s="120"/>
      <c r="K117" s="120"/>
      <c r="L117" s="120"/>
      <c r="M117" s="94">
        <v>2000</v>
      </c>
      <c r="N117" s="95" t="s">
        <v>241</v>
      </c>
      <c r="O117" s="95" t="s">
        <v>54</v>
      </c>
      <c r="P117" s="134" t="str">
        <f>IF(AND('331-CT'!$E$7=TH!H117,OR(N117="331",O117="331")),"x","")</f>
        <v/>
      </c>
    </row>
    <row r="118" spans="1:16" s="109" customFormat="1">
      <c r="A118" s="72">
        <f t="shared" si="7"/>
        <v>2011</v>
      </c>
      <c r="B118" s="72">
        <f t="shared" si="8"/>
        <v>11</v>
      </c>
      <c r="C118" s="92">
        <f>E118</f>
        <v>40875</v>
      </c>
      <c r="D118" s="92" t="s">
        <v>78</v>
      </c>
      <c r="E118" s="92">
        <v>40875</v>
      </c>
      <c r="F118" s="93" t="s">
        <v>116</v>
      </c>
      <c r="G118" s="269" t="s">
        <v>559</v>
      </c>
      <c r="H118" s="120" t="s">
        <v>83</v>
      </c>
      <c r="I118" s="120"/>
      <c r="J118" s="120"/>
      <c r="K118" s="120"/>
      <c r="L118" s="120"/>
      <c r="M118" s="94">
        <v>29920000</v>
      </c>
      <c r="N118" s="95" t="s">
        <v>241</v>
      </c>
      <c r="O118" s="95" t="s">
        <v>18</v>
      </c>
      <c r="P118" s="134" t="str">
        <f>IF(AND('331-CT'!$E$7=TH!H118,OR(N118="331",O118="331")),"x","")</f>
        <v>x</v>
      </c>
    </row>
    <row r="119" spans="1:16" s="109" customFormat="1">
      <c r="A119" s="72">
        <f t="shared" si="7"/>
        <v>2011</v>
      </c>
      <c r="B119" s="72">
        <f t="shared" si="8"/>
        <v>12</v>
      </c>
      <c r="C119" s="92">
        <v>40893</v>
      </c>
      <c r="D119" s="92" t="s">
        <v>17</v>
      </c>
      <c r="E119" s="92">
        <v>40893</v>
      </c>
      <c r="F119" s="93" t="s">
        <v>43</v>
      </c>
      <c r="G119" s="264"/>
      <c r="H119" s="120"/>
      <c r="I119" s="120"/>
      <c r="J119" s="120"/>
      <c r="K119" s="120"/>
      <c r="L119" s="120"/>
      <c r="M119" s="94">
        <v>24000</v>
      </c>
      <c r="N119" s="95" t="s">
        <v>241</v>
      </c>
      <c r="O119" s="95" t="s">
        <v>54</v>
      </c>
      <c r="P119" s="134" t="str">
        <f>IF(AND('331-CT'!$E$7=TH!H119,OR(N119="331",O119="331")),"x","")</f>
        <v/>
      </c>
    </row>
    <row r="120" spans="1:16" s="109" customFormat="1">
      <c r="A120" s="72">
        <f t="shared" si="7"/>
        <v>2011</v>
      </c>
      <c r="B120" s="72">
        <f t="shared" si="8"/>
        <v>12</v>
      </c>
      <c r="C120" s="92">
        <v>40893</v>
      </c>
      <c r="D120" s="92" t="s">
        <v>17</v>
      </c>
      <c r="E120" s="92">
        <v>40893</v>
      </c>
      <c r="F120" s="93" t="s">
        <v>44</v>
      </c>
      <c r="G120" s="264"/>
      <c r="H120" s="120"/>
      <c r="I120" s="120"/>
      <c r="J120" s="120"/>
      <c r="K120" s="120"/>
      <c r="L120" s="120"/>
      <c r="M120" s="94">
        <v>2400</v>
      </c>
      <c r="N120" s="95" t="s">
        <v>241</v>
      </c>
      <c r="O120" s="95" t="s">
        <v>54</v>
      </c>
      <c r="P120" s="134" t="str">
        <f>IF(AND('331-CT'!$E$7=TH!H120,OR(N120="331",O120="331")),"x","")</f>
        <v/>
      </c>
    </row>
    <row r="121" spans="1:16" s="109" customFormat="1">
      <c r="A121" s="72">
        <f t="shared" si="7"/>
        <v>2011</v>
      </c>
      <c r="B121" s="72">
        <f t="shared" si="8"/>
        <v>12</v>
      </c>
      <c r="C121" s="92">
        <v>40893</v>
      </c>
      <c r="D121" s="92" t="s">
        <v>17</v>
      </c>
      <c r="E121" s="92">
        <v>40893</v>
      </c>
      <c r="F121" s="93" t="s">
        <v>43</v>
      </c>
      <c r="G121" s="264"/>
      <c r="H121" s="120"/>
      <c r="I121" s="120"/>
      <c r="J121" s="120"/>
      <c r="K121" s="120"/>
      <c r="L121" s="120"/>
      <c r="M121" s="94">
        <v>24000</v>
      </c>
      <c r="N121" s="95" t="s">
        <v>241</v>
      </c>
      <c r="O121" s="95" t="s">
        <v>54</v>
      </c>
      <c r="P121" s="134" t="str">
        <f>IF(AND('331-CT'!$E$7=TH!H121,OR(N121="331",O121="331")),"x","")</f>
        <v/>
      </c>
    </row>
    <row r="122" spans="1:16" s="109" customFormat="1">
      <c r="A122" s="72">
        <f t="shared" si="7"/>
        <v>2011</v>
      </c>
      <c r="B122" s="72">
        <f t="shared" si="8"/>
        <v>12</v>
      </c>
      <c r="C122" s="92">
        <v>40893</v>
      </c>
      <c r="D122" s="92" t="s">
        <v>17</v>
      </c>
      <c r="E122" s="92">
        <v>40893</v>
      </c>
      <c r="F122" s="93" t="s">
        <v>44</v>
      </c>
      <c r="G122" s="264"/>
      <c r="H122" s="120"/>
      <c r="I122" s="120"/>
      <c r="J122" s="120"/>
      <c r="K122" s="120"/>
      <c r="L122" s="120"/>
      <c r="M122" s="94">
        <v>2400</v>
      </c>
      <c r="N122" s="95" t="s">
        <v>241</v>
      </c>
      <c r="O122" s="95" t="s">
        <v>54</v>
      </c>
      <c r="P122" s="134" t="str">
        <f>IF(AND('331-CT'!$E$7=TH!H122,OR(N122="331",O122="331")),"x","")</f>
        <v/>
      </c>
    </row>
    <row r="123" spans="1:16" s="109" customFormat="1">
      <c r="A123" s="72">
        <f t="shared" si="7"/>
        <v>2011</v>
      </c>
      <c r="B123" s="72">
        <f t="shared" si="8"/>
        <v>12</v>
      </c>
      <c r="C123" s="92">
        <v>40893</v>
      </c>
      <c r="D123" s="92" t="s">
        <v>17</v>
      </c>
      <c r="E123" s="92">
        <v>40893</v>
      </c>
      <c r="F123" s="93" t="s">
        <v>23</v>
      </c>
      <c r="G123" s="264"/>
      <c r="H123" s="120"/>
      <c r="I123" s="120"/>
      <c r="J123" s="120"/>
      <c r="K123" s="120"/>
      <c r="L123" s="120"/>
      <c r="M123" s="94">
        <v>4727</v>
      </c>
      <c r="N123" s="95" t="s">
        <v>241</v>
      </c>
      <c r="O123" s="95" t="s">
        <v>54</v>
      </c>
      <c r="P123" s="134" t="str">
        <f>IF(AND('331-CT'!$E$7=TH!H123,OR(N123="331",O123="331")),"x","")</f>
        <v/>
      </c>
    </row>
    <row r="124" spans="1:16" s="109" customFormat="1">
      <c r="A124" s="72">
        <f t="shared" si="7"/>
        <v>2011</v>
      </c>
      <c r="B124" s="72">
        <f t="shared" si="8"/>
        <v>12</v>
      </c>
      <c r="C124" s="92">
        <v>40893</v>
      </c>
      <c r="D124" s="92" t="s">
        <v>17</v>
      </c>
      <c r="E124" s="92">
        <v>40893</v>
      </c>
      <c r="F124" s="93" t="s">
        <v>24</v>
      </c>
      <c r="G124" s="264"/>
      <c r="H124" s="120"/>
      <c r="I124" s="120"/>
      <c r="J124" s="120"/>
      <c r="K124" s="120"/>
      <c r="L124" s="120"/>
      <c r="M124" s="94">
        <v>473</v>
      </c>
      <c r="N124" s="95" t="s">
        <v>241</v>
      </c>
      <c r="O124" s="95" t="s">
        <v>54</v>
      </c>
      <c r="P124" s="134" t="str">
        <f>IF(AND('331-CT'!$E$7=TH!H124,OR(N124="331",O124="331")),"x","")</f>
        <v/>
      </c>
    </row>
    <row r="125" spans="1:16" s="109" customFormat="1">
      <c r="A125" s="72">
        <f t="shared" si="7"/>
        <v>2011</v>
      </c>
      <c r="B125" s="72">
        <f t="shared" si="8"/>
        <v>12</v>
      </c>
      <c r="C125" s="92">
        <v>40896</v>
      </c>
      <c r="D125" s="92" t="s">
        <v>158</v>
      </c>
      <c r="E125" s="92">
        <f>C125</f>
        <v>40896</v>
      </c>
      <c r="F125" s="93" t="s">
        <v>63</v>
      </c>
      <c r="G125" s="269" t="s">
        <v>518</v>
      </c>
      <c r="H125" s="122" t="s">
        <v>519</v>
      </c>
      <c r="I125" s="122"/>
      <c r="J125" s="122"/>
      <c r="K125" s="122"/>
      <c r="L125" s="122"/>
      <c r="M125" s="94">
        <v>150000</v>
      </c>
      <c r="N125" s="95" t="s">
        <v>241</v>
      </c>
      <c r="O125" s="95" t="s">
        <v>203</v>
      </c>
      <c r="P125" s="134" t="str">
        <f>IF(AND('331-CT'!$E$7=TH!H125,OR(N125="331",O125="331")),"x","")</f>
        <v/>
      </c>
    </row>
    <row r="126" spans="1:16" s="109" customFormat="1">
      <c r="A126" s="72">
        <f t="shared" si="7"/>
        <v>2012</v>
      </c>
      <c r="B126" s="72">
        <f t="shared" si="8"/>
        <v>1</v>
      </c>
      <c r="C126" s="73">
        <v>40913</v>
      </c>
      <c r="D126" s="73" t="s">
        <v>73</v>
      </c>
      <c r="E126" s="73">
        <f>C126</f>
        <v>40913</v>
      </c>
      <c r="F126" s="93" t="s">
        <v>576</v>
      </c>
      <c r="G126" s="265"/>
      <c r="H126" s="120" t="s">
        <v>266</v>
      </c>
      <c r="I126" s="120"/>
      <c r="J126" s="120"/>
      <c r="K126" s="120"/>
      <c r="L126" s="120"/>
      <c r="M126" s="74">
        <v>20000000</v>
      </c>
      <c r="N126" s="75" t="s">
        <v>39</v>
      </c>
      <c r="O126" s="75" t="s">
        <v>203</v>
      </c>
      <c r="P126" s="134" t="str">
        <f>IF(AND('331-CT'!$E$7=TH!H126,OR(N126="331",O126="331")),"x","")</f>
        <v/>
      </c>
    </row>
    <row r="127" spans="1:16" s="109" customFormat="1">
      <c r="A127" s="72">
        <f t="shared" si="7"/>
        <v>2012</v>
      </c>
      <c r="B127" s="72">
        <f t="shared" si="8"/>
        <v>1</v>
      </c>
      <c r="C127" s="73">
        <v>40913</v>
      </c>
      <c r="D127" s="73" t="s">
        <v>92</v>
      </c>
      <c r="E127" s="73">
        <f>C127</f>
        <v>40913</v>
      </c>
      <c r="F127" s="93" t="s">
        <v>576</v>
      </c>
      <c r="G127" s="265"/>
      <c r="H127" s="120" t="s">
        <v>266</v>
      </c>
      <c r="I127" s="120"/>
      <c r="J127" s="120"/>
      <c r="K127" s="120"/>
      <c r="L127" s="120"/>
      <c r="M127" s="74">
        <v>500000</v>
      </c>
      <c r="N127" s="75" t="s">
        <v>39</v>
      </c>
      <c r="O127" s="75" t="s">
        <v>203</v>
      </c>
      <c r="P127" s="134" t="str">
        <f>IF(AND('331-CT'!$E$7=TH!H127,OR(N127="331",O127="331")),"x","")</f>
        <v/>
      </c>
    </row>
    <row r="128" spans="1:16" s="109" customFormat="1">
      <c r="A128" s="72">
        <f t="shared" si="7"/>
        <v>2012</v>
      </c>
      <c r="B128" s="72">
        <f t="shared" si="8"/>
        <v>1</v>
      </c>
      <c r="C128" s="107">
        <v>40913</v>
      </c>
      <c r="D128" s="73" t="s">
        <v>21</v>
      </c>
      <c r="E128" s="73">
        <v>40913</v>
      </c>
      <c r="F128" s="76" t="s">
        <v>45</v>
      </c>
      <c r="G128" s="265"/>
      <c r="H128" s="120" t="s">
        <v>266</v>
      </c>
      <c r="I128" s="120"/>
      <c r="J128" s="120"/>
      <c r="K128" s="120"/>
      <c r="L128" s="120"/>
      <c r="M128" s="74">
        <v>20000000</v>
      </c>
      <c r="N128" s="75" t="s">
        <v>54</v>
      </c>
      <c r="O128" s="75" t="s">
        <v>39</v>
      </c>
      <c r="P128" s="134" t="str">
        <f>IF(AND('331-CT'!$E$7=TH!H128,OR(N128="331",O128="331")),"x","")</f>
        <v/>
      </c>
    </row>
    <row r="129" spans="1:16" s="109" customFormat="1">
      <c r="A129" s="72">
        <f t="shared" si="7"/>
        <v>2012</v>
      </c>
      <c r="B129" s="72">
        <f t="shared" si="8"/>
        <v>1</v>
      </c>
      <c r="C129" s="107">
        <v>40913</v>
      </c>
      <c r="D129" s="73" t="s">
        <v>21</v>
      </c>
      <c r="E129" s="73">
        <v>40913</v>
      </c>
      <c r="F129" s="76" t="s">
        <v>45</v>
      </c>
      <c r="G129" s="265"/>
      <c r="H129" s="120" t="s">
        <v>266</v>
      </c>
      <c r="I129" s="120"/>
      <c r="J129" s="120"/>
      <c r="K129" s="120"/>
      <c r="L129" s="120"/>
      <c r="M129" s="74">
        <v>500000</v>
      </c>
      <c r="N129" s="75" t="s">
        <v>54</v>
      </c>
      <c r="O129" s="75" t="s">
        <v>39</v>
      </c>
      <c r="P129" s="134" t="str">
        <f>IF(AND('331-CT'!$E$7=TH!H129,OR(N129="331",O129="331")),"x","")</f>
        <v/>
      </c>
    </row>
    <row r="130" spans="1:16" s="109" customFormat="1">
      <c r="A130" s="72">
        <f t="shared" si="7"/>
        <v>2012</v>
      </c>
      <c r="B130" s="72">
        <f t="shared" si="8"/>
        <v>1</v>
      </c>
      <c r="C130" s="73">
        <v>40913</v>
      </c>
      <c r="D130" s="73" t="s">
        <v>17</v>
      </c>
      <c r="E130" s="73">
        <v>40913</v>
      </c>
      <c r="F130" s="76" t="s">
        <v>1</v>
      </c>
      <c r="G130" s="265"/>
      <c r="H130" s="122"/>
      <c r="I130" s="122"/>
      <c r="J130" s="122"/>
      <c r="K130" s="122"/>
      <c r="L130" s="122"/>
      <c r="M130" s="74">
        <v>20000000</v>
      </c>
      <c r="N130" s="75" t="s">
        <v>241</v>
      </c>
      <c r="O130" s="75" t="s">
        <v>54</v>
      </c>
      <c r="P130" s="134" t="str">
        <f>IF(AND('331-CT'!$E$7=TH!H130,OR(N130="331",O130="331")),"x","")</f>
        <v/>
      </c>
    </row>
    <row r="131" spans="1:16" s="109" customFormat="1">
      <c r="A131" s="72">
        <f t="shared" si="7"/>
        <v>2012</v>
      </c>
      <c r="B131" s="72">
        <f t="shared" si="8"/>
        <v>1</v>
      </c>
      <c r="C131" s="73">
        <v>40913</v>
      </c>
      <c r="D131" s="73" t="s">
        <v>17</v>
      </c>
      <c r="E131" s="73">
        <v>40913</v>
      </c>
      <c r="F131" s="76" t="s">
        <v>34</v>
      </c>
      <c r="G131" s="265"/>
      <c r="H131" s="122"/>
      <c r="I131" s="122"/>
      <c r="J131" s="122"/>
      <c r="K131" s="122"/>
      <c r="L131" s="122"/>
      <c r="M131" s="74">
        <v>20000</v>
      </c>
      <c r="N131" s="75" t="s">
        <v>241</v>
      </c>
      <c r="O131" s="75" t="s">
        <v>54</v>
      </c>
      <c r="P131" s="134" t="str">
        <f>IF(AND('331-CT'!$E$7=TH!H131,OR(N131="331",O131="331")),"x","")</f>
        <v/>
      </c>
    </row>
    <row r="132" spans="1:16" s="109" customFormat="1">
      <c r="A132" s="72">
        <f t="shared" si="7"/>
        <v>2012</v>
      </c>
      <c r="B132" s="72">
        <f t="shared" si="8"/>
        <v>1</v>
      </c>
      <c r="C132" s="107">
        <v>40913</v>
      </c>
      <c r="D132" s="73" t="s">
        <v>17</v>
      </c>
      <c r="E132" s="73">
        <v>40913</v>
      </c>
      <c r="F132" s="76" t="s">
        <v>35</v>
      </c>
      <c r="G132" s="265"/>
      <c r="H132" s="122"/>
      <c r="I132" s="122"/>
      <c r="J132" s="122"/>
      <c r="K132" s="122"/>
      <c r="L132" s="122"/>
      <c r="M132" s="74">
        <v>2000</v>
      </c>
      <c r="N132" s="95" t="s">
        <v>241</v>
      </c>
      <c r="O132" s="75" t="s">
        <v>54</v>
      </c>
      <c r="P132" s="134" t="str">
        <f>IF(AND('331-CT'!$E$7=TH!H132,OR(N132="331",O132="331")),"x","")</f>
        <v/>
      </c>
    </row>
    <row r="133" spans="1:16" s="109" customFormat="1">
      <c r="A133" s="72">
        <f t="shared" si="7"/>
        <v>2012</v>
      </c>
      <c r="B133" s="72">
        <f t="shared" si="8"/>
        <v>1</v>
      </c>
      <c r="C133" s="73">
        <v>40925</v>
      </c>
      <c r="D133" s="73" t="s">
        <v>93</v>
      </c>
      <c r="E133" s="73">
        <f>C133</f>
        <v>40925</v>
      </c>
      <c r="F133" s="93" t="s">
        <v>575</v>
      </c>
      <c r="G133" s="265"/>
      <c r="H133" s="117" t="s">
        <v>430</v>
      </c>
      <c r="I133" s="117"/>
      <c r="J133" s="117"/>
      <c r="K133" s="117"/>
      <c r="L133" s="117"/>
      <c r="M133" s="74">
        <v>1500000</v>
      </c>
      <c r="N133" s="75" t="s">
        <v>54</v>
      </c>
      <c r="O133" s="75" t="s">
        <v>203</v>
      </c>
      <c r="P133" s="134" t="str">
        <f>IF(AND('331-CT'!$E$7=TH!H133,OR(N133="331",O133="331")),"x","")</f>
        <v/>
      </c>
    </row>
    <row r="134" spans="1:16" s="109" customFormat="1">
      <c r="A134" s="72">
        <f t="shared" si="7"/>
        <v>2012</v>
      </c>
      <c r="B134" s="72">
        <f t="shared" si="8"/>
        <v>1</v>
      </c>
      <c r="C134" s="73">
        <v>40925</v>
      </c>
      <c r="D134" s="73" t="s">
        <v>78</v>
      </c>
      <c r="E134" s="73">
        <v>40925</v>
      </c>
      <c r="F134" s="76" t="s">
        <v>2</v>
      </c>
      <c r="G134" s="265"/>
      <c r="H134" s="122"/>
      <c r="I134" s="122"/>
      <c r="J134" s="122"/>
      <c r="K134" s="122"/>
      <c r="L134" s="122"/>
      <c r="M134" s="74">
        <v>1500000</v>
      </c>
      <c r="N134" s="75" t="s">
        <v>241</v>
      </c>
      <c r="O134" s="75" t="s">
        <v>219</v>
      </c>
      <c r="P134" s="134" t="str">
        <f>IF(AND('331-CT'!$E$7=TH!H134,OR(N134="331",O134="331")),"x","")</f>
        <v/>
      </c>
    </row>
    <row r="135" spans="1:16" s="109" customFormat="1">
      <c r="A135" s="72">
        <f t="shared" si="7"/>
        <v>2012</v>
      </c>
      <c r="B135" s="72">
        <f t="shared" si="8"/>
        <v>1</v>
      </c>
      <c r="C135" s="107">
        <v>40925</v>
      </c>
      <c r="D135" s="73" t="s">
        <v>17</v>
      </c>
      <c r="E135" s="73">
        <v>40925</v>
      </c>
      <c r="F135" s="76" t="s">
        <v>2</v>
      </c>
      <c r="G135" s="265"/>
      <c r="H135" s="122"/>
      <c r="I135" s="122"/>
      <c r="J135" s="122"/>
      <c r="K135" s="122"/>
      <c r="L135" s="122"/>
      <c r="M135" s="74">
        <v>1500000</v>
      </c>
      <c r="N135" s="75" t="s">
        <v>219</v>
      </c>
      <c r="O135" s="75" t="s">
        <v>54</v>
      </c>
      <c r="P135" s="134" t="str">
        <f>IF(AND('331-CT'!$E$7=TH!H135,OR(N135="331",O135="331")),"x","")</f>
        <v/>
      </c>
    </row>
    <row r="136" spans="1:16" s="109" customFormat="1">
      <c r="A136" s="72">
        <f t="shared" si="7"/>
        <v>2012</v>
      </c>
      <c r="B136" s="72">
        <f t="shared" si="8"/>
        <v>1</v>
      </c>
      <c r="C136" s="107">
        <v>40925</v>
      </c>
      <c r="D136" s="73" t="s">
        <v>17</v>
      </c>
      <c r="E136" s="73">
        <v>40925</v>
      </c>
      <c r="F136" s="76" t="s">
        <v>34</v>
      </c>
      <c r="G136" s="265"/>
      <c r="H136" s="122"/>
      <c r="I136" s="122"/>
      <c r="J136" s="122"/>
      <c r="K136" s="122"/>
      <c r="L136" s="122"/>
      <c r="M136" s="74">
        <v>20000</v>
      </c>
      <c r="N136" s="75" t="s">
        <v>241</v>
      </c>
      <c r="O136" s="75" t="s">
        <v>54</v>
      </c>
      <c r="P136" s="134" t="str">
        <f>IF(AND('331-CT'!$E$7=TH!H136,OR(N136="331",O136="331")),"x","")</f>
        <v/>
      </c>
    </row>
    <row r="137" spans="1:16" s="109" customFormat="1">
      <c r="A137" s="72">
        <f t="shared" si="7"/>
        <v>2012</v>
      </c>
      <c r="B137" s="72">
        <f t="shared" si="8"/>
        <v>1</v>
      </c>
      <c r="C137" s="107">
        <v>40925</v>
      </c>
      <c r="D137" s="73" t="s">
        <v>17</v>
      </c>
      <c r="E137" s="73">
        <v>40925</v>
      </c>
      <c r="F137" s="76" t="s">
        <v>35</v>
      </c>
      <c r="G137" s="265"/>
      <c r="H137" s="122"/>
      <c r="I137" s="122"/>
      <c r="J137" s="122"/>
      <c r="K137" s="122"/>
      <c r="L137" s="122"/>
      <c r="M137" s="74">
        <v>2000</v>
      </c>
      <c r="N137" s="95" t="s">
        <v>241</v>
      </c>
      <c r="O137" s="75" t="s">
        <v>54</v>
      </c>
      <c r="P137" s="134" t="str">
        <f>IF(AND('331-CT'!$E$7=TH!H137,OR(N137="331",O137="331")),"x","")</f>
        <v/>
      </c>
    </row>
    <row r="138" spans="1:16" s="109" customFormat="1">
      <c r="A138" s="72">
        <f t="shared" si="7"/>
        <v>2012</v>
      </c>
      <c r="B138" s="72">
        <f t="shared" si="8"/>
        <v>3</v>
      </c>
      <c r="C138" s="107">
        <v>40984</v>
      </c>
      <c r="D138" s="73" t="s">
        <v>17</v>
      </c>
      <c r="E138" s="73">
        <v>40984</v>
      </c>
      <c r="F138" s="76" t="s">
        <v>49</v>
      </c>
      <c r="G138" s="265"/>
      <c r="H138" s="122"/>
      <c r="I138" s="122"/>
      <c r="J138" s="122"/>
      <c r="K138" s="122"/>
      <c r="L138" s="122"/>
      <c r="M138" s="74">
        <v>24000</v>
      </c>
      <c r="N138" s="75" t="s">
        <v>241</v>
      </c>
      <c r="O138" s="75" t="s">
        <v>54</v>
      </c>
      <c r="P138" s="134" t="str">
        <f>IF(AND('331-CT'!$E$7=TH!H138,OR(N138="331",O138="331")),"x","")</f>
        <v/>
      </c>
    </row>
    <row r="139" spans="1:16" s="109" customFormat="1">
      <c r="A139" s="72">
        <f t="shared" si="7"/>
        <v>2012</v>
      </c>
      <c r="B139" s="72">
        <f t="shared" si="8"/>
        <v>3</v>
      </c>
      <c r="C139" s="107">
        <v>40984</v>
      </c>
      <c r="D139" s="73" t="s">
        <v>17</v>
      </c>
      <c r="E139" s="73">
        <v>40984</v>
      </c>
      <c r="F139" s="76" t="s">
        <v>44</v>
      </c>
      <c r="G139" s="265"/>
      <c r="H139" s="122"/>
      <c r="I139" s="122"/>
      <c r="J139" s="122"/>
      <c r="K139" s="122"/>
      <c r="L139" s="122"/>
      <c r="M139" s="74">
        <v>2400</v>
      </c>
      <c r="N139" s="95" t="s">
        <v>241</v>
      </c>
      <c r="O139" s="75" t="s">
        <v>54</v>
      </c>
      <c r="P139" s="134" t="str">
        <f>IF(AND('331-CT'!$E$7=TH!H139,OR(N139="331",O139="331")),"x","")</f>
        <v/>
      </c>
    </row>
    <row r="140" spans="1:16" s="109" customFormat="1">
      <c r="A140" s="72">
        <f t="shared" ref="A140:A203" si="9">IF(C140&lt;&gt;"",YEAR(C140),"")</f>
        <v>2012</v>
      </c>
      <c r="B140" s="72">
        <f t="shared" ref="B140:B203" si="10">IF(C140&lt;&gt;"",MONTH(C140),"")</f>
        <v>3</v>
      </c>
      <c r="C140" s="107">
        <v>40984</v>
      </c>
      <c r="D140" s="73" t="s">
        <v>17</v>
      </c>
      <c r="E140" s="73">
        <v>40984</v>
      </c>
      <c r="F140" s="76" t="s">
        <v>48</v>
      </c>
      <c r="G140" s="265"/>
      <c r="H140" s="122"/>
      <c r="I140" s="122"/>
      <c r="J140" s="122"/>
      <c r="K140" s="122"/>
      <c r="L140" s="122"/>
      <c r="M140" s="74">
        <v>24000</v>
      </c>
      <c r="N140" s="75" t="s">
        <v>241</v>
      </c>
      <c r="O140" s="75" t="s">
        <v>54</v>
      </c>
      <c r="P140" s="134" t="str">
        <f>IF(AND('331-CT'!$E$7=TH!H140,OR(N140="331",O140="331")),"x","")</f>
        <v/>
      </c>
    </row>
    <row r="141" spans="1:16" s="109" customFormat="1">
      <c r="A141" s="72">
        <f t="shared" si="9"/>
        <v>2012</v>
      </c>
      <c r="B141" s="72">
        <f t="shared" si="10"/>
        <v>3</v>
      </c>
      <c r="C141" s="107">
        <v>40984</v>
      </c>
      <c r="D141" s="73" t="s">
        <v>17</v>
      </c>
      <c r="E141" s="73">
        <v>40984</v>
      </c>
      <c r="F141" s="76" t="s">
        <v>44</v>
      </c>
      <c r="G141" s="265"/>
      <c r="H141" s="122"/>
      <c r="I141" s="122"/>
      <c r="J141" s="122"/>
      <c r="K141" s="122"/>
      <c r="L141" s="122"/>
      <c r="M141" s="74">
        <v>2400</v>
      </c>
      <c r="N141" s="95" t="s">
        <v>241</v>
      </c>
      <c r="O141" s="75" t="s">
        <v>54</v>
      </c>
      <c r="P141" s="134" t="str">
        <f>IF(AND('331-CT'!$E$7=TH!H141,OR(N141="331",O141="331")),"x","")</f>
        <v/>
      </c>
    </row>
    <row r="142" spans="1:16" s="109" customFormat="1">
      <c r="A142" s="72">
        <f t="shared" si="9"/>
        <v>2012</v>
      </c>
      <c r="B142" s="72">
        <f t="shared" si="10"/>
        <v>3</v>
      </c>
      <c r="C142" s="107">
        <v>40984</v>
      </c>
      <c r="D142" s="73" t="s">
        <v>17</v>
      </c>
      <c r="E142" s="73">
        <v>40984</v>
      </c>
      <c r="F142" s="76" t="s">
        <v>47</v>
      </c>
      <c r="G142" s="265"/>
      <c r="H142" s="122"/>
      <c r="I142" s="122"/>
      <c r="J142" s="122"/>
      <c r="K142" s="122"/>
      <c r="L142" s="122"/>
      <c r="M142" s="74">
        <v>24000</v>
      </c>
      <c r="N142" s="75" t="s">
        <v>241</v>
      </c>
      <c r="O142" s="75" t="s">
        <v>54</v>
      </c>
      <c r="P142" s="134" t="str">
        <f>IF(AND('331-CT'!$E$7=TH!H142,OR(N142="331",O142="331")),"x","")</f>
        <v/>
      </c>
    </row>
    <row r="143" spans="1:16" s="109" customFormat="1">
      <c r="A143" s="72">
        <f t="shared" si="9"/>
        <v>2012</v>
      </c>
      <c r="B143" s="72">
        <f t="shared" si="10"/>
        <v>3</v>
      </c>
      <c r="C143" s="107">
        <v>40984</v>
      </c>
      <c r="D143" s="73" t="s">
        <v>17</v>
      </c>
      <c r="E143" s="73">
        <v>40984</v>
      </c>
      <c r="F143" s="76" t="s">
        <v>44</v>
      </c>
      <c r="G143" s="265"/>
      <c r="H143" s="122"/>
      <c r="I143" s="122"/>
      <c r="J143" s="122"/>
      <c r="K143" s="122"/>
      <c r="L143" s="122"/>
      <c r="M143" s="74">
        <v>2400</v>
      </c>
      <c r="N143" s="95" t="s">
        <v>241</v>
      </c>
      <c r="O143" s="75" t="s">
        <v>54</v>
      </c>
      <c r="P143" s="134" t="str">
        <f>IF(AND('331-CT'!$E$7=TH!H143,OR(N143="331",O143="331")),"x","")</f>
        <v/>
      </c>
    </row>
    <row r="144" spans="1:16" s="109" customFormat="1">
      <c r="A144" s="72">
        <f t="shared" si="9"/>
        <v>2012</v>
      </c>
      <c r="B144" s="72">
        <f t="shared" si="10"/>
        <v>3</v>
      </c>
      <c r="C144" s="73">
        <v>40995</v>
      </c>
      <c r="D144" s="73" t="s">
        <v>72</v>
      </c>
      <c r="E144" s="73">
        <f>C144</f>
        <v>40995</v>
      </c>
      <c r="F144" s="76" t="s">
        <v>62</v>
      </c>
      <c r="G144" s="270" t="s">
        <v>521</v>
      </c>
      <c r="H144" s="122" t="s">
        <v>519</v>
      </c>
      <c r="I144" s="122"/>
      <c r="J144" s="122"/>
      <c r="K144" s="122"/>
      <c r="L144" s="122"/>
      <c r="M144" s="74">
        <v>896500</v>
      </c>
      <c r="N144" s="75" t="s">
        <v>241</v>
      </c>
      <c r="O144" s="75" t="s">
        <v>203</v>
      </c>
      <c r="P144" s="134" t="str">
        <f>IF(AND('331-CT'!$E$7=TH!H144,OR(N144="331",O144="331")),"x","")</f>
        <v/>
      </c>
    </row>
    <row r="145" spans="1:16" s="109" customFormat="1">
      <c r="A145" s="72">
        <f t="shared" si="9"/>
        <v>2012</v>
      </c>
      <c r="B145" s="72">
        <f t="shared" si="10"/>
        <v>6</v>
      </c>
      <c r="C145" s="73">
        <v>41076</v>
      </c>
      <c r="D145" s="73" t="s">
        <v>17</v>
      </c>
      <c r="E145" s="73">
        <v>41076</v>
      </c>
      <c r="F145" s="76" t="s">
        <v>49</v>
      </c>
      <c r="G145" s="265"/>
      <c r="H145" s="122"/>
      <c r="I145" s="122"/>
      <c r="J145" s="122"/>
      <c r="K145" s="122"/>
      <c r="L145" s="122"/>
      <c r="M145" s="74">
        <v>24000</v>
      </c>
      <c r="N145" s="75" t="s">
        <v>241</v>
      </c>
      <c r="O145" s="75" t="s">
        <v>54</v>
      </c>
      <c r="P145" s="134" t="str">
        <f>IF(AND('331-CT'!$E$7=TH!H145,OR(N145="331",O145="331")),"x","")</f>
        <v/>
      </c>
    </row>
    <row r="146" spans="1:16" s="109" customFormat="1">
      <c r="A146" s="72">
        <f t="shared" si="9"/>
        <v>2012</v>
      </c>
      <c r="B146" s="72">
        <f t="shared" si="10"/>
        <v>6</v>
      </c>
      <c r="C146" s="107">
        <v>41076</v>
      </c>
      <c r="D146" s="73" t="s">
        <v>17</v>
      </c>
      <c r="E146" s="73">
        <v>41076</v>
      </c>
      <c r="F146" s="76" t="s">
        <v>44</v>
      </c>
      <c r="G146" s="265"/>
      <c r="H146" s="122"/>
      <c r="I146" s="122"/>
      <c r="J146" s="122"/>
      <c r="K146" s="122"/>
      <c r="L146" s="122"/>
      <c r="M146" s="74">
        <v>2400</v>
      </c>
      <c r="N146" s="95" t="s">
        <v>241</v>
      </c>
      <c r="O146" s="75" t="s">
        <v>54</v>
      </c>
      <c r="P146" s="134" t="str">
        <f>IF(AND('331-CT'!$E$7=TH!H146,OR(N146="331",O146="331")),"x","")</f>
        <v/>
      </c>
    </row>
    <row r="147" spans="1:16" s="109" customFormat="1">
      <c r="A147" s="72">
        <f t="shared" si="9"/>
        <v>2012</v>
      </c>
      <c r="B147" s="72">
        <f t="shared" si="10"/>
        <v>6</v>
      </c>
      <c r="C147" s="73">
        <v>41076</v>
      </c>
      <c r="D147" s="73" t="s">
        <v>17</v>
      </c>
      <c r="E147" s="73">
        <v>41076</v>
      </c>
      <c r="F147" s="76" t="s">
        <v>48</v>
      </c>
      <c r="G147" s="265"/>
      <c r="H147" s="122"/>
      <c r="I147" s="122"/>
      <c r="J147" s="122"/>
      <c r="K147" s="122"/>
      <c r="L147" s="122"/>
      <c r="M147" s="74">
        <v>24000</v>
      </c>
      <c r="N147" s="75" t="s">
        <v>241</v>
      </c>
      <c r="O147" s="75" t="s">
        <v>54</v>
      </c>
      <c r="P147" s="134" t="str">
        <f>IF(AND('331-CT'!$E$7=TH!H147,OR(N147="331",O147="331")),"x","")</f>
        <v/>
      </c>
    </row>
    <row r="148" spans="1:16" s="109" customFormat="1">
      <c r="A148" s="72">
        <f t="shared" si="9"/>
        <v>2012</v>
      </c>
      <c r="B148" s="72">
        <f t="shared" si="10"/>
        <v>6</v>
      </c>
      <c r="C148" s="73">
        <v>41076</v>
      </c>
      <c r="D148" s="73" t="s">
        <v>17</v>
      </c>
      <c r="E148" s="73">
        <v>41076</v>
      </c>
      <c r="F148" s="76" t="s">
        <v>44</v>
      </c>
      <c r="G148" s="265"/>
      <c r="H148" s="122"/>
      <c r="I148" s="122"/>
      <c r="J148" s="122"/>
      <c r="K148" s="122"/>
      <c r="L148" s="122"/>
      <c r="M148" s="74">
        <v>2400</v>
      </c>
      <c r="N148" s="95" t="s">
        <v>241</v>
      </c>
      <c r="O148" s="75" t="s">
        <v>54</v>
      </c>
      <c r="P148" s="134" t="str">
        <f>IF(AND('331-CT'!$E$7=TH!H148,OR(N148="331",O148="331")),"x","")</f>
        <v/>
      </c>
    </row>
    <row r="149" spans="1:16" s="109" customFormat="1">
      <c r="A149" s="72">
        <f t="shared" si="9"/>
        <v>2012</v>
      </c>
      <c r="B149" s="72">
        <f t="shared" si="10"/>
        <v>6</v>
      </c>
      <c r="C149" s="107">
        <v>41076</v>
      </c>
      <c r="D149" s="73" t="s">
        <v>17</v>
      </c>
      <c r="E149" s="73">
        <v>41076</v>
      </c>
      <c r="F149" s="76" t="s">
        <v>47</v>
      </c>
      <c r="G149" s="265"/>
      <c r="H149" s="122"/>
      <c r="I149" s="122"/>
      <c r="J149" s="122"/>
      <c r="K149" s="122"/>
      <c r="L149" s="122"/>
      <c r="M149" s="74">
        <v>24000</v>
      </c>
      <c r="N149" s="75" t="s">
        <v>241</v>
      </c>
      <c r="O149" s="75" t="s">
        <v>54</v>
      </c>
      <c r="P149" s="134" t="str">
        <f>IF(AND('331-CT'!$E$7=TH!H149,OR(N149="331",O149="331")),"x","")</f>
        <v/>
      </c>
    </row>
    <row r="150" spans="1:16" s="109" customFormat="1">
      <c r="A150" s="72">
        <f t="shared" si="9"/>
        <v>2012</v>
      </c>
      <c r="B150" s="72">
        <f t="shared" si="10"/>
        <v>6</v>
      </c>
      <c r="C150" s="73">
        <v>41076</v>
      </c>
      <c r="D150" s="73" t="s">
        <v>17</v>
      </c>
      <c r="E150" s="73">
        <v>41076</v>
      </c>
      <c r="F150" s="76" t="s">
        <v>44</v>
      </c>
      <c r="G150" s="265"/>
      <c r="H150" s="122"/>
      <c r="I150" s="122"/>
      <c r="J150" s="122"/>
      <c r="K150" s="122"/>
      <c r="L150" s="122"/>
      <c r="M150" s="74">
        <v>2400</v>
      </c>
      <c r="N150" s="95" t="s">
        <v>241</v>
      </c>
      <c r="O150" s="75" t="s">
        <v>54</v>
      </c>
      <c r="P150" s="134" t="str">
        <f>IF(AND('331-CT'!$E$7=TH!H150,OR(N150="331",O150="331")),"x","")</f>
        <v/>
      </c>
    </row>
    <row r="151" spans="1:16" s="109" customFormat="1">
      <c r="A151" s="72">
        <f t="shared" si="9"/>
        <v>2012</v>
      </c>
      <c r="B151" s="72">
        <f t="shared" si="10"/>
        <v>7</v>
      </c>
      <c r="C151" s="73">
        <v>41115</v>
      </c>
      <c r="D151" s="73" t="s">
        <v>71</v>
      </c>
      <c r="E151" s="73">
        <f>C151</f>
        <v>41115</v>
      </c>
      <c r="F151" s="93" t="s">
        <v>575</v>
      </c>
      <c r="G151" s="265"/>
      <c r="H151" s="117" t="s">
        <v>430</v>
      </c>
      <c r="I151" s="117"/>
      <c r="J151" s="117"/>
      <c r="K151" s="117"/>
      <c r="L151" s="117"/>
      <c r="M151" s="74">
        <v>51000000</v>
      </c>
      <c r="N151" s="75" t="s">
        <v>54</v>
      </c>
      <c r="O151" s="75" t="s">
        <v>203</v>
      </c>
      <c r="P151" s="134" t="str">
        <f>IF(AND('331-CT'!$E$7=TH!H151,OR(N151="331",O151="331")),"x","")</f>
        <v/>
      </c>
    </row>
    <row r="152" spans="1:16" s="109" customFormat="1">
      <c r="A152" s="72">
        <f t="shared" si="9"/>
        <v>2012</v>
      </c>
      <c r="B152" s="72">
        <f t="shared" si="10"/>
        <v>7</v>
      </c>
      <c r="C152" s="107">
        <f>E152</f>
        <v>41115</v>
      </c>
      <c r="D152" s="73" t="s">
        <v>17</v>
      </c>
      <c r="E152" s="73">
        <v>41115</v>
      </c>
      <c r="F152" s="76" t="s">
        <v>112</v>
      </c>
      <c r="G152" s="265"/>
      <c r="H152" s="122" t="s">
        <v>85</v>
      </c>
      <c r="I152" s="122"/>
      <c r="J152" s="122"/>
      <c r="K152" s="122"/>
      <c r="L152" s="122"/>
      <c r="M152" s="74">
        <v>50000000</v>
      </c>
      <c r="N152" s="75" t="s">
        <v>18</v>
      </c>
      <c r="O152" s="75" t="s">
        <v>54</v>
      </c>
      <c r="P152" s="134" t="str">
        <f>IF(AND('331-CT'!$E$7=TH!H152,OR(N152="331",O152="331")),"x","")</f>
        <v/>
      </c>
    </row>
    <row r="153" spans="1:16" s="109" customFormat="1">
      <c r="A153" s="72">
        <f t="shared" si="9"/>
        <v>2012</v>
      </c>
      <c r="B153" s="72">
        <f t="shared" si="10"/>
        <v>7</v>
      </c>
      <c r="C153" s="73">
        <v>41115</v>
      </c>
      <c r="D153" s="73" t="s">
        <v>17</v>
      </c>
      <c r="E153" s="73">
        <v>41115</v>
      </c>
      <c r="F153" s="76" t="s">
        <v>34</v>
      </c>
      <c r="G153" s="265"/>
      <c r="H153" s="122"/>
      <c r="I153" s="122"/>
      <c r="J153" s="122"/>
      <c r="K153" s="122"/>
      <c r="L153" s="122"/>
      <c r="M153" s="74">
        <v>25000</v>
      </c>
      <c r="N153" s="75" t="s">
        <v>241</v>
      </c>
      <c r="O153" s="75" t="s">
        <v>54</v>
      </c>
      <c r="P153" s="134" t="str">
        <f>IF(AND('331-CT'!$E$7=TH!H153,OR(N153="331",O153="331")),"x","")</f>
        <v/>
      </c>
    </row>
    <row r="154" spans="1:16" s="109" customFormat="1">
      <c r="A154" s="72">
        <f t="shared" si="9"/>
        <v>2012</v>
      </c>
      <c r="B154" s="72">
        <f t="shared" si="10"/>
        <v>7</v>
      </c>
      <c r="C154" s="73">
        <v>41115</v>
      </c>
      <c r="D154" s="73" t="s">
        <v>17</v>
      </c>
      <c r="E154" s="73">
        <v>41115</v>
      </c>
      <c r="F154" s="76" t="s">
        <v>35</v>
      </c>
      <c r="G154" s="265"/>
      <c r="H154" s="122"/>
      <c r="I154" s="122"/>
      <c r="J154" s="122"/>
      <c r="K154" s="122"/>
      <c r="L154" s="122"/>
      <c r="M154" s="74">
        <v>2500</v>
      </c>
      <c r="N154" s="95" t="s">
        <v>241</v>
      </c>
      <c r="O154" s="75" t="s">
        <v>54</v>
      </c>
      <c r="P154" s="134" t="str">
        <f>IF(AND('331-CT'!$E$7=TH!H154,OR(N154="331",O154="331")),"x","")</f>
        <v/>
      </c>
    </row>
    <row r="155" spans="1:16" s="109" customFormat="1">
      <c r="A155" s="72">
        <f t="shared" si="9"/>
        <v>2012</v>
      </c>
      <c r="B155" s="72">
        <f t="shared" si="10"/>
        <v>9</v>
      </c>
      <c r="C155" s="73">
        <v>41168</v>
      </c>
      <c r="D155" s="73" t="s">
        <v>17</v>
      </c>
      <c r="E155" s="73">
        <v>41168</v>
      </c>
      <c r="F155" s="76" t="s">
        <v>49</v>
      </c>
      <c r="G155" s="265"/>
      <c r="H155" s="122"/>
      <c r="I155" s="122"/>
      <c r="J155" s="122"/>
      <c r="K155" s="122"/>
      <c r="L155" s="122"/>
      <c r="M155" s="74">
        <v>24000</v>
      </c>
      <c r="N155" s="75" t="s">
        <v>241</v>
      </c>
      <c r="O155" s="75" t="s">
        <v>54</v>
      </c>
      <c r="P155" s="134" t="str">
        <f>IF(AND('331-CT'!$E$7=TH!H155,OR(N155="331",O155="331")),"x","")</f>
        <v/>
      </c>
    </row>
    <row r="156" spans="1:16" s="109" customFormat="1">
      <c r="A156" s="72">
        <f t="shared" si="9"/>
        <v>2012</v>
      </c>
      <c r="B156" s="72">
        <f t="shared" si="10"/>
        <v>9</v>
      </c>
      <c r="C156" s="73">
        <v>41168</v>
      </c>
      <c r="D156" s="73" t="s">
        <v>17</v>
      </c>
      <c r="E156" s="73">
        <v>41168</v>
      </c>
      <c r="F156" s="76" t="s">
        <v>44</v>
      </c>
      <c r="G156" s="265"/>
      <c r="H156" s="122"/>
      <c r="I156" s="122"/>
      <c r="J156" s="122"/>
      <c r="K156" s="122"/>
      <c r="L156" s="122"/>
      <c r="M156" s="74">
        <v>2400</v>
      </c>
      <c r="N156" s="95" t="s">
        <v>241</v>
      </c>
      <c r="O156" s="75" t="s">
        <v>54</v>
      </c>
      <c r="P156" s="134" t="str">
        <f>IF(AND('331-CT'!$E$7=TH!H156,OR(N156="331",O156="331")),"x","")</f>
        <v/>
      </c>
    </row>
    <row r="157" spans="1:16" s="109" customFormat="1">
      <c r="A157" s="72">
        <f t="shared" si="9"/>
        <v>2012</v>
      </c>
      <c r="B157" s="72">
        <f t="shared" si="10"/>
        <v>9</v>
      </c>
      <c r="C157" s="73">
        <v>41168</v>
      </c>
      <c r="D157" s="73" t="s">
        <v>17</v>
      </c>
      <c r="E157" s="73">
        <v>41168</v>
      </c>
      <c r="F157" s="76" t="s">
        <v>48</v>
      </c>
      <c r="G157" s="265"/>
      <c r="H157" s="122"/>
      <c r="I157" s="122"/>
      <c r="J157" s="122"/>
      <c r="K157" s="122"/>
      <c r="L157" s="122"/>
      <c r="M157" s="74">
        <v>24000</v>
      </c>
      <c r="N157" s="75" t="s">
        <v>241</v>
      </c>
      <c r="O157" s="75" t="s">
        <v>54</v>
      </c>
      <c r="P157" s="134" t="str">
        <f>IF(AND('331-CT'!$E$7=TH!H157,OR(N157="331",O157="331")),"x","")</f>
        <v/>
      </c>
    </row>
    <row r="158" spans="1:16" s="109" customFormat="1">
      <c r="A158" s="72">
        <f t="shared" si="9"/>
        <v>2012</v>
      </c>
      <c r="B158" s="72">
        <f t="shared" si="10"/>
        <v>9</v>
      </c>
      <c r="C158" s="73">
        <v>41168</v>
      </c>
      <c r="D158" s="73" t="s">
        <v>17</v>
      </c>
      <c r="E158" s="73">
        <v>41168</v>
      </c>
      <c r="F158" s="76" t="s">
        <v>44</v>
      </c>
      <c r="G158" s="265"/>
      <c r="H158" s="122"/>
      <c r="I158" s="122"/>
      <c r="J158" s="122"/>
      <c r="K158" s="122"/>
      <c r="L158" s="122"/>
      <c r="M158" s="74">
        <v>2400</v>
      </c>
      <c r="N158" s="95" t="s">
        <v>241</v>
      </c>
      <c r="O158" s="75" t="s">
        <v>54</v>
      </c>
      <c r="P158" s="134" t="str">
        <f>IF(AND('331-CT'!$E$7=TH!H158,OR(N158="331",O158="331")),"x","")</f>
        <v/>
      </c>
    </row>
    <row r="159" spans="1:16" s="109" customFormat="1">
      <c r="A159" s="72">
        <f t="shared" si="9"/>
        <v>2012</v>
      </c>
      <c r="B159" s="72">
        <f t="shared" si="10"/>
        <v>9</v>
      </c>
      <c r="C159" s="73">
        <v>41168</v>
      </c>
      <c r="D159" s="73" t="s">
        <v>17</v>
      </c>
      <c r="E159" s="73">
        <v>41168</v>
      </c>
      <c r="F159" s="76" t="s">
        <v>47</v>
      </c>
      <c r="G159" s="265"/>
      <c r="H159" s="122"/>
      <c r="I159" s="122"/>
      <c r="J159" s="122"/>
      <c r="K159" s="122"/>
      <c r="L159" s="122"/>
      <c r="M159" s="74">
        <v>24000</v>
      </c>
      <c r="N159" s="75" t="s">
        <v>241</v>
      </c>
      <c r="O159" s="75" t="s">
        <v>54</v>
      </c>
      <c r="P159" s="134" t="str">
        <f>IF(AND('331-CT'!$E$7=TH!H159,OR(N159="331",O159="331")),"x","")</f>
        <v/>
      </c>
    </row>
    <row r="160" spans="1:16" s="109" customFormat="1">
      <c r="A160" s="72">
        <f t="shared" si="9"/>
        <v>2012</v>
      </c>
      <c r="B160" s="72">
        <f t="shared" si="10"/>
        <v>9</v>
      </c>
      <c r="C160" s="73">
        <v>41168</v>
      </c>
      <c r="D160" s="73" t="s">
        <v>17</v>
      </c>
      <c r="E160" s="73">
        <v>41168</v>
      </c>
      <c r="F160" s="76" t="s">
        <v>44</v>
      </c>
      <c r="G160" s="265"/>
      <c r="H160" s="122"/>
      <c r="I160" s="122"/>
      <c r="J160" s="122"/>
      <c r="K160" s="122"/>
      <c r="L160" s="122"/>
      <c r="M160" s="74">
        <v>2400</v>
      </c>
      <c r="N160" s="95" t="s">
        <v>241</v>
      </c>
      <c r="O160" s="75" t="s">
        <v>54</v>
      </c>
      <c r="P160" s="134" t="str">
        <f>IF(AND('331-CT'!$E$7=TH!H160,OR(N160="331",O160="331")),"x","")</f>
        <v/>
      </c>
    </row>
    <row r="161" spans="1:16" s="109" customFormat="1">
      <c r="A161" s="72">
        <f t="shared" si="9"/>
        <v>2012</v>
      </c>
      <c r="B161" s="72">
        <f t="shared" si="10"/>
        <v>10</v>
      </c>
      <c r="C161" s="73">
        <v>41193</v>
      </c>
      <c r="D161" s="73" t="s">
        <v>133</v>
      </c>
      <c r="E161" s="73">
        <f>C161</f>
        <v>41193</v>
      </c>
      <c r="F161" s="93" t="s">
        <v>576</v>
      </c>
      <c r="G161" s="265"/>
      <c r="H161" s="120" t="s">
        <v>266</v>
      </c>
      <c r="I161" s="120"/>
      <c r="J161" s="120"/>
      <c r="K161" s="120"/>
      <c r="L161" s="120"/>
      <c r="M161" s="74">
        <v>30000000</v>
      </c>
      <c r="N161" s="75" t="s">
        <v>39</v>
      </c>
      <c r="O161" s="75" t="s">
        <v>203</v>
      </c>
      <c r="P161" s="134" t="str">
        <f>IF(AND('331-CT'!$E$7=TH!H161,OR(N161="331",O161="331")),"x","")</f>
        <v/>
      </c>
    </row>
    <row r="162" spans="1:16" s="109" customFormat="1">
      <c r="A162" s="72">
        <f t="shared" si="9"/>
        <v>2012</v>
      </c>
      <c r="B162" s="72">
        <f t="shared" si="10"/>
        <v>10</v>
      </c>
      <c r="C162" s="107">
        <v>41193</v>
      </c>
      <c r="D162" s="73" t="s">
        <v>21</v>
      </c>
      <c r="E162" s="73">
        <v>41193</v>
      </c>
      <c r="F162" s="76" t="s">
        <v>45</v>
      </c>
      <c r="G162" s="265"/>
      <c r="H162" s="120" t="s">
        <v>266</v>
      </c>
      <c r="I162" s="120"/>
      <c r="J162" s="120"/>
      <c r="K162" s="120"/>
      <c r="L162" s="120"/>
      <c r="M162" s="74">
        <v>30000000</v>
      </c>
      <c r="N162" s="75" t="s">
        <v>54</v>
      </c>
      <c r="O162" s="75" t="s">
        <v>39</v>
      </c>
      <c r="P162" s="134" t="str">
        <f>IF(AND('331-CT'!$E$7=TH!H162,OR(N162="331",O162="331")),"x","")</f>
        <v/>
      </c>
    </row>
    <row r="163" spans="1:16" s="109" customFormat="1">
      <c r="A163" s="72">
        <f t="shared" si="9"/>
        <v>2012</v>
      </c>
      <c r="B163" s="72">
        <f t="shared" si="10"/>
        <v>10</v>
      </c>
      <c r="C163" s="107">
        <f>E163</f>
        <v>41193</v>
      </c>
      <c r="D163" s="73" t="s">
        <v>17</v>
      </c>
      <c r="E163" s="73">
        <v>41193</v>
      </c>
      <c r="F163" s="76" t="s">
        <v>114</v>
      </c>
      <c r="G163" s="265"/>
      <c r="H163" s="122" t="s">
        <v>83</v>
      </c>
      <c r="I163" s="122"/>
      <c r="J163" s="122"/>
      <c r="K163" s="122"/>
      <c r="L163" s="122"/>
      <c r="M163" s="74">
        <v>29920000</v>
      </c>
      <c r="N163" s="75" t="s">
        <v>18</v>
      </c>
      <c r="O163" s="75" t="s">
        <v>54</v>
      </c>
      <c r="P163" s="134" t="str">
        <f>IF(AND('331-CT'!$E$7=TH!H163,OR(N163="331",O163="331")),"x","")</f>
        <v>x</v>
      </c>
    </row>
    <row r="164" spans="1:16" s="109" customFormat="1">
      <c r="A164" s="72">
        <f t="shared" si="9"/>
        <v>2012</v>
      </c>
      <c r="B164" s="72">
        <f t="shared" si="10"/>
        <v>10</v>
      </c>
      <c r="C164" s="73">
        <v>41193</v>
      </c>
      <c r="D164" s="73" t="s">
        <v>17</v>
      </c>
      <c r="E164" s="73">
        <v>41193</v>
      </c>
      <c r="F164" s="76" t="s">
        <v>34</v>
      </c>
      <c r="G164" s="265"/>
      <c r="H164" s="122"/>
      <c r="I164" s="122"/>
      <c r="J164" s="122"/>
      <c r="K164" s="122"/>
      <c r="L164" s="122"/>
      <c r="M164" s="74">
        <v>20000</v>
      </c>
      <c r="N164" s="75" t="s">
        <v>241</v>
      </c>
      <c r="O164" s="75" t="s">
        <v>54</v>
      </c>
      <c r="P164" s="134" t="str">
        <f>IF(AND('331-CT'!$E$7=TH!H164,OR(N164="331",O164="331")),"x","")</f>
        <v/>
      </c>
    </row>
    <row r="165" spans="1:16" s="109" customFormat="1">
      <c r="A165" s="72">
        <f t="shared" si="9"/>
        <v>2012</v>
      </c>
      <c r="B165" s="72">
        <f t="shared" si="10"/>
        <v>10</v>
      </c>
      <c r="C165" s="73">
        <v>41193</v>
      </c>
      <c r="D165" s="73" t="s">
        <v>17</v>
      </c>
      <c r="E165" s="73">
        <v>41193</v>
      </c>
      <c r="F165" s="76" t="s">
        <v>35</v>
      </c>
      <c r="G165" s="265"/>
      <c r="H165" s="122"/>
      <c r="I165" s="122"/>
      <c r="J165" s="122"/>
      <c r="K165" s="122"/>
      <c r="L165" s="122"/>
      <c r="M165" s="74">
        <v>2000</v>
      </c>
      <c r="N165" s="95" t="s">
        <v>241</v>
      </c>
      <c r="O165" s="75" t="s">
        <v>54</v>
      </c>
      <c r="P165" s="134" t="str">
        <f>IF(AND('331-CT'!$E$7=TH!H165,OR(N165="331",O165="331")),"x","")</f>
        <v/>
      </c>
    </row>
    <row r="166" spans="1:16" s="109" customFormat="1">
      <c r="A166" s="72">
        <f t="shared" si="9"/>
        <v>2012</v>
      </c>
      <c r="B166" s="72">
        <f t="shared" si="10"/>
        <v>12</v>
      </c>
      <c r="C166" s="107">
        <v>41260</v>
      </c>
      <c r="D166" s="73" t="s">
        <v>17</v>
      </c>
      <c r="E166" s="73">
        <v>41260</v>
      </c>
      <c r="F166" s="76" t="s">
        <v>49</v>
      </c>
      <c r="G166" s="265"/>
      <c r="H166" s="122"/>
      <c r="I166" s="122"/>
      <c r="J166" s="122"/>
      <c r="K166" s="122"/>
      <c r="L166" s="122"/>
      <c r="M166" s="74">
        <v>24000</v>
      </c>
      <c r="N166" s="75" t="s">
        <v>241</v>
      </c>
      <c r="O166" s="75" t="s">
        <v>54</v>
      </c>
      <c r="P166" s="134" t="str">
        <f>IF(AND('331-CT'!$E$7=TH!H166,OR(N166="331",O166="331")),"x","")</f>
        <v/>
      </c>
    </row>
    <row r="167" spans="1:16" s="109" customFormat="1">
      <c r="A167" s="72">
        <f t="shared" si="9"/>
        <v>2012</v>
      </c>
      <c r="B167" s="72">
        <f t="shared" si="10"/>
        <v>12</v>
      </c>
      <c r="C167" s="107">
        <v>41260</v>
      </c>
      <c r="D167" s="73" t="s">
        <v>17</v>
      </c>
      <c r="E167" s="73">
        <v>41260</v>
      </c>
      <c r="F167" s="76" t="s">
        <v>44</v>
      </c>
      <c r="G167" s="265"/>
      <c r="H167" s="122"/>
      <c r="I167" s="122"/>
      <c r="J167" s="122"/>
      <c r="K167" s="122"/>
      <c r="L167" s="122"/>
      <c r="M167" s="74">
        <v>2400</v>
      </c>
      <c r="N167" s="95" t="s">
        <v>241</v>
      </c>
      <c r="O167" s="75" t="s">
        <v>54</v>
      </c>
      <c r="P167" s="134" t="str">
        <f>IF(AND('331-CT'!$E$7=TH!H167,OR(N167="331",O167="331")),"x","")</f>
        <v/>
      </c>
    </row>
    <row r="168" spans="1:16" s="109" customFormat="1">
      <c r="A168" s="72">
        <f t="shared" si="9"/>
        <v>2012</v>
      </c>
      <c r="B168" s="72">
        <f t="shared" si="10"/>
        <v>12</v>
      </c>
      <c r="C168" s="107">
        <v>41260</v>
      </c>
      <c r="D168" s="73" t="s">
        <v>17</v>
      </c>
      <c r="E168" s="73">
        <v>41260</v>
      </c>
      <c r="F168" s="76" t="s">
        <v>48</v>
      </c>
      <c r="G168" s="265"/>
      <c r="H168" s="122"/>
      <c r="I168" s="122"/>
      <c r="J168" s="122"/>
      <c r="K168" s="122"/>
      <c r="L168" s="122"/>
      <c r="M168" s="74">
        <v>24000</v>
      </c>
      <c r="N168" s="75" t="s">
        <v>241</v>
      </c>
      <c r="O168" s="75" t="s">
        <v>54</v>
      </c>
      <c r="P168" s="134" t="str">
        <f>IF(AND('331-CT'!$E$7=TH!H168,OR(N168="331",O168="331")),"x","")</f>
        <v/>
      </c>
    </row>
    <row r="169" spans="1:16" s="109" customFormat="1">
      <c r="A169" s="72">
        <f t="shared" si="9"/>
        <v>2012</v>
      </c>
      <c r="B169" s="72">
        <f t="shared" si="10"/>
        <v>12</v>
      </c>
      <c r="C169" s="107">
        <v>41260</v>
      </c>
      <c r="D169" s="73" t="s">
        <v>17</v>
      </c>
      <c r="E169" s="73">
        <v>41260</v>
      </c>
      <c r="F169" s="76" t="s">
        <v>44</v>
      </c>
      <c r="G169" s="265"/>
      <c r="H169" s="122"/>
      <c r="I169" s="122"/>
      <c r="J169" s="122"/>
      <c r="K169" s="122"/>
      <c r="L169" s="122"/>
      <c r="M169" s="74">
        <v>2400</v>
      </c>
      <c r="N169" s="95" t="s">
        <v>241</v>
      </c>
      <c r="O169" s="75" t="s">
        <v>54</v>
      </c>
      <c r="P169" s="134" t="str">
        <f>IF(AND('331-CT'!$E$7=TH!H169,OR(N169="331",O169="331")),"x","")</f>
        <v/>
      </c>
    </row>
    <row r="170" spans="1:16" s="109" customFormat="1">
      <c r="A170" s="72">
        <f t="shared" si="9"/>
        <v>2012</v>
      </c>
      <c r="B170" s="72">
        <f t="shared" si="10"/>
        <v>12</v>
      </c>
      <c r="C170" s="73">
        <v>41260</v>
      </c>
      <c r="D170" s="73" t="s">
        <v>17</v>
      </c>
      <c r="E170" s="73">
        <v>41260</v>
      </c>
      <c r="F170" s="76" t="s">
        <v>47</v>
      </c>
      <c r="G170" s="265"/>
      <c r="H170" s="122"/>
      <c r="I170" s="122"/>
      <c r="J170" s="122"/>
      <c r="K170" s="122"/>
      <c r="L170" s="122"/>
      <c r="M170" s="74">
        <v>24000</v>
      </c>
      <c r="N170" s="75" t="s">
        <v>241</v>
      </c>
      <c r="O170" s="75" t="s">
        <v>54</v>
      </c>
      <c r="P170" s="134" t="str">
        <f>IF(AND('331-CT'!$E$7=TH!H170,OR(N170="331",O170="331")),"x","")</f>
        <v/>
      </c>
    </row>
    <row r="171" spans="1:16" s="109" customFormat="1">
      <c r="A171" s="72">
        <f t="shared" si="9"/>
        <v>2012</v>
      </c>
      <c r="B171" s="72">
        <f t="shared" si="10"/>
        <v>12</v>
      </c>
      <c r="C171" s="107">
        <v>41260</v>
      </c>
      <c r="D171" s="73" t="s">
        <v>17</v>
      </c>
      <c r="E171" s="73">
        <v>41260</v>
      </c>
      <c r="F171" s="76" t="s">
        <v>44</v>
      </c>
      <c r="G171" s="265"/>
      <c r="H171" s="122"/>
      <c r="I171" s="122"/>
      <c r="J171" s="122"/>
      <c r="K171" s="122"/>
      <c r="L171" s="122"/>
      <c r="M171" s="74">
        <v>2400</v>
      </c>
      <c r="N171" s="95" t="s">
        <v>241</v>
      </c>
      <c r="O171" s="75" t="s">
        <v>54</v>
      </c>
      <c r="P171" s="134" t="str">
        <f>IF(AND('331-CT'!$E$7=TH!H171,OR(N171="331",O171="331")),"x","")</f>
        <v/>
      </c>
    </row>
    <row r="172" spans="1:16" s="109" customFormat="1">
      <c r="A172" s="72">
        <f t="shared" si="9"/>
        <v>2013</v>
      </c>
      <c r="B172" s="72">
        <f t="shared" si="10"/>
        <v>1</v>
      </c>
      <c r="C172" s="73">
        <v>41302</v>
      </c>
      <c r="D172" s="73" t="s">
        <v>73</v>
      </c>
      <c r="E172" s="73">
        <f>C172</f>
        <v>41302</v>
      </c>
      <c r="F172" s="93" t="s">
        <v>575</v>
      </c>
      <c r="G172" s="265"/>
      <c r="H172" s="122" t="s">
        <v>514</v>
      </c>
      <c r="I172" s="122"/>
      <c r="J172" s="122"/>
      <c r="K172" s="122"/>
      <c r="L172" s="122"/>
      <c r="M172" s="74">
        <v>1500000</v>
      </c>
      <c r="N172" s="75" t="s">
        <v>54</v>
      </c>
      <c r="O172" s="75" t="s">
        <v>203</v>
      </c>
      <c r="P172" s="134" t="str">
        <f>IF(AND('331-CT'!$E$7=TH!H172,OR(N172="331",O172="331")),"x","")</f>
        <v/>
      </c>
    </row>
    <row r="173" spans="1:16" s="109" customFormat="1">
      <c r="A173" s="72">
        <f t="shared" si="9"/>
        <v>2013</v>
      </c>
      <c r="B173" s="72">
        <f t="shared" si="10"/>
        <v>1</v>
      </c>
      <c r="C173" s="73">
        <v>41302</v>
      </c>
      <c r="D173" s="73" t="s">
        <v>78</v>
      </c>
      <c r="E173" s="73">
        <v>41302</v>
      </c>
      <c r="F173" s="76" t="s">
        <v>3</v>
      </c>
      <c r="G173" s="265"/>
      <c r="H173" s="122"/>
      <c r="I173" s="122"/>
      <c r="J173" s="122"/>
      <c r="K173" s="122"/>
      <c r="L173" s="122"/>
      <c r="M173" s="74">
        <v>1500000</v>
      </c>
      <c r="N173" s="75" t="s">
        <v>241</v>
      </c>
      <c r="O173" s="75" t="s">
        <v>219</v>
      </c>
      <c r="P173" s="134" t="str">
        <f>IF(AND('331-CT'!$E$7=TH!H173,OR(N173="331",O173="331")),"x","")</f>
        <v/>
      </c>
    </row>
    <row r="174" spans="1:16" s="109" customFormat="1">
      <c r="A174" s="72">
        <f t="shared" si="9"/>
        <v>2013</v>
      </c>
      <c r="B174" s="72">
        <f t="shared" si="10"/>
        <v>1</v>
      </c>
      <c r="C174" s="107">
        <v>41302</v>
      </c>
      <c r="D174" s="73" t="s">
        <v>17</v>
      </c>
      <c r="E174" s="73">
        <v>41302</v>
      </c>
      <c r="F174" s="76" t="s">
        <v>3</v>
      </c>
      <c r="G174" s="265"/>
      <c r="H174" s="122"/>
      <c r="I174" s="122"/>
      <c r="J174" s="122"/>
      <c r="K174" s="122"/>
      <c r="L174" s="122"/>
      <c r="M174" s="74">
        <v>1500000</v>
      </c>
      <c r="N174" s="75" t="s">
        <v>212</v>
      </c>
      <c r="O174" s="75" t="s">
        <v>54</v>
      </c>
      <c r="P174" s="134" t="str">
        <f>IF(AND('331-CT'!$E$7=TH!H174,OR(N174="331",O174="331")),"x","")</f>
        <v/>
      </c>
    </row>
    <row r="175" spans="1:16" s="109" customFormat="1">
      <c r="A175" s="72">
        <f t="shared" si="9"/>
        <v>2013</v>
      </c>
      <c r="B175" s="72">
        <f t="shared" si="10"/>
        <v>1</v>
      </c>
      <c r="C175" s="107">
        <v>41302</v>
      </c>
      <c r="D175" s="73" t="s">
        <v>17</v>
      </c>
      <c r="E175" s="73">
        <v>41302</v>
      </c>
      <c r="F175" s="76" t="s">
        <v>34</v>
      </c>
      <c r="G175" s="265"/>
      <c r="H175" s="122"/>
      <c r="I175" s="122"/>
      <c r="J175" s="122"/>
      <c r="K175" s="122"/>
      <c r="L175" s="122"/>
      <c r="M175" s="74">
        <v>30000</v>
      </c>
      <c r="N175" s="75" t="s">
        <v>241</v>
      </c>
      <c r="O175" s="75" t="s">
        <v>54</v>
      </c>
      <c r="P175" s="134" t="str">
        <f>IF(AND('331-CT'!$E$7=TH!H175,OR(N175="331",O175="331")),"x","")</f>
        <v/>
      </c>
    </row>
    <row r="176" spans="1:16" s="109" customFormat="1">
      <c r="A176" s="72">
        <f t="shared" si="9"/>
        <v>2013</v>
      </c>
      <c r="B176" s="72">
        <f t="shared" si="10"/>
        <v>1</v>
      </c>
      <c r="C176" s="107">
        <v>41302</v>
      </c>
      <c r="D176" s="73" t="s">
        <v>17</v>
      </c>
      <c r="E176" s="73">
        <v>41302</v>
      </c>
      <c r="F176" s="76" t="s">
        <v>35</v>
      </c>
      <c r="G176" s="265"/>
      <c r="H176" s="122"/>
      <c r="I176" s="122"/>
      <c r="J176" s="122"/>
      <c r="K176" s="122"/>
      <c r="L176" s="122"/>
      <c r="M176" s="74">
        <v>3000</v>
      </c>
      <c r="N176" s="95" t="s">
        <v>241</v>
      </c>
      <c r="O176" s="75" t="s">
        <v>54</v>
      </c>
      <c r="P176" s="134" t="str">
        <f>IF(AND('331-CT'!$E$7=TH!H176,OR(N176="331",O176="331")),"x","")</f>
        <v/>
      </c>
    </row>
    <row r="177" spans="1:16" s="109" customFormat="1">
      <c r="A177" s="72">
        <f t="shared" si="9"/>
        <v>2013</v>
      </c>
      <c r="B177" s="72">
        <f t="shared" si="10"/>
        <v>2</v>
      </c>
      <c r="C177" s="73">
        <v>41311</v>
      </c>
      <c r="D177" s="73" t="s">
        <v>21</v>
      </c>
      <c r="E177" s="73">
        <f>C177</f>
        <v>41311</v>
      </c>
      <c r="F177" s="76" t="s">
        <v>3</v>
      </c>
      <c r="G177" s="265"/>
      <c r="H177" s="122"/>
      <c r="I177" s="122"/>
      <c r="J177" s="122"/>
      <c r="K177" s="122"/>
      <c r="L177" s="122"/>
      <c r="M177" s="74">
        <v>1500000</v>
      </c>
      <c r="N177" s="75" t="s">
        <v>54</v>
      </c>
      <c r="O177" s="75" t="s">
        <v>212</v>
      </c>
      <c r="P177" s="134" t="str">
        <f>IF(AND('331-CT'!$E$7=TH!H177,OR(N177="331",O177="331")),"x","")</f>
        <v/>
      </c>
    </row>
    <row r="178" spans="1:16" s="109" customFormat="1">
      <c r="A178" s="72">
        <f t="shared" si="9"/>
        <v>2013</v>
      </c>
      <c r="B178" s="72">
        <f t="shared" si="10"/>
        <v>2</v>
      </c>
      <c r="C178" s="107">
        <v>41311</v>
      </c>
      <c r="D178" s="73" t="s">
        <v>17</v>
      </c>
      <c r="E178" s="73">
        <v>41311</v>
      </c>
      <c r="F178" s="76" t="s">
        <v>3</v>
      </c>
      <c r="G178" s="265"/>
      <c r="H178" s="122"/>
      <c r="I178" s="122"/>
      <c r="J178" s="122"/>
      <c r="K178" s="122"/>
      <c r="L178" s="122"/>
      <c r="M178" s="74">
        <v>1500000</v>
      </c>
      <c r="N178" s="75" t="s">
        <v>219</v>
      </c>
      <c r="O178" s="75" t="s">
        <v>54</v>
      </c>
      <c r="P178" s="134" t="str">
        <f>IF(AND('331-CT'!$E$7=TH!H178,OR(N178="331",O178="331")),"x","")</f>
        <v/>
      </c>
    </row>
    <row r="179" spans="1:16" s="109" customFormat="1">
      <c r="A179" s="72">
        <f t="shared" si="9"/>
        <v>2013</v>
      </c>
      <c r="B179" s="72">
        <f t="shared" si="10"/>
        <v>2</v>
      </c>
      <c r="C179" s="107">
        <v>41311</v>
      </c>
      <c r="D179" s="73" t="s">
        <v>17</v>
      </c>
      <c r="E179" s="73">
        <v>41311</v>
      </c>
      <c r="F179" s="76" t="s">
        <v>34</v>
      </c>
      <c r="G179" s="265"/>
      <c r="H179" s="122"/>
      <c r="I179" s="122"/>
      <c r="J179" s="122"/>
      <c r="K179" s="122"/>
      <c r="L179" s="122"/>
      <c r="M179" s="74">
        <v>20000</v>
      </c>
      <c r="N179" s="75" t="s">
        <v>241</v>
      </c>
      <c r="O179" s="75" t="s">
        <v>54</v>
      </c>
      <c r="P179" s="134" t="str">
        <f>IF(AND('331-CT'!$E$7=TH!H179,OR(N179="331",O179="331")),"x","")</f>
        <v/>
      </c>
    </row>
    <row r="180" spans="1:16" s="109" customFormat="1">
      <c r="A180" s="72">
        <f t="shared" si="9"/>
        <v>2013</v>
      </c>
      <c r="B180" s="72">
        <f t="shared" si="10"/>
        <v>2</v>
      </c>
      <c r="C180" s="107">
        <v>41311</v>
      </c>
      <c r="D180" s="73" t="s">
        <v>17</v>
      </c>
      <c r="E180" s="73">
        <v>41311</v>
      </c>
      <c r="F180" s="76" t="s">
        <v>35</v>
      </c>
      <c r="G180" s="265"/>
      <c r="H180" s="122"/>
      <c r="I180" s="122"/>
      <c r="J180" s="122"/>
      <c r="K180" s="122"/>
      <c r="L180" s="122"/>
      <c r="M180" s="74">
        <v>2000</v>
      </c>
      <c r="N180" s="95" t="s">
        <v>241</v>
      </c>
      <c r="O180" s="75" t="s">
        <v>54</v>
      </c>
      <c r="P180" s="134" t="str">
        <f>IF(AND('331-CT'!$E$7=TH!H180,OR(N180="331",O180="331")),"x","")</f>
        <v/>
      </c>
    </row>
    <row r="181" spans="1:16" s="109" customFormat="1">
      <c r="A181" s="72">
        <f t="shared" si="9"/>
        <v>2013</v>
      </c>
      <c r="B181" s="72">
        <f t="shared" si="10"/>
        <v>3</v>
      </c>
      <c r="C181" s="73">
        <v>41351</v>
      </c>
      <c r="D181" s="73" t="s">
        <v>17</v>
      </c>
      <c r="E181" s="73">
        <v>41351</v>
      </c>
      <c r="F181" s="76" t="s">
        <v>49</v>
      </c>
      <c r="G181" s="265"/>
      <c r="H181" s="122"/>
      <c r="I181" s="122"/>
      <c r="J181" s="122"/>
      <c r="K181" s="122"/>
      <c r="L181" s="122"/>
      <c r="M181" s="74">
        <v>24000</v>
      </c>
      <c r="N181" s="75" t="s">
        <v>241</v>
      </c>
      <c r="O181" s="75" t="s">
        <v>54</v>
      </c>
      <c r="P181" s="134" t="str">
        <f>IF(AND('331-CT'!$E$7=TH!H181,OR(N181="331",O181="331")),"x","")</f>
        <v/>
      </c>
    </row>
    <row r="182" spans="1:16" s="109" customFormat="1">
      <c r="A182" s="72">
        <f t="shared" si="9"/>
        <v>2013</v>
      </c>
      <c r="B182" s="72">
        <f t="shared" si="10"/>
        <v>3</v>
      </c>
      <c r="C182" s="73">
        <v>41351</v>
      </c>
      <c r="D182" s="73" t="s">
        <v>17</v>
      </c>
      <c r="E182" s="73">
        <v>41351</v>
      </c>
      <c r="F182" s="76" t="s">
        <v>44</v>
      </c>
      <c r="G182" s="265"/>
      <c r="H182" s="122"/>
      <c r="I182" s="122"/>
      <c r="J182" s="122"/>
      <c r="K182" s="122"/>
      <c r="L182" s="122"/>
      <c r="M182" s="74">
        <v>2400</v>
      </c>
      <c r="N182" s="95" t="s">
        <v>241</v>
      </c>
      <c r="O182" s="75" t="s">
        <v>54</v>
      </c>
      <c r="P182" s="134" t="str">
        <f>IF(AND('331-CT'!$E$7=TH!H182,OR(N182="331",O182="331")),"x","")</f>
        <v/>
      </c>
    </row>
    <row r="183" spans="1:16" s="109" customFormat="1">
      <c r="A183" s="72">
        <f t="shared" si="9"/>
        <v>2013</v>
      </c>
      <c r="B183" s="72">
        <f t="shared" si="10"/>
        <v>3</v>
      </c>
      <c r="C183" s="73">
        <v>41351</v>
      </c>
      <c r="D183" s="73" t="s">
        <v>17</v>
      </c>
      <c r="E183" s="73">
        <v>41351</v>
      </c>
      <c r="F183" s="76" t="s">
        <v>48</v>
      </c>
      <c r="G183" s="265"/>
      <c r="H183" s="122"/>
      <c r="I183" s="122"/>
      <c r="J183" s="122"/>
      <c r="K183" s="122"/>
      <c r="L183" s="122"/>
      <c r="M183" s="74">
        <v>24000</v>
      </c>
      <c r="N183" s="75" t="s">
        <v>241</v>
      </c>
      <c r="O183" s="75" t="s">
        <v>54</v>
      </c>
      <c r="P183" s="134" t="str">
        <f>IF(AND('331-CT'!$E$7=TH!H183,OR(N183="331",O183="331")),"x","")</f>
        <v/>
      </c>
    </row>
    <row r="184" spans="1:16" s="109" customFormat="1">
      <c r="A184" s="72">
        <f t="shared" si="9"/>
        <v>2013</v>
      </c>
      <c r="B184" s="72">
        <f t="shared" si="10"/>
        <v>3</v>
      </c>
      <c r="C184" s="73">
        <v>41351</v>
      </c>
      <c r="D184" s="73" t="s">
        <v>17</v>
      </c>
      <c r="E184" s="73">
        <v>41351</v>
      </c>
      <c r="F184" s="76" t="s">
        <v>44</v>
      </c>
      <c r="G184" s="265"/>
      <c r="H184" s="122"/>
      <c r="I184" s="122"/>
      <c r="J184" s="122"/>
      <c r="K184" s="122"/>
      <c r="L184" s="122"/>
      <c r="M184" s="74">
        <v>2400</v>
      </c>
      <c r="N184" s="95" t="s">
        <v>241</v>
      </c>
      <c r="O184" s="75" t="s">
        <v>54</v>
      </c>
      <c r="P184" s="134" t="str">
        <f>IF(AND('331-CT'!$E$7=TH!H184,OR(N184="331",O184="331")),"x","")</f>
        <v/>
      </c>
    </row>
    <row r="185" spans="1:16" s="109" customFormat="1">
      <c r="A185" s="72">
        <f t="shared" si="9"/>
        <v>2013</v>
      </c>
      <c r="B185" s="72">
        <f t="shared" si="10"/>
        <v>3</v>
      </c>
      <c r="C185" s="107">
        <v>41351</v>
      </c>
      <c r="D185" s="73" t="s">
        <v>17</v>
      </c>
      <c r="E185" s="73">
        <v>41351</v>
      </c>
      <c r="F185" s="76" t="s">
        <v>47</v>
      </c>
      <c r="G185" s="265"/>
      <c r="H185" s="122"/>
      <c r="I185" s="122"/>
      <c r="J185" s="122"/>
      <c r="K185" s="122"/>
      <c r="L185" s="122"/>
      <c r="M185" s="74">
        <v>24000</v>
      </c>
      <c r="N185" s="75" t="s">
        <v>241</v>
      </c>
      <c r="O185" s="75" t="s">
        <v>54</v>
      </c>
      <c r="P185" s="134" t="str">
        <f>IF(AND('331-CT'!$E$7=TH!H185,OR(N185="331",O185="331")),"x","")</f>
        <v/>
      </c>
    </row>
    <row r="186" spans="1:16" s="109" customFormat="1">
      <c r="A186" s="72">
        <f t="shared" si="9"/>
        <v>2013</v>
      </c>
      <c r="B186" s="72">
        <f t="shared" si="10"/>
        <v>3</v>
      </c>
      <c r="C186" s="73">
        <v>41351</v>
      </c>
      <c r="D186" s="73" t="s">
        <v>17</v>
      </c>
      <c r="E186" s="73">
        <v>41351</v>
      </c>
      <c r="F186" s="76" t="s">
        <v>44</v>
      </c>
      <c r="G186" s="265"/>
      <c r="H186" s="122"/>
      <c r="I186" s="122"/>
      <c r="J186" s="122"/>
      <c r="K186" s="122"/>
      <c r="L186" s="122"/>
      <c r="M186" s="74">
        <v>2400</v>
      </c>
      <c r="N186" s="95" t="s">
        <v>241</v>
      </c>
      <c r="O186" s="75" t="s">
        <v>54</v>
      </c>
      <c r="P186" s="134" t="str">
        <f>IF(AND('331-CT'!$E$7=TH!H186,OR(N186="331",O186="331")),"x","")</f>
        <v/>
      </c>
    </row>
    <row r="187" spans="1:16" s="109" customFormat="1">
      <c r="A187" s="72">
        <f t="shared" si="9"/>
        <v>2013</v>
      </c>
      <c r="B187" s="72">
        <f t="shared" si="10"/>
        <v>6</v>
      </c>
      <c r="C187" s="73">
        <v>41443</v>
      </c>
      <c r="D187" s="73" t="s">
        <v>17</v>
      </c>
      <c r="E187" s="73">
        <v>41443</v>
      </c>
      <c r="F187" s="76" t="s">
        <v>49</v>
      </c>
      <c r="G187" s="265"/>
      <c r="H187" s="122"/>
      <c r="I187" s="122"/>
      <c r="J187" s="122"/>
      <c r="K187" s="122"/>
      <c r="L187" s="122"/>
      <c r="M187" s="74">
        <v>30000</v>
      </c>
      <c r="N187" s="75" t="s">
        <v>241</v>
      </c>
      <c r="O187" s="75" t="s">
        <v>54</v>
      </c>
      <c r="P187" s="134" t="str">
        <f>IF(AND('331-CT'!$E$7=TH!H187,OR(N187="331",O187="331")),"x","")</f>
        <v/>
      </c>
    </row>
    <row r="188" spans="1:16" s="109" customFormat="1">
      <c r="A188" s="72">
        <f t="shared" si="9"/>
        <v>2013</v>
      </c>
      <c r="B188" s="72">
        <f t="shared" si="10"/>
        <v>6</v>
      </c>
      <c r="C188" s="73">
        <v>41443</v>
      </c>
      <c r="D188" s="73" t="s">
        <v>17</v>
      </c>
      <c r="E188" s="73">
        <v>41443</v>
      </c>
      <c r="F188" s="76" t="s">
        <v>44</v>
      </c>
      <c r="G188" s="265"/>
      <c r="H188" s="122"/>
      <c r="I188" s="122"/>
      <c r="J188" s="122"/>
      <c r="K188" s="122"/>
      <c r="L188" s="122"/>
      <c r="M188" s="74">
        <v>3000</v>
      </c>
      <c r="N188" s="95" t="s">
        <v>241</v>
      </c>
      <c r="O188" s="75" t="s">
        <v>54</v>
      </c>
      <c r="P188" s="134" t="str">
        <f>IF(AND('331-CT'!$E$7=TH!H188,OR(N188="331",O188="331")),"x","")</f>
        <v/>
      </c>
    </row>
    <row r="189" spans="1:16" s="109" customFormat="1">
      <c r="A189" s="72">
        <f t="shared" si="9"/>
        <v>2013</v>
      </c>
      <c r="B189" s="72">
        <f t="shared" si="10"/>
        <v>6</v>
      </c>
      <c r="C189" s="73">
        <v>41443</v>
      </c>
      <c r="D189" s="73" t="s">
        <v>17</v>
      </c>
      <c r="E189" s="73">
        <v>41443</v>
      </c>
      <c r="F189" s="76" t="s">
        <v>48</v>
      </c>
      <c r="G189" s="265"/>
      <c r="H189" s="122"/>
      <c r="I189" s="122"/>
      <c r="J189" s="122"/>
      <c r="K189" s="122"/>
      <c r="L189" s="122"/>
      <c r="M189" s="74">
        <v>30000</v>
      </c>
      <c r="N189" s="75" t="s">
        <v>241</v>
      </c>
      <c r="O189" s="75" t="s">
        <v>54</v>
      </c>
      <c r="P189" s="134" t="str">
        <f>IF(AND('331-CT'!$E$7=TH!H189,OR(N189="331",O189="331")),"x","")</f>
        <v/>
      </c>
    </row>
    <row r="190" spans="1:16" s="109" customFormat="1">
      <c r="A190" s="72">
        <f t="shared" si="9"/>
        <v>2013</v>
      </c>
      <c r="B190" s="72">
        <f t="shared" si="10"/>
        <v>6</v>
      </c>
      <c r="C190" s="73">
        <v>41443</v>
      </c>
      <c r="D190" s="73" t="s">
        <v>17</v>
      </c>
      <c r="E190" s="73">
        <v>41443</v>
      </c>
      <c r="F190" s="76" t="s">
        <v>44</v>
      </c>
      <c r="G190" s="265"/>
      <c r="H190" s="122"/>
      <c r="I190" s="122"/>
      <c r="J190" s="122"/>
      <c r="K190" s="122"/>
      <c r="L190" s="122"/>
      <c r="M190" s="74">
        <v>3000</v>
      </c>
      <c r="N190" s="95" t="s">
        <v>241</v>
      </c>
      <c r="O190" s="75" t="s">
        <v>54</v>
      </c>
      <c r="P190" s="134" t="str">
        <f>IF(AND('331-CT'!$E$7=TH!H190,OR(N190="331",O190="331")),"x","")</f>
        <v/>
      </c>
    </row>
    <row r="191" spans="1:16" s="109" customFormat="1">
      <c r="A191" s="72">
        <f t="shared" si="9"/>
        <v>2013</v>
      </c>
      <c r="B191" s="72">
        <f t="shared" si="10"/>
        <v>6</v>
      </c>
      <c r="C191" s="73">
        <v>41443</v>
      </c>
      <c r="D191" s="73" t="s">
        <v>17</v>
      </c>
      <c r="E191" s="73">
        <v>41443</v>
      </c>
      <c r="F191" s="76" t="s">
        <v>47</v>
      </c>
      <c r="G191" s="265"/>
      <c r="H191" s="122"/>
      <c r="I191" s="122"/>
      <c r="J191" s="122"/>
      <c r="K191" s="122"/>
      <c r="L191" s="122"/>
      <c r="M191" s="74">
        <v>30000</v>
      </c>
      <c r="N191" s="75" t="s">
        <v>241</v>
      </c>
      <c r="O191" s="75" t="s">
        <v>54</v>
      </c>
      <c r="P191" s="134" t="str">
        <f>IF(AND('331-CT'!$E$7=TH!H191,OR(N191="331",O191="331")),"x","")</f>
        <v/>
      </c>
    </row>
    <row r="192" spans="1:16" s="109" customFormat="1">
      <c r="A192" s="72">
        <f t="shared" si="9"/>
        <v>2013</v>
      </c>
      <c r="B192" s="72">
        <f t="shared" si="10"/>
        <v>6</v>
      </c>
      <c r="C192" s="73">
        <v>41443</v>
      </c>
      <c r="D192" s="73" t="s">
        <v>17</v>
      </c>
      <c r="E192" s="73">
        <v>41443</v>
      </c>
      <c r="F192" s="76" t="s">
        <v>44</v>
      </c>
      <c r="G192" s="265"/>
      <c r="H192" s="122"/>
      <c r="I192" s="122"/>
      <c r="J192" s="122"/>
      <c r="K192" s="122"/>
      <c r="L192" s="122"/>
      <c r="M192" s="74">
        <v>3000</v>
      </c>
      <c r="N192" s="95" t="s">
        <v>241</v>
      </c>
      <c r="O192" s="75" t="s">
        <v>54</v>
      </c>
      <c r="P192" s="134" t="str">
        <f>IF(AND('331-CT'!$E$7=TH!H192,OR(N192="331",O192="331")),"x","")</f>
        <v/>
      </c>
    </row>
    <row r="193" spans="1:16" s="109" customFormat="1">
      <c r="A193" s="72">
        <f t="shared" si="9"/>
        <v>2013</v>
      </c>
      <c r="B193" s="72">
        <f t="shared" si="10"/>
        <v>7</v>
      </c>
      <c r="C193" s="73">
        <v>41456</v>
      </c>
      <c r="D193" s="73" t="s">
        <v>17</v>
      </c>
      <c r="E193" s="73">
        <v>41456</v>
      </c>
      <c r="F193" s="76" t="s">
        <v>41</v>
      </c>
      <c r="G193" s="265"/>
      <c r="H193" s="122"/>
      <c r="I193" s="122"/>
      <c r="J193" s="122"/>
      <c r="K193" s="122"/>
      <c r="L193" s="122"/>
      <c r="M193" s="74">
        <v>100000</v>
      </c>
      <c r="N193" s="75" t="s">
        <v>241</v>
      </c>
      <c r="O193" s="75" t="s">
        <v>54</v>
      </c>
      <c r="P193" s="134" t="str">
        <f>IF(AND('331-CT'!$E$7=TH!H193,OR(N193="331",O193="331")),"x","")</f>
        <v/>
      </c>
    </row>
    <row r="194" spans="1:16" s="109" customFormat="1">
      <c r="A194" s="72">
        <f t="shared" si="9"/>
        <v>2013</v>
      </c>
      <c r="B194" s="72">
        <f t="shared" si="10"/>
        <v>7</v>
      </c>
      <c r="C194" s="73">
        <v>41456</v>
      </c>
      <c r="D194" s="73" t="s">
        <v>17</v>
      </c>
      <c r="E194" s="73">
        <v>41456</v>
      </c>
      <c r="F194" s="76" t="s">
        <v>46</v>
      </c>
      <c r="G194" s="265"/>
      <c r="H194" s="122"/>
      <c r="I194" s="122"/>
      <c r="J194" s="122"/>
      <c r="K194" s="122"/>
      <c r="L194" s="122"/>
      <c r="M194" s="74">
        <v>10000</v>
      </c>
      <c r="N194" s="95" t="s">
        <v>241</v>
      </c>
      <c r="O194" s="75" t="s">
        <v>54</v>
      </c>
      <c r="P194" s="134" t="str">
        <f>IF(AND('331-CT'!$E$7=TH!H194,OR(N194="331",O194="331")),"x","")</f>
        <v/>
      </c>
    </row>
    <row r="195" spans="1:16" s="109" customFormat="1">
      <c r="A195" s="72">
        <f t="shared" si="9"/>
        <v>2013</v>
      </c>
      <c r="B195" s="72">
        <f t="shared" si="10"/>
        <v>9</v>
      </c>
      <c r="C195" s="107">
        <v>41535</v>
      </c>
      <c r="D195" s="73" t="s">
        <v>17</v>
      </c>
      <c r="E195" s="73">
        <v>41535</v>
      </c>
      <c r="F195" s="76" t="s">
        <v>49</v>
      </c>
      <c r="G195" s="265"/>
      <c r="H195" s="122"/>
      <c r="I195" s="122"/>
      <c r="J195" s="122"/>
      <c r="K195" s="122"/>
      <c r="L195" s="122"/>
      <c r="M195" s="74">
        <v>30000</v>
      </c>
      <c r="N195" s="75" t="s">
        <v>241</v>
      </c>
      <c r="O195" s="75" t="s">
        <v>54</v>
      </c>
      <c r="P195" s="134" t="str">
        <f>IF(AND('331-CT'!$E$7=TH!H195,OR(N195="331",O195="331")),"x","")</f>
        <v/>
      </c>
    </row>
    <row r="196" spans="1:16" s="109" customFormat="1">
      <c r="A196" s="72">
        <f t="shared" si="9"/>
        <v>2013</v>
      </c>
      <c r="B196" s="72">
        <f t="shared" si="10"/>
        <v>9</v>
      </c>
      <c r="C196" s="73">
        <v>41535</v>
      </c>
      <c r="D196" s="73" t="s">
        <v>17</v>
      </c>
      <c r="E196" s="73">
        <v>41535</v>
      </c>
      <c r="F196" s="76" t="s">
        <v>44</v>
      </c>
      <c r="G196" s="265"/>
      <c r="H196" s="122"/>
      <c r="I196" s="122"/>
      <c r="J196" s="122"/>
      <c r="K196" s="122"/>
      <c r="L196" s="122"/>
      <c r="M196" s="74">
        <v>3000</v>
      </c>
      <c r="N196" s="95" t="s">
        <v>241</v>
      </c>
      <c r="O196" s="75" t="s">
        <v>54</v>
      </c>
      <c r="P196" s="134" t="str">
        <f>IF(AND('331-CT'!$E$7=TH!H196,OR(N196="331",O196="331")),"x","")</f>
        <v/>
      </c>
    </row>
    <row r="197" spans="1:16" s="109" customFormat="1">
      <c r="A197" s="72">
        <f t="shared" si="9"/>
        <v>2013</v>
      </c>
      <c r="B197" s="72">
        <f t="shared" si="10"/>
        <v>9</v>
      </c>
      <c r="C197" s="73">
        <v>41535</v>
      </c>
      <c r="D197" s="73" t="s">
        <v>17</v>
      </c>
      <c r="E197" s="73">
        <v>41535</v>
      </c>
      <c r="F197" s="76" t="s">
        <v>48</v>
      </c>
      <c r="G197" s="265"/>
      <c r="H197" s="122"/>
      <c r="I197" s="122"/>
      <c r="J197" s="122"/>
      <c r="K197" s="122"/>
      <c r="L197" s="122"/>
      <c r="M197" s="74">
        <v>30000</v>
      </c>
      <c r="N197" s="75" t="s">
        <v>241</v>
      </c>
      <c r="O197" s="75" t="s">
        <v>54</v>
      </c>
      <c r="P197" s="134" t="str">
        <f>IF(AND('331-CT'!$E$7=TH!H197,OR(N197="331",O197="331")),"x","")</f>
        <v/>
      </c>
    </row>
    <row r="198" spans="1:16" s="109" customFormat="1">
      <c r="A198" s="72">
        <f t="shared" si="9"/>
        <v>2013</v>
      </c>
      <c r="B198" s="72">
        <f t="shared" si="10"/>
        <v>9</v>
      </c>
      <c r="C198" s="73">
        <v>41535</v>
      </c>
      <c r="D198" s="73" t="s">
        <v>17</v>
      </c>
      <c r="E198" s="73">
        <v>41535</v>
      </c>
      <c r="F198" s="76" t="s">
        <v>44</v>
      </c>
      <c r="G198" s="265"/>
      <c r="H198" s="122"/>
      <c r="I198" s="122"/>
      <c r="J198" s="122"/>
      <c r="K198" s="122"/>
      <c r="L198" s="122"/>
      <c r="M198" s="74">
        <v>3000</v>
      </c>
      <c r="N198" s="95" t="s">
        <v>241</v>
      </c>
      <c r="O198" s="75" t="s">
        <v>54</v>
      </c>
      <c r="P198" s="134" t="str">
        <f>IF(AND('331-CT'!$E$7=TH!H198,OR(N198="331",O198="331")),"x","")</f>
        <v/>
      </c>
    </row>
    <row r="199" spans="1:16" s="109" customFormat="1">
      <c r="A199" s="72">
        <f t="shared" si="9"/>
        <v>2013</v>
      </c>
      <c r="B199" s="72">
        <f t="shared" si="10"/>
        <v>9</v>
      </c>
      <c r="C199" s="73">
        <v>41535</v>
      </c>
      <c r="D199" s="73" t="s">
        <v>17</v>
      </c>
      <c r="E199" s="73">
        <v>41535</v>
      </c>
      <c r="F199" s="76" t="s">
        <v>47</v>
      </c>
      <c r="G199" s="265"/>
      <c r="H199" s="122"/>
      <c r="I199" s="122"/>
      <c r="J199" s="122"/>
      <c r="K199" s="122"/>
      <c r="L199" s="122"/>
      <c r="M199" s="74">
        <v>30000</v>
      </c>
      <c r="N199" s="75" t="s">
        <v>241</v>
      </c>
      <c r="O199" s="75" t="s">
        <v>54</v>
      </c>
      <c r="P199" s="134" t="str">
        <f>IF(AND('331-CT'!$E$7=TH!H199,OR(N199="331",O199="331")),"x","")</f>
        <v/>
      </c>
    </row>
    <row r="200" spans="1:16" s="109" customFormat="1">
      <c r="A200" s="72">
        <f t="shared" si="9"/>
        <v>2013</v>
      </c>
      <c r="B200" s="72">
        <f t="shared" si="10"/>
        <v>9</v>
      </c>
      <c r="C200" s="107">
        <v>41535</v>
      </c>
      <c r="D200" s="73" t="s">
        <v>17</v>
      </c>
      <c r="E200" s="73">
        <v>41535</v>
      </c>
      <c r="F200" s="76" t="s">
        <v>44</v>
      </c>
      <c r="G200" s="265"/>
      <c r="H200" s="122"/>
      <c r="I200" s="122"/>
      <c r="J200" s="122"/>
      <c r="K200" s="122"/>
      <c r="L200" s="122"/>
      <c r="M200" s="74">
        <v>3000</v>
      </c>
      <c r="N200" s="95" t="s">
        <v>241</v>
      </c>
      <c r="O200" s="75" t="s">
        <v>54</v>
      </c>
      <c r="P200" s="134" t="str">
        <f>IF(AND('331-CT'!$E$7=TH!H200,OR(N200="331",O200="331")),"x","")</f>
        <v/>
      </c>
    </row>
    <row r="201" spans="1:16" s="109" customFormat="1">
      <c r="A201" s="72">
        <f t="shared" si="9"/>
        <v>2013</v>
      </c>
      <c r="B201" s="72">
        <f t="shared" si="10"/>
        <v>12</v>
      </c>
      <c r="C201" s="107">
        <v>41626</v>
      </c>
      <c r="D201" s="73" t="s">
        <v>17</v>
      </c>
      <c r="E201" s="73">
        <v>41626</v>
      </c>
      <c r="F201" s="76" t="s">
        <v>49</v>
      </c>
      <c r="G201" s="265"/>
      <c r="H201" s="122"/>
      <c r="I201" s="122"/>
      <c r="J201" s="122"/>
      <c r="K201" s="122"/>
      <c r="L201" s="122"/>
      <c r="M201" s="74">
        <v>30000</v>
      </c>
      <c r="N201" s="75" t="s">
        <v>241</v>
      </c>
      <c r="O201" s="75" t="s">
        <v>54</v>
      </c>
      <c r="P201" s="134" t="str">
        <f>IF(AND('331-CT'!$E$7=TH!H201,OR(N201="331",O201="331")),"x","")</f>
        <v/>
      </c>
    </row>
    <row r="202" spans="1:16" s="109" customFormat="1">
      <c r="A202" s="72">
        <f t="shared" si="9"/>
        <v>2013</v>
      </c>
      <c r="B202" s="72">
        <f t="shared" si="10"/>
        <v>12</v>
      </c>
      <c r="C202" s="107">
        <v>41626</v>
      </c>
      <c r="D202" s="73" t="s">
        <v>17</v>
      </c>
      <c r="E202" s="73">
        <v>41626</v>
      </c>
      <c r="F202" s="76" t="s">
        <v>44</v>
      </c>
      <c r="G202" s="265"/>
      <c r="H202" s="122"/>
      <c r="I202" s="122"/>
      <c r="J202" s="122"/>
      <c r="K202" s="122"/>
      <c r="L202" s="122"/>
      <c r="M202" s="74">
        <v>3000</v>
      </c>
      <c r="N202" s="95" t="s">
        <v>241</v>
      </c>
      <c r="O202" s="75" t="s">
        <v>54</v>
      </c>
      <c r="P202" s="134" t="str">
        <f>IF(AND('331-CT'!$E$7=TH!H202,OR(N202="331",O202="331")),"x","")</f>
        <v/>
      </c>
    </row>
    <row r="203" spans="1:16" s="109" customFormat="1">
      <c r="A203" s="72">
        <f t="shared" si="9"/>
        <v>2013</v>
      </c>
      <c r="B203" s="72">
        <f t="shared" si="10"/>
        <v>12</v>
      </c>
      <c r="C203" s="107">
        <v>41626</v>
      </c>
      <c r="D203" s="73" t="s">
        <v>17</v>
      </c>
      <c r="E203" s="73">
        <v>41626</v>
      </c>
      <c r="F203" s="76" t="s">
        <v>48</v>
      </c>
      <c r="G203" s="265"/>
      <c r="H203" s="122"/>
      <c r="I203" s="122"/>
      <c r="J203" s="122"/>
      <c r="K203" s="122"/>
      <c r="L203" s="122"/>
      <c r="M203" s="74">
        <v>30000</v>
      </c>
      <c r="N203" s="75" t="s">
        <v>241</v>
      </c>
      <c r="O203" s="75" t="s">
        <v>54</v>
      </c>
      <c r="P203" s="134" t="str">
        <f>IF(AND('331-CT'!$E$7=TH!H203,OR(N203="331",O203="331")),"x","")</f>
        <v/>
      </c>
    </row>
    <row r="204" spans="1:16" s="109" customFormat="1">
      <c r="A204" s="72">
        <f t="shared" ref="A204:A267" si="11">IF(C204&lt;&gt;"",YEAR(C204),"")</f>
        <v>2013</v>
      </c>
      <c r="B204" s="72">
        <f t="shared" ref="B204:B267" si="12">IF(C204&lt;&gt;"",MONTH(C204),"")</f>
        <v>12</v>
      </c>
      <c r="C204" s="107">
        <v>41626</v>
      </c>
      <c r="D204" s="73" t="s">
        <v>17</v>
      </c>
      <c r="E204" s="73">
        <v>41626</v>
      </c>
      <c r="F204" s="76" t="s">
        <v>44</v>
      </c>
      <c r="G204" s="265"/>
      <c r="H204" s="122"/>
      <c r="I204" s="122"/>
      <c r="J204" s="122"/>
      <c r="K204" s="122"/>
      <c r="L204" s="122"/>
      <c r="M204" s="74">
        <v>3000</v>
      </c>
      <c r="N204" s="95" t="s">
        <v>241</v>
      </c>
      <c r="O204" s="75" t="s">
        <v>54</v>
      </c>
      <c r="P204" s="134" t="str">
        <f>IF(AND('331-CT'!$E$7=TH!H204,OR(N204="331",O204="331")),"x","")</f>
        <v/>
      </c>
    </row>
    <row r="205" spans="1:16" s="109" customFormat="1">
      <c r="A205" s="72">
        <f t="shared" si="11"/>
        <v>2013</v>
      </c>
      <c r="B205" s="72">
        <f t="shared" si="12"/>
        <v>12</v>
      </c>
      <c r="C205" s="107">
        <v>41626</v>
      </c>
      <c r="D205" s="73" t="s">
        <v>17</v>
      </c>
      <c r="E205" s="73">
        <v>41626</v>
      </c>
      <c r="F205" s="76" t="s">
        <v>47</v>
      </c>
      <c r="G205" s="265"/>
      <c r="H205" s="122"/>
      <c r="I205" s="122"/>
      <c r="J205" s="122"/>
      <c r="K205" s="122"/>
      <c r="L205" s="122"/>
      <c r="M205" s="74">
        <v>30000</v>
      </c>
      <c r="N205" s="75" t="s">
        <v>241</v>
      </c>
      <c r="O205" s="75" t="s">
        <v>54</v>
      </c>
      <c r="P205" s="134" t="str">
        <f>IF(AND('331-CT'!$E$7=TH!H205,OR(N205="331",O205="331")),"x","")</f>
        <v/>
      </c>
    </row>
    <row r="206" spans="1:16" s="109" customFormat="1">
      <c r="A206" s="72">
        <f t="shared" si="11"/>
        <v>2013</v>
      </c>
      <c r="B206" s="72">
        <f t="shared" si="12"/>
        <v>12</v>
      </c>
      <c r="C206" s="107">
        <v>41626</v>
      </c>
      <c r="D206" s="73" t="s">
        <v>17</v>
      </c>
      <c r="E206" s="73">
        <v>41626</v>
      </c>
      <c r="F206" s="76" t="s">
        <v>44</v>
      </c>
      <c r="G206" s="265"/>
      <c r="H206" s="122"/>
      <c r="I206" s="122"/>
      <c r="J206" s="122"/>
      <c r="K206" s="122"/>
      <c r="L206" s="122"/>
      <c r="M206" s="74">
        <v>3000</v>
      </c>
      <c r="N206" s="95" t="s">
        <v>241</v>
      </c>
      <c r="O206" s="75" t="s">
        <v>54</v>
      </c>
      <c r="P206" s="134" t="str">
        <f>IF(AND('331-CT'!$E$7=TH!H206,OR(N206="331",O206="331")),"x","")</f>
        <v/>
      </c>
    </row>
    <row r="207" spans="1:16" s="109" customFormat="1">
      <c r="A207" s="72">
        <f t="shared" si="11"/>
        <v>2014</v>
      </c>
      <c r="B207" s="72">
        <f t="shared" si="12"/>
        <v>1</v>
      </c>
      <c r="C207" s="107">
        <v>41641</v>
      </c>
      <c r="D207" s="73" t="s">
        <v>73</v>
      </c>
      <c r="E207" s="73">
        <v>41641</v>
      </c>
      <c r="F207" s="76" t="s">
        <v>576</v>
      </c>
      <c r="G207" s="265"/>
      <c r="H207" s="122" t="s">
        <v>266</v>
      </c>
      <c r="I207" s="122"/>
      <c r="J207" s="122"/>
      <c r="K207" s="122"/>
      <c r="L207" s="122"/>
      <c r="M207" s="74">
        <v>58000000</v>
      </c>
      <c r="N207" s="78" t="s">
        <v>39</v>
      </c>
      <c r="O207" s="75" t="s">
        <v>203</v>
      </c>
      <c r="P207" s="134" t="str">
        <f>IF(AND('331-CT'!$E$7=TH!H207,OR(N207="331",O207="331")),"x","")</f>
        <v/>
      </c>
    </row>
    <row r="208" spans="1:16" s="109" customFormat="1">
      <c r="A208" s="72">
        <f t="shared" si="11"/>
        <v>2014</v>
      </c>
      <c r="B208" s="72">
        <f t="shared" si="12"/>
        <v>1</v>
      </c>
      <c r="C208" s="73">
        <v>41641</v>
      </c>
      <c r="D208" s="73" t="s">
        <v>21</v>
      </c>
      <c r="E208" s="73">
        <v>41641</v>
      </c>
      <c r="F208" s="76" t="s">
        <v>45</v>
      </c>
      <c r="G208" s="265"/>
      <c r="H208" s="122" t="s">
        <v>266</v>
      </c>
      <c r="I208" s="122"/>
      <c r="J208" s="122"/>
      <c r="K208" s="122"/>
      <c r="L208" s="122"/>
      <c r="M208" s="74">
        <v>58000000</v>
      </c>
      <c r="N208" s="75" t="s">
        <v>54</v>
      </c>
      <c r="O208" s="75" t="s">
        <v>39</v>
      </c>
      <c r="P208" s="134" t="str">
        <f>IF(AND('331-CT'!$E$7=TH!H208,OR(N208="331",O208="331")),"x","")</f>
        <v/>
      </c>
    </row>
    <row r="209" spans="1:16" s="109" customFormat="1">
      <c r="A209" s="72">
        <f t="shared" si="11"/>
        <v>2014</v>
      </c>
      <c r="B209" s="72">
        <f t="shared" si="12"/>
        <v>1</v>
      </c>
      <c r="C209" s="73">
        <v>41641</v>
      </c>
      <c r="D209" s="73" t="s">
        <v>17</v>
      </c>
      <c r="E209" s="73">
        <v>41641</v>
      </c>
      <c r="F209" s="76" t="s">
        <v>8</v>
      </c>
      <c r="G209" s="265"/>
      <c r="H209" s="122" t="s">
        <v>86</v>
      </c>
      <c r="I209" s="122"/>
      <c r="J209" s="122"/>
      <c r="K209" s="122"/>
      <c r="L209" s="122"/>
      <c r="M209" s="74">
        <v>27500000</v>
      </c>
      <c r="N209" s="75" t="s">
        <v>18</v>
      </c>
      <c r="O209" s="75" t="s">
        <v>54</v>
      </c>
      <c r="P209" s="134" t="str">
        <f>IF(AND('331-CT'!$E$7=TH!H209,OR(N209="331",O209="331")),"x","")</f>
        <v/>
      </c>
    </row>
    <row r="210" spans="1:16" s="109" customFormat="1">
      <c r="A210" s="72">
        <f t="shared" si="11"/>
        <v>2014</v>
      </c>
      <c r="B210" s="72">
        <f t="shared" si="12"/>
        <v>1</v>
      </c>
      <c r="C210" s="73">
        <v>41641</v>
      </c>
      <c r="D210" s="73" t="s">
        <v>17</v>
      </c>
      <c r="E210" s="73">
        <v>41641</v>
      </c>
      <c r="F210" s="93" t="s">
        <v>34</v>
      </c>
      <c r="G210" s="265"/>
      <c r="H210" s="120"/>
      <c r="I210" s="120"/>
      <c r="J210" s="120"/>
      <c r="K210" s="120"/>
      <c r="L210" s="120"/>
      <c r="M210" s="74">
        <v>20000</v>
      </c>
      <c r="N210" s="75" t="s">
        <v>241</v>
      </c>
      <c r="O210" s="75" t="s">
        <v>54</v>
      </c>
      <c r="P210" s="134" t="str">
        <f>IF(AND('331-CT'!$E$7=TH!H210,OR(N210="331",O210="331")),"x","")</f>
        <v/>
      </c>
    </row>
    <row r="211" spans="1:16" s="109" customFormat="1">
      <c r="A211" s="72">
        <f t="shared" si="11"/>
        <v>2014</v>
      </c>
      <c r="B211" s="72">
        <f t="shared" si="12"/>
        <v>1</v>
      </c>
      <c r="C211" s="107">
        <v>41641</v>
      </c>
      <c r="D211" s="73" t="s">
        <v>17</v>
      </c>
      <c r="E211" s="73">
        <v>41641</v>
      </c>
      <c r="F211" s="76" t="s">
        <v>35</v>
      </c>
      <c r="G211" s="265"/>
      <c r="H211" s="120"/>
      <c r="I211" s="120"/>
      <c r="J211" s="120"/>
      <c r="K211" s="120"/>
      <c r="L211" s="120"/>
      <c r="M211" s="74">
        <v>2000</v>
      </c>
      <c r="N211" s="75" t="s">
        <v>19</v>
      </c>
      <c r="O211" s="75" t="s">
        <v>54</v>
      </c>
      <c r="P211" s="134" t="str">
        <f>IF(AND('331-CT'!$E$7=TH!H211,OR(N211="331",O211="331")),"x","")</f>
        <v/>
      </c>
    </row>
    <row r="212" spans="1:16" s="109" customFormat="1">
      <c r="A212" s="72">
        <f t="shared" si="11"/>
        <v>2014</v>
      </c>
      <c r="B212" s="72">
        <f t="shared" si="12"/>
        <v>1</v>
      </c>
      <c r="C212" s="73">
        <v>41641</v>
      </c>
      <c r="D212" s="73" t="s">
        <v>17</v>
      </c>
      <c r="E212" s="73">
        <v>41641</v>
      </c>
      <c r="F212" s="76" t="s">
        <v>114</v>
      </c>
      <c r="G212" s="265"/>
      <c r="H212" s="122" t="s">
        <v>83</v>
      </c>
      <c r="I212" s="122"/>
      <c r="J212" s="122"/>
      <c r="K212" s="122"/>
      <c r="L212" s="122"/>
      <c r="M212" s="74">
        <v>29920000</v>
      </c>
      <c r="N212" s="75" t="s">
        <v>245</v>
      </c>
      <c r="O212" s="75" t="s">
        <v>54</v>
      </c>
      <c r="P212" s="134" t="str">
        <f>IF(AND('331-CT'!$E$7=TH!H212,OR(N212="331",O212="331")),"x","")</f>
        <v/>
      </c>
    </row>
    <row r="213" spans="1:16" s="109" customFormat="1">
      <c r="A213" s="72">
        <f t="shared" si="11"/>
        <v>2014</v>
      </c>
      <c r="B213" s="72">
        <f t="shared" si="12"/>
        <v>1</v>
      </c>
      <c r="C213" s="73">
        <v>41641</v>
      </c>
      <c r="D213" s="73" t="s">
        <v>17</v>
      </c>
      <c r="E213" s="73">
        <v>41641</v>
      </c>
      <c r="F213" s="76" t="s">
        <v>34</v>
      </c>
      <c r="G213" s="265"/>
      <c r="H213" s="122"/>
      <c r="I213" s="122"/>
      <c r="J213" s="122"/>
      <c r="K213" s="122"/>
      <c r="L213" s="122"/>
      <c r="M213" s="74">
        <v>20000</v>
      </c>
      <c r="N213" s="75" t="s">
        <v>241</v>
      </c>
      <c r="O213" s="75" t="s">
        <v>54</v>
      </c>
      <c r="P213" s="134" t="str">
        <f>IF(AND('331-CT'!$E$7=TH!H213,OR(N213="331",O213="331")),"x","")</f>
        <v/>
      </c>
    </row>
    <row r="214" spans="1:16" s="109" customFormat="1">
      <c r="A214" s="72">
        <f t="shared" si="11"/>
        <v>2014</v>
      </c>
      <c r="B214" s="72">
        <f t="shared" si="12"/>
        <v>1</v>
      </c>
      <c r="C214" s="73">
        <v>41641</v>
      </c>
      <c r="D214" s="73" t="s">
        <v>17</v>
      </c>
      <c r="E214" s="73">
        <v>41641</v>
      </c>
      <c r="F214" s="76" t="s">
        <v>35</v>
      </c>
      <c r="G214" s="265"/>
      <c r="H214" s="122"/>
      <c r="I214" s="122"/>
      <c r="J214" s="122"/>
      <c r="K214" s="122"/>
      <c r="L214" s="122"/>
      <c r="M214" s="74">
        <v>2000</v>
      </c>
      <c r="N214" s="75" t="s">
        <v>19</v>
      </c>
      <c r="O214" s="75" t="s">
        <v>54</v>
      </c>
      <c r="P214" s="134" t="str">
        <f>IF(AND('331-CT'!$E$7=TH!H214,OR(N214="331",O214="331")),"x","")</f>
        <v/>
      </c>
    </row>
    <row r="215" spans="1:16" s="109" customFormat="1">
      <c r="A215" s="72">
        <f t="shared" si="11"/>
        <v>2014</v>
      </c>
      <c r="B215" s="72">
        <f t="shared" si="12"/>
        <v>1</v>
      </c>
      <c r="C215" s="73">
        <v>41653</v>
      </c>
      <c r="D215" s="73" t="s">
        <v>92</v>
      </c>
      <c r="E215" s="73">
        <v>41653</v>
      </c>
      <c r="F215" s="76" t="s">
        <v>576</v>
      </c>
      <c r="G215" s="265"/>
      <c r="H215" s="122" t="s">
        <v>266</v>
      </c>
      <c r="I215" s="122"/>
      <c r="J215" s="122"/>
      <c r="K215" s="122"/>
      <c r="L215" s="122"/>
      <c r="M215" s="74">
        <v>379000000</v>
      </c>
      <c r="N215" s="75" t="s">
        <v>39</v>
      </c>
      <c r="O215" s="75" t="s">
        <v>203</v>
      </c>
      <c r="P215" s="134" t="str">
        <f>IF(AND('331-CT'!$E$7=TH!H215,OR(N215="331",O215="331")),"x","")</f>
        <v/>
      </c>
    </row>
    <row r="216" spans="1:16" s="109" customFormat="1">
      <c r="A216" s="72">
        <f t="shared" si="11"/>
        <v>2014</v>
      </c>
      <c r="B216" s="72">
        <f t="shared" si="12"/>
        <v>1</v>
      </c>
      <c r="C216" s="73">
        <v>41653</v>
      </c>
      <c r="D216" s="73" t="s">
        <v>21</v>
      </c>
      <c r="E216" s="73">
        <v>41653</v>
      </c>
      <c r="F216" s="93" t="s">
        <v>45</v>
      </c>
      <c r="G216" s="265"/>
      <c r="H216" s="122" t="s">
        <v>266</v>
      </c>
      <c r="I216" s="122"/>
      <c r="J216" s="122"/>
      <c r="K216" s="122"/>
      <c r="L216" s="122"/>
      <c r="M216" s="74">
        <v>379000000</v>
      </c>
      <c r="N216" s="75" t="s">
        <v>54</v>
      </c>
      <c r="O216" s="75" t="s">
        <v>39</v>
      </c>
      <c r="P216" s="134" t="str">
        <f>IF(AND('331-CT'!$E$7=TH!H216,OR(N216="331",O216="331")),"x","")</f>
        <v/>
      </c>
    </row>
    <row r="217" spans="1:16" s="109" customFormat="1">
      <c r="A217" s="72">
        <f t="shared" si="11"/>
        <v>2014</v>
      </c>
      <c r="B217" s="72">
        <f t="shared" si="12"/>
        <v>1</v>
      </c>
      <c r="C217" s="73">
        <v>41653</v>
      </c>
      <c r="D217" s="73" t="s">
        <v>17</v>
      </c>
      <c r="E217" s="73">
        <v>41653</v>
      </c>
      <c r="F217" s="76" t="s">
        <v>34</v>
      </c>
      <c r="G217" s="265"/>
      <c r="H217" s="122"/>
      <c r="I217" s="122"/>
      <c r="J217" s="122"/>
      <c r="K217" s="122"/>
      <c r="L217" s="122"/>
      <c r="M217" s="74">
        <v>113634</v>
      </c>
      <c r="N217" s="75" t="s">
        <v>241</v>
      </c>
      <c r="O217" s="75" t="s">
        <v>54</v>
      </c>
      <c r="P217" s="134" t="str">
        <f>IF(AND('331-CT'!$E$7=TH!H217,OR(N217="331",O217="331")),"x","")</f>
        <v/>
      </c>
    </row>
    <row r="218" spans="1:16" s="109" customFormat="1">
      <c r="A218" s="72">
        <f t="shared" si="11"/>
        <v>2014</v>
      </c>
      <c r="B218" s="72">
        <f t="shared" si="12"/>
        <v>1</v>
      </c>
      <c r="C218" s="73">
        <v>41653</v>
      </c>
      <c r="D218" s="73" t="s">
        <v>17</v>
      </c>
      <c r="E218" s="73">
        <v>41653</v>
      </c>
      <c r="F218" s="76" t="s">
        <v>35</v>
      </c>
      <c r="G218" s="265"/>
      <c r="H218" s="122"/>
      <c r="I218" s="122"/>
      <c r="J218" s="122"/>
      <c r="K218" s="122"/>
      <c r="L218" s="122"/>
      <c r="M218" s="74">
        <v>11363</v>
      </c>
      <c r="N218" s="75" t="s">
        <v>19</v>
      </c>
      <c r="O218" s="75" t="s">
        <v>54</v>
      </c>
      <c r="P218" s="134" t="str">
        <f>IF(AND('331-CT'!$E$7=TH!H218,OR(N218="331",O218="331")),"x","")</f>
        <v/>
      </c>
    </row>
    <row r="219" spans="1:16" s="109" customFormat="1">
      <c r="A219" s="72">
        <f t="shared" si="11"/>
        <v>2014</v>
      </c>
      <c r="B219" s="72">
        <f t="shared" si="12"/>
        <v>1</v>
      </c>
      <c r="C219" s="73">
        <v>41653</v>
      </c>
      <c r="D219" s="73" t="s">
        <v>78</v>
      </c>
      <c r="E219" s="73">
        <v>41653</v>
      </c>
      <c r="F219" s="76" t="s">
        <v>117</v>
      </c>
      <c r="G219" s="265" t="s">
        <v>561</v>
      </c>
      <c r="H219" s="122" t="s">
        <v>83</v>
      </c>
      <c r="I219" s="122"/>
      <c r="J219" s="122"/>
      <c r="K219" s="122"/>
      <c r="L219" s="122"/>
      <c r="M219" s="74">
        <v>27200000</v>
      </c>
      <c r="N219" s="75" t="s">
        <v>241</v>
      </c>
      <c r="O219" s="75" t="s">
        <v>18</v>
      </c>
      <c r="P219" s="134" t="str">
        <f>IF(AND('331-CT'!$E$7=TH!H219,OR(N219="331",O219="331")),"x","")</f>
        <v>x</v>
      </c>
    </row>
    <row r="220" spans="1:16" s="109" customFormat="1">
      <c r="A220" s="72">
        <f t="shared" si="11"/>
        <v>2014</v>
      </c>
      <c r="B220" s="72">
        <f t="shared" si="12"/>
        <v>1</v>
      </c>
      <c r="C220" s="73">
        <v>41653</v>
      </c>
      <c r="D220" s="73" t="s">
        <v>78</v>
      </c>
      <c r="E220" s="73">
        <v>41653</v>
      </c>
      <c r="F220" s="76" t="s">
        <v>84</v>
      </c>
      <c r="G220" s="265" t="s">
        <v>561</v>
      </c>
      <c r="H220" s="122" t="s">
        <v>83</v>
      </c>
      <c r="I220" s="122"/>
      <c r="J220" s="122"/>
      <c r="K220" s="122"/>
      <c r="L220" s="122"/>
      <c r="M220" s="74">
        <v>2720000</v>
      </c>
      <c r="N220" s="75" t="s">
        <v>19</v>
      </c>
      <c r="O220" s="75" t="s">
        <v>18</v>
      </c>
      <c r="P220" s="134" t="str">
        <f>IF(AND('331-CT'!$E$7=TH!H220,OR(N220="331",O220="331")),"x","")</f>
        <v>x</v>
      </c>
    </row>
    <row r="221" spans="1:16" s="109" customFormat="1">
      <c r="A221" s="72">
        <f t="shared" si="11"/>
        <v>2014</v>
      </c>
      <c r="B221" s="72">
        <f t="shared" si="12"/>
        <v>1</v>
      </c>
      <c r="C221" s="73">
        <v>41660</v>
      </c>
      <c r="D221" s="73" t="s">
        <v>93</v>
      </c>
      <c r="E221" s="73">
        <v>41660</v>
      </c>
      <c r="F221" s="76" t="s">
        <v>576</v>
      </c>
      <c r="G221" s="265"/>
      <c r="H221" s="122" t="s">
        <v>266</v>
      </c>
      <c r="I221" s="122"/>
      <c r="J221" s="122"/>
      <c r="K221" s="122"/>
      <c r="L221" s="122"/>
      <c r="M221" s="74">
        <v>1500000</v>
      </c>
      <c r="N221" s="75" t="s">
        <v>39</v>
      </c>
      <c r="O221" s="75" t="s">
        <v>203</v>
      </c>
      <c r="P221" s="134" t="str">
        <f>IF(AND('331-CT'!$E$7=TH!H221,OR(N221="331",O221="331")),"x","")</f>
        <v/>
      </c>
    </row>
    <row r="222" spans="1:16" s="109" customFormat="1">
      <c r="A222" s="72">
        <f t="shared" si="11"/>
        <v>2014</v>
      </c>
      <c r="B222" s="72">
        <f t="shared" si="12"/>
        <v>1</v>
      </c>
      <c r="C222" s="107">
        <v>41660</v>
      </c>
      <c r="D222" s="73" t="s">
        <v>21</v>
      </c>
      <c r="E222" s="73">
        <v>41660</v>
      </c>
      <c r="F222" s="76" t="s">
        <v>45</v>
      </c>
      <c r="G222" s="265"/>
      <c r="H222" s="122" t="s">
        <v>266</v>
      </c>
      <c r="I222" s="122"/>
      <c r="J222" s="122"/>
      <c r="K222" s="122"/>
      <c r="L222" s="122"/>
      <c r="M222" s="74">
        <v>1500000</v>
      </c>
      <c r="N222" s="75" t="s">
        <v>54</v>
      </c>
      <c r="O222" s="75" t="s">
        <v>39</v>
      </c>
      <c r="P222" s="134" t="str">
        <f>IF(AND('331-CT'!$E$7=TH!H222,OR(N222="331",O222="331")),"x","")</f>
        <v/>
      </c>
    </row>
    <row r="223" spans="1:16" s="109" customFormat="1">
      <c r="A223" s="72">
        <f t="shared" si="11"/>
        <v>2014</v>
      </c>
      <c r="B223" s="72">
        <f t="shared" si="12"/>
        <v>1</v>
      </c>
      <c r="C223" s="107">
        <v>41660</v>
      </c>
      <c r="D223" s="73" t="s">
        <v>78</v>
      </c>
      <c r="E223" s="73">
        <v>41660</v>
      </c>
      <c r="F223" s="76" t="s">
        <v>7</v>
      </c>
      <c r="G223" s="265"/>
      <c r="H223" s="122"/>
      <c r="I223" s="122"/>
      <c r="J223" s="122"/>
      <c r="K223" s="122"/>
      <c r="L223" s="122"/>
      <c r="M223" s="74">
        <v>1500000</v>
      </c>
      <c r="N223" s="75" t="s">
        <v>241</v>
      </c>
      <c r="O223" s="75" t="s">
        <v>219</v>
      </c>
      <c r="P223" s="134" t="str">
        <f>IF(AND('331-CT'!$E$7=TH!H223,OR(N223="331",O223="331")),"x","")</f>
        <v/>
      </c>
    </row>
    <row r="224" spans="1:16" s="109" customFormat="1">
      <c r="A224" s="72">
        <f t="shared" si="11"/>
        <v>2014</v>
      </c>
      <c r="B224" s="72">
        <f t="shared" si="12"/>
        <v>1</v>
      </c>
      <c r="C224" s="107">
        <v>41660</v>
      </c>
      <c r="D224" s="73" t="s">
        <v>17</v>
      </c>
      <c r="E224" s="73">
        <v>41660</v>
      </c>
      <c r="F224" s="76" t="s">
        <v>7</v>
      </c>
      <c r="G224" s="265"/>
      <c r="H224" s="122"/>
      <c r="I224" s="122"/>
      <c r="J224" s="122"/>
      <c r="K224" s="122"/>
      <c r="L224" s="122"/>
      <c r="M224" s="74">
        <v>1500000</v>
      </c>
      <c r="N224" s="75" t="s">
        <v>219</v>
      </c>
      <c r="O224" s="75" t="s">
        <v>54</v>
      </c>
      <c r="P224" s="134" t="str">
        <f>IF(AND('331-CT'!$E$7=TH!H224,OR(N224="331",O224="331")),"x","")</f>
        <v/>
      </c>
    </row>
    <row r="225" spans="1:16" s="109" customFormat="1">
      <c r="A225" s="72">
        <f t="shared" si="11"/>
        <v>2014</v>
      </c>
      <c r="B225" s="72">
        <f t="shared" si="12"/>
        <v>1</v>
      </c>
      <c r="C225" s="73">
        <v>41660</v>
      </c>
      <c r="D225" s="73" t="s">
        <v>17</v>
      </c>
      <c r="E225" s="73">
        <v>41660</v>
      </c>
      <c r="F225" s="76" t="s">
        <v>34</v>
      </c>
      <c r="G225" s="265"/>
      <c r="H225" s="122"/>
      <c r="I225" s="122"/>
      <c r="J225" s="122"/>
      <c r="K225" s="122"/>
      <c r="L225" s="122"/>
      <c r="M225" s="74">
        <v>20000</v>
      </c>
      <c r="N225" s="75" t="s">
        <v>241</v>
      </c>
      <c r="O225" s="75" t="s">
        <v>54</v>
      </c>
      <c r="P225" s="134" t="str">
        <f>IF(AND('331-CT'!$E$7=TH!H225,OR(N225="331",O225="331")),"x","")</f>
        <v/>
      </c>
    </row>
    <row r="226" spans="1:16" s="109" customFormat="1">
      <c r="A226" s="72">
        <f t="shared" si="11"/>
        <v>2014</v>
      </c>
      <c r="B226" s="72">
        <f t="shared" si="12"/>
        <v>1</v>
      </c>
      <c r="C226" s="73">
        <v>41660</v>
      </c>
      <c r="D226" s="73" t="s">
        <v>17</v>
      </c>
      <c r="E226" s="73">
        <v>41660</v>
      </c>
      <c r="F226" s="76" t="s">
        <v>35</v>
      </c>
      <c r="G226" s="265"/>
      <c r="H226" s="122"/>
      <c r="I226" s="122"/>
      <c r="J226" s="122"/>
      <c r="K226" s="122"/>
      <c r="L226" s="122"/>
      <c r="M226" s="74">
        <v>2000</v>
      </c>
      <c r="N226" s="75" t="s">
        <v>19</v>
      </c>
      <c r="O226" s="75" t="s">
        <v>54</v>
      </c>
      <c r="P226" s="134" t="str">
        <f>IF(AND('331-CT'!$E$7=TH!H226,OR(N226="331",O226="331")),"x","")</f>
        <v/>
      </c>
    </row>
    <row r="227" spans="1:16" s="109" customFormat="1">
      <c r="A227" s="72">
        <f t="shared" si="11"/>
        <v>2014</v>
      </c>
      <c r="B227" s="72">
        <f t="shared" si="12"/>
        <v>1</v>
      </c>
      <c r="C227" s="107">
        <v>41664</v>
      </c>
      <c r="D227" s="73" t="s">
        <v>72</v>
      </c>
      <c r="E227" s="73">
        <v>41664</v>
      </c>
      <c r="F227" s="76" t="s">
        <v>575</v>
      </c>
      <c r="G227" s="265"/>
      <c r="H227" s="122" t="s">
        <v>573</v>
      </c>
      <c r="I227" s="122"/>
      <c r="J227" s="122"/>
      <c r="K227" s="122"/>
      <c r="L227" s="122"/>
      <c r="M227" s="74">
        <v>64000000</v>
      </c>
      <c r="N227" s="78" t="s">
        <v>54</v>
      </c>
      <c r="O227" s="75" t="s">
        <v>203</v>
      </c>
      <c r="P227" s="134" t="str">
        <f>IF(AND('331-CT'!$E$7=TH!H227,OR(N227="331",O227="331")),"x","")</f>
        <v/>
      </c>
    </row>
    <row r="228" spans="1:16" s="109" customFormat="1">
      <c r="A228" s="72">
        <f t="shared" si="11"/>
        <v>2014</v>
      </c>
      <c r="B228" s="72">
        <f t="shared" si="12"/>
        <v>1</v>
      </c>
      <c r="C228" s="73">
        <v>41664</v>
      </c>
      <c r="D228" s="73" t="s">
        <v>17</v>
      </c>
      <c r="E228" s="73">
        <v>41664</v>
      </c>
      <c r="F228" s="76" t="s">
        <v>6</v>
      </c>
      <c r="G228" s="265"/>
      <c r="H228" s="122" t="s">
        <v>89</v>
      </c>
      <c r="I228" s="122"/>
      <c r="J228" s="122"/>
      <c r="K228" s="122"/>
      <c r="L228" s="122"/>
      <c r="M228" s="74">
        <v>43824000</v>
      </c>
      <c r="N228" s="75" t="s">
        <v>18</v>
      </c>
      <c r="O228" s="75" t="s">
        <v>54</v>
      </c>
      <c r="P228" s="134" t="str">
        <f>IF(AND('331-CT'!$E$7=TH!H228,OR(N228="331",O228="331")),"x","")</f>
        <v/>
      </c>
    </row>
    <row r="229" spans="1:16" s="109" customFormat="1">
      <c r="A229" s="72">
        <f t="shared" si="11"/>
        <v>2014</v>
      </c>
      <c r="B229" s="72">
        <f t="shared" si="12"/>
        <v>1</v>
      </c>
      <c r="C229" s="73">
        <v>41664</v>
      </c>
      <c r="D229" s="73" t="s">
        <v>17</v>
      </c>
      <c r="E229" s="73">
        <v>41664</v>
      </c>
      <c r="F229" s="76" t="s">
        <v>34</v>
      </c>
      <c r="G229" s="265"/>
      <c r="H229" s="122"/>
      <c r="I229" s="122"/>
      <c r="J229" s="122"/>
      <c r="K229" s="122"/>
      <c r="L229" s="122"/>
      <c r="M229" s="74">
        <v>30000</v>
      </c>
      <c r="N229" s="75" t="s">
        <v>241</v>
      </c>
      <c r="O229" s="75" t="s">
        <v>54</v>
      </c>
      <c r="P229" s="134" t="str">
        <f>IF(AND('331-CT'!$E$7=TH!H229,OR(N229="331",O229="331")),"x","")</f>
        <v/>
      </c>
    </row>
    <row r="230" spans="1:16" s="109" customFormat="1">
      <c r="A230" s="72">
        <f t="shared" si="11"/>
        <v>2014</v>
      </c>
      <c r="B230" s="72">
        <f t="shared" si="12"/>
        <v>1</v>
      </c>
      <c r="C230" s="107">
        <v>41664</v>
      </c>
      <c r="D230" s="73" t="s">
        <v>17</v>
      </c>
      <c r="E230" s="73">
        <v>41664</v>
      </c>
      <c r="F230" s="76" t="s">
        <v>35</v>
      </c>
      <c r="G230" s="265"/>
      <c r="H230" s="122"/>
      <c r="I230" s="122"/>
      <c r="J230" s="122"/>
      <c r="K230" s="122"/>
      <c r="L230" s="122"/>
      <c r="M230" s="74">
        <v>3000</v>
      </c>
      <c r="N230" s="78" t="s">
        <v>19</v>
      </c>
      <c r="O230" s="75" t="s">
        <v>54</v>
      </c>
      <c r="P230" s="134" t="str">
        <f>IF(AND('331-CT'!$E$7=TH!H230,OR(N230="331",O230="331")),"x","")</f>
        <v/>
      </c>
    </row>
    <row r="231" spans="1:16" s="109" customFormat="1">
      <c r="A231" s="72">
        <f t="shared" si="11"/>
        <v>2014</v>
      </c>
      <c r="B231" s="72">
        <f t="shared" si="12"/>
        <v>1</v>
      </c>
      <c r="C231" s="73">
        <v>41664</v>
      </c>
      <c r="D231" s="73" t="s">
        <v>17</v>
      </c>
      <c r="E231" s="73">
        <v>41664</v>
      </c>
      <c r="F231" s="76" t="s">
        <v>5</v>
      </c>
      <c r="G231" s="265"/>
      <c r="H231" s="122" t="s">
        <v>91</v>
      </c>
      <c r="I231" s="122"/>
      <c r="J231" s="122"/>
      <c r="K231" s="122"/>
      <c r="L231" s="122"/>
      <c r="M231" s="74">
        <v>20000000</v>
      </c>
      <c r="N231" s="75" t="s">
        <v>18</v>
      </c>
      <c r="O231" s="75" t="s">
        <v>54</v>
      </c>
      <c r="P231" s="134" t="str">
        <f>IF(AND('331-CT'!$E$7=TH!H231,OR(N231="331",O231="331")),"x","")</f>
        <v/>
      </c>
    </row>
    <row r="232" spans="1:16" s="109" customFormat="1">
      <c r="A232" s="72">
        <f t="shared" si="11"/>
        <v>2014</v>
      </c>
      <c r="B232" s="72">
        <f t="shared" si="12"/>
        <v>1</v>
      </c>
      <c r="C232" s="73">
        <v>41664</v>
      </c>
      <c r="D232" s="73" t="s">
        <v>17</v>
      </c>
      <c r="E232" s="73">
        <v>41664</v>
      </c>
      <c r="F232" s="76" t="s">
        <v>34</v>
      </c>
      <c r="G232" s="265"/>
      <c r="H232" s="122"/>
      <c r="I232" s="122"/>
      <c r="J232" s="122"/>
      <c r="K232" s="122"/>
      <c r="L232" s="122"/>
      <c r="M232" s="74">
        <v>22804</v>
      </c>
      <c r="N232" s="75" t="s">
        <v>241</v>
      </c>
      <c r="O232" s="75" t="s">
        <v>54</v>
      </c>
      <c r="P232" s="134" t="str">
        <f>IF(AND('331-CT'!$E$7=TH!H232,OR(N232="331",O232="331")),"x","")</f>
        <v/>
      </c>
    </row>
    <row r="233" spans="1:16" s="109" customFormat="1">
      <c r="A233" s="72">
        <f t="shared" si="11"/>
        <v>2014</v>
      </c>
      <c r="B233" s="72">
        <f t="shared" si="12"/>
        <v>1</v>
      </c>
      <c r="C233" s="107">
        <v>41664</v>
      </c>
      <c r="D233" s="73" t="s">
        <v>17</v>
      </c>
      <c r="E233" s="73">
        <v>41664</v>
      </c>
      <c r="F233" s="76" t="s">
        <v>35</v>
      </c>
      <c r="G233" s="265"/>
      <c r="H233" s="122"/>
      <c r="I233" s="122"/>
      <c r="J233" s="122"/>
      <c r="K233" s="122"/>
      <c r="L233" s="122"/>
      <c r="M233" s="74">
        <v>2280</v>
      </c>
      <c r="N233" s="75" t="s">
        <v>19</v>
      </c>
      <c r="O233" s="75" t="s">
        <v>54</v>
      </c>
      <c r="P233" s="134" t="str">
        <f>IF(AND('331-CT'!$E$7=TH!H233,OR(N233="331",O233="331")),"x","")</f>
        <v/>
      </c>
    </row>
    <row r="234" spans="1:16" s="109" customFormat="1">
      <c r="A234" s="72">
        <f t="shared" si="11"/>
        <v>2014</v>
      </c>
      <c r="B234" s="72">
        <f t="shared" si="12"/>
        <v>3</v>
      </c>
      <c r="C234" s="73">
        <v>41699</v>
      </c>
      <c r="D234" s="73" t="s">
        <v>71</v>
      </c>
      <c r="E234" s="73">
        <v>41699</v>
      </c>
      <c r="F234" s="93" t="s">
        <v>575</v>
      </c>
      <c r="G234" s="265"/>
      <c r="H234" s="120" t="s">
        <v>574</v>
      </c>
      <c r="I234" s="120"/>
      <c r="J234" s="120"/>
      <c r="K234" s="120"/>
      <c r="L234" s="120"/>
      <c r="M234" s="74">
        <v>76500000</v>
      </c>
      <c r="N234" s="75" t="s">
        <v>54</v>
      </c>
      <c r="O234" s="75" t="s">
        <v>203</v>
      </c>
      <c r="P234" s="134" t="str">
        <f>IF(AND('331-CT'!$E$7=TH!H234,OR(N234="331",O234="331")),"x","")</f>
        <v/>
      </c>
    </row>
    <row r="235" spans="1:16" s="109" customFormat="1">
      <c r="A235" s="72">
        <f t="shared" si="11"/>
        <v>2014</v>
      </c>
      <c r="B235" s="72">
        <f t="shared" si="12"/>
        <v>3</v>
      </c>
      <c r="C235" s="107">
        <v>41699</v>
      </c>
      <c r="D235" s="73" t="s">
        <v>17</v>
      </c>
      <c r="E235" s="73">
        <v>41699</v>
      </c>
      <c r="F235" s="76" t="s">
        <v>6</v>
      </c>
      <c r="G235" s="265"/>
      <c r="H235" s="120" t="s">
        <v>89</v>
      </c>
      <c r="I235" s="120"/>
      <c r="J235" s="120"/>
      <c r="K235" s="120"/>
      <c r="L235" s="120"/>
      <c r="M235" s="74">
        <v>76462320</v>
      </c>
      <c r="N235" s="75" t="s">
        <v>18</v>
      </c>
      <c r="O235" s="75" t="s">
        <v>54</v>
      </c>
      <c r="P235" s="134" t="str">
        <f>IF(AND('331-CT'!$E$7=TH!H235,OR(N235="331",O235="331")),"x","")</f>
        <v/>
      </c>
    </row>
    <row r="236" spans="1:16" s="109" customFormat="1">
      <c r="A236" s="72">
        <f t="shared" si="11"/>
        <v>2014</v>
      </c>
      <c r="B236" s="72">
        <f t="shared" si="12"/>
        <v>3</v>
      </c>
      <c r="C236" s="73">
        <v>41699</v>
      </c>
      <c r="D236" s="73" t="s">
        <v>17</v>
      </c>
      <c r="E236" s="73">
        <v>41699</v>
      </c>
      <c r="F236" s="76" t="s">
        <v>34</v>
      </c>
      <c r="G236" s="265"/>
      <c r="H236" s="122"/>
      <c r="I236" s="122"/>
      <c r="J236" s="122"/>
      <c r="K236" s="122"/>
      <c r="L236" s="122"/>
      <c r="M236" s="74">
        <v>32561</v>
      </c>
      <c r="N236" s="75" t="s">
        <v>241</v>
      </c>
      <c r="O236" s="75" t="s">
        <v>54</v>
      </c>
      <c r="P236" s="134" t="str">
        <f>IF(AND('331-CT'!$E$7=TH!H236,OR(N236="331",O236="331")),"x","")</f>
        <v/>
      </c>
    </row>
    <row r="237" spans="1:16" s="109" customFormat="1">
      <c r="A237" s="72">
        <f t="shared" si="11"/>
        <v>2014</v>
      </c>
      <c r="B237" s="72">
        <f t="shared" si="12"/>
        <v>3</v>
      </c>
      <c r="C237" s="73">
        <v>41699</v>
      </c>
      <c r="D237" s="73" t="s">
        <v>17</v>
      </c>
      <c r="E237" s="73">
        <v>41699</v>
      </c>
      <c r="F237" s="76" t="s">
        <v>35</v>
      </c>
      <c r="G237" s="265"/>
      <c r="H237" s="122"/>
      <c r="I237" s="122"/>
      <c r="J237" s="122"/>
      <c r="K237" s="122"/>
      <c r="L237" s="122"/>
      <c r="M237" s="74">
        <v>3256</v>
      </c>
      <c r="N237" s="75" t="s">
        <v>19</v>
      </c>
      <c r="O237" s="75" t="s">
        <v>54</v>
      </c>
      <c r="P237" s="134" t="str">
        <f>IF(AND('331-CT'!$E$7=TH!H237,OR(N237="331",O237="331")),"x","")</f>
        <v/>
      </c>
    </row>
    <row r="238" spans="1:16" s="109" customFormat="1">
      <c r="A238" s="72">
        <f t="shared" si="11"/>
        <v>2014</v>
      </c>
      <c r="B238" s="72">
        <f t="shared" si="12"/>
        <v>3</v>
      </c>
      <c r="C238" s="73">
        <v>41717</v>
      </c>
      <c r="D238" s="73" t="s">
        <v>17</v>
      </c>
      <c r="E238" s="73">
        <v>41717</v>
      </c>
      <c r="F238" s="76" t="s">
        <v>49</v>
      </c>
      <c r="G238" s="265"/>
      <c r="H238" s="122"/>
      <c r="I238" s="122"/>
      <c r="J238" s="122"/>
      <c r="K238" s="122"/>
      <c r="L238" s="122"/>
      <c r="M238" s="74">
        <v>30000</v>
      </c>
      <c r="N238" s="75" t="s">
        <v>241</v>
      </c>
      <c r="O238" s="75" t="s">
        <v>54</v>
      </c>
      <c r="P238" s="134" t="str">
        <f>IF(AND('331-CT'!$E$7=TH!H238,OR(N238="331",O238="331")),"x","")</f>
        <v/>
      </c>
    </row>
    <row r="239" spans="1:16" s="109" customFormat="1">
      <c r="A239" s="72">
        <f t="shared" si="11"/>
        <v>2014</v>
      </c>
      <c r="B239" s="72">
        <f t="shared" si="12"/>
        <v>3</v>
      </c>
      <c r="C239" s="73">
        <v>41717</v>
      </c>
      <c r="D239" s="73" t="s">
        <v>17</v>
      </c>
      <c r="E239" s="73">
        <v>41717</v>
      </c>
      <c r="F239" s="76" t="s">
        <v>44</v>
      </c>
      <c r="G239" s="265"/>
      <c r="H239" s="122"/>
      <c r="I239" s="122"/>
      <c r="J239" s="122"/>
      <c r="K239" s="122"/>
      <c r="L239" s="122"/>
      <c r="M239" s="74">
        <v>3000</v>
      </c>
      <c r="N239" s="75" t="s">
        <v>19</v>
      </c>
      <c r="O239" s="75" t="s">
        <v>54</v>
      </c>
      <c r="P239" s="134" t="str">
        <f>IF(AND('331-CT'!$E$7=TH!H239,OR(N239="331",O239="331")),"x","")</f>
        <v/>
      </c>
    </row>
    <row r="240" spans="1:16" s="109" customFormat="1">
      <c r="A240" s="72">
        <f t="shared" si="11"/>
        <v>2014</v>
      </c>
      <c r="B240" s="72">
        <f t="shared" si="12"/>
        <v>3</v>
      </c>
      <c r="C240" s="73">
        <v>41717</v>
      </c>
      <c r="D240" s="73" t="s">
        <v>17</v>
      </c>
      <c r="E240" s="73">
        <v>41717</v>
      </c>
      <c r="F240" s="76" t="s">
        <v>48</v>
      </c>
      <c r="G240" s="265"/>
      <c r="H240" s="122"/>
      <c r="I240" s="122"/>
      <c r="J240" s="122"/>
      <c r="K240" s="122"/>
      <c r="L240" s="122"/>
      <c r="M240" s="74">
        <v>30000</v>
      </c>
      <c r="N240" s="75" t="s">
        <v>241</v>
      </c>
      <c r="O240" s="75" t="s">
        <v>54</v>
      </c>
      <c r="P240" s="134" t="str">
        <f>IF(AND('331-CT'!$E$7=TH!H240,OR(N240="331",O240="331")),"x","")</f>
        <v/>
      </c>
    </row>
    <row r="241" spans="1:16" s="109" customFormat="1">
      <c r="A241" s="72">
        <f t="shared" si="11"/>
        <v>2014</v>
      </c>
      <c r="B241" s="72">
        <f t="shared" si="12"/>
        <v>3</v>
      </c>
      <c r="C241" s="73">
        <v>41717</v>
      </c>
      <c r="D241" s="73" t="s">
        <v>17</v>
      </c>
      <c r="E241" s="73">
        <v>41717</v>
      </c>
      <c r="F241" s="93" t="s">
        <v>44</v>
      </c>
      <c r="G241" s="265"/>
      <c r="H241" s="120"/>
      <c r="I241" s="120"/>
      <c r="J241" s="120"/>
      <c r="K241" s="120"/>
      <c r="L241" s="120"/>
      <c r="M241" s="74">
        <v>3000</v>
      </c>
      <c r="N241" s="75" t="s">
        <v>19</v>
      </c>
      <c r="O241" s="75" t="s">
        <v>54</v>
      </c>
      <c r="P241" s="134" t="str">
        <f>IF(AND('331-CT'!$E$7=TH!H241,OR(N241="331",O241="331")),"x","")</f>
        <v/>
      </c>
    </row>
    <row r="242" spans="1:16" s="109" customFormat="1">
      <c r="A242" s="72">
        <f t="shared" si="11"/>
        <v>2014</v>
      </c>
      <c r="B242" s="72">
        <f t="shared" si="12"/>
        <v>3</v>
      </c>
      <c r="C242" s="107">
        <v>41717</v>
      </c>
      <c r="D242" s="73" t="s">
        <v>17</v>
      </c>
      <c r="E242" s="73">
        <v>41717</v>
      </c>
      <c r="F242" s="76" t="s">
        <v>47</v>
      </c>
      <c r="G242" s="265"/>
      <c r="H242" s="120"/>
      <c r="I242" s="120"/>
      <c r="J242" s="120"/>
      <c r="K242" s="120"/>
      <c r="L242" s="120"/>
      <c r="M242" s="74">
        <v>30000</v>
      </c>
      <c r="N242" s="75" t="s">
        <v>241</v>
      </c>
      <c r="O242" s="75" t="s">
        <v>54</v>
      </c>
      <c r="P242" s="134" t="str">
        <f>IF(AND('331-CT'!$E$7=TH!H242,OR(N242="331",O242="331")),"x","")</f>
        <v/>
      </c>
    </row>
    <row r="243" spans="1:16" s="109" customFormat="1">
      <c r="A243" s="72">
        <f t="shared" si="11"/>
        <v>2014</v>
      </c>
      <c r="B243" s="72">
        <f t="shared" si="12"/>
        <v>3</v>
      </c>
      <c r="C243" s="73">
        <v>41717</v>
      </c>
      <c r="D243" s="73" t="s">
        <v>17</v>
      </c>
      <c r="E243" s="73">
        <v>41717</v>
      </c>
      <c r="F243" s="76" t="s">
        <v>44</v>
      </c>
      <c r="G243" s="265"/>
      <c r="H243" s="122"/>
      <c r="I243" s="122"/>
      <c r="J243" s="122"/>
      <c r="K243" s="122"/>
      <c r="L243" s="122"/>
      <c r="M243" s="74">
        <v>3000</v>
      </c>
      <c r="N243" s="75" t="s">
        <v>19</v>
      </c>
      <c r="O243" s="75" t="s">
        <v>54</v>
      </c>
      <c r="P243" s="134" t="str">
        <f>IF(AND('331-CT'!$E$7=TH!H243,OR(N243="331",O243="331")),"x","")</f>
        <v/>
      </c>
    </row>
    <row r="244" spans="1:16" s="109" customFormat="1">
      <c r="A244" s="72">
        <f t="shared" si="11"/>
        <v>2014</v>
      </c>
      <c r="B244" s="72">
        <f t="shared" si="12"/>
        <v>3</v>
      </c>
      <c r="C244" s="73">
        <v>41718</v>
      </c>
      <c r="D244" s="73" t="s">
        <v>133</v>
      </c>
      <c r="E244" s="73">
        <v>41718</v>
      </c>
      <c r="F244" s="76" t="s">
        <v>575</v>
      </c>
      <c r="G244" s="265"/>
      <c r="H244" s="122" t="s">
        <v>271</v>
      </c>
      <c r="I244" s="122"/>
      <c r="J244" s="122"/>
      <c r="K244" s="122"/>
      <c r="L244" s="122"/>
      <c r="M244" s="74">
        <v>133200000</v>
      </c>
      <c r="N244" s="75" t="s">
        <v>54</v>
      </c>
      <c r="O244" s="75" t="s">
        <v>203</v>
      </c>
      <c r="P244" s="134" t="str">
        <f>IF(AND('331-CT'!$E$7=TH!H244,OR(N244="331",O244="331")),"x","")</f>
        <v/>
      </c>
    </row>
    <row r="245" spans="1:16" s="109" customFormat="1">
      <c r="A245" s="72">
        <f t="shared" si="11"/>
        <v>2014</v>
      </c>
      <c r="B245" s="72">
        <f t="shared" si="12"/>
        <v>3</v>
      </c>
      <c r="C245" s="73">
        <v>41718</v>
      </c>
      <c r="D245" s="73" t="s">
        <v>17</v>
      </c>
      <c r="E245" s="73">
        <v>41718</v>
      </c>
      <c r="F245" s="76" t="s">
        <v>6</v>
      </c>
      <c r="G245" s="265"/>
      <c r="H245" s="122" t="s">
        <v>89</v>
      </c>
      <c r="I245" s="122"/>
      <c r="J245" s="122"/>
      <c r="K245" s="122"/>
      <c r="L245" s="122"/>
      <c r="M245" s="74">
        <v>133147080</v>
      </c>
      <c r="N245" s="75" t="s">
        <v>18</v>
      </c>
      <c r="O245" s="75" t="s">
        <v>54</v>
      </c>
      <c r="P245" s="134" t="str">
        <f>IF(AND('331-CT'!$E$7=TH!H245,OR(N245="331",O245="331")),"x","")</f>
        <v/>
      </c>
    </row>
    <row r="246" spans="1:16" s="109" customFormat="1">
      <c r="A246" s="72">
        <f t="shared" si="11"/>
        <v>2014</v>
      </c>
      <c r="B246" s="72">
        <f t="shared" si="12"/>
        <v>3</v>
      </c>
      <c r="C246" s="73">
        <v>41718</v>
      </c>
      <c r="D246" s="73" t="s">
        <v>17</v>
      </c>
      <c r="E246" s="73">
        <v>41718</v>
      </c>
      <c r="F246" s="76" t="s">
        <v>34</v>
      </c>
      <c r="G246" s="265"/>
      <c r="H246" s="122"/>
      <c r="I246" s="122"/>
      <c r="J246" s="122"/>
      <c r="K246" s="122"/>
      <c r="L246" s="122"/>
      <c r="M246" s="74">
        <v>52911</v>
      </c>
      <c r="N246" s="75" t="s">
        <v>241</v>
      </c>
      <c r="O246" s="75" t="s">
        <v>54</v>
      </c>
      <c r="P246" s="134" t="str">
        <f>IF(AND('331-CT'!$E$7=TH!H246,OR(N246="331",O246="331")),"x","")</f>
        <v/>
      </c>
    </row>
    <row r="247" spans="1:16" s="109" customFormat="1">
      <c r="A247" s="72">
        <f t="shared" si="11"/>
        <v>2014</v>
      </c>
      <c r="B247" s="72">
        <f t="shared" si="12"/>
        <v>3</v>
      </c>
      <c r="C247" s="73">
        <v>41718</v>
      </c>
      <c r="D247" s="73" t="s">
        <v>17</v>
      </c>
      <c r="E247" s="73">
        <v>41718</v>
      </c>
      <c r="F247" s="76" t="s">
        <v>35</v>
      </c>
      <c r="G247" s="265"/>
      <c r="H247" s="122"/>
      <c r="I247" s="122"/>
      <c r="J247" s="122"/>
      <c r="K247" s="122"/>
      <c r="L247" s="122"/>
      <c r="M247" s="74">
        <v>5291</v>
      </c>
      <c r="N247" s="75" t="s">
        <v>19</v>
      </c>
      <c r="O247" s="75" t="s">
        <v>54</v>
      </c>
      <c r="P247" s="134" t="str">
        <f>IF(AND('331-CT'!$E$7=TH!H247,OR(N247="331",O247="331")),"x","")</f>
        <v/>
      </c>
    </row>
    <row r="248" spans="1:16" s="109" customFormat="1">
      <c r="A248" s="72">
        <f t="shared" si="11"/>
        <v>2014</v>
      </c>
      <c r="B248" s="72">
        <f t="shared" si="12"/>
        <v>3</v>
      </c>
      <c r="C248" s="73">
        <v>41722</v>
      </c>
      <c r="D248" s="73" t="s">
        <v>134</v>
      </c>
      <c r="E248" s="73">
        <v>41722</v>
      </c>
      <c r="F248" s="76" t="s">
        <v>575</v>
      </c>
      <c r="G248" s="265"/>
      <c r="H248" s="122" t="s">
        <v>271</v>
      </c>
      <c r="I248" s="122"/>
      <c r="J248" s="122"/>
      <c r="K248" s="122"/>
      <c r="L248" s="122"/>
      <c r="M248" s="74">
        <v>30000000</v>
      </c>
      <c r="N248" s="75" t="s">
        <v>54</v>
      </c>
      <c r="O248" s="75" t="s">
        <v>203</v>
      </c>
      <c r="P248" s="134" t="str">
        <f>IF(AND('331-CT'!$E$7=TH!H248,OR(N248="331",O248="331")),"x","")</f>
        <v/>
      </c>
    </row>
    <row r="249" spans="1:16" s="109" customFormat="1">
      <c r="A249" s="72">
        <f t="shared" si="11"/>
        <v>2014</v>
      </c>
      <c r="B249" s="72">
        <f t="shared" si="12"/>
        <v>3</v>
      </c>
      <c r="C249" s="73">
        <v>41723</v>
      </c>
      <c r="D249" s="73" t="s">
        <v>17</v>
      </c>
      <c r="E249" s="73">
        <v>41723</v>
      </c>
      <c r="F249" s="76" t="s">
        <v>9</v>
      </c>
      <c r="G249" s="265"/>
      <c r="H249" s="122" t="s">
        <v>90</v>
      </c>
      <c r="I249" s="122"/>
      <c r="J249" s="122"/>
      <c r="K249" s="122"/>
      <c r="L249" s="122"/>
      <c r="M249" s="74">
        <v>30000000</v>
      </c>
      <c r="N249" s="75" t="s">
        <v>18</v>
      </c>
      <c r="O249" s="75" t="s">
        <v>54</v>
      </c>
      <c r="P249" s="134" t="str">
        <f>IF(AND('331-CT'!$E$7=TH!H249,OR(N249="331",O249="331")),"x","")</f>
        <v/>
      </c>
    </row>
    <row r="250" spans="1:16" s="109" customFormat="1">
      <c r="A250" s="72">
        <f t="shared" si="11"/>
        <v>2014</v>
      </c>
      <c r="B250" s="72">
        <f t="shared" si="12"/>
        <v>3</v>
      </c>
      <c r="C250" s="73">
        <v>41723</v>
      </c>
      <c r="D250" s="73" t="s">
        <v>17</v>
      </c>
      <c r="E250" s="73">
        <v>41723</v>
      </c>
      <c r="F250" s="76" t="s">
        <v>34</v>
      </c>
      <c r="G250" s="265"/>
      <c r="H250" s="122"/>
      <c r="I250" s="122"/>
      <c r="J250" s="122"/>
      <c r="K250" s="122"/>
      <c r="L250" s="122"/>
      <c r="M250" s="74">
        <v>20000</v>
      </c>
      <c r="N250" s="75" t="s">
        <v>241</v>
      </c>
      <c r="O250" s="75" t="s">
        <v>54</v>
      </c>
      <c r="P250" s="134" t="str">
        <f>IF(AND('331-CT'!$E$7=TH!H250,OR(N250="331",O250="331")),"x","")</f>
        <v/>
      </c>
    </row>
    <row r="251" spans="1:16" s="109" customFormat="1">
      <c r="A251" s="72">
        <f t="shared" si="11"/>
        <v>2014</v>
      </c>
      <c r="B251" s="72">
        <f t="shared" si="12"/>
        <v>3</v>
      </c>
      <c r="C251" s="73">
        <v>41723</v>
      </c>
      <c r="D251" s="73" t="s">
        <v>17</v>
      </c>
      <c r="E251" s="73">
        <v>41723</v>
      </c>
      <c r="F251" s="76" t="s">
        <v>35</v>
      </c>
      <c r="G251" s="265"/>
      <c r="H251" s="122"/>
      <c r="I251" s="122"/>
      <c r="J251" s="122"/>
      <c r="K251" s="122"/>
      <c r="L251" s="122"/>
      <c r="M251" s="74">
        <v>2000</v>
      </c>
      <c r="N251" s="75" t="s">
        <v>19</v>
      </c>
      <c r="O251" s="75" t="s">
        <v>54</v>
      </c>
      <c r="P251" s="134" t="str">
        <f>IF(AND('331-CT'!$E$7=TH!H251,OR(N251="331",O251="331")),"x","")</f>
        <v/>
      </c>
    </row>
    <row r="252" spans="1:16" s="109" customFormat="1">
      <c r="A252" s="72">
        <f t="shared" si="11"/>
        <v>2014</v>
      </c>
      <c r="B252" s="72">
        <f t="shared" si="12"/>
        <v>4</v>
      </c>
      <c r="C252" s="73">
        <v>41743</v>
      </c>
      <c r="D252" s="73" t="s">
        <v>78</v>
      </c>
      <c r="E252" s="73">
        <v>41743</v>
      </c>
      <c r="F252" s="76" t="s">
        <v>87</v>
      </c>
      <c r="G252" s="265" t="s">
        <v>562</v>
      </c>
      <c r="H252" s="122" t="s">
        <v>86</v>
      </c>
      <c r="I252" s="122"/>
      <c r="J252" s="122"/>
      <c r="K252" s="122"/>
      <c r="L252" s="122"/>
      <c r="M252" s="74">
        <v>55000000</v>
      </c>
      <c r="N252" s="75" t="s">
        <v>654</v>
      </c>
      <c r="O252" s="75" t="s">
        <v>18</v>
      </c>
      <c r="P252" s="134" t="str">
        <f>IF(AND('331-CT'!$E$7=TH!H252,OR(N252="331",O252="331")),"x","")</f>
        <v/>
      </c>
    </row>
    <row r="253" spans="1:16" s="109" customFormat="1">
      <c r="A253" s="72">
        <f t="shared" si="11"/>
        <v>2014</v>
      </c>
      <c r="B253" s="72">
        <f t="shared" si="12"/>
        <v>4</v>
      </c>
      <c r="C253" s="107">
        <v>41743</v>
      </c>
      <c r="D253" s="73" t="s">
        <v>78</v>
      </c>
      <c r="E253" s="73">
        <v>41743</v>
      </c>
      <c r="F253" s="76" t="s">
        <v>88</v>
      </c>
      <c r="G253" s="265" t="s">
        <v>562</v>
      </c>
      <c r="H253" s="122" t="s">
        <v>86</v>
      </c>
      <c r="I253" s="122"/>
      <c r="J253" s="122"/>
      <c r="K253" s="122"/>
      <c r="L253" s="122"/>
      <c r="M253" s="74">
        <v>5500000</v>
      </c>
      <c r="N253" s="75" t="s">
        <v>19</v>
      </c>
      <c r="O253" s="75" t="s">
        <v>18</v>
      </c>
      <c r="P253" s="134" t="str">
        <f>IF(AND('331-CT'!$E$7=TH!H253,OR(N253="331",O253="331")),"x","")</f>
        <v/>
      </c>
    </row>
    <row r="254" spans="1:16" s="109" customFormat="1">
      <c r="A254" s="72">
        <f t="shared" si="11"/>
        <v>2014</v>
      </c>
      <c r="B254" s="72">
        <f t="shared" si="12"/>
        <v>5</v>
      </c>
      <c r="C254" s="107">
        <v>41775</v>
      </c>
      <c r="D254" s="73" t="s">
        <v>135</v>
      </c>
      <c r="E254" s="73">
        <v>41775</v>
      </c>
      <c r="F254" s="76" t="s">
        <v>576</v>
      </c>
      <c r="G254" s="265"/>
      <c r="H254" s="122" t="s">
        <v>266</v>
      </c>
      <c r="I254" s="122"/>
      <c r="J254" s="122"/>
      <c r="K254" s="122"/>
      <c r="L254" s="122"/>
      <c r="M254" s="74">
        <v>33000000</v>
      </c>
      <c r="N254" s="75" t="s">
        <v>39</v>
      </c>
      <c r="O254" s="75" t="s">
        <v>203</v>
      </c>
      <c r="P254" s="134" t="str">
        <f>IF(AND('331-CT'!$E$7=TH!H254,OR(N254="331",O254="331")),"x","")</f>
        <v/>
      </c>
    </row>
    <row r="255" spans="1:16" s="109" customFormat="1">
      <c r="A255" s="72">
        <f t="shared" si="11"/>
        <v>2014</v>
      </c>
      <c r="B255" s="72">
        <f t="shared" si="12"/>
        <v>5</v>
      </c>
      <c r="C255" s="107">
        <v>41775</v>
      </c>
      <c r="D255" s="73" t="s">
        <v>21</v>
      </c>
      <c r="E255" s="73">
        <v>41775</v>
      </c>
      <c r="F255" s="76" t="s">
        <v>45</v>
      </c>
      <c r="G255" s="265"/>
      <c r="H255" s="122" t="s">
        <v>266</v>
      </c>
      <c r="I255" s="122"/>
      <c r="J255" s="122"/>
      <c r="K255" s="122"/>
      <c r="L255" s="122"/>
      <c r="M255" s="74">
        <v>33000000</v>
      </c>
      <c r="N255" s="77" t="s">
        <v>54</v>
      </c>
      <c r="O255" s="75" t="s">
        <v>39</v>
      </c>
      <c r="P255" s="134" t="str">
        <f>IF(AND('331-CT'!$E$7=TH!H255,OR(N255="331",O255="331")),"x","")</f>
        <v/>
      </c>
    </row>
    <row r="256" spans="1:16" s="109" customFormat="1">
      <c r="A256" s="72">
        <f t="shared" si="11"/>
        <v>2014</v>
      </c>
      <c r="B256" s="72">
        <f t="shared" si="12"/>
        <v>5</v>
      </c>
      <c r="C256" s="73">
        <v>41775</v>
      </c>
      <c r="D256" s="73" t="s">
        <v>17</v>
      </c>
      <c r="E256" s="73">
        <v>41775</v>
      </c>
      <c r="F256" s="76" t="s">
        <v>180</v>
      </c>
      <c r="G256" s="265"/>
      <c r="H256" s="122" t="s">
        <v>86</v>
      </c>
      <c r="I256" s="122"/>
      <c r="J256" s="122"/>
      <c r="K256" s="122"/>
      <c r="L256" s="122"/>
      <c r="M256" s="74">
        <v>33000000</v>
      </c>
      <c r="N256" s="75" t="s">
        <v>212</v>
      </c>
      <c r="O256" s="75" t="s">
        <v>54</v>
      </c>
      <c r="P256" s="134" t="str">
        <f>IF(AND('331-CT'!$E$7=TH!H256,OR(N256="331",O256="331")),"x","")</f>
        <v/>
      </c>
    </row>
    <row r="257" spans="1:16" s="109" customFormat="1">
      <c r="A257" s="72">
        <f t="shared" si="11"/>
        <v>2014</v>
      </c>
      <c r="B257" s="72">
        <f t="shared" si="12"/>
        <v>5</v>
      </c>
      <c r="C257" s="73">
        <v>41775</v>
      </c>
      <c r="D257" s="73" t="s">
        <v>17</v>
      </c>
      <c r="E257" s="73">
        <v>41775</v>
      </c>
      <c r="F257" s="76" t="s">
        <v>34</v>
      </c>
      <c r="G257" s="265"/>
      <c r="H257" s="122"/>
      <c r="I257" s="122"/>
      <c r="J257" s="122"/>
      <c r="K257" s="122"/>
      <c r="L257" s="122"/>
      <c r="M257" s="74">
        <v>25000</v>
      </c>
      <c r="N257" s="75" t="s">
        <v>241</v>
      </c>
      <c r="O257" s="75" t="s">
        <v>54</v>
      </c>
      <c r="P257" s="134" t="str">
        <f>IF(AND('331-CT'!$E$7=TH!H257,OR(N257="331",O257="331")),"x","")</f>
        <v/>
      </c>
    </row>
    <row r="258" spans="1:16" s="109" customFormat="1">
      <c r="A258" s="72">
        <f t="shared" si="11"/>
        <v>2014</v>
      </c>
      <c r="B258" s="72">
        <f t="shared" si="12"/>
        <v>5</v>
      </c>
      <c r="C258" s="107">
        <v>41775</v>
      </c>
      <c r="D258" s="73" t="s">
        <v>17</v>
      </c>
      <c r="E258" s="73">
        <v>41775</v>
      </c>
      <c r="F258" s="76" t="s">
        <v>35</v>
      </c>
      <c r="G258" s="265"/>
      <c r="H258" s="122"/>
      <c r="I258" s="122"/>
      <c r="J258" s="122"/>
      <c r="K258" s="122"/>
      <c r="L258" s="122"/>
      <c r="M258" s="74">
        <v>2500</v>
      </c>
      <c r="N258" s="77" t="s">
        <v>19</v>
      </c>
      <c r="O258" s="75" t="s">
        <v>54</v>
      </c>
      <c r="P258" s="134" t="str">
        <f>IF(AND('331-CT'!$E$7=TH!H258,OR(N258="331",O258="331")),"x","")</f>
        <v/>
      </c>
    </row>
    <row r="259" spans="1:16" s="109" customFormat="1">
      <c r="A259" s="72">
        <f t="shared" si="11"/>
        <v>2014</v>
      </c>
      <c r="B259" s="72">
        <f t="shared" si="12"/>
        <v>5</v>
      </c>
      <c r="C259" s="107">
        <v>41779</v>
      </c>
      <c r="D259" s="73" t="s">
        <v>154</v>
      </c>
      <c r="E259" s="73">
        <v>41779</v>
      </c>
      <c r="F259" s="76" t="s">
        <v>575</v>
      </c>
      <c r="G259" s="265"/>
      <c r="H259" s="122" t="s">
        <v>271</v>
      </c>
      <c r="I259" s="122"/>
      <c r="J259" s="122"/>
      <c r="K259" s="122"/>
      <c r="L259" s="122"/>
      <c r="M259" s="74">
        <v>36500000</v>
      </c>
      <c r="N259" s="77" t="s">
        <v>54</v>
      </c>
      <c r="O259" s="75" t="s">
        <v>203</v>
      </c>
      <c r="P259" s="134" t="str">
        <f>IF(AND('331-CT'!$E$7=TH!H259,OR(N259="331",O259="331")),"x","")</f>
        <v/>
      </c>
    </row>
    <row r="260" spans="1:16" s="109" customFormat="1">
      <c r="A260" s="72">
        <f t="shared" si="11"/>
        <v>2014</v>
      </c>
      <c r="B260" s="72">
        <f t="shared" si="12"/>
        <v>5</v>
      </c>
      <c r="C260" s="73">
        <v>41779</v>
      </c>
      <c r="D260" s="73" t="s">
        <v>21</v>
      </c>
      <c r="E260" s="73">
        <v>41779</v>
      </c>
      <c r="F260" s="76" t="s">
        <v>180</v>
      </c>
      <c r="G260" s="265"/>
      <c r="H260" s="122" t="s">
        <v>86</v>
      </c>
      <c r="I260" s="122"/>
      <c r="J260" s="122"/>
      <c r="K260" s="122"/>
      <c r="L260" s="122"/>
      <c r="M260" s="74">
        <v>33000000</v>
      </c>
      <c r="N260" s="75" t="s">
        <v>54</v>
      </c>
      <c r="O260" s="75" t="s">
        <v>212</v>
      </c>
      <c r="P260" s="134" t="str">
        <f>IF(AND('331-CT'!$E$7=TH!H260,OR(N260="331",O260="331")),"x","")</f>
        <v/>
      </c>
    </row>
    <row r="261" spans="1:16" s="109" customFormat="1">
      <c r="A261" s="72">
        <f t="shared" si="11"/>
        <v>2014</v>
      </c>
      <c r="B261" s="72">
        <f t="shared" si="12"/>
        <v>5</v>
      </c>
      <c r="C261" s="73">
        <v>41779</v>
      </c>
      <c r="D261" s="73" t="s">
        <v>17</v>
      </c>
      <c r="E261" s="73">
        <v>41779</v>
      </c>
      <c r="F261" s="76" t="s">
        <v>8</v>
      </c>
      <c r="G261" s="265"/>
      <c r="H261" s="122" t="s">
        <v>86</v>
      </c>
      <c r="I261" s="122"/>
      <c r="J261" s="122"/>
      <c r="K261" s="122"/>
      <c r="L261" s="122"/>
      <c r="M261" s="74">
        <v>33000000</v>
      </c>
      <c r="N261" s="75" t="s">
        <v>18</v>
      </c>
      <c r="O261" s="75" t="s">
        <v>54</v>
      </c>
      <c r="P261" s="134" t="str">
        <f>IF(AND('331-CT'!$E$7=TH!H261,OR(N261="331",O261="331")),"x","")</f>
        <v/>
      </c>
    </row>
    <row r="262" spans="1:16" s="109" customFormat="1">
      <c r="A262" s="72">
        <f t="shared" si="11"/>
        <v>2014</v>
      </c>
      <c r="B262" s="72">
        <f t="shared" si="12"/>
        <v>5</v>
      </c>
      <c r="C262" s="73">
        <v>41779</v>
      </c>
      <c r="D262" s="73" t="s">
        <v>17</v>
      </c>
      <c r="E262" s="73">
        <v>41779</v>
      </c>
      <c r="F262" s="76" t="s">
        <v>34</v>
      </c>
      <c r="G262" s="270"/>
      <c r="H262" s="122"/>
      <c r="I262" s="122"/>
      <c r="J262" s="122"/>
      <c r="K262" s="122"/>
      <c r="L262" s="122"/>
      <c r="M262" s="74">
        <v>25000</v>
      </c>
      <c r="N262" s="75" t="s">
        <v>241</v>
      </c>
      <c r="O262" s="75" t="s">
        <v>54</v>
      </c>
      <c r="P262" s="134" t="str">
        <f>IF(AND('331-CT'!$E$7=TH!H262,OR(N262="331",O262="331")),"x","")</f>
        <v/>
      </c>
    </row>
    <row r="263" spans="1:16" s="109" customFormat="1">
      <c r="A263" s="72">
        <f t="shared" si="11"/>
        <v>2014</v>
      </c>
      <c r="B263" s="72">
        <f t="shared" si="12"/>
        <v>5</v>
      </c>
      <c r="C263" s="73">
        <v>41779</v>
      </c>
      <c r="D263" s="73" t="s">
        <v>17</v>
      </c>
      <c r="E263" s="73">
        <v>41779</v>
      </c>
      <c r="F263" s="76" t="s">
        <v>35</v>
      </c>
      <c r="G263" s="270"/>
      <c r="H263" s="122"/>
      <c r="I263" s="122"/>
      <c r="J263" s="122"/>
      <c r="K263" s="122"/>
      <c r="L263" s="122"/>
      <c r="M263" s="74">
        <v>2500</v>
      </c>
      <c r="N263" s="75" t="s">
        <v>19</v>
      </c>
      <c r="O263" s="75" t="s">
        <v>54</v>
      </c>
      <c r="P263" s="134" t="str">
        <f>IF(AND('331-CT'!$E$7=TH!H263,OR(N263="331",O263="331")),"x","")</f>
        <v/>
      </c>
    </row>
    <row r="264" spans="1:16" s="109" customFormat="1">
      <c r="A264" s="72">
        <f t="shared" si="11"/>
        <v>2014</v>
      </c>
      <c r="B264" s="72">
        <f t="shared" si="12"/>
        <v>5</v>
      </c>
      <c r="C264" s="107">
        <v>41780</v>
      </c>
      <c r="D264" s="73" t="s">
        <v>17</v>
      </c>
      <c r="E264" s="73">
        <v>41780</v>
      </c>
      <c r="F264" s="76" t="s">
        <v>114</v>
      </c>
      <c r="G264" s="265"/>
      <c r="H264" s="122" t="s">
        <v>83</v>
      </c>
      <c r="I264" s="122"/>
      <c r="J264" s="122"/>
      <c r="K264" s="122"/>
      <c r="L264" s="122"/>
      <c r="M264" s="74">
        <v>36432000</v>
      </c>
      <c r="N264" s="77" t="s">
        <v>18</v>
      </c>
      <c r="O264" s="75" t="s">
        <v>54</v>
      </c>
      <c r="P264" s="134" t="str">
        <f>IF(AND('331-CT'!$E$7=TH!H264,OR(N264="331",O264="331")),"x","")</f>
        <v>x</v>
      </c>
    </row>
    <row r="265" spans="1:16" s="109" customFormat="1">
      <c r="A265" s="72">
        <f t="shared" si="11"/>
        <v>2014</v>
      </c>
      <c r="B265" s="72">
        <f t="shared" si="12"/>
        <v>5</v>
      </c>
      <c r="C265" s="73">
        <v>41780</v>
      </c>
      <c r="D265" s="73" t="s">
        <v>17</v>
      </c>
      <c r="E265" s="73">
        <v>41780</v>
      </c>
      <c r="F265" s="76" t="s">
        <v>34</v>
      </c>
      <c r="G265" s="265"/>
      <c r="H265" s="122"/>
      <c r="I265" s="122"/>
      <c r="J265" s="122"/>
      <c r="K265" s="122"/>
      <c r="L265" s="122"/>
      <c r="M265" s="74">
        <v>45000</v>
      </c>
      <c r="N265" s="75" t="s">
        <v>241</v>
      </c>
      <c r="O265" s="75" t="s">
        <v>54</v>
      </c>
      <c r="P265" s="134" t="str">
        <f>IF(AND('331-CT'!$E$7=TH!H265,OR(N265="331",O265="331")),"x","")</f>
        <v/>
      </c>
    </row>
    <row r="266" spans="1:16" s="109" customFormat="1">
      <c r="A266" s="72">
        <f t="shared" si="11"/>
        <v>2014</v>
      </c>
      <c r="B266" s="72">
        <f t="shared" si="12"/>
        <v>5</v>
      </c>
      <c r="C266" s="73">
        <v>41780</v>
      </c>
      <c r="D266" s="73" t="s">
        <v>17</v>
      </c>
      <c r="E266" s="73">
        <v>41780</v>
      </c>
      <c r="F266" s="76" t="s">
        <v>35</v>
      </c>
      <c r="G266" s="265"/>
      <c r="H266" s="122"/>
      <c r="I266" s="122"/>
      <c r="J266" s="122"/>
      <c r="K266" s="122"/>
      <c r="L266" s="122"/>
      <c r="M266" s="74">
        <v>4500</v>
      </c>
      <c r="N266" s="75" t="s">
        <v>19</v>
      </c>
      <c r="O266" s="75" t="s">
        <v>54</v>
      </c>
      <c r="P266" s="134" t="str">
        <f>IF(AND('331-CT'!$E$7=TH!H266,OR(N266="331",O266="331")),"x","")</f>
        <v/>
      </c>
    </row>
    <row r="267" spans="1:16" s="109" customFormat="1">
      <c r="A267" s="72">
        <f t="shared" si="11"/>
        <v>2014</v>
      </c>
      <c r="B267" s="72">
        <f t="shared" si="12"/>
        <v>5</v>
      </c>
      <c r="C267" s="73">
        <v>41785</v>
      </c>
      <c r="D267" s="73" t="s">
        <v>78</v>
      </c>
      <c r="E267" s="73">
        <v>41785</v>
      </c>
      <c r="F267" s="76" t="s">
        <v>189</v>
      </c>
      <c r="G267" s="270" t="s">
        <v>563</v>
      </c>
      <c r="H267" s="122" t="s">
        <v>83</v>
      </c>
      <c r="I267" s="122"/>
      <c r="J267" s="122"/>
      <c r="K267" s="122"/>
      <c r="L267" s="122"/>
      <c r="M267" s="74">
        <v>33120000</v>
      </c>
      <c r="N267" s="75" t="s">
        <v>241</v>
      </c>
      <c r="O267" s="75" t="s">
        <v>18</v>
      </c>
      <c r="P267" s="134" t="str">
        <f>IF(AND('331-CT'!$E$7=TH!H267,OR(N267="331",O267="331")),"x","")</f>
        <v>x</v>
      </c>
    </row>
    <row r="268" spans="1:16" s="109" customFormat="1">
      <c r="A268" s="72">
        <f t="shared" ref="A268:A331" si="13">IF(C268&lt;&gt;"",YEAR(C268),"")</f>
        <v>2014</v>
      </c>
      <c r="B268" s="72">
        <f t="shared" ref="B268:B331" si="14">IF(C268&lt;&gt;"",MONTH(C268),"")</f>
        <v>5</v>
      </c>
      <c r="C268" s="73">
        <v>41785</v>
      </c>
      <c r="D268" s="73" t="s">
        <v>78</v>
      </c>
      <c r="E268" s="73">
        <v>41785</v>
      </c>
      <c r="F268" s="76" t="s">
        <v>84</v>
      </c>
      <c r="G268" s="270" t="s">
        <v>563</v>
      </c>
      <c r="H268" s="122" t="s">
        <v>83</v>
      </c>
      <c r="I268" s="122"/>
      <c r="J268" s="122"/>
      <c r="K268" s="122"/>
      <c r="L268" s="122"/>
      <c r="M268" s="74">
        <v>3312000</v>
      </c>
      <c r="N268" s="75" t="s">
        <v>19</v>
      </c>
      <c r="O268" s="75" t="s">
        <v>18</v>
      </c>
      <c r="P268" s="134" t="str">
        <f>IF(AND('331-CT'!$E$7=TH!H268,OR(N268="331",O268="331")),"x","")</f>
        <v>x</v>
      </c>
    </row>
    <row r="269" spans="1:16" s="109" customFormat="1">
      <c r="A269" s="72">
        <f t="shared" si="13"/>
        <v>2014</v>
      </c>
      <c r="B269" s="72">
        <f t="shared" si="14"/>
        <v>6</v>
      </c>
      <c r="C269" s="73">
        <v>41810</v>
      </c>
      <c r="D269" s="73" t="s">
        <v>157</v>
      </c>
      <c r="E269" s="73">
        <v>41810</v>
      </c>
      <c r="F269" s="76" t="s">
        <v>575</v>
      </c>
      <c r="G269" s="270"/>
      <c r="H269" s="122" t="s">
        <v>271</v>
      </c>
      <c r="I269" s="122"/>
      <c r="J269" s="122"/>
      <c r="K269" s="122"/>
      <c r="L269" s="122"/>
      <c r="M269" s="74">
        <v>30000000</v>
      </c>
      <c r="N269" s="75" t="s">
        <v>54</v>
      </c>
      <c r="O269" s="75" t="s">
        <v>203</v>
      </c>
      <c r="P269" s="134" t="str">
        <f>IF(AND('331-CT'!$E$7=TH!H269,OR(N269="331",O269="331")),"x","")</f>
        <v/>
      </c>
    </row>
    <row r="270" spans="1:16" s="109" customFormat="1">
      <c r="A270" s="72">
        <f t="shared" si="13"/>
        <v>2014</v>
      </c>
      <c r="B270" s="72">
        <f t="shared" si="14"/>
        <v>6</v>
      </c>
      <c r="C270" s="73">
        <v>41810</v>
      </c>
      <c r="D270" s="73" t="s">
        <v>17</v>
      </c>
      <c r="E270" s="73">
        <v>41810</v>
      </c>
      <c r="F270" s="76" t="s">
        <v>49</v>
      </c>
      <c r="G270" s="270"/>
      <c r="H270" s="122"/>
      <c r="I270" s="122"/>
      <c r="J270" s="122"/>
      <c r="K270" s="122"/>
      <c r="L270" s="122"/>
      <c r="M270" s="74">
        <v>50000</v>
      </c>
      <c r="N270" s="75" t="s">
        <v>241</v>
      </c>
      <c r="O270" s="75" t="s">
        <v>54</v>
      </c>
      <c r="P270" s="134" t="str">
        <f>IF(AND('331-CT'!$E$7=TH!H270,OR(N270="331",O270="331")),"x","")</f>
        <v/>
      </c>
    </row>
    <row r="271" spans="1:16" s="109" customFormat="1">
      <c r="A271" s="72">
        <f t="shared" si="13"/>
        <v>2014</v>
      </c>
      <c r="B271" s="72">
        <f t="shared" si="14"/>
        <v>6</v>
      </c>
      <c r="C271" s="107">
        <v>41810</v>
      </c>
      <c r="D271" s="73" t="s">
        <v>17</v>
      </c>
      <c r="E271" s="73">
        <v>41810</v>
      </c>
      <c r="F271" s="76" t="s">
        <v>44</v>
      </c>
      <c r="G271" s="265"/>
      <c r="H271" s="122"/>
      <c r="I271" s="122"/>
      <c r="J271" s="122"/>
      <c r="K271" s="122"/>
      <c r="L271" s="122"/>
      <c r="M271" s="74">
        <v>5000</v>
      </c>
      <c r="N271" s="77" t="s">
        <v>19</v>
      </c>
      <c r="O271" s="75" t="s">
        <v>54</v>
      </c>
      <c r="P271" s="134" t="str">
        <f>IF(AND('331-CT'!$E$7=TH!H271,OR(N271="331",O271="331")),"x","")</f>
        <v/>
      </c>
    </row>
    <row r="272" spans="1:16" s="109" customFormat="1">
      <c r="A272" s="72">
        <f t="shared" si="13"/>
        <v>2014</v>
      </c>
      <c r="B272" s="72">
        <f t="shared" si="14"/>
        <v>6</v>
      </c>
      <c r="C272" s="73">
        <v>41810</v>
      </c>
      <c r="D272" s="73" t="s">
        <v>17</v>
      </c>
      <c r="E272" s="73">
        <v>41810</v>
      </c>
      <c r="F272" s="76" t="s">
        <v>48</v>
      </c>
      <c r="G272" s="265"/>
      <c r="H272" s="122"/>
      <c r="I272" s="122"/>
      <c r="J272" s="122"/>
      <c r="K272" s="122"/>
      <c r="L272" s="122"/>
      <c r="M272" s="74">
        <v>50000</v>
      </c>
      <c r="N272" s="75" t="s">
        <v>241</v>
      </c>
      <c r="O272" s="75" t="s">
        <v>54</v>
      </c>
      <c r="P272" s="134" t="str">
        <f>IF(AND('331-CT'!$E$7=TH!H272,OR(N272="331",O272="331")),"x","")</f>
        <v/>
      </c>
    </row>
    <row r="273" spans="1:16" s="109" customFormat="1">
      <c r="A273" s="72">
        <f t="shared" si="13"/>
        <v>2014</v>
      </c>
      <c r="B273" s="72">
        <f t="shared" si="14"/>
        <v>6</v>
      </c>
      <c r="C273" s="73">
        <v>41810</v>
      </c>
      <c r="D273" s="73" t="s">
        <v>17</v>
      </c>
      <c r="E273" s="73">
        <v>41810</v>
      </c>
      <c r="F273" s="76" t="s">
        <v>44</v>
      </c>
      <c r="G273" s="265"/>
      <c r="H273" s="122"/>
      <c r="I273" s="122"/>
      <c r="J273" s="122"/>
      <c r="K273" s="122"/>
      <c r="L273" s="122"/>
      <c r="M273" s="74">
        <v>5000</v>
      </c>
      <c r="N273" s="75" t="s">
        <v>19</v>
      </c>
      <c r="O273" s="75" t="s">
        <v>54</v>
      </c>
      <c r="P273" s="134" t="str">
        <f>IF(AND('331-CT'!$E$7=TH!H273,OR(N273="331",O273="331")),"x","")</f>
        <v/>
      </c>
    </row>
    <row r="274" spans="1:16" s="109" customFormat="1">
      <c r="A274" s="72">
        <f t="shared" si="13"/>
        <v>2014</v>
      </c>
      <c r="B274" s="72">
        <f t="shared" si="14"/>
        <v>6</v>
      </c>
      <c r="C274" s="73">
        <v>41810</v>
      </c>
      <c r="D274" s="73" t="s">
        <v>17</v>
      </c>
      <c r="E274" s="73">
        <v>41810</v>
      </c>
      <c r="F274" s="76" t="s">
        <v>47</v>
      </c>
      <c r="G274" s="270"/>
      <c r="H274" s="122"/>
      <c r="I274" s="122"/>
      <c r="J274" s="122"/>
      <c r="K274" s="122"/>
      <c r="L274" s="122"/>
      <c r="M274" s="74">
        <v>50000</v>
      </c>
      <c r="N274" s="75" t="s">
        <v>241</v>
      </c>
      <c r="O274" s="75" t="s">
        <v>54</v>
      </c>
      <c r="P274" s="134" t="str">
        <f>IF(AND('331-CT'!$E$7=TH!H274,OR(N274="331",O274="331")),"x","")</f>
        <v/>
      </c>
    </row>
    <row r="275" spans="1:16" s="109" customFormat="1">
      <c r="A275" s="72">
        <f t="shared" si="13"/>
        <v>2014</v>
      </c>
      <c r="B275" s="72">
        <f t="shared" si="14"/>
        <v>6</v>
      </c>
      <c r="C275" s="73">
        <v>41810</v>
      </c>
      <c r="D275" s="73" t="s">
        <v>17</v>
      </c>
      <c r="E275" s="73">
        <v>41810</v>
      </c>
      <c r="F275" s="76" t="s">
        <v>44</v>
      </c>
      <c r="G275" s="270"/>
      <c r="H275" s="122"/>
      <c r="I275" s="122"/>
      <c r="J275" s="122"/>
      <c r="K275" s="122"/>
      <c r="L275" s="122"/>
      <c r="M275" s="74">
        <v>5000</v>
      </c>
      <c r="N275" s="75" t="s">
        <v>19</v>
      </c>
      <c r="O275" s="75" t="s">
        <v>54</v>
      </c>
      <c r="P275" s="134" t="str">
        <f>IF(AND('331-CT'!$E$7=TH!H275,OR(N275="331",O275="331")),"x","")</f>
        <v/>
      </c>
    </row>
    <row r="276" spans="1:16" s="109" customFormat="1">
      <c r="A276" s="72">
        <f t="shared" si="13"/>
        <v>2014</v>
      </c>
      <c r="B276" s="72">
        <f t="shared" si="14"/>
        <v>6</v>
      </c>
      <c r="C276" s="73">
        <v>41813</v>
      </c>
      <c r="D276" s="73" t="s">
        <v>17</v>
      </c>
      <c r="E276" s="73">
        <v>41813</v>
      </c>
      <c r="F276" s="76" t="s">
        <v>9</v>
      </c>
      <c r="G276" s="265"/>
      <c r="H276" s="122" t="s">
        <v>90</v>
      </c>
      <c r="I276" s="122"/>
      <c r="J276" s="122"/>
      <c r="K276" s="122"/>
      <c r="L276" s="122"/>
      <c r="M276" s="74">
        <v>30000000</v>
      </c>
      <c r="N276" s="75" t="s">
        <v>18</v>
      </c>
      <c r="O276" s="75" t="s">
        <v>54</v>
      </c>
      <c r="P276" s="134" t="str">
        <f>IF(AND('331-CT'!$E$7=TH!H276,OR(N276="331",O276="331")),"x","")</f>
        <v/>
      </c>
    </row>
    <row r="277" spans="1:16" s="109" customFormat="1">
      <c r="A277" s="72">
        <f t="shared" si="13"/>
        <v>2014</v>
      </c>
      <c r="B277" s="72">
        <f t="shared" si="14"/>
        <v>6</v>
      </c>
      <c r="C277" s="73">
        <v>41813</v>
      </c>
      <c r="D277" s="73" t="s">
        <v>17</v>
      </c>
      <c r="E277" s="73">
        <v>41813</v>
      </c>
      <c r="F277" s="76" t="s">
        <v>34</v>
      </c>
      <c r="G277" s="265"/>
      <c r="H277" s="122"/>
      <c r="I277" s="122"/>
      <c r="J277" s="122"/>
      <c r="K277" s="122"/>
      <c r="L277" s="122"/>
      <c r="M277" s="74">
        <v>20000</v>
      </c>
      <c r="N277" s="75" t="s">
        <v>241</v>
      </c>
      <c r="O277" s="75" t="s">
        <v>54</v>
      </c>
      <c r="P277" s="134" t="str">
        <f>IF(AND('331-CT'!$E$7=TH!H277,OR(N277="331",O277="331")),"x","")</f>
        <v/>
      </c>
    </row>
    <row r="278" spans="1:16" s="109" customFormat="1">
      <c r="A278" s="72">
        <f t="shared" si="13"/>
        <v>2014</v>
      </c>
      <c r="B278" s="72">
        <f t="shared" si="14"/>
        <v>6</v>
      </c>
      <c r="C278" s="73">
        <v>41813</v>
      </c>
      <c r="D278" s="73" t="s">
        <v>17</v>
      </c>
      <c r="E278" s="73">
        <v>41813</v>
      </c>
      <c r="F278" s="76" t="s">
        <v>35</v>
      </c>
      <c r="G278" s="265"/>
      <c r="H278" s="122"/>
      <c r="I278" s="122"/>
      <c r="J278" s="122"/>
      <c r="K278" s="122"/>
      <c r="L278" s="122"/>
      <c r="M278" s="74">
        <v>2000</v>
      </c>
      <c r="N278" s="75" t="s">
        <v>19</v>
      </c>
      <c r="O278" s="75" t="s">
        <v>54</v>
      </c>
      <c r="P278" s="134" t="str">
        <f>IF(AND('331-CT'!$E$7=TH!H278,OR(N278="331",O278="331")),"x","")</f>
        <v/>
      </c>
    </row>
    <row r="279" spans="1:16" s="109" customFormat="1">
      <c r="A279" s="72">
        <f t="shared" si="13"/>
        <v>2014</v>
      </c>
      <c r="B279" s="72">
        <f t="shared" si="14"/>
        <v>7</v>
      </c>
      <c r="C279" s="73">
        <v>41821</v>
      </c>
      <c r="D279" s="73" t="s">
        <v>17</v>
      </c>
      <c r="E279" s="73">
        <v>41821</v>
      </c>
      <c r="F279" s="76" t="s">
        <v>95</v>
      </c>
      <c r="G279" s="265"/>
      <c r="H279" s="122"/>
      <c r="I279" s="122"/>
      <c r="J279" s="122"/>
      <c r="K279" s="122"/>
      <c r="L279" s="122"/>
      <c r="M279" s="74">
        <v>100000</v>
      </c>
      <c r="N279" s="75" t="s">
        <v>241</v>
      </c>
      <c r="O279" s="75" t="s">
        <v>54</v>
      </c>
      <c r="P279" s="134" t="str">
        <f>IF(AND('331-CT'!$E$7=TH!H279,OR(N279="331",O279="331")),"x","")</f>
        <v/>
      </c>
    </row>
    <row r="280" spans="1:16" s="109" customFormat="1">
      <c r="A280" s="72">
        <f t="shared" si="13"/>
        <v>2014</v>
      </c>
      <c r="B280" s="72">
        <f t="shared" si="14"/>
        <v>7</v>
      </c>
      <c r="C280" s="73">
        <v>41821</v>
      </c>
      <c r="D280" s="73" t="s">
        <v>17</v>
      </c>
      <c r="E280" s="73">
        <v>41821</v>
      </c>
      <c r="F280" s="76" t="s">
        <v>96</v>
      </c>
      <c r="G280" s="265"/>
      <c r="H280" s="122"/>
      <c r="I280" s="122"/>
      <c r="J280" s="122"/>
      <c r="K280" s="122"/>
      <c r="L280" s="122"/>
      <c r="M280" s="74">
        <v>10000</v>
      </c>
      <c r="N280" s="75" t="s">
        <v>19</v>
      </c>
      <c r="O280" s="75" t="s">
        <v>54</v>
      </c>
      <c r="P280" s="134" t="str">
        <f>IF(AND('331-CT'!$E$7=TH!H280,OR(N280="331",O280="331")),"x","")</f>
        <v/>
      </c>
    </row>
    <row r="281" spans="1:16" s="109" customFormat="1">
      <c r="A281" s="72">
        <f t="shared" si="13"/>
        <v>2014</v>
      </c>
      <c r="B281" s="72">
        <f t="shared" si="14"/>
        <v>7</v>
      </c>
      <c r="C281" s="73">
        <v>41834</v>
      </c>
      <c r="D281" s="73" t="s">
        <v>17</v>
      </c>
      <c r="E281" s="73">
        <v>41834</v>
      </c>
      <c r="F281" s="76" t="s">
        <v>6</v>
      </c>
      <c r="G281" s="265"/>
      <c r="H281" s="122" t="s">
        <v>89</v>
      </c>
      <c r="I281" s="122"/>
      <c r="J281" s="122"/>
      <c r="K281" s="122"/>
      <c r="L281" s="122"/>
      <c r="M281" s="74">
        <v>378779940</v>
      </c>
      <c r="N281" s="75" t="s">
        <v>18</v>
      </c>
      <c r="O281" s="75" t="s">
        <v>54</v>
      </c>
      <c r="P281" s="134" t="str">
        <f>IF(AND('331-CT'!$E$7=TH!H281,OR(N281="331",O281="331")),"x","")</f>
        <v/>
      </c>
    </row>
    <row r="282" spans="1:16" s="109" customFormat="1">
      <c r="A282" s="72">
        <f t="shared" si="13"/>
        <v>2014</v>
      </c>
      <c r="B282" s="72">
        <f t="shared" si="14"/>
        <v>7</v>
      </c>
      <c r="C282" s="73">
        <v>41843</v>
      </c>
      <c r="D282" s="73" t="s">
        <v>158</v>
      </c>
      <c r="E282" s="73">
        <v>41843</v>
      </c>
      <c r="F282" s="93" t="s">
        <v>575</v>
      </c>
      <c r="G282" s="265"/>
      <c r="H282" s="122" t="s">
        <v>271</v>
      </c>
      <c r="I282" s="122"/>
      <c r="J282" s="122"/>
      <c r="K282" s="122"/>
      <c r="L282" s="122"/>
      <c r="M282" s="74">
        <v>20000000</v>
      </c>
      <c r="N282" s="78" t="s">
        <v>54</v>
      </c>
      <c r="O282" s="75" t="s">
        <v>203</v>
      </c>
      <c r="P282" s="134" t="str">
        <f>IF(AND('331-CT'!$E$7=TH!H282,OR(N282="331",O282="331")),"x","")</f>
        <v/>
      </c>
    </row>
    <row r="283" spans="1:16" s="109" customFormat="1">
      <c r="A283" s="72">
        <f t="shared" si="13"/>
        <v>2014</v>
      </c>
      <c r="B283" s="72">
        <f t="shared" si="14"/>
        <v>7</v>
      </c>
      <c r="C283" s="107">
        <v>41843</v>
      </c>
      <c r="D283" s="73" t="s">
        <v>17</v>
      </c>
      <c r="E283" s="73">
        <v>41843</v>
      </c>
      <c r="F283" s="76" t="s">
        <v>5</v>
      </c>
      <c r="G283" s="265"/>
      <c r="H283" s="122" t="s">
        <v>91</v>
      </c>
      <c r="I283" s="122"/>
      <c r="J283" s="122"/>
      <c r="K283" s="122"/>
      <c r="L283" s="122"/>
      <c r="M283" s="74">
        <v>20000000</v>
      </c>
      <c r="N283" s="75" t="s">
        <v>18</v>
      </c>
      <c r="O283" s="75" t="s">
        <v>54</v>
      </c>
      <c r="P283" s="134" t="str">
        <f>IF(AND('331-CT'!$E$7=TH!H283,OR(N283="331",O283="331")),"x","")</f>
        <v/>
      </c>
    </row>
    <row r="284" spans="1:16" s="109" customFormat="1">
      <c r="A284" s="72">
        <f t="shared" si="13"/>
        <v>2014</v>
      </c>
      <c r="B284" s="72">
        <f t="shared" si="14"/>
        <v>7</v>
      </c>
      <c r="C284" s="130">
        <v>41843</v>
      </c>
      <c r="D284" s="130" t="s">
        <v>17</v>
      </c>
      <c r="E284" s="130">
        <v>41843</v>
      </c>
      <c r="F284" s="131" t="s">
        <v>34</v>
      </c>
      <c r="G284" s="271"/>
      <c r="H284" s="132"/>
      <c r="I284" s="132"/>
      <c r="J284" s="132"/>
      <c r="K284" s="132"/>
      <c r="L284" s="132"/>
      <c r="M284" s="133">
        <v>45000</v>
      </c>
      <c r="N284" s="134" t="s">
        <v>241</v>
      </c>
      <c r="O284" s="134" t="s">
        <v>54</v>
      </c>
      <c r="P284" s="134" t="str">
        <f>IF(AND('331-CT'!$E$7=TH!H284,OR(N284="331",O284="331")),"x","")</f>
        <v/>
      </c>
    </row>
    <row r="285" spans="1:16" s="109" customFormat="1">
      <c r="A285" s="72">
        <f t="shared" si="13"/>
        <v>2014</v>
      </c>
      <c r="B285" s="72">
        <f t="shared" si="14"/>
        <v>7</v>
      </c>
      <c r="C285" s="130">
        <v>41843</v>
      </c>
      <c r="D285" s="130" t="s">
        <v>17</v>
      </c>
      <c r="E285" s="130">
        <v>41843</v>
      </c>
      <c r="F285" s="131" t="s">
        <v>35</v>
      </c>
      <c r="G285" s="271"/>
      <c r="H285" s="132"/>
      <c r="I285" s="132"/>
      <c r="J285" s="132"/>
      <c r="K285" s="132"/>
      <c r="L285" s="132"/>
      <c r="M285" s="133">
        <v>4500</v>
      </c>
      <c r="N285" s="134" t="s">
        <v>19</v>
      </c>
      <c r="O285" s="134" t="s">
        <v>54</v>
      </c>
      <c r="P285" s="134" t="str">
        <f>IF(AND('331-CT'!$E$7=TH!H285,OR(N285="331",O285="331")),"x","")</f>
        <v/>
      </c>
    </row>
    <row r="286" spans="1:16" s="109" customFormat="1">
      <c r="A286" s="72">
        <f t="shared" si="13"/>
        <v>2014</v>
      </c>
      <c r="B286" s="72">
        <f t="shared" si="14"/>
        <v>7</v>
      </c>
      <c r="C286" s="107">
        <v>41851</v>
      </c>
      <c r="D286" s="73" t="s">
        <v>163</v>
      </c>
      <c r="E286" s="73">
        <v>41851</v>
      </c>
      <c r="F286" s="76" t="s">
        <v>576</v>
      </c>
      <c r="G286" s="265"/>
      <c r="H286" s="122" t="s">
        <v>266</v>
      </c>
      <c r="I286" s="122"/>
      <c r="J286" s="122"/>
      <c r="K286" s="122"/>
      <c r="L286" s="122"/>
      <c r="M286" s="74">
        <v>50000000</v>
      </c>
      <c r="N286" s="75" t="s">
        <v>39</v>
      </c>
      <c r="O286" s="75" t="s">
        <v>203</v>
      </c>
      <c r="P286" s="134" t="str">
        <f>IF(AND('331-CT'!$E$7=TH!H286,OR(N286="331",O286="331")),"x","")</f>
        <v/>
      </c>
    </row>
    <row r="287" spans="1:16" s="109" customFormat="1">
      <c r="A287" s="72">
        <f t="shared" si="13"/>
        <v>2014</v>
      </c>
      <c r="B287" s="72">
        <f t="shared" si="14"/>
        <v>7</v>
      </c>
      <c r="C287" s="73">
        <v>41851</v>
      </c>
      <c r="D287" s="73" t="s">
        <v>21</v>
      </c>
      <c r="E287" s="73">
        <v>41851</v>
      </c>
      <c r="F287" s="76" t="s">
        <v>45</v>
      </c>
      <c r="G287" s="265"/>
      <c r="H287" s="122" t="s">
        <v>266</v>
      </c>
      <c r="I287" s="122"/>
      <c r="J287" s="122"/>
      <c r="K287" s="122"/>
      <c r="L287" s="122"/>
      <c r="M287" s="74">
        <v>50000000</v>
      </c>
      <c r="N287" s="75" t="s">
        <v>54</v>
      </c>
      <c r="O287" s="75" t="s">
        <v>39</v>
      </c>
      <c r="P287" s="134" t="str">
        <f>IF(AND('331-CT'!$E$7=TH!H287,OR(N287="331",O287="331")),"x","")</f>
        <v/>
      </c>
    </row>
    <row r="288" spans="1:16" s="109" customFormat="1">
      <c r="A288" s="72">
        <f t="shared" si="13"/>
        <v>2014</v>
      </c>
      <c r="B288" s="72">
        <f t="shared" si="14"/>
        <v>7</v>
      </c>
      <c r="C288" s="107">
        <v>41851</v>
      </c>
      <c r="D288" s="73" t="s">
        <v>17</v>
      </c>
      <c r="E288" s="73">
        <v>41851</v>
      </c>
      <c r="F288" s="76" t="s">
        <v>5</v>
      </c>
      <c r="G288" s="265"/>
      <c r="H288" s="122" t="s">
        <v>91</v>
      </c>
      <c r="I288" s="122"/>
      <c r="J288" s="122"/>
      <c r="K288" s="122"/>
      <c r="L288" s="122"/>
      <c r="M288" s="74">
        <v>50000000</v>
      </c>
      <c r="N288" s="75" t="s">
        <v>18</v>
      </c>
      <c r="O288" s="75" t="s">
        <v>54</v>
      </c>
      <c r="P288" s="134" t="str">
        <f>IF(AND('331-CT'!$E$7=TH!H288,OR(N288="331",O288="331")),"x","")</f>
        <v/>
      </c>
    </row>
    <row r="289" spans="1:16" s="109" customFormat="1">
      <c r="A289" s="72">
        <f t="shared" si="13"/>
        <v>2014</v>
      </c>
      <c r="B289" s="72">
        <f t="shared" si="14"/>
        <v>7</v>
      </c>
      <c r="C289" s="73">
        <v>41851</v>
      </c>
      <c r="D289" s="73" t="s">
        <v>17</v>
      </c>
      <c r="E289" s="73">
        <v>41851</v>
      </c>
      <c r="F289" s="76" t="s">
        <v>34</v>
      </c>
      <c r="G289" s="265"/>
      <c r="H289" s="122"/>
      <c r="I289" s="122"/>
      <c r="J289" s="122"/>
      <c r="K289" s="122"/>
      <c r="L289" s="122"/>
      <c r="M289" s="74">
        <v>25000</v>
      </c>
      <c r="N289" s="75" t="s">
        <v>241</v>
      </c>
      <c r="O289" s="75" t="s">
        <v>54</v>
      </c>
      <c r="P289" s="134" t="str">
        <f>IF(AND('331-CT'!$E$7=TH!H289,OR(N289="331",O289="331")),"x","")</f>
        <v/>
      </c>
    </row>
    <row r="290" spans="1:16" s="109" customFormat="1">
      <c r="A290" s="72">
        <f t="shared" si="13"/>
        <v>2014</v>
      </c>
      <c r="B290" s="72">
        <f t="shared" si="14"/>
        <v>7</v>
      </c>
      <c r="C290" s="73">
        <v>41851</v>
      </c>
      <c r="D290" s="73" t="s">
        <v>17</v>
      </c>
      <c r="E290" s="73">
        <v>41851</v>
      </c>
      <c r="F290" s="76" t="s">
        <v>35</v>
      </c>
      <c r="G290" s="265"/>
      <c r="H290" s="124"/>
      <c r="I290" s="124"/>
      <c r="J290" s="124"/>
      <c r="K290" s="124"/>
      <c r="L290" s="124"/>
      <c r="M290" s="74">
        <v>2500</v>
      </c>
      <c r="N290" s="75" t="s">
        <v>19</v>
      </c>
      <c r="O290" s="75" t="s">
        <v>54</v>
      </c>
      <c r="P290" s="134" t="str">
        <f>IF(AND('331-CT'!$E$7=TH!H290,OR(N290="331",O290="331")),"x","")</f>
        <v/>
      </c>
    </row>
    <row r="291" spans="1:16" s="109" customFormat="1">
      <c r="A291" s="72">
        <f t="shared" si="13"/>
        <v>2014</v>
      </c>
      <c r="B291" s="72">
        <f t="shared" si="14"/>
        <v>8</v>
      </c>
      <c r="C291" s="73">
        <v>41857</v>
      </c>
      <c r="D291" s="73" t="s">
        <v>164</v>
      </c>
      <c r="E291" s="73">
        <v>41857</v>
      </c>
      <c r="F291" s="76" t="s">
        <v>576</v>
      </c>
      <c r="G291" s="265"/>
      <c r="H291" s="124" t="s">
        <v>266</v>
      </c>
      <c r="I291" s="124"/>
      <c r="J291" s="124"/>
      <c r="K291" s="124"/>
      <c r="L291" s="124"/>
      <c r="M291" s="74">
        <v>50000000</v>
      </c>
      <c r="N291" s="75" t="s">
        <v>39</v>
      </c>
      <c r="O291" s="75" t="s">
        <v>203</v>
      </c>
      <c r="P291" s="134" t="str">
        <f>IF(AND('331-CT'!$E$7=TH!H291,OR(N291="331",O291="331")),"x","")</f>
        <v/>
      </c>
    </row>
    <row r="292" spans="1:16" s="109" customFormat="1">
      <c r="A292" s="72">
        <f t="shared" si="13"/>
        <v>2014</v>
      </c>
      <c r="B292" s="72">
        <f t="shared" si="14"/>
        <v>8</v>
      </c>
      <c r="C292" s="107">
        <v>41857</v>
      </c>
      <c r="D292" s="73" t="s">
        <v>21</v>
      </c>
      <c r="E292" s="73">
        <v>41857</v>
      </c>
      <c r="F292" s="76" t="s">
        <v>45</v>
      </c>
      <c r="G292" s="265"/>
      <c r="H292" s="122" t="s">
        <v>266</v>
      </c>
      <c r="I292" s="122"/>
      <c r="J292" s="122"/>
      <c r="K292" s="122"/>
      <c r="L292" s="122"/>
      <c r="M292" s="74">
        <v>50000000</v>
      </c>
      <c r="N292" s="75" t="s">
        <v>54</v>
      </c>
      <c r="O292" s="75" t="s">
        <v>39</v>
      </c>
      <c r="P292" s="134" t="str">
        <f>IF(AND('331-CT'!$E$7=TH!H292,OR(N292="331",O292="331")),"x","")</f>
        <v/>
      </c>
    </row>
    <row r="293" spans="1:16" s="109" customFormat="1">
      <c r="A293" s="72">
        <f t="shared" si="13"/>
        <v>2014</v>
      </c>
      <c r="B293" s="72">
        <f t="shared" si="14"/>
        <v>8</v>
      </c>
      <c r="C293" s="107">
        <v>41857</v>
      </c>
      <c r="D293" s="73" t="s">
        <v>17</v>
      </c>
      <c r="E293" s="73">
        <v>41857</v>
      </c>
      <c r="F293" s="76" t="s">
        <v>5</v>
      </c>
      <c r="G293" s="265"/>
      <c r="H293" s="124" t="s">
        <v>91</v>
      </c>
      <c r="I293" s="124"/>
      <c r="J293" s="124"/>
      <c r="K293" s="124"/>
      <c r="L293" s="124"/>
      <c r="M293" s="74">
        <v>50000000</v>
      </c>
      <c r="N293" s="75" t="s">
        <v>18</v>
      </c>
      <c r="O293" s="75" t="s">
        <v>54</v>
      </c>
      <c r="P293" s="134" t="str">
        <f>IF(AND('331-CT'!$E$7=TH!H293,OR(N293="331",O293="331")),"x","")</f>
        <v/>
      </c>
    </row>
    <row r="294" spans="1:16" s="109" customFormat="1">
      <c r="A294" s="72">
        <f t="shared" si="13"/>
        <v>2014</v>
      </c>
      <c r="B294" s="72">
        <f t="shared" si="14"/>
        <v>8</v>
      </c>
      <c r="C294" s="73">
        <v>41857</v>
      </c>
      <c r="D294" s="73" t="s">
        <v>17</v>
      </c>
      <c r="E294" s="73">
        <v>41857</v>
      </c>
      <c r="F294" s="76" t="s">
        <v>34</v>
      </c>
      <c r="G294" s="265"/>
      <c r="H294" s="122"/>
      <c r="I294" s="122"/>
      <c r="J294" s="122"/>
      <c r="K294" s="122"/>
      <c r="L294" s="122"/>
      <c r="M294" s="74">
        <v>25000</v>
      </c>
      <c r="N294" s="75" t="s">
        <v>241</v>
      </c>
      <c r="O294" s="75" t="s">
        <v>54</v>
      </c>
      <c r="P294" s="134" t="str">
        <f>IF(AND('331-CT'!$E$7=TH!H294,OR(N294="331",O294="331")),"x","")</f>
        <v/>
      </c>
    </row>
    <row r="295" spans="1:16" s="109" customFormat="1">
      <c r="A295" s="72">
        <f t="shared" si="13"/>
        <v>2014</v>
      </c>
      <c r="B295" s="72">
        <f t="shared" si="14"/>
        <v>8</v>
      </c>
      <c r="C295" s="73">
        <v>41857</v>
      </c>
      <c r="D295" s="73" t="s">
        <v>17</v>
      </c>
      <c r="E295" s="73">
        <v>41857</v>
      </c>
      <c r="F295" s="76" t="s">
        <v>35</v>
      </c>
      <c r="G295" s="265"/>
      <c r="H295" s="122"/>
      <c r="I295" s="122"/>
      <c r="J295" s="122"/>
      <c r="K295" s="122"/>
      <c r="L295" s="122"/>
      <c r="M295" s="74">
        <v>2500</v>
      </c>
      <c r="N295" s="75" t="s">
        <v>19</v>
      </c>
      <c r="O295" s="75" t="s">
        <v>54</v>
      </c>
      <c r="P295" s="134" t="str">
        <f>IF(AND('331-CT'!$E$7=TH!H295,OR(N295="331",O295="331")),"x","")</f>
        <v/>
      </c>
    </row>
    <row r="296" spans="1:16" s="109" customFormat="1">
      <c r="A296" s="72">
        <f t="shared" si="13"/>
        <v>2014</v>
      </c>
      <c r="B296" s="72">
        <f t="shared" si="14"/>
        <v>8</v>
      </c>
      <c r="C296" s="107">
        <v>41865</v>
      </c>
      <c r="D296" s="73" t="s">
        <v>165</v>
      </c>
      <c r="E296" s="73">
        <v>41865</v>
      </c>
      <c r="F296" s="76" t="s">
        <v>575</v>
      </c>
      <c r="G296" s="265"/>
      <c r="H296" s="124" t="s">
        <v>271</v>
      </c>
      <c r="I296" s="124"/>
      <c r="J296" s="124"/>
      <c r="K296" s="124"/>
      <c r="L296" s="124"/>
      <c r="M296" s="74">
        <v>253000000</v>
      </c>
      <c r="N296" s="75" t="s">
        <v>54</v>
      </c>
      <c r="O296" s="75" t="s">
        <v>203</v>
      </c>
      <c r="P296" s="134" t="str">
        <f>IF(AND('331-CT'!$E$7=TH!H296,OR(N296="331",O296="331")),"x","")</f>
        <v/>
      </c>
    </row>
    <row r="297" spans="1:16" s="109" customFormat="1">
      <c r="A297" s="72">
        <f t="shared" si="13"/>
        <v>2014</v>
      </c>
      <c r="B297" s="72">
        <f t="shared" si="14"/>
        <v>8</v>
      </c>
      <c r="C297" s="73">
        <v>41865</v>
      </c>
      <c r="D297" s="73" t="s">
        <v>17</v>
      </c>
      <c r="E297" s="73">
        <v>41865</v>
      </c>
      <c r="F297" s="76" t="s">
        <v>6</v>
      </c>
      <c r="G297" s="265"/>
      <c r="H297" s="124" t="s">
        <v>89</v>
      </c>
      <c r="I297" s="124"/>
      <c r="J297" s="124"/>
      <c r="K297" s="124"/>
      <c r="L297" s="124"/>
      <c r="M297" s="74">
        <v>252519960</v>
      </c>
      <c r="N297" s="75" t="s">
        <v>18</v>
      </c>
      <c r="O297" s="75" t="s">
        <v>54</v>
      </c>
      <c r="P297" s="134" t="str">
        <f>IF(AND('331-CT'!$E$7=TH!H297,OR(N297="331",O297="331")),"x","")</f>
        <v/>
      </c>
    </row>
    <row r="298" spans="1:16" s="109" customFormat="1">
      <c r="A298" s="72">
        <f t="shared" si="13"/>
        <v>2014</v>
      </c>
      <c r="B298" s="72">
        <f t="shared" si="14"/>
        <v>8</v>
      </c>
      <c r="C298" s="73">
        <v>41865</v>
      </c>
      <c r="D298" s="73" t="s">
        <v>17</v>
      </c>
      <c r="E298" s="73">
        <v>41865</v>
      </c>
      <c r="F298" s="76" t="s">
        <v>34</v>
      </c>
      <c r="G298" s="265"/>
      <c r="H298" s="124"/>
      <c r="I298" s="124"/>
      <c r="J298" s="124"/>
      <c r="K298" s="124"/>
      <c r="L298" s="124"/>
      <c r="M298" s="74">
        <v>151275</v>
      </c>
      <c r="N298" s="75" t="s">
        <v>241</v>
      </c>
      <c r="O298" s="75" t="s">
        <v>54</v>
      </c>
      <c r="P298" s="134" t="str">
        <f>IF(AND('331-CT'!$E$7=TH!H298,OR(N298="331",O298="331")),"x","")</f>
        <v/>
      </c>
    </row>
    <row r="299" spans="1:16" s="109" customFormat="1">
      <c r="A299" s="72">
        <f t="shared" si="13"/>
        <v>2014</v>
      </c>
      <c r="B299" s="72">
        <f t="shared" si="14"/>
        <v>8</v>
      </c>
      <c r="C299" s="73">
        <v>41865</v>
      </c>
      <c r="D299" s="73" t="s">
        <v>17</v>
      </c>
      <c r="E299" s="73">
        <v>41865</v>
      </c>
      <c r="F299" s="76" t="s">
        <v>35</v>
      </c>
      <c r="G299" s="270"/>
      <c r="H299" s="7"/>
      <c r="I299" s="7"/>
      <c r="J299" s="7"/>
      <c r="K299" s="7"/>
      <c r="L299" s="7"/>
      <c r="M299" s="74">
        <v>15127</v>
      </c>
      <c r="N299" s="136" t="s">
        <v>19</v>
      </c>
      <c r="O299" s="136" t="s">
        <v>54</v>
      </c>
      <c r="P299" s="134" t="str">
        <f>IF(AND('331-CT'!$E$7=TH!H299,OR(N299="331",O299="331")),"x","")</f>
        <v/>
      </c>
    </row>
    <row r="300" spans="1:16" s="109" customFormat="1">
      <c r="A300" s="72">
        <f t="shared" si="13"/>
        <v>2014</v>
      </c>
      <c r="B300" s="72">
        <f t="shared" si="14"/>
        <v>8</v>
      </c>
      <c r="C300" s="107">
        <v>41870</v>
      </c>
      <c r="D300" s="73" t="s">
        <v>21</v>
      </c>
      <c r="E300" s="73">
        <v>41870</v>
      </c>
      <c r="F300" s="76" t="s">
        <v>118</v>
      </c>
      <c r="G300" s="265"/>
      <c r="H300" s="122" t="s">
        <v>313</v>
      </c>
      <c r="I300" s="122"/>
      <c r="J300" s="122"/>
      <c r="K300" s="122"/>
      <c r="L300" s="122"/>
      <c r="M300" s="74">
        <v>1000000000</v>
      </c>
      <c r="N300" s="75" t="s">
        <v>54</v>
      </c>
      <c r="O300" s="75" t="s">
        <v>227</v>
      </c>
      <c r="P300" s="134" t="str">
        <f>IF(AND('331-CT'!$E$7=TH!H300,OR(N300="331",O300="331")),"x","")</f>
        <v/>
      </c>
    </row>
    <row r="301" spans="1:16" s="109" customFormat="1">
      <c r="A301" s="72">
        <f t="shared" si="13"/>
        <v>2014</v>
      </c>
      <c r="B301" s="72">
        <f t="shared" si="14"/>
        <v>8</v>
      </c>
      <c r="C301" s="73">
        <v>41871</v>
      </c>
      <c r="D301" s="73" t="s">
        <v>17</v>
      </c>
      <c r="E301" s="73">
        <v>41871</v>
      </c>
      <c r="F301" s="76" t="s">
        <v>110</v>
      </c>
      <c r="G301" s="265"/>
      <c r="H301" s="122" t="s">
        <v>109</v>
      </c>
      <c r="I301" s="122"/>
      <c r="J301" s="122"/>
      <c r="K301" s="122"/>
      <c r="L301" s="122"/>
      <c r="M301" s="74">
        <v>50000000</v>
      </c>
      <c r="N301" s="75" t="s">
        <v>18</v>
      </c>
      <c r="O301" s="75" t="s">
        <v>54</v>
      </c>
      <c r="P301" s="134" t="str">
        <f>IF(AND('331-CT'!$E$7=TH!H301,OR(N301="331",O301="331")),"x","")</f>
        <v/>
      </c>
    </row>
    <row r="302" spans="1:16" s="109" customFormat="1">
      <c r="A302" s="72">
        <f t="shared" si="13"/>
        <v>2014</v>
      </c>
      <c r="B302" s="72">
        <f t="shared" si="14"/>
        <v>8</v>
      </c>
      <c r="C302" s="73">
        <v>41871</v>
      </c>
      <c r="D302" s="73" t="s">
        <v>17</v>
      </c>
      <c r="E302" s="73">
        <v>41871</v>
      </c>
      <c r="F302" s="76" t="s">
        <v>34</v>
      </c>
      <c r="G302" s="265"/>
      <c r="H302" s="122"/>
      <c r="I302" s="122"/>
      <c r="J302" s="122"/>
      <c r="K302" s="122"/>
      <c r="L302" s="122"/>
      <c r="M302" s="74">
        <v>25000</v>
      </c>
      <c r="N302" s="75" t="s">
        <v>241</v>
      </c>
      <c r="O302" s="75" t="s">
        <v>54</v>
      </c>
      <c r="P302" s="134" t="str">
        <f>IF(AND('331-CT'!$E$7=TH!H302,OR(N302="331",O302="331")),"x","")</f>
        <v/>
      </c>
    </row>
    <row r="303" spans="1:16" s="109" customFormat="1">
      <c r="A303" s="72">
        <f t="shared" si="13"/>
        <v>2014</v>
      </c>
      <c r="B303" s="72">
        <f t="shared" si="14"/>
        <v>8</v>
      </c>
      <c r="C303" s="107">
        <v>41871</v>
      </c>
      <c r="D303" s="73" t="s">
        <v>17</v>
      </c>
      <c r="E303" s="73">
        <v>41871</v>
      </c>
      <c r="F303" s="76" t="s">
        <v>35</v>
      </c>
      <c r="G303" s="265"/>
      <c r="H303" s="122"/>
      <c r="I303" s="122"/>
      <c r="J303" s="122"/>
      <c r="K303" s="122"/>
      <c r="L303" s="122"/>
      <c r="M303" s="74">
        <v>2500</v>
      </c>
      <c r="N303" s="75" t="s">
        <v>19</v>
      </c>
      <c r="O303" s="75" t="s">
        <v>54</v>
      </c>
      <c r="P303" s="134" t="str">
        <f>IF(AND('331-CT'!$E$7=TH!H303,OR(N303="331",O303="331")),"x","")</f>
        <v/>
      </c>
    </row>
    <row r="304" spans="1:16" s="109" customFormat="1">
      <c r="A304" s="72">
        <f t="shared" si="13"/>
        <v>2014</v>
      </c>
      <c r="B304" s="72">
        <f t="shared" si="14"/>
        <v>8</v>
      </c>
      <c r="C304" s="107">
        <v>41871</v>
      </c>
      <c r="D304" s="73" t="s">
        <v>17</v>
      </c>
      <c r="E304" s="73">
        <v>41871</v>
      </c>
      <c r="F304" s="76" t="s">
        <v>107</v>
      </c>
      <c r="G304" s="265"/>
      <c r="H304" s="122" t="s">
        <v>108</v>
      </c>
      <c r="I304" s="122"/>
      <c r="J304" s="122"/>
      <c r="K304" s="122"/>
      <c r="L304" s="122"/>
      <c r="M304" s="74">
        <v>80000000</v>
      </c>
      <c r="N304" s="75" t="s">
        <v>18</v>
      </c>
      <c r="O304" s="75" t="s">
        <v>54</v>
      </c>
      <c r="P304" s="134" t="str">
        <f>IF(AND('331-CT'!$E$7=TH!H304,OR(N304="331",O304="331")),"x","")</f>
        <v/>
      </c>
    </row>
    <row r="305" spans="1:16" s="109" customFormat="1">
      <c r="A305" s="72">
        <f t="shared" si="13"/>
        <v>2014</v>
      </c>
      <c r="B305" s="72">
        <f t="shared" si="14"/>
        <v>8</v>
      </c>
      <c r="C305" s="73">
        <v>41871</v>
      </c>
      <c r="D305" s="73" t="s">
        <v>17</v>
      </c>
      <c r="E305" s="73">
        <v>41871</v>
      </c>
      <c r="F305" s="76" t="s">
        <v>34</v>
      </c>
      <c r="G305" s="265"/>
      <c r="H305" s="122"/>
      <c r="I305" s="122"/>
      <c r="J305" s="122"/>
      <c r="K305" s="122"/>
      <c r="L305" s="122"/>
      <c r="M305" s="74">
        <v>24000</v>
      </c>
      <c r="N305" s="75" t="s">
        <v>241</v>
      </c>
      <c r="O305" s="75" t="s">
        <v>54</v>
      </c>
      <c r="P305" s="134" t="str">
        <f>IF(AND('331-CT'!$E$7=TH!H305,OR(N305="331",O305="331")),"x","")</f>
        <v/>
      </c>
    </row>
    <row r="306" spans="1:16" s="109" customFormat="1">
      <c r="A306" s="72">
        <f t="shared" si="13"/>
        <v>2014</v>
      </c>
      <c r="B306" s="72">
        <f t="shared" si="14"/>
        <v>8</v>
      </c>
      <c r="C306" s="73">
        <v>41871</v>
      </c>
      <c r="D306" s="73" t="s">
        <v>17</v>
      </c>
      <c r="E306" s="73">
        <v>41871</v>
      </c>
      <c r="F306" s="76" t="s">
        <v>35</v>
      </c>
      <c r="G306" s="265"/>
      <c r="H306" s="122"/>
      <c r="I306" s="122"/>
      <c r="J306" s="122"/>
      <c r="K306" s="122"/>
      <c r="L306" s="122"/>
      <c r="M306" s="74">
        <v>2400</v>
      </c>
      <c r="N306" s="75" t="s">
        <v>19</v>
      </c>
      <c r="O306" s="75" t="s">
        <v>54</v>
      </c>
      <c r="P306" s="134" t="str">
        <f>IF(AND('331-CT'!$E$7=TH!H306,OR(N306="331",O306="331")),"x","")</f>
        <v/>
      </c>
    </row>
    <row r="307" spans="1:16" s="109" customFormat="1">
      <c r="A307" s="72">
        <f t="shared" si="13"/>
        <v>2014</v>
      </c>
      <c r="B307" s="72">
        <f t="shared" si="14"/>
        <v>8</v>
      </c>
      <c r="C307" s="107">
        <v>41871</v>
      </c>
      <c r="D307" s="73" t="s">
        <v>17</v>
      </c>
      <c r="E307" s="73">
        <v>41871</v>
      </c>
      <c r="F307" s="76" t="s">
        <v>5</v>
      </c>
      <c r="G307" s="265"/>
      <c r="H307" s="122" t="s">
        <v>91</v>
      </c>
      <c r="I307" s="122"/>
      <c r="J307" s="122"/>
      <c r="K307" s="122"/>
      <c r="L307" s="122"/>
      <c r="M307" s="74">
        <v>50000000</v>
      </c>
      <c r="N307" s="75" t="s">
        <v>18</v>
      </c>
      <c r="O307" s="75" t="s">
        <v>54</v>
      </c>
      <c r="P307" s="134" t="str">
        <f>IF(AND('331-CT'!$E$7=TH!H307,OR(N307="331",O307="331")),"x","")</f>
        <v/>
      </c>
    </row>
    <row r="308" spans="1:16" s="109" customFormat="1">
      <c r="A308" s="72">
        <f t="shared" si="13"/>
        <v>2014</v>
      </c>
      <c r="B308" s="72">
        <f t="shared" si="14"/>
        <v>8</v>
      </c>
      <c r="C308" s="107">
        <v>41871</v>
      </c>
      <c r="D308" s="73" t="s">
        <v>17</v>
      </c>
      <c r="E308" s="73">
        <v>41871</v>
      </c>
      <c r="F308" s="76" t="s">
        <v>34</v>
      </c>
      <c r="G308" s="265"/>
      <c r="H308" s="122"/>
      <c r="I308" s="122"/>
      <c r="J308" s="122"/>
      <c r="K308" s="122"/>
      <c r="L308" s="122"/>
      <c r="M308" s="74">
        <v>25000</v>
      </c>
      <c r="N308" s="78" t="s">
        <v>241</v>
      </c>
      <c r="O308" s="75" t="s">
        <v>54</v>
      </c>
      <c r="P308" s="134" t="str">
        <f>IF(AND('331-CT'!$E$7=TH!H308,OR(N308="331",O308="331")),"x","")</f>
        <v/>
      </c>
    </row>
    <row r="309" spans="1:16" s="109" customFormat="1">
      <c r="A309" s="72">
        <f t="shared" si="13"/>
        <v>2014</v>
      </c>
      <c r="B309" s="72">
        <f t="shared" si="14"/>
        <v>8</v>
      </c>
      <c r="C309" s="73">
        <v>41871</v>
      </c>
      <c r="D309" s="73" t="s">
        <v>17</v>
      </c>
      <c r="E309" s="73">
        <v>41871</v>
      </c>
      <c r="F309" s="76" t="s">
        <v>35</v>
      </c>
      <c r="G309" s="265"/>
      <c r="H309" s="122"/>
      <c r="I309" s="122"/>
      <c r="J309" s="122"/>
      <c r="K309" s="122"/>
      <c r="L309" s="122"/>
      <c r="M309" s="74">
        <v>2500</v>
      </c>
      <c r="N309" s="75" t="s">
        <v>19</v>
      </c>
      <c r="O309" s="75" t="s">
        <v>54</v>
      </c>
      <c r="P309" s="134" t="str">
        <f>IF(AND('331-CT'!$E$7=TH!H309,OR(N309="331",O309="331")),"x","")</f>
        <v/>
      </c>
    </row>
    <row r="310" spans="1:16" s="109" customFormat="1">
      <c r="A310" s="72">
        <f t="shared" si="13"/>
        <v>2014</v>
      </c>
      <c r="B310" s="72">
        <f t="shared" si="14"/>
        <v>8</v>
      </c>
      <c r="C310" s="73">
        <v>41871</v>
      </c>
      <c r="D310" s="73" t="s">
        <v>17</v>
      </c>
      <c r="E310" s="73">
        <v>41871</v>
      </c>
      <c r="F310" s="76" t="s">
        <v>6</v>
      </c>
      <c r="G310" s="265"/>
      <c r="H310" s="122" t="s">
        <v>89</v>
      </c>
      <c r="I310" s="122"/>
      <c r="J310" s="122"/>
      <c r="K310" s="122"/>
      <c r="L310" s="122"/>
      <c r="M310" s="74">
        <v>378779940</v>
      </c>
      <c r="N310" s="75" t="s">
        <v>18</v>
      </c>
      <c r="O310" s="75" t="s">
        <v>54</v>
      </c>
      <c r="P310" s="134" t="str">
        <f>IF(AND('331-CT'!$E$7=TH!H310,OR(N310="331",O310="331")),"x","")</f>
        <v/>
      </c>
    </row>
    <row r="311" spans="1:16" s="109" customFormat="1">
      <c r="A311" s="72">
        <f t="shared" si="13"/>
        <v>2014</v>
      </c>
      <c r="B311" s="72">
        <f t="shared" si="14"/>
        <v>8</v>
      </c>
      <c r="C311" s="107">
        <v>41871</v>
      </c>
      <c r="D311" s="73" t="s">
        <v>17</v>
      </c>
      <c r="E311" s="73">
        <v>41871</v>
      </c>
      <c r="F311" s="76" t="s">
        <v>34</v>
      </c>
      <c r="G311" s="265"/>
      <c r="H311" s="122"/>
      <c r="I311" s="122"/>
      <c r="J311" s="122"/>
      <c r="K311" s="122"/>
      <c r="L311" s="122"/>
      <c r="M311" s="74">
        <v>113634</v>
      </c>
      <c r="N311" s="75" t="s">
        <v>241</v>
      </c>
      <c r="O311" s="75" t="s">
        <v>54</v>
      </c>
      <c r="P311" s="134" t="str">
        <f>IF(AND('331-CT'!$E$7=TH!H311,OR(N311="331",O311="331")),"x","")</f>
        <v/>
      </c>
    </row>
    <row r="312" spans="1:16" s="109" customFormat="1">
      <c r="A312" s="72">
        <f t="shared" si="13"/>
        <v>2014</v>
      </c>
      <c r="B312" s="72">
        <f t="shared" si="14"/>
        <v>8</v>
      </c>
      <c r="C312" s="73">
        <v>41871</v>
      </c>
      <c r="D312" s="73" t="s">
        <v>17</v>
      </c>
      <c r="E312" s="73">
        <v>41871</v>
      </c>
      <c r="F312" s="76" t="s">
        <v>35</v>
      </c>
      <c r="G312" s="265"/>
      <c r="H312" s="122"/>
      <c r="I312" s="122"/>
      <c r="J312" s="122"/>
      <c r="K312" s="122"/>
      <c r="L312" s="122"/>
      <c r="M312" s="74">
        <v>11363</v>
      </c>
      <c r="N312" s="75" t="s">
        <v>19</v>
      </c>
      <c r="O312" s="75" t="s">
        <v>54</v>
      </c>
      <c r="P312" s="134" t="str">
        <f>IF(AND('331-CT'!$E$7=TH!H312,OR(N312="331",O312="331")),"x","")</f>
        <v/>
      </c>
    </row>
    <row r="313" spans="1:16" s="109" customFormat="1">
      <c r="A313" s="72">
        <f t="shared" si="13"/>
        <v>2014</v>
      </c>
      <c r="B313" s="72">
        <f t="shared" si="14"/>
        <v>8</v>
      </c>
      <c r="C313" s="73">
        <v>41871</v>
      </c>
      <c r="D313" s="73" t="s">
        <v>17</v>
      </c>
      <c r="E313" s="73">
        <v>41871</v>
      </c>
      <c r="F313" s="76" t="s">
        <v>23</v>
      </c>
      <c r="G313" s="265"/>
      <c r="H313" s="122"/>
      <c r="I313" s="122"/>
      <c r="J313" s="122"/>
      <c r="K313" s="122"/>
      <c r="L313" s="122"/>
      <c r="M313" s="74">
        <v>40000</v>
      </c>
      <c r="N313" s="75" t="s">
        <v>241</v>
      </c>
      <c r="O313" s="75" t="s">
        <v>54</v>
      </c>
      <c r="P313" s="134" t="str">
        <f>IF(AND('331-CT'!$E$7=TH!H313,OR(N313="331",O313="331")),"x","")</f>
        <v/>
      </c>
    </row>
    <row r="314" spans="1:16" s="109" customFormat="1">
      <c r="A314" s="72">
        <f t="shared" si="13"/>
        <v>2014</v>
      </c>
      <c r="B314" s="72">
        <f t="shared" si="14"/>
        <v>8</v>
      </c>
      <c r="C314" s="73">
        <v>41871</v>
      </c>
      <c r="D314" s="73" t="s">
        <v>17</v>
      </c>
      <c r="E314" s="73">
        <v>41871</v>
      </c>
      <c r="F314" s="93" t="s">
        <v>24</v>
      </c>
      <c r="G314" s="265"/>
      <c r="H314" s="122"/>
      <c r="I314" s="122"/>
      <c r="J314" s="122"/>
      <c r="K314" s="122"/>
      <c r="L314" s="122"/>
      <c r="M314" s="74">
        <v>4000</v>
      </c>
      <c r="N314" s="78" t="s">
        <v>19</v>
      </c>
      <c r="O314" s="75" t="s">
        <v>54</v>
      </c>
      <c r="P314" s="134" t="str">
        <f>IF(AND('331-CT'!$E$7=TH!H314,OR(N314="331",O314="331")),"x","")</f>
        <v/>
      </c>
    </row>
    <row r="315" spans="1:16" s="109" customFormat="1">
      <c r="A315" s="72">
        <f t="shared" si="13"/>
        <v>2014</v>
      </c>
      <c r="B315" s="72">
        <f t="shared" si="14"/>
        <v>8</v>
      </c>
      <c r="C315" s="73">
        <v>41872</v>
      </c>
      <c r="D315" s="73" t="s">
        <v>78</v>
      </c>
      <c r="E315" s="73">
        <v>41872</v>
      </c>
      <c r="F315" s="76" t="s">
        <v>105</v>
      </c>
      <c r="G315" s="265" t="s">
        <v>564</v>
      </c>
      <c r="H315" s="123" t="s">
        <v>108</v>
      </c>
      <c r="I315" s="123"/>
      <c r="J315" s="123"/>
      <c r="K315" s="123"/>
      <c r="L315" s="123"/>
      <c r="M315" s="74">
        <v>72727273</v>
      </c>
      <c r="N315" s="75" t="s">
        <v>654</v>
      </c>
      <c r="O315" s="75" t="s">
        <v>18</v>
      </c>
      <c r="P315" s="134" t="str">
        <f>IF(AND('331-CT'!$E$7=TH!H315,OR(N315="331",O315="331")),"x","")</f>
        <v/>
      </c>
    </row>
    <row r="316" spans="1:16" s="109" customFormat="1">
      <c r="A316" s="72">
        <f t="shared" si="13"/>
        <v>2014</v>
      </c>
      <c r="B316" s="72">
        <f t="shared" si="14"/>
        <v>8</v>
      </c>
      <c r="C316" s="73">
        <v>41872</v>
      </c>
      <c r="D316" s="73" t="s">
        <v>78</v>
      </c>
      <c r="E316" s="73">
        <v>41872</v>
      </c>
      <c r="F316" s="76" t="s">
        <v>106</v>
      </c>
      <c r="G316" s="265" t="s">
        <v>564</v>
      </c>
      <c r="H316" s="122" t="s">
        <v>108</v>
      </c>
      <c r="I316" s="122"/>
      <c r="J316" s="122"/>
      <c r="K316" s="122"/>
      <c r="L316" s="122"/>
      <c r="M316" s="74">
        <v>7272727</v>
      </c>
      <c r="N316" s="75" t="s">
        <v>19</v>
      </c>
      <c r="O316" s="75" t="s">
        <v>18</v>
      </c>
      <c r="P316" s="134" t="str">
        <f>IF(AND('331-CT'!$E$7=TH!H316,OR(N316="331",O316="331")),"x","")</f>
        <v/>
      </c>
    </row>
    <row r="317" spans="1:16" s="109" customFormat="1">
      <c r="A317" s="72">
        <f t="shared" si="13"/>
        <v>2014</v>
      </c>
      <c r="B317" s="72">
        <f t="shared" si="14"/>
        <v>8</v>
      </c>
      <c r="C317" s="73">
        <v>41876</v>
      </c>
      <c r="D317" s="73" t="s">
        <v>21</v>
      </c>
      <c r="E317" s="73">
        <v>41876</v>
      </c>
      <c r="F317" s="76" t="s">
        <v>98</v>
      </c>
      <c r="G317" s="265"/>
      <c r="H317" s="122"/>
      <c r="I317" s="122"/>
      <c r="J317" s="122"/>
      <c r="K317" s="122"/>
      <c r="L317" s="122"/>
      <c r="M317" s="74">
        <v>38769</v>
      </c>
      <c r="N317" s="75" t="s">
        <v>54</v>
      </c>
      <c r="O317" s="75" t="s">
        <v>99</v>
      </c>
      <c r="P317" s="134" t="str">
        <f>IF(AND('331-CT'!$E$7=TH!H317,OR(N317="331",O317="331")),"x","")</f>
        <v/>
      </c>
    </row>
    <row r="318" spans="1:16" s="109" customFormat="1">
      <c r="A318" s="72">
        <f t="shared" si="13"/>
        <v>2014</v>
      </c>
      <c r="B318" s="72">
        <f t="shared" si="14"/>
        <v>8</v>
      </c>
      <c r="C318" s="73">
        <v>41877</v>
      </c>
      <c r="D318" s="73" t="s">
        <v>78</v>
      </c>
      <c r="E318" s="73">
        <v>41877</v>
      </c>
      <c r="F318" s="252" t="s">
        <v>100</v>
      </c>
      <c r="G318" s="272" t="s">
        <v>565</v>
      </c>
      <c r="H318" s="123" t="s">
        <v>89</v>
      </c>
      <c r="I318" s="123"/>
      <c r="J318" s="123"/>
      <c r="K318" s="123"/>
      <c r="L318" s="123"/>
      <c r="M318" s="74">
        <v>1443034000</v>
      </c>
      <c r="N318" s="75" t="s">
        <v>654</v>
      </c>
      <c r="O318" s="75" t="s">
        <v>18</v>
      </c>
      <c r="P318" s="134" t="str">
        <f>IF(AND('331-CT'!$E$7=TH!H318,OR(N318="331",O318="331")),"x","")</f>
        <v/>
      </c>
    </row>
    <row r="319" spans="1:16" s="109" customFormat="1">
      <c r="A319" s="72">
        <f t="shared" si="13"/>
        <v>2014</v>
      </c>
      <c r="B319" s="72">
        <f t="shared" si="14"/>
        <v>8</v>
      </c>
      <c r="C319" s="73">
        <v>41877</v>
      </c>
      <c r="D319" s="73" t="s">
        <v>78</v>
      </c>
      <c r="E319" s="73">
        <v>41877</v>
      </c>
      <c r="F319" s="76" t="s">
        <v>101</v>
      </c>
      <c r="G319" s="265" t="s">
        <v>565</v>
      </c>
      <c r="H319" s="122" t="s">
        <v>89</v>
      </c>
      <c r="I319" s="122"/>
      <c r="J319" s="122"/>
      <c r="K319" s="122"/>
      <c r="L319" s="122"/>
      <c r="M319" s="74">
        <v>144303400</v>
      </c>
      <c r="N319" s="75" t="s">
        <v>19</v>
      </c>
      <c r="O319" s="75" t="s">
        <v>18</v>
      </c>
      <c r="P319" s="134" t="str">
        <f>IF(AND('331-CT'!$E$7=TH!H319,OR(N319="331",O319="331")),"x","")</f>
        <v/>
      </c>
    </row>
    <row r="320" spans="1:16" s="109" customFormat="1">
      <c r="A320" s="72">
        <f t="shared" si="13"/>
        <v>2014</v>
      </c>
      <c r="B320" s="72">
        <f t="shared" si="14"/>
        <v>9</v>
      </c>
      <c r="C320" s="73">
        <v>41894</v>
      </c>
      <c r="D320" s="73" t="s">
        <v>17</v>
      </c>
      <c r="E320" s="73">
        <v>41894</v>
      </c>
      <c r="F320" s="76" t="s">
        <v>5</v>
      </c>
      <c r="G320" s="265"/>
      <c r="H320" s="122" t="s">
        <v>91</v>
      </c>
      <c r="I320" s="122"/>
      <c r="J320" s="122"/>
      <c r="K320" s="122"/>
      <c r="L320" s="122"/>
      <c r="M320" s="74">
        <v>50000000</v>
      </c>
      <c r="N320" s="75" t="s">
        <v>18</v>
      </c>
      <c r="O320" s="75" t="s">
        <v>54</v>
      </c>
      <c r="P320" s="134" t="str">
        <f>IF(AND('331-CT'!$E$7=TH!H320,OR(N320="331",O320="331")),"x","")</f>
        <v/>
      </c>
    </row>
    <row r="321" spans="1:16" s="109" customFormat="1">
      <c r="A321" s="72">
        <f t="shared" si="13"/>
        <v>2014</v>
      </c>
      <c r="B321" s="72">
        <f t="shared" si="14"/>
        <v>9</v>
      </c>
      <c r="C321" s="73">
        <v>41894</v>
      </c>
      <c r="D321" s="73" t="s">
        <v>17</v>
      </c>
      <c r="E321" s="73">
        <v>41894</v>
      </c>
      <c r="F321" s="76" t="s">
        <v>34</v>
      </c>
      <c r="G321" s="265"/>
      <c r="H321" s="122"/>
      <c r="I321" s="122"/>
      <c r="J321" s="122"/>
      <c r="K321" s="122"/>
      <c r="L321" s="122"/>
      <c r="M321" s="74">
        <v>25000</v>
      </c>
      <c r="N321" s="75" t="s">
        <v>241</v>
      </c>
      <c r="O321" s="75" t="s">
        <v>54</v>
      </c>
      <c r="P321" s="134" t="str">
        <f>IF(AND('331-CT'!$E$7=TH!H321,OR(N321="331",O321="331")),"x","")</f>
        <v/>
      </c>
    </row>
    <row r="322" spans="1:16" s="109" customFormat="1">
      <c r="A322" s="72">
        <f t="shared" si="13"/>
        <v>2014</v>
      </c>
      <c r="B322" s="72">
        <f t="shared" si="14"/>
        <v>9</v>
      </c>
      <c r="C322" s="73">
        <v>41894</v>
      </c>
      <c r="D322" s="73" t="s">
        <v>17</v>
      </c>
      <c r="E322" s="73">
        <v>41894</v>
      </c>
      <c r="F322" s="76" t="s">
        <v>35</v>
      </c>
      <c r="G322" s="265"/>
      <c r="H322" s="122"/>
      <c r="I322" s="122"/>
      <c r="J322" s="122"/>
      <c r="K322" s="122"/>
      <c r="L322" s="122"/>
      <c r="M322" s="74">
        <v>2500</v>
      </c>
      <c r="N322" s="75" t="s">
        <v>19</v>
      </c>
      <c r="O322" s="75" t="s">
        <v>54</v>
      </c>
      <c r="P322" s="134" t="str">
        <f>IF(AND('331-CT'!$E$7=TH!H322,OR(N322="331",O322="331")),"x","")</f>
        <v/>
      </c>
    </row>
    <row r="323" spans="1:16" s="109" customFormat="1">
      <c r="A323" s="72">
        <f t="shared" si="13"/>
        <v>2014</v>
      </c>
      <c r="B323" s="72">
        <f t="shared" si="14"/>
        <v>9</v>
      </c>
      <c r="C323" s="73">
        <v>41905</v>
      </c>
      <c r="D323" s="73" t="s">
        <v>166</v>
      </c>
      <c r="E323" s="73">
        <v>41905</v>
      </c>
      <c r="F323" s="76" t="s">
        <v>576</v>
      </c>
      <c r="G323" s="265"/>
      <c r="H323" s="122" t="s">
        <v>266</v>
      </c>
      <c r="I323" s="122"/>
      <c r="J323" s="122"/>
      <c r="K323" s="122"/>
      <c r="L323" s="122"/>
      <c r="M323" s="74">
        <v>9000000</v>
      </c>
      <c r="N323" s="75" t="s">
        <v>39</v>
      </c>
      <c r="O323" s="75" t="s">
        <v>203</v>
      </c>
      <c r="P323" s="134" t="str">
        <f>IF(AND('331-CT'!$E$7=TH!H323,OR(N323="331",O323="331")),"x","")</f>
        <v/>
      </c>
    </row>
    <row r="324" spans="1:16" s="109" customFormat="1">
      <c r="A324" s="72">
        <f t="shared" si="13"/>
        <v>2014</v>
      </c>
      <c r="B324" s="72">
        <f t="shared" si="14"/>
        <v>9</v>
      </c>
      <c r="C324" s="73">
        <v>41905</v>
      </c>
      <c r="D324" s="73" t="s">
        <v>21</v>
      </c>
      <c r="E324" s="73">
        <v>41905</v>
      </c>
      <c r="F324" s="76" t="s">
        <v>45</v>
      </c>
      <c r="G324" s="265"/>
      <c r="H324" s="122" t="s">
        <v>266</v>
      </c>
      <c r="I324" s="122"/>
      <c r="J324" s="122"/>
      <c r="K324" s="122"/>
      <c r="L324" s="122"/>
      <c r="M324" s="74">
        <v>9000000</v>
      </c>
      <c r="N324" s="75" t="s">
        <v>54</v>
      </c>
      <c r="O324" s="75" t="s">
        <v>39</v>
      </c>
      <c r="P324" s="134" t="str">
        <f>IF(AND('331-CT'!$E$7=TH!H324,OR(N324="331",O324="331")),"x","")</f>
        <v/>
      </c>
    </row>
    <row r="325" spans="1:16" s="109" customFormat="1">
      <c r="A325" s="72">
        <f t="shared" si="13"/>
        <v>2014</v>
      </c>
      <c r="B325" s="72">
        <f t="shared" si="14"/>
        <v>9</v>
      </c>
      <c r="C325" s="73">
        <v>41905</v>
      </c>
      <c r="D325" s="73" t="s">
        <v>17</v>
      </c>
      <c r="E325" s="73">
        <v>41905</v>
      </c>
      <c r="F325" s="253" t="s">
        <v>119</v>
      </c>
      <c r="G325" s="273"/>
      <c r="H325" s="9" t="s">
        <v>313</v>
      </c>
      <c r="I325" s="9"/>
      <c r="J325" s="9"/>
      <c r="K325" s="9"/>
      <c r="L325" s="9"/>
      <c r="M325" s="74">
        <v>8625463</v>
      </c>
      <c r="N325" s="75" t="s">
        <v>239</v>
      </c>
      <c r="O325" s="75" t="s">
        <v>54</v>
      </c>
      <c r="P325" s="134" t="str">
        <f>IF(AND('331-CT'!$E$7=TH!H325,OR(N325="331",O325="331")),"x","")</f>
        <v/>
      </c>
    </row>
    <row r="326" spans="1:16" s="109" customFormat="1">
      <c r="A326" s="72">
        <f t="shared" si="13"/>
        <v>2014</v>
      </c>
      <c r="B326" s="72">
        <f t="shared" si="14"/>
        <v>9</v>
      </c>
      <c r="C326" s="73">
        <v>41905</v>
      </c>
      <c r="D326" s="73" t="s">
        <v>17</v>
      </c>
      <c r="E326" s="73">
        <v>41905</v>
      </c>
      <c r="F326" s="76" t="s">
        <v>113</v>
      </c>
      <c r="G326" s="265"/>
      <c r="H326" s="122" t="s">
        <v>111</v>
      </c>
      <c r="I326" s="122"/>
      <c r="J326" s="122"/>
      <c r="K326" s="122"/>
      <c r="L326" s="122"/>
      <c r="M326" s="74">
        <v>752610000</v>
      </c>
      <c r="N326" s="75" t="s">
        <v>18</v>
      </c>
      <c r="O326" s="75" t="s">
        <v>54</v>
      </c>
      <c r="P326" s="134" t="str">
        <f>IF(AND('331-CT'!$E$7=TH!H326,OR(N326="331",O326="331")),"x","")</f>
        <v/>
      </c>
    </row>
    <row r="327" spans="1:16" s="109" customFormat="1">
      <c r="A327" s="72">
        <f t="shared" si="13"/>
        <v>2014</v>
      </c>
      <c r="B327" s="72">
        <f t="shared" si="14"/>
        <v>9</v>
      </c>
      <c r="C327" s="73">
        <v>41905</v>
      </c>
      <c r="D327" s="73" t="s">
        <v>17</v>
      </c>
      <c r="E327" s="73">
        <v>41905</v>
      </c>
      <c r="F327" s="76" t="s">
        <v>34</v>
      </c>
      <c r="G327" s="265"/>
      <c r="H327" s="122"/>
      <c r="I327" s="122"/>
      <c r="J327" s="122"/>
      <c r="K327" s="122"/>
      <c r="L327" s="122"/>
      <c r="M327" s="74">
        <v>225783</v>
      </c>
      <c r="N327" s="75" t="s">
        <v>241</v>
      </c>
      <c r="O327" s="75" t="s">
        <v>54</v>
      </c>
      <c r="P327" s="134" t="str">
        <f>IF(AND('331-CT'!$E$7=TH!H327,OR(N327="331",O327="331")),"x","")</f>
        <v/>
      </c>
    </row>
    <row r="328" spans="1:16" s="109" customFormat="1">
      <c r="A328" s="72">
        <f t="shared" si="13"/>
        <v>2014</v>
      </c>
      <c r="B328" s="72">
        <f t="shared" si="14"/>
        <v>9</v>
      </c>
      <c r="C328" s="73">
        <v>41905</v>
      </c>
      <c r="D328" s="73" t="s">
        <v>17</v>
      </c>
      <c r="E328" s="73">
        <v>41905</v>
      </c>
      <c r="F328" s="76" t="s">
        <v>35</v>
      </c>
      <c r="G328" s="265"/>
      <c r="H328" s="9"/>
      <c r="I328" s="9"/>
      <c r="J328" s="9"/>
      <c r="K328" s="9"/>
      <c r="L328" s="9"/>
      <c r="M328" s="74">
        <v>22578</v>
      </c>
      <c r="N328" s="75" t="s">
        <v>19</v>
      </c>
      <c r="O328" s="75" t="s">
        <v>54</v>
      </c>
      <c r="P328" s="134" t="str">
        <f>IF(AND('331-CT'!$E$7=TH!H328,OR(N328="331",O328="331")),"x","")</f>
        <v/>
      </c>
    </row>
    <row r="329" spans="1:16" s="109" customFormat="1">
      <c r="A329" s="72">
        <f t="shared" si="13"/>
        <v>2014</v>
      </c>
      <c r="B329" s="72">
        <f t="shared" si="14"/>
        <v>9</v>
      </c>
      <c r="C329" s="73">
        <v>41905</v>
      </c>
      <c r="D329" s="73" t="s">
        <v>17</v>
      </c>
      <c r="E329" s="73">
        <v>41905</v>
      </c>
      <c r="F329" s="76" t="s">
        <v>112</v>
      </c>
      <c r="G329" s="265"/>
      <c r="H329" s="122" t="s">
        <v>85</v>
      </c>
      <c r="I329" s="122"/>
      <c r="J329" s="122"/>
      <c r="K329" s="122"/>
      <c r="L329" s="122"/>
      <c r="M329" s="74">
        <v>800000000</v>
      </c>
      <c r="N329" s="75" t="s">
        <v>18</v>
      </c>
      <c r="O329" s="75" t="s">
        <v>54</v>
      </c>
      <c r="P329" s="134" t="str">
        <f>IF(AND('331-CT'!$E$7=TH!H329,OR(N329="331",O329="331")),"x","")</f>
        <v/>
      </c>
    </row>
    <row r="330" spans="1:16" s="109" customFormat="1">
      <c r="A330" s="72">
        <f t="shared" si="13"/>
        <v>2014</v>
      </c>
      <c r="B330" s="72">
        <f t="shared" si="14"/>
        <v>9</v>
      </c>
      <c r="C330" s="73">
        <v>41905</v>
      </c>
      <c r="D330" s="73" t="s">
        <v>17</v>
      </c>
      <c r="E330" s="73">
        <v>41905</v>
      </c>
      <c r="F330" s="76" t="s">
        <v>34</v>
      </c>
      <c r="G330" s="265"/>
      <c r="H330" s="122"/>
      <c r="I330" s="122"/>
      <c r="J330" s="122"/>
      <c r="K330" s="122"/>
      <c r="L330" s="122"/>
      <c r="M330" s="74">
        <v>400000</v>
      </c>
      <c r="N330" s="75" t="s">
        <v>241</v>
      </c>
      <c r="O330" s="75" t="s">
        <v>54</v>
      </c>
      <c r="P330" s="134" t="str">
        <f>IF(AND('331-CT'!$E$7=TH!H330,OR(N330="331",O330="331")),"x","")</f>
        <v/>
      </c>
    </row>
    <row r="331" spans="1:16" s="109" customFormat="1">
      <c r="A331" s="72">
        <f t="shared" si="13"/>
        <v>2014</v>
      </c>
      <c r="B331" s="72">
        <f t="shared" si="14"/>
        <v>9</v>
      </c>
      <c r="C331" s="130">
        <v>41905</v>
      </c>
      <c r="D331" s="130" t="s">
        <v>17</v>
      </c>
      <c r="E331" s="130">
        <v>41905</v>
      </c>
      <c r="F331" s="131" t="s">
        <v>35</v>
      </c>
      <c r="G331" s="271"/>
      <c r="H331" s="132"/>
      <c r="I331" s="132"/>
      <c r="J331" s="132"/>
      <c r="K331" s="132"/>
      <c r="L331" s="132"/>
      <c r="M331" s="133">
        <v>40000</v>
      </c>
      <c r="N331" s="134" t="s">
        <v>19</v>
      </c>
      <c r="O331" s="134" t="s">
        <v>54</v>
      </c>
      <c r="P331" s="134" t="str">
        <f>IF(AND('331-CT'!$E$7=TH!H331,OR(N331="331",O331="331")),"x","")</f>
        <v/>
      </c>
    </row>
    <row r="332" spans="1:16" s="109" customFormat="1">
      <c r="A332" s="72">
        <f t="shared" ref="A332:A395" si="15">IF(C332&lt;&gt;"",YEAR(C332),"")</f>
        <v>2014</v>
      </c>
      <c r="B332" s="72">
        <f t="shared" ref="B332:B395" si="16">IF(C332&lt;&gt;"",MONTH(C332),"")</f>
        <v>9</v>
      </c>
      <c r="C332" s="130">
        <v>41905</v>
      </c>
      <c r="D332" s="130" t="s">
        <v>21</v>
      </c>
      <c r="E332" s="130">
        <v>41905</v>
      </c>
      <c r="F332" s="131" t="s">
        <v>312</v>
      </c>
      <c r="G332" s="271"/>
      <c r="H332" s="132" t="s">
        <v>314</v>
      </c>
      <c r="I332" s="132"/>
      <c r="J332" s="132"/>
      <c r="K332" s="132"/>
      <c r="L332" s="132"/>
      <c r="M332" s="133">
        <v>2000000000</v>
      </c>
      <c r="N332" s="134" t="s">
        <v>54</v>
      </c>
      <c r="O332" s="134" t="s">
        <v>227</v>
      </c>
      <c r="P332" s="134" t="str">
        <f>IF(AND('331-CT'!$E$7=TH!H332,OR(N332="331",O332="331")),"x","")</f>
        <v/>
      </c>
    </row>
    <row r="333" spans="1:16" s="109" customFormat="1">
      <c r="A333" s="72">
        <f t="shared" si="15"/>
        <v>2014</v>
      </c>
      <c r="B333" s="72">
        <f t="shared" si="16"/>
        <v>9</v>
      </c>
      <c r="C333" s="73">
        <v>41906</v>
      </c>
      <c r="D333" s="73" t="s">
        <v>17</v>
      </c>
      <c r="E333" s="73">
        <v>41906</v>
      </c>
      <c r="F333" s="76" t="s">
        <v>120</v>
      </c>
      <c r="G333" s="265"/>
      <c r="H333" s="122"/>
      <c r="I333" s="122"/>
      <c r="J333" s="122"/>
      <c r="K333" s="122"/>
      <c r="L333" s="122"/>
      <c r="M333" s="74">
        <v>20000</v>
      </c>
      <c r="N333" s="75" t="s">
        <v>241</v>
      </c>
      <c r="O333" s="75" t="s">
        <v>54</v>
      </c>
      <c r="P333" s="134" t="str">
        <f>IF(AND('331-CT'!$E$7=TH!H333,OR(N333="331",O333="331")),"x","")</f>
        <v/>
      </c>
    </row>
    <row r="334" spans="1:16" s="109" customFormat="1">
      <c r="A334" s="72">
        <f t="shared" si="15"/>
        <v>2014</v>
      </c>
      <c r="B334" s="72">
        <f t="shared" si="16"/>
        <v>9</v>
      </c>
      <c r="C334" s="73">
        <v>41906</v>
      </c>
      <c r="D334" s="73" t="s">
        <v>17</v>
      </c>
      <c r="E334" s="73">
        <v>41906</v>
      </c>
      <c r="F334" s="76" t="s">
        <v>121</v>
      </c>
      <c r="G334" s="270"/>
      <c r="H334" s="122"/>
      <c r="I334" s="122"/>
      <c r="J334" s="122"/>
      <c r="K334" s="122"/>
      <c r="L334" s="122"/>
      <c r="M334" s="74">
        <v>2000</v>
      </c>
      <c r="N334" s="75" t="s">
        <v>19</v>
      </c>
      <c r="O334" s="75" t="s">
        <v>54</v>
      </c>
      <c r="P334" s="134" t="str">
        <f>IF(AND('331-CT'!$E$7=TH!H334,OR(N334="331",O334="331")),"x","")</f>
        <v/>
      </c>
    </row>
    <row r="335" spans="1:16" s="109" customFormat="1">
      <c r="A335" s="72">
        <f t="shared" si="15"/>
        <v>2014</v>
      </c>
      <c r="B335" s="72">
        <f t="shared" si="16"/>
        <v>9</v>
      </c>
      <c r="C335" s="73">
        <v>41907</v>
      </c>
      <c r="D335" s="73" t="s">
        <v>21</v>
      </c>
      <c r="E335" s="73">
        <v>41907</v>
      </c>
      <c r="F335" s="76" t="s">
        <v>98</v>
      </c>
      <c r="G335" s="265"/>
      <c r="H335" s="122"/>
      <c r="I335" s="122"/>
      <c r="J335" s="122"/>
      <c r="K335" s="122"/>
      <c r="L335" s="122"/>
      <c r="M335" s="74">
        <v>199881</v>
      </c>
      <c r="N335" s="75" t="s">
        <v>54</v>
      </c>
      <c r="O335" s="75" t="s">
        <v>99</v>
      </c>
      <c r="P335" s="134" t="str">
        <f>IF(AND('331-CT'!$E$7=TH!H335,OR(N335="331",O335="331")),"x","")</f>
        <v/>
      </c>
    </row>
    <row r="336" spans="1:16" s="109" customFormat="1">
      <c r="A336" s="72">
        <f t="shared" si="15"/>
        <v>2014</v>
      </c>
      <c r="B336" s="72">
        <f t="shared" si="16"/>
        <v>9</v>
      </c>
      <c r="C336" s="73">
        <v>41907</v>
      </c>
      <c r="D336" s="73" t="s">
        <v>17</v>
      </c>
      <c r="E336" s="73">
        <v>41907</v>
      </c>
      <c r="F336" s="76" t="s">
        <v>120</v>
      </c>
      <c r="G336" s="265"/>
      <c r="H336" s="122"/>
      <c r="I336" s="122"/>
      <c r="J336" s="122"/>
      <c r="K336" s="122"/>
      <c r="L336" s="122"/>
      <c r="M336" s="74">
        <v>20000</v>
      </c>
      <c r="N336" s="75" t="s">
        <v>241</v>
      </c>
      <c r="O336" s="75" t="s">
        <v>54</v>
      </c>
      <c r="P336" s="134" t="str">
        <f>IF(AND('331-CT'!$E$7=TH!H336,OR(N336="331",O336="331")),"x","")</f>
        <v/>
      </c>
    </row>
    <row r="337" spans="1:16" s="109" customFormat="1">
      <c r="A337" s="72">
        <f t="shared" si="15"/>
        <v>2014</v>
      </c>
      <c r="B337" s="72">
        <f t="shared" si="16"/>
        <v>9</v>
      </c>
      <c r="C337" s="73">
        <v>41907</v>
      </c>
      <c r="D337" s="73" t="s">
        <v>17</v>
      </c>
      <c r="E337" s="73">
        <v>41907</v>
      </c>
      <c r="F337" s="76" t="s">
        <v>121</v>
      </c>
      <c r="G337" s="265"/>
      <c r="H337" s="122"/>
      <c r="I337" s="122"/>
      <c r="J337" s="122"/>
      <c r="K337" s="122"/>
      <c r="L337" s="122"/>
      <c r="M337" s="74">
        <v>2000</v>
      </c>
      <c r="N337" s="75" t="s">
        <v>19</v>
      </c>
      <c r="O337" s="75" t="s">
        <v>54</v>
      </c>
      <c r="P337" s="134" t="str">
        <f>IF(AND('331-CT'!$E$7=TH!H337,OR(N337="331",O337="331")),"x","")</f>
        <v/>
      </c>
    </row>
    <row r="338" spans="1:16" s="109" customFormat="1">
      <c r="A338" s="72">
        <f t="shared" si="15"/>
        <v>2014</v>
      </c>
      <c r="B338" s="72">
        <f t="shared" si="16"/>
        <v>9</v>
      </c>
      <c r="C338" s="73">
        <v>41907</v>
      </c>
      <c r="D338" s="73" t="s">
        <v>17</v>
      </c>
      <c r="E338" s="73">
        <v>41907</v>
      </c>
      <c r="F338" s="76" t="s">
        <v>49</v>
      </c>
      <c r="G338" s="265"/>
      <c r="H338" s="7"/>
      <c r="I338" s="7"/>
      <c r="J338" s="7"/>
      <c r="K338" s="7"/>
      <c r="L338" s="7"/>
      <c r="M338" s="74">
        <v>50000</v>
      </c>
      <c r="N338" s="75" t="s">
        <v>241</v>
      </c>
      <c r="O338" s="75" t="s">
        <v>54</v>
      </c>
      <c r="P338" s="134" t="str">
        <f>IF(AND('331-CT'!$E$7=TH!H338,OR(N338="331",O338="331")),"x","")</f>
        <v/>
      </c>
    </row>
    <row r="339" spans="1:16" s="109" customFormat="1">
      <c r="A339" s="72">
        <f t="shared" si="15"/>
        <v>2014</v>
      </c>
      <c r="B339" s="72">
        <f t="shared" si="16"/>
        <v>9</v>
      </c>
      <c r="C339" s="73">
        <v>41907</v>
      </c>
      <c r="D339" s="73" t="s">
        <v>17</v>
      </c>
      <c r="E339" s="73">
        <v>41907</v>
      </c>
      <c r="F339" s="76" t="s">
        <v>44</v>
      </c>
      <c r="G339" s="265"/>
      <c r="H339" s="122"/>
      <c r="I339" s="122"/>
      <c r="J339" s="122"/>
      <c r="K339" s="122"/>
      <c r="L339" s="122"/>
      <c r="M339" s="74">
        <v>5000</v>
      </c>
      <c r="N339" s="75" t="s">
        <v>19</v>
      </c>
      <c r="O339" s="75" t="s">
        <v>54</v>
      </c>
      <c r="P339" s="134" t="str">
        <f>IF(AND('331-CT'!$E$7=TH!H339,OR(N339="331",O339="331")),"x","")</f>
        <v/>
      </c>
    </row>
    <row r="340" spans="1:16" s="109" customFormat="1">
      <c r="A340" s="72">
        <f t="shared" si="15"/>
        <v>2014</v>
      </c>
      <c r="B340" s="72">
        <f t="shared" si="16"/>
        <v>9</v>
      </c>
      <c r="C340" s="73">
        <v>41907</v>
      </c>
      <c r="D340" s="73" t="s">
        <v>17</v>
      </c>
      <c r="E340" s="73">
        <v>41907</v>
      </c>
      <c r="F340" s="76" t="s">
        <v>48</v>
      </c>
      <c r="G340" s="265"/>
      <c r="H340" s="122"/>
      <c r="I340" s="122"/>
      <c r="J340" s="122"/>
      <c r="K340" s="122"/>
      <c r="L340" s="122"/>
      <c r="M340" s="74">
        <v>50000</v>
      </c>
      <c r="N340" s="75" t="s">
        <v>241</v>
      </c>
      <c r="O340" s="75" t="s">
        <v>54</v>
      </c>
      <c r="P340" s="134" t="str">
        <f>IF(AND('331-CT'!$E$7=TH!H340,OR(N340="331",O340="331")),"x","")</f>
        <v/>
      </c>
    </row>
    <row r="341" spans="1:16" s="109" customFormat="1">
      <c r="A341" s="72">
        <f t="shared" si="15"/>
        <v>2014</v>
      </c>
      <c r="B341" s="72">
        <f t="shared" si="16"/>
        <v>9</v>
      </c>
      <c r="C341" s="73">
        <v>41907</v>
      </c>
      <c r="D341" s="73" t="s">
        <v>17</v>
      </c>
      <c r="E341" s="73">
        <v>41907</v>
      </c>
      <c r="F341" s="76" t="s">
        <v>44</v>
      </c>
      <c r="G341" s="265"/>
      <c r="H341" s="122"/>
      <c r="I341" s="122"/>
      <c r="J341" s="122"/>
      <c r="K341" s="122"/>
      <c r="L341" s="122"/>
      <c r="M341" s="74">
        <v>5000</v>
      </c>
      <c r="N341" s="75" t="s">
        <v>19</v>
      </c>
      <c r="O341" s="75" t="s">
        <v>54</v>
      </c>
      <c r="P341" s="134" t="str">
        <f>IF(AND('331-CT'!$E$7=TH!H341,OR(N341="331",O341="331")),"x","")</f>
        <v/>
      </c>
    </row>
    <row r="342" spans="1:16" s="109" customFormat="1">
      <c r="A342" s="72">
        <f t="shared" si="15"/>
        <v>2014</v>
      </c>
      <c r="B342" s="72">
        <f t="shared" si="16"/>
        <v>9</v>
      </c>
      <c r="C342" s="73">
        <v>41907</v>
      </c>
      <c r="D342" s="73" t="s">
        <v>17</v>
      </c>
      <c r="E342" s="73">
        <v>41907</v>
      </c>
      <c r="F342" s="76" t="s">
        <v>47</v>
      </c>
      <c r="G342" s="270"/>
      <c r="H342" s="122"/>
      <c r="I342" s="122"/>
      <c r="J342" s="122"/>
      <c r="K342" s="122"/>
      <c r="L342" s="122"/>
      <c r="M342" s="74">
        <v>50000</v>
      </c>
      <c r="N342" s="75" t="s">
        <v>241</v>
      </c>
      <c r="O342" s="75" t="s">
        <v>54</v>
      </c>
      <c r="P342" s="134" t="str">
        <f>IF(AND('331-CT'!$E$7=TH!H342,OR(N342="331",O342="331")),"x","")</f>
        <v/>
      </c>
    </row>
    <row r="343" spans="1:16" s="109" customFormat="1">
      <c r="A343" s="72">
        <f t="shared" si="15"/>
        <v>2014</v>
      </c>
      <c r="B343" s="72">
        <f t="shared" si="16"/>
        <v>9</v>
      </c>
      <c r="C343" s="73">
        <v>41907</v>
      </c>
      <c r="D343" s="73" t="s">
        <v>17</v>
      </c>
      <c r="E343" s="73">
        <v>41907</v>
      </c>
      <c r="F343" s="76" t="s">
        <v>44</v>
      </c>
      <c r="G343" s="270"/>
      <c r="H343" s="122"/>
      <c r="I343" s="122"/>
      <c r="J343" s="122"/>
      <c r="K343" s="122"/>
      <c r="L343" s="122"/>
      <c r="M343" s="74">
        <v>5000</v>
      </c>
      <c r="N343" s="75" t="s">
        <v>19</v>
      </c>
      <c r="O343" s="75" t="s">
        <v>54</v>
      </c>
      <c r="P343" s="134" t="str">
        <f>IF(AND('331-CT'!$E$7=TH!H343,OR(N343="331",O343="331")),"x","")</f>
        <v/>
      </c>
    </row>
    <row r="344" spans="1:16" s="109" customFormat="1">
      <c r="A344" s="72">
        <f t="shared" si="15"/>
        <v>2014</v>
      </c>
      <c r="B344" s="72">
        <f t="shared" si="16"/>
        <v>10</v>
      </c>
      <c r="C344" s="73">
        <v>41915</v>
      </c>
      <c r="D344" s="73" t="s">
        <v>17</v>
      </c>
      <c r="E344" s="73">
        <v>41915</v>
      </c>
      <c r="F344" s="76" t="s">
        <v>125</v>
      </c>
      <c r="G344" s="270"/>
      <c r="H344" s="7" t="s">
        <v>129</v>
      </c>
      <c r="I344" s="7"/>
      <c r="J344" s="7"/>
      <c r="K344" s="7"/>
      <c r="L344" s="7"/>
      <c r="M344" s="74">
        <v>16327199</v>
      </c>
      <c r="N344" s="75" t="s">
        <v>18</v>
      </c>
      <c r="O344" s="75" t="s">
        <v>54</v>
      </c>
      <c r="P344" s="134" t="str">
        <f>IF(AND('331-CT'!$E$7=TH!H344,OR(N344="331",O344="331")),"x","")</f>
        <v/>
      </c>
    </row>
    <row r="345" spans="1:16" s="109" customFormat="1">
      <c r="A345" s="72">
        <f t="shared" si="15"/>
        <v>2014</v>
      </c>
      <c r="B345" s="72">
        <f t="shared" si="16"/>
        <v>10</v>
      </c>
      <c r="C345" s="73">
        <v>41915</v>
      </c>
      <c r="D345" s="73" t="s">
        <v>17</v>
      </c>
      <c r="E345" s="73">
        <v>41915</v>
      </c>
      <c r="F345" s="76" t="s">
        <v>34</v>
      </c>
      <c r="G345" s="270"/>
      <c r="H345" s="7"/>
      <c r="I345" s="7"/>
      <c r="J345" s="7"/>
      <c r="K345" s="7"/>
      <c r="L345" s="7"/>
      <c r="M345" s="74">
        <v>25000</v>
      </c>
      <c r="N345" s="75" t="s">
        <v>241</v>
      </c>
      <c r="O345" s="75" t="s">
        <v>54</v>
      </c>
      <c r="P345" s="134" t="str">
        <f>IF(AND('331-CT'!$E$7=TH!H345,OR(N345="331",O345="331")),"x","")</f>
        <v/>
      </c>
    </row>
    <row r="346" spans="1:16" s="109" customFormat="1">
      <c r="A346" s="72">
        <f t="shared" si="15"/>
        <v>2014</v>
      </c>
      <c r="B346" s="72">
        <f t="shared" si="16"/>
        <v>10</v>
      </c>
      <c r="C346" s="73">
        <v>41915</v>
      </c>
      <c r="D346" s="73" t="s">
        <v>17</v>
      </c>
      <c r="E346" s="73">
        <v>41915</v>
      </c>
      <c r="F346" s="76" t="s">
        <v>35</v>
      </c>
      <c r="G346" s="265"/>
      <c r="H346" s="124"/>
      <c r="I346" s="124"/>
      <c r="J346" s="124"/>
      <c r="K346" s="124"/>
      <c r="L346" s="124"/>
      <c r="M346" s="74">
        <v>2500</v>
      </c>
      <c r="N346" s="75" t="s">
        <v>19</v>
      </c>
      <c r="O346" s="75" t="s">
        <v>54</v>
      </c>
      <c r="P346" s="134" t="str">
        <f>IF(AND('331-CT'!$E$7=TH!H346,OR(N346="331",O346="331")),"x","")</f>
        <v/>
      </c>
    </row>
    <row r="347" spans="1:16" s="109" customFormat="1">
      <c r="A347" s="72">
        <f t="shared" si="15"/>
        <v>2014</v>
      </c>
      <c r="B347" s="72">
        <f t="shared" si="16"/>
        <v>10</v>
      </c>
      <c r="C347" s="73">
        <v>41918</v>
      </c>
      <c r="D347" s="73" t="s">
        <v>17</v>
      </c>
      <c r="E347" s="73">
        <v>41918</v>
      </c>
      <c r="F347" s="76" t="s">
        <v>126</v>
      </c>
      <c r="G347" s="265"/>
      <c r="H347" s="122" t="s">
        <v>83</v>
      </c>
      <c r="I347" s="122"/>
      <c r="J347" s="122"/>
      <c r="K347" s="122"/>
      <c r="L347" s="122"/>
      <c r="M347" s="74">
        <v>34408000</v>
      </c>
      <c r="N347" s="75" t="s">
        <v>18</v>
      </c>
      <c r="O347" s="75" t="s">
        <v>54</v>
      </c>
      <c r="P347" s="134" t="str">
        <f>IF(AND('331-CT'!$E$7=TH!H347,OR(N347="331",O347="331")),"x","")</f>
        <v>x</v>
      </c>
    </row>
    <row r="348" spans="1:16" s="109" customFormat="1">
      <c r="A348" s="72">
        <f t="shared" si="15"/>
        <v>2014</v>
      </c>
      <c r="B348" s="72">
        <f t="shared" si="16"/>
        <v>10</v>
      </c>
      <c r="C348" s="73">
        <v>41918</v>
      </c>
      <c r="D348" s="73" t="s">
        <v>17</v>
      </c>
      <c r="E348" s="73">
        <v>41918</v>
      </c>
      <c r="F348" s="76" t="s">
        <v>34</v>
      </c>
      <c r="G348" s="265"/>
      <c r="H348" s="122"/>
      <c r="I348" s="122"/>
      <c r="J348" s="122"/>
      <c r="K348" s="122"/>
      <c r="L348" s="122"/>
      <c r="M348" s="74">
        <v>25000</v>
      </c>
      <c r="N348" s="75" t="s">
        <v>241</v>
      </c>
      <c r="O348" s="75" t="s">
        <v>54</v>
      </c>
      <c r="P348" s="134" t="str">
        <f>IF(AND('331-CT'!$E$7=TH!H348,OR(N348="331",O348="331")),"x","")</f>
        <v/>
      </c>
    </row>
    <row r="349" spans="1:16" s="109" customFormat="1">
      <c r="A349" s="72">
        <f t="shared" si="15"/>
        <v>2014</v>
      </c>
      <c r="B349" s="72">
        <f t="shared" si="16"/>
        <v>10</v>
      </c>
      <c r="C349" s="73">
        <v>41918</v>
      </c>
      <c r="D349" s="73" t="s">
        <v>17</v>
      </c>
      <c r="E349" s="73">
        <v>41918</v>
      </c>
      <c r="F349" s="76" t="s">
        <v>35</v>
      </c>
      <c r="G349" s="265"/>
      <c r="H349" s="122"/>
      <c r="I349" s="122"/>
      <c r="J349" s="122"/>
      <c r="K349" s="122"/>
      <c r="L349" s="122"/>
      <c r="M349" s="74">
        <v>2500</v>
      </c>
      <c r="N349" s="75" t="s">
        <v>19</v>
      </c>
      <c r="O349" s="75" t="s">
        <v>54</v>
      </c>
      <c r="P349" s="134" t="str">
        <f>IF(AND('331-CT'!$E$7=TH!H349,OR(N349="331",O349="331")),"x","")</f>
        <v/>
      </c>
    </row>
    <row r="350" spans="1:16" s="109" customFormat="1">
      <c r="A350" s="72">
        <f t="shared" si="15"/>
        <v>2014</v>
      </c>
      <c r="B350" s="72">
        <f t="shared" si="16"/>
        <v>10</v>
      </c>
      <c r="C350" s="73">
        <v>41927</v>
      </c>
      <c r="D350" s="73" t="s">
        <v>78</v>
      </c>
      <c r="E350" s="73">
        <v>41927</v>
      </c>
      <c r="F350" s="76" t="s">
        <v>130</v>
      </c>
      <c r="G350" s="265" t="s">
        <v>566</v>
      </c>
      <c r="H350" s="122" t="s">
        <v>132</v>
      </c>
      <c r="I350" s="122"/>
      <c r="J350" s="122"/>
      <c r="K350" s="122"/>
      <c r="L350" s="122"/>
      <c r="M350" s="74">
        <v>28000005</v>
      </c>
      <c r="N350" s="75" t="s">
        <v>654</v>
      </c>
      <c r="O350" s="75" t="s">
        <v>18</v>
      </c>
      <c r="P350" s="134" t="str">
        <f>IF(AND('331-CT'!$E$7=TH!H350,OR(N350="331",O350="331")),"x","")</f>
        <v/>
      </c>
    </row>
    <row r="351" spans="1:16" s="109" customFormat="1">
      <c r="A351" s="72">
        <f t="shared" si="15"/>
        <v>2014</v>
      </c>
      <c r="B351" s="72">
        <f t="shared" si="16"/>
        <v>10</v>
      </c>
      <c r="C351" s="73">
        <v>41927</v>
      </c>
      <c r="D351" s="73" t="s">
        <v>78</v>
      </c>
      <c r="E351" s="73">
        <v>41927</v>
      </c>
      <c r="F351" s="76" t="s">
        <v>131</v>
      </c>
      <c r="G351" s="265" t="s">
        <v>566</v>
      </c>
      <c r="H351" s="122" t="s">
        <v>132</v>
      </c>
      <c r="I351" s="122"/>
      <c r="J351" s="122"/>
      <c r="K351" s="122"/>
      <c r="L351" s="122"/>
      <c r="M351" s="74">
        <v>2800000</v>
      </c>
      <c r="N351" s="75" t="s">
        <v>19</v>
      </c>
      <c r="O351" s="75" t="s">
        <v>18</v>
      </c>
      <c r="P351" s="134" t="str">
        <f>IF(AND('331-CT'!$E$7=TH!H351,OR(N351="331",O351="331")),"x","")</f>
        <v/>
      </c>
    </row>
    <row r="352" spans="1:16" s="109" customFormat="1">
      <c r="A352" s="72">
        <f t="shared" si="15"/>
        <v>2014</v>
      </c>
      <c r="B352" s="72">
        <f t="shared" si="16"/>
        <v>10</v>
      </c>
      <c r="C352" s="73">
        <v>41928</v>
      </c>
      <c r="D352" s="73" t="s">
        <v>17</v>
      </c>
      <c r="E352" s="73">
        <v>41928</v>
      </c>
      <c r="F352" s="76" t="s">
        <v>6</v>
      </c>
      <c r="G352" s="265"/>
      <c r="H352" s="123" t="s">
        <v>89</v>
      </c>
      <c r="I352" s="123"/>
      <c r="J352" s="123"/>
      <c r="K352" s="123"/>
      <c r="L352" s="123"/>
      <c r="M352" s="74">
        <v>323824160</v>
      </c>
      <c r="N352" s="75" t="s">
        <v>18</v>
      </c>
      <c r="O352" s="75" t="s">
        <v>54</v>
      </c>
      <c r="P352" s="134" t="str">
        <f>IF(AND('331-CT'!$E$7=TH!H352,OR(N352="331",O352="331")),"x","")</f>
        <v/>
      </c>
    </row>
    <row r="353" spans="1:16" s="109" customFormat="1">
      <c r="A353" s="72">
        <f t="shared" si="15"/>
        <v>2014</v>
      </c>
      <c r="B353" s="72">
        <f t="shared" si="16"/>
        <v>10</v>
      </c>
      <c r="C353" s="73">
        <v>41928</v>
      </c>
      <c r="D353" s="73" t="s">
        <v>17</v>
      </c>
      <c r="E353" s="73">
        <v>41928</v>
      </c>
      <c r="F353" s="76" t="s">
        <v>34</v>
      </c>
      <c r="G353" s="265"/>
      <c r="H353" s="9"/>
      <c r="I353" s="9"/>
      <c r="J353" s="9"/>
      <c r="K353" s="9"/>
      <c r="L353" s="9"/>
      <c r="M353" s="74">
        <v>97147</v>
      </c>
      <c r="N353" s="75" t="s">
        <v>241</v>
      </c>
      <c r="O353" s="75" t="s">
        <v>54</v>
      </c>
      <c r="P353" s="134" t="str">
        <f>IF(AND('331-CT'!$E$7=TH!H353,OR(N353="331",O353="331")),"x","")</f>
        <v/>
      </c>
    </row>
    <row r="354" spans="1:16" s="109" customFormat="1">
      <c r="A354" s="72">
        <f t="shared" si="15"/>
        <v>2014</v>
      </c>
      <c r="B354" s="72">
        <f t="shared" si="16"/>
        <v>10</v>
      </c>
      <c r="C354" s="73">
        <v>41928</v>
      </c>
      <c r="D354" s="73" t="s">
        <v>17</v>
      </c>
      <c r="E354" s="73">
        <v>41928</v>
      </c>
      <c r="F354" s="76" t="s">
        <v>35</v>
      </c>
      <c r="G354" s="265"/>
      <c r="H354" s="122"/>
      <c r="I354" s="122"/>
      <c r="J354" s="122"/>
      <c r="K354" s="122"/>
      <c r="L354" s="122"/>
      <c r="M354" s="74">
        <v>9715</v>
      </c>
      <c r="N354" s="75" t="s">
        <v>19</v>
      </c>
      <c r="O354" s="75" t="s">
        <v>54</v>
      </c>
      <c r="P354" s="134" t="str">
        <f>IF(AND('331-CT'!$E$7=TH!H354,OR(N354="331",O354="331")),"x","")</f>
        <v/>
      </c>
    </row>
    <row r="355" spans="1:16" s="109" customFormat="1">
      <c r="A355" s="72">
        <f t="shared" si="15"/>
        <v>2014</v>
      </c>
      <c r="B355" s="72">
        <f t="shared" si="16"/>
        <v>10</v>
      </c>
      <c r="C355" s="73">
        <v>41929</v>
      </c>
      <c r="D355" s="73" t="s">
        <v>167</v>
      </c>
      <c r="E355" s="73">
        <v>41929</v>
      </c>
      <c r="F355" s="76" t="s">
        <v>576</v>
      </c>
      <c r="G355" s="265"/>
      <c r="H355" s="122" t="s">
        <v>266</v>
      </c>
      <c r="I355" s="122"/>
      <c r="J355" s="122"/>
      <c r="K355" s="122"/>
      <c r="L355" s="122"/>
      <c r="M355" s="74">
        <v>25000000</v>
      </c>
      <c r="N355" s="75" t="s">
        <v>39</v>
      </c>
      <c r="O355" s="75" t="s">
        <v>203</v>
      </c>
      <c r="P355" s="134" t="str">
        <f>IF(AND('331-CT'!$E$7=TH!H355,OR(N355="331",O355="331")),"x","")</f>
        <v/>
      </c>
    </row>
    <row r="356" spans="1:16" s="109" customFormat="1">
      <c r="A356" s="72">
        <f t="shared" si="15"/>
        <v>2014</v>
      </c>
      <c r="B356" s="72">
        <f t="shared" si="16"/>
        <v>10</v>
      </c>
      <c r="C356" s="73">
        <v>41929</v>
      </c>
      <c r="D356" s="73" t="s">
        <v>21</v>
      </c>
      <c r="E356" s="73">
        <v>41929</v>
      </c>
      <c r="F356" s="76" t="s">
        <v>45</v>
      </c>
      <c r="G356" s="265"/>
      <c r="H356" s="122" t="s">
        <v>266</v>
      </c>
      <c r="I356" s="122"/>
      <c r="J356" s="122"/>
      <c r="K356" s="122"/>
      <c r="L356" s="122"/>
      <c r="M356" s="74">
        <v>25000000</v>
      </c>
      <c r="N356" s="75" t="s">
        <v>54</v>
      </c>
      <c r="O356" s="75" t="s">
        <v>39</v>
      </c>
      <c r="P356" s="134" t="str">
        <f>IF(AND('331-CT'!$E$7=TH!H356,OR(N356="331",O356="331")),"x","")</f>
        <v/>
      </c>
    </row>
    <row r="357" spans="1:16" s="109" customFormat="1">
      <c r="A357" s="72">
        <f t="shared" si="15"/>
        <v>2014</v>
      </c>
      <c r="B357" s="72">
        <f t="shared" si="16"/>
        <v>10</v>
      </c>
      <c r="C357" s="73">
        <v>41932</v>
      </c>
      <c r="D357" s="73" t="s">
        <v>17</v>
      </c>
      <c r="E357" s="73">
        <v>41932</v>
      </c>
      <c r="F357" s="76" t="s">
        <v>119</v>
      </c>
      <c r="G357" s="265"/>
      <c r="H357" s="122" t="s">
        <v>313</v>
      </c>
      <c r="I357" s="122"/>
      <c r="J357" s="122"/>
      <c r="K357" s="122"/>
      <c r="L357" s="122"/>
      <c r="M357" s="74">
        <v>8333333</v>
      </c>
      <c r="N357" s="75" t="s">
        <v>239</v>
      </c>
      <c r="O357" s="75" t="s">
        <v>54</v>
      </c>
      <c r="P357" s="134" t="str">
        <f>IF(AND('331-CT'!$E$7=TH!H357,OR(N357="331",O357="331")),"x","")</f>
        <v/>
      </c>
    </row>
    <row r="358" spans="1:16" s="109" customFormat="1">
      <c r="A358" s="72">
        <f t="shared" si="15"/>
        <v>2014</v>
      </c>
      <c r="B358" s="72">
        <f t="shared" si="16"/>
        <v>10</v>
      </c>
      <c r="C358" s="73">
        <v>41933</v>
      </c>
      <c r="D358" s="73" t="s">
        <v>78</v>
      </c>
      <c r="E358" s="73">
        <v>41933</v>
      </c>
      <c r="F358" s="76" t="s">
        <v>122</v>
      </c>
      <c r="G358" s="265" t="s">
        <v>567</v>
      </c>
      <c r="H358" s="122" t="s">
        <v>91</v>
      </c>
      <c r="I358" s="122"/>
      <c r="J358" s="122"/>
      <c r="K358" s="122"/>
      <c r="L358" s="122"/>
      <c r="M358" s="74">
        <v>262727273</v>
      </c>
      <c r="N358" s="75" t="s">
        <v>654</v>
      </c>
      <c r="O358" s="75" t="s">
        <v>18</v>
      </c>
      <c r="P358" s="134" t="str">
        <f>IF(AND('331-CT'!$E$7=TH!H358,OR(N358="331",O358="331")),"x","")</f>
        <v/>
      </c>
    </row>
    <row r="359" spans="1:16" s="109" customFormat="1">
      <c r="A359" s="72">
        <f t="shared" si="15"/>
        <v>2014</v>
      </c>
      <c r="B359" s="72">
        <f t="shared" si="16"/>
        <v>10</v>
      </c>
      <c r="C359" s="73">
        <v>41933</v>
      </c>
      <c r="D359" s="73" t="s">
        <v>78</v>
      </c>
      <c r="E359" s="73">
        <v>41933</v>
      </c>
      <c r="F359" s="76" t="s">
        <v>123</v>
      </c>
      <c r="G359" s="265" t="s">
        <v>567</v>
      </c>
      <c r="H359" s="9" t="s">
        <v>91</v>
      </c>
      <c r="I359" s="9"/>
      <c r="J359" s="9"/>
      <c r="K359" s="9"/>
      <c r="L359" s="9"/>
      <c r="M359" s="74">
        <v>26272727</v>
      </c>
      <c r="N359" s="75" t="s">
        <v>19</v>
      </c>
      <c r="O359" s="75" t="s">
        <v>18</v>
      </c>
      <c r="P359" s="134" t="str">
        <f>IF(AND('331-CT'!$E$7=TH!H359,OR(N359="331",O359="331")),"x","")</f>
        <v/>
      </c>
    </row>
    <row r="360" spans="1:16" s="109" customFormat="1">
      <c r="A360" s="72">
        <f t="shared" si="15"/>
        <v>2014</v>
      </c>
      <c r="B360" s="72">
        <f t="shared" si="16"/>
        <v>10</v>
      </c>
      <c r="C360" s="73">
        <v>41934</v>
      </c>
      <c r="D360" s="73" t="s">
        <v>78</v>
      </c>
      <c r="E360" s="73">
        <v>41934</v>
      </c>
      <c r="F360" s="76" t="s">
        <v>124</v>
      </c>
      <c r="G360" s="265" t="s">
        <v>568</v>
      </c>
      <c r="H360" s="122" t="s">
        <v>83</v>
      </c>
      <c r="I360" s="122"/>
      <c r="J360" s="122"/>
      <c r="K360" s="122"/>
      <c r="L360" s="122"/>
      <c r="M360" s="74">
        <v>31280000</v>
      </c>
      <c r="N360" s="75" t="s">
        <v>241</v>
      </c>
      <c r="O360" s="75" t="s">
        <v>18</v>
      </c>
      <c r="P360" s="134" t="str">
        <f>IF(AND('331-CT'!$E$7=TH!H360,OR(N360="331",O360="331")),"x","")</f>
        <v>x</v>
      </c>
    </row>
    <row r="361" spans="1:16" s="109" customFormat="1">
      <c r="A361" s="72">
        <f t="shared" si="15"/>
        <v>2014</v>
      </c>
      <c r="B361" s="72">
        <f t="shared" si="16"/>
        <v>10</v>
      </c>
      <c r="C361" s="73">
        <v>41934</v>
      </c>
      <c r="D361" s="73" t="s">
        <v>78</v>
      </c>
      <c r="E361" s="73">
        <v>41934</v>
      </c>
      <c r="F361" s="76" t="s">
        <v>84</v>
      </c>
      <c r="G361" s="265" t="s">
        <v>568</v>
      </c>
      <c r="H361" s="122" t="s">
        <v>83</v>
      </c>
      <c r="I361" s="122"/>
      <c r="J361" s="122"/>
      <c r="K361" s="122"/>
      <c r="L361" s="122"/>
      <c r="M361" s="74">
        <v>3128000</v>
      </c>
      <c r="N361" s="75" t="s">
        <v>19</v>
      </c>
      <c r="O361" s="75" t="s">
        <v>18</v>
      </c>
      <c r="P361" s="134" t="str">
        <f>IF(AND('331-CT'!$E$7=TH!H361,OR(N361="331",O361="331")),"x","")</f>
        <v>x</v>
      </c>
    </row>
    <row r="362" spans="1:16" s="109" customFormat="1">
      <c r="A362" s="72">
        <f t="shared" si="15"/>
        <v>2014</v>
      </c>
      <c r="B362" s="72">
        <f t="shared" si="16"/>
        <v>10</v>
      </c>
      <c r="C362" s="73">
        <v>41934</v>
      </c>
      <c r="D362" s="73" t="s">
        <v>21</v>
      </c>
      <c r="E362" s="73">
        <v>41934</v>
      </c>
      <c r="F362" s="76" t="s">
        <v>127</v>
      </c>
      <c r="G362" s="265"/>
      <c r="H362" s="9" t="s">
        <v>316</v>
      </c>
      <c r="I362" s="9"/>
      <c r="J362" s="9"/>
      <c r="K362" s="9"/>
      <c r="L362" s="9"/>
      <c r="M362" s="74">
        <v>1600000000</v>
      </c>
      <c r="N362" s="75" t="s">
        <v>54</v>
      </c>
      <c r="O362" s="75" t="s">
        <v>227</v>
      </c>
      <c r="P362" s="134" t="str">
        <f>IF(AND('331-CT'!$E$7=TH!H362,OR(N362="331",O362="331")),"x","")</f>
        <v/>
      </c>
    </row>
    <row r="363" spans="1:16" s="109" customFormat="1">
      <c r="A363" s="72">
        <f t="shared" si="15"/>
        <v>2014</v>
      </c>
      <c r="B363" s="72">
        <f t="shared" si="16"/>
        <v>10</v>
      </c>
      <c r="C363" s="73">
        <v>41935</v>
      </c>
      <c r="D363" s="73" t="s">
        <v>17</v>
      </c>
      <c r="E363" s="73">
        <v>41935</v>
      </c>
      <c r="F363" s="76" t="s">
        <v>112</v>
      </c>
      <c r="G363" s="265"/>
      <c r="H363" s="122" t="s">
        <v>85</v>
      </c>
      <c r="I363" s="122"/>
      <c r="J363" s="122"/>
      <c r="K363" s="122"/>
      <c r="L363" s="122"/>
      <c r="M363" s="74">
        <v>1500000000</v>
      </c>
      <c r="N363" s="75" t="s">
        <v>18</v>
      </c>
      <c r="O363" s="75" t="s">
        <v>54</v>
      </c>
      <c r="P363" s="134" t="str">
        <f>IF(AND('331-CT'!$E$7=TH!H363,OR(N363="331",O363="331")),"x","")</f>
        <v/>
      </c>
    </row>
    <row r="364" spans="1:16" s="109" customFormat="1">
      <c r="A364" s="72">
        <f t="shared" si="15"/>
        <v>2014</v>
      </c>
      <c r="B364" s="72">
        <f t="shared" si="16"/>
        <v>10</v>
      </c>
      <c r="C364" s="73">
        <v>41935</v>
      </c>
      <c r="D364" s="73" t="s">
        <v>17</v>
      </c>
      <c r="E364" s="73">
        <v>41935</v>
      </c>
      <c r="F364" s="76" t="s">
        <v>34</v>
      </c>
      <c r="G364" s="265"/>
      <c r="H364" s="122"/>
      <c r="I364" s="122"/>
      <c r="J364" s="122"/>
      <c r="K364" s="122"/>
      <c r="L364" s="122"/>
      <c r="M364" s="74">
        <v>750000</v>
      </c>
      <c r="N364" s="75" t="s">
        <v>241</v>
      </c>
      <c r="O364" s="75" t="s">
        <v>54</v>
      </c>
      <c r="P364" s="134" t="str">
        <f>IF(AND('331-CT'!$E$7=TH!H364,OR(N364="331",O364="331")),"x","")</f>
        <v/>
      </c>
    </row>
    <row r="365" spans="1:16" s="109" customFormat="1">
      <c r="A365" s="72">
        <f t="shared" si="15"/>
        <v>2014</v>
      </c>
      <c r="B365" s="72">
        <f t="shared" si="16"/>
        <v>10</v>
      </c>
      <c r="C365" s="73">
        <v>41935</v>
      </c>
      <c r="D365" s="73" t="s">
        <v>17</v>
      </c>
      <c r="E365" s="73">
        <v>41935</v>
      </c>
      <c r="F365" s="76" t="s">
        <v>35</v>
      </c>
      <c r="G365" s="265"/>
      <c r="H365" s="9"/>
      <c r="I365" s="9"/>
      <c r="J365" s="9"/>
      <c r="K365" s="9"/>
      <c r="L365" s="9"/>
      <c r="M365" s="74">
        <v>75000</v>
      </c>
      <c r="N365" s="75" t="s">
        <v>19</v>
      </c>
      <c r="O365" s="75" t="s">
        <v>54</v>
      </c>
      <c r="P365" s="134" t="str">
        <f>IF(AND('331-CT'!$E$7=TH!H365,OR(N365="331",O365="331")),"x","")</f>
        <v/>
      </c>
    </row>
    <row r="366" spans="1:16" s="109" customFormat="1">
      <c r="A366" s="72">
        <f t="shared" si="15"/>
        <v>2014</v>
      </c>
      <c r="B366" s="72">
        <f t="shared" si="16"/>
        <v>10</v>
      </c>
      <c r="C366" s="73">
        <v>41936</v>
      </c>
      <c r="D366" s="73" t="s">
        <v>21</v>
      </c>
      <c r="E366" s="73">
        <v>41936</v>
      </c>
      <c r="F366" s="76" t="s">
        <v>98</v>
      </c>
      <c r="G366" s="265"/>
      <c r="H366" s="122"/>
      <c r="I366" s="122"/>
      <c r="J366" s="122"/>
      <c r="K366" s="122"/>
      <c r="L366" s="122"/>
      <c r="M366" s="74">
        <v>322248</v>
      </c>
      <c r="N366" s="75" t="s">
        <v>54</v>
      </c>
      <c r="O366" s="75" t="s">
        <v>99</v>
      </c>
      <c r="P366" s="134" t="str">
        <f>IF(AND('331-CT'!$E$7=TH!H366,OR(N366="331",O366="331")),"x","")</f>
        <v/>
      </c>
    </row>
    <row r="367" spans="1:16" s="109" customFormat="1">
      <c r="A367" s="72">
        <f t="shared" si="15"/>
        <v>2014</v>
      </c>
      <c r="B367" s="72">
        <f t="shared" si="16"/>
        <v>10</v>
      </c>
      <c r="C367" s="73">
        <v>41942</v>
      </c>
      <c r="D367" s="73" t="s">
        <v>17</v>
      </c>
      <c r="E367" s="73">
        <v>41942</v>
      </c>
      <c r="F367" s="76" t="s">
        <v>128</v>
      </c>
      <c r="G367" s="265"/>
      <c r="H367" s="122" t="s">
        <v>132</v>
      </c>
      <c r="I367" s="122"/>
      <c r="J367" s="122"/>
      <c r="K367" s="122"/>
      <c r="L367" s="122"/>
      <c r="M367" s="74">
        <v>30800005</v>
      </c>
      <c r="N367" s="75" t="s">
        <v>18</v>
      </c>
      <c r="O367" s="75" t="s">
        <v>54</v>
      </c>
      <c r="P367" s="134" t="str">
        <f>IF(AND('331-CT'!$E$7=TH!H367,OR(N367="331",O367="331")),"x","")</f>
        <v/>
      </c>
    </row>
    <row r="368" spans="1:16" s="109" customFormat="1">
      <c r="A368" s="72">
        <f t="shared" si="15"/>
        <v>2014</v>
      </c>
      <c r="B368" s="72">
        <f t="shared" si="16"/>
        <v>10</v>
      </c>
      <c r="C368" s="73">
        <v>41942</v>
      </c>
      <c r="D368" s="73" t="s">
        <v>17</v>
      </c>
      <c r="E368" s="73">
        <v>41942</v>
      </c>
      <c r="F368" s="76" t="s">
        <v>34</v>
      </c>
      <c r="G368" s="265"/>
      <c r="H368" s="9"/>
      <c r="I368" s="9"/>
      <c r="J368" s="9"/>
      <c r="K368" s="9"/>
      <c r="L368" s="9"/>
      <c r="M368" s="74">
        <v>25000</v>
      </c>
      <c r="N368" s="75" t="s">
        <v>241</v>
      </c>
      <c r="O368" s="75" t="s">
        <v>54</v>
      </c>
      <c r="P368" s="134" t="str">
        <f>IF(AND('331-CT'!$E$7=TH!H368,OR(N368="331",O368="331")),"x","")</f>
        <v/>
      </c>
    </row>
    <row r="369" spans="1:16" s="109" customFormat="1">
      <c r="A369" s="72">
        <f t="shared" si="15"/>
        <v>2014</v>
      </c>
      <c r="B369" s="72">
        <f t="shared" si="16"/>
        <v>10</v>
      </c>
      <c r="C369" s="73">
        <v>41942</v>
      </c>
      <c r="D369" s="73" t="s">
        <v>17</v>
      </c>
      <c r="E369" s="73">
        <v>41942</v>
      </c>
      <c r="F369" s="76" t="s">
        <v>35</v>
      </c>
      <c r="G369" s="265"/>
      <c r="H369" s="122"/>
      <c r="I369" s="122"/>
      <c r="J369" s="122"/>
      <c r="K369" s="122"/>
      <c r="L369" s="122"/>
      <c r="M369" s="74">
        <v>2500</v>
      </c>
      <c r="N369" s="75" t="s">
        <v>19</v>
      </c>
      <c r="O369" s="75" t="s">
        <v>54</v>
      </c>
      <c r="P369" s="134" t="str">
        <f>IF(AND('331-CT'!$E$7=TH!H369,OR(N369="331",O369="331")),"x","")</f>
        <v/>
      </c>
    </row>
    <row r="370" spans="1:16" s="109" customFormat="1">
      <c r="A370" s="72">
        <f t="shared" si="15"/>
        <v>2014</v>
      </c>
      <c r="B370" s="72">
        <f t="shared" si="16"/>
        <v>10</v>
      </c>
      <c r="C370" s="73">
        <v>41942</v>
      </c>
      <c r="D370" s="73" t="s">
        <v>17</v>
      </c>
      <c r="E370" s="73">
        <v>41942</v>
      </c>
      <c r="F370" s="76" t="s">
        <v>5</v>
      </c>
      <c r="G370" s="265"/>
      <c r="H370" s="123" t="s">
        <v>91</v>
      </c>
      <c r="I370" s="123"/>
      <c r="J370" s="123"/>
      <c r="K370" s="123"/>
      <c r="L370" s="123"/>
      <c r="M370" s="74">
        <v>49000000</v>
      </c>
      <c r="N370" s="75" t="s">
        <v>18</v>
      </c>
      <c r="O370" s="75" t="s">
        <v>54</v>
      </c>
      <c r="P370" s="134" t="str">
        <f>IF(AND('331-CT'!$E$7=TH!H370,OR(N370="331",O370="331")),"x","")</f>
        <v/>
      </c>
    </row>
    <row r="371" spans="1:16" s="109" customFormat="1">
      <c r="A371" s="72">
        <f t="shared" si="15"/>
        <v>2014</v>
      </c>
      <c r="B371" s="72">
        <f t="shared" si="16"/>
        <v>10</v>
      </c>
      <c r="C371" s="73">
        <v>41942</v>
      </c>
      <c r="D371" s="73" t="s">
        <v>17</v>
      </c>
      <c r="E371" s="73">
        <v>41942</v>
      </c>
      <c r="F371" s="76" t="s">
        <v>34</v>
      </c>
      <c r="G371" s="265"/>
      <c r="H371" s="122"/>
      <c r="I371" s="122"/>
      <c r="J371" s="122"/>
      <c r="K371" s="122"/>
      <c r="L371" s="122"/>
      <c r="M371" s="74">
        <v>25000</v>
      </c>
      <c r="N371" s="75" t="s">
        <v>241</v>
      </c>
      <c r="O371" s="75" t="s">
        <v>54</v>
      </c>
      <c r="P371" s="134" t="str">
        <f>IF(AND('331-CT'!$E$7=TH!H371,OR(N371="331",O371="331")),"x","")</f>
        <v/>
      </c>
    </row>
    <row r="372" spans="1:16" s="109" customFormat="1">
      <c r="A372" s="72">
        <f t="shared" si="15"/>
        <v>2014</v>
      </c>
      <c r="B372" s="72">
        <f t="shared" si="16"/>
        <v>10</v>
      </c>
      <c r="C372" s="73">
        <v>41942</v>
      </c>
      <c r="D372" s="73" t="s">
        <v>17</v>
      </c>
      <c r="E372" s="73">
        <v>41942</v>
      </c>
      <c r="F372" s="76" t="s">
        <v>35</v>
      </c>
      <c r="G372" s="265"/>
      <c r="H372" s="122"/>
      <c r="I372" s="122"/>
      <c r="J372" s="122"/>
      <c r="K372" s="122"/>
      <c r="L372" s="122"/>
      <c r="M372" s="74">
        <v>2500</v>
      </c>
      <c r="N372" s="75" t="s">
        <v>19</v>
      </c>
      <c r="O372" s="75" t="s">
        <v>54</v>
      </c>
      <c r="P372" s="134" t="str">
        <f>IF(AND('331-CT'!$E$7=TH!H372,OR(N372="331",O372="331")),"x","")</f>
        <v/>
      </c>
    </row>
    <row r="373" spans="1:16" s="109" customFormat="1">
      <c r="A373" s="72">
        <f t="shared" si="15"/>
        <v>2014</v>
      </c>
      <c r="B373" s="72">
        <f t="shared" si="16"/>
        <v>10</v>
      </c>
      <c r="C373" s="73">
        <v>41942</v>
      </c>
      <c r="D373" s="73" t="s">
        <v>17</v>
      </c>
      <c r="E373" s="73">
        <v>41942</v>
      </c>
      <c r="F373" s="76" t="s">
        <v>113</v>
      </c>
      <c r="G373" s="265"/>
      <c r="H373" s="123" t="s">
        <v>111</v>
      </c>
      <c r="I373" s="123"/>
      <c r="J373" s="123"/>
      <c r="K373" s="123"/>
      <c r="L373" s="123"/>
      <c r="M373" s="74">
        <v>500000000</v>
      </c>
      <c r="N373" s="75" t="s">
        <v>18</v>
      </c>
      <c r="O373" s="75" t="s">
        <v>54</v>
      </c>
      <c r="P373" s="134" t="str">
        <f>IF(AND('331-CT'!$E$7=TH!H373,OR(N373="331",O373="331")),"x","")</f>
        <v/>
      </c>
    </row>
    <row r="374" spans="1:16" s="109" customFormat="1">
      <c r="A374" s="72">
        <f t="shared" si="15"/>
        <v>2014</v>
      </c>
      <c r="B374" s="72">
        <f t="shared" si="16"/>
        <v>10</v>
      </c>
      <c r="C374" s="73">
        <v>41942</v>
      </c>
      <c r="D374" s="73" t="s">
        <v>17</v>
      </c>
      <c r="E374" s="73">
        <v>41942</v>
      </c>
      <c r="F374" s="76" t="s">
        <v>34</v>
      </c>
      <c r="G374" s="265"/>
      <c r="H374" s="122"/>
      <c r="I374" s="122"/>
      <c r="J374" s="122"/>
      <c r="K374" s="122"/>
      <c r="L374" s="122"/>
      <c r="M374" s="74">
        <v>150000</v>
      </c>
      <c r="N374" s="75" t="s">
        <v>241</v>
      </c>
      <c r="O374" s="75" t="s">
        <v>54</v>
      </c>
      <c r="P374" s="134" t="str">
        <f>IF(AND('331-CT'!$E$7=TH!H374,OR(N374="331",O374="331")),"x","")</f>
        <v/>
      </c>
    </row>
    <row r="375" spans="1:16" s="109" customFormat="1">
      <c r="A375" s="72">
        <f t="shared" si="15"/>
        <v>2014</v>
      </c>
      <c r="B375" s="72">
        <f t="shared" si="16"/>
        <v>10</v>
      </c>
      <c r="C375" s="73">
        <v>41942</v>
      </c>
      <c r="D375" s="73" t="s">
        <v>17</v>
      </c>
      <c r="E375" s="73">
        <v>41942</v>
      </c>
      <c r="F375" s="93" t="s">
        <v>35</v>
      </c>
      <c r="G375" s="265"/>
      <c r="H375" s="122"/>
      <c r="I375" s="122"/>
      <c r="J375" s="122"/>
      <c r="K375" s="122"/>
      <c r="L375" s="122"/>
      <c r="M375" s="74">
        <v>15000</v>
      </c>
      <c r="N375" s="75" t="s">
        <v>19</v>
      </c>
      <c r="O375" s="75" t="s">
        <v>54</v>
      </c>
      <c r="P375" s="134" t="str">
        <f>IF(AND('331-CT'!$E$7=TH!H375,OR(N375="331",O375="331")),"x","")</f>
        <v/>
      </c>
    </row>
    <row r="376" spans="1:16" s="109" customFormat="1">
      <c r="A376" s="72">
        <f t="shared" si="15"/>
        <v>2014</v>
      </c>
      <c r="B376" s="72">
        <f t="shared" si="16"/>
        <v>10</v>
      </c>
      <c r="C376" s="73">
        <v>41943</v>
      </c>
      <c r="D376" s="73" t="s">
        <v>78</v>
      </c>
      <c r="E376" s="73">
        <v>41943</v>
      </c>
      <c r="F376" s="76" t="s">
        <v>136</v>
      </c>
      <c r="G376" s="265" t="s">
        <v>569</v>
      </c>
      <c r="H376" s="124" t="s">
        <v>129</v>
      </c>
      <c r="I376" s="124"/>
      <c r="J376" s="124"/>
      <c r="K376" s="124"/>
      <c r="L376" s="124"/>
      <c r="M376" s="74">
        <v>14842908</v>
      </c>
      <c r="N376" s="75" t="s">
        <v>654</v>
      </c>
      <c r="O376" s="75" t="s">
        <v>18</v>
      </c>
      <c r="P376" s="134" t="str">
        <f>IF(AND('331-CT'!$E$7=TH!H376,OR(N376="331",O376="331")),"x","")</f>
        <v/>
      </c>
    </row>
    <row r="377" spans="1:16" s="109" customFormat="1">
      <c r="A377" s="72">
        <f t="shared" si="15"/>
        <v>2014</v>
      </c>
      <c r="B377" s="72">
        <f t="shared" si="16"/>
        <v>10</v>
      </c>
      <c r="C377" s="73">
        <v>41943</v>
      </c>
      <c r="D377" s="73" t="s">
        <v>78</v>
      </c>
      <c r="E377" s="73">
        <v>41943</v>
      </c>
      <c r="F377" s="76" t="s">
        <v>137</v>
      </c>
      <c r="G377" s="265" t="s">
        <v>569</v>
      </c>
      <c r="H377" s="124" t="s">
        <v>129</v>
      </c>
      <c r="I377" s="124"/>
      <c r="J377" s="124"/>
      <c r="K377" s="124"/>
      <c r="L377" s="124"/>
      <c r="M377" s="74">
        <v>1484291</v>
      </c>
      <c r="N377" s="75" t="s">
        <v>19</v>
      </c>
      <c r="O377" s="75" t="s">
        <v>18</v>
      </c>
      <c r="P377" s="134" t="str">
        <f>IF(AND('331-CT'!$E$7=TH!H377,OR(N377="331",O377="331")),"x","")</f>
        <v/>
      </c>
    </row>
    <row r="378" spans="1:16" s="109" customFormat="1">
      <c r="A378" s="72">
        <f t="shared" si="15"/>
        <v>2014</v>
      </c>
      <c r="B378" s="72">
        <f t="shared" si="16"/>
        <v>11</v>
      </c>
      <c r="C378" s="73">
        <v>41949</v>
      </c>
      <c r="D378" s="73" t="s">
        <v>168</v>
      </c>
      <c r="E378" s="73">
        <v>41949</v>
      </c>
      <c r="F378" s="76" t="s">
        <v>155</v>
      </c>
      <c r="G378" s="265" t="s">
        <v>520</v>
      </c>
      <c r="H378" s="124" t="s">
        <v>522</v>
      </c>
      <c r="I378" s="124"/>
      <c r="J378" s="124"/>
      <c r="K378" s="124"/>
      <c r="L378" s="124"/>
      <c r="M378" s="74">
        <v>2160000</v>
      </c>
      <c r="N378" s="75" t="s">
        <v>241</v>
      </c>
      <c r="O378" s="75" t="s">
        <v>203</v>
      </c>
      <c r="P378" s="134" t="str">
        <f>IF(AND('331-CT'!$E$7=TH!H378,OR(N378="331",O378="331")),"x","")</f>
        <v/>
      </c>
    </row>
    <row r="379" spans="1:16" s="109" customFormat="1">
      <c r="A379" s="72">
        <f t="shared" si="15"/>
        <v>2014</v>
      </c>
      <c r="B379" s="72">
        <f t="shared" si="16"/>
        <v>11</v>
      </c>
      <c r="C379" s="73">
        <v>41949</v>
      </c>
      <c r="D379" s="73" t="s">
        <v>168</v>
      </c>
      <c r="E379" s="73">
        <v>41949</v>
      </c>
      <c r="F379" s="76" t="s">
        <v>156</v>
      </c>
      <c r="G379" s="265" t="s">
        <v>520</v>
      </c>
      <c r="H379" s="124" t="s">
        <v>522</v>
      </c>
      <c r="I379" s="124"/>
      <c r="J379" s="124"/>
      <c r="K379" s="124"/>
      <c r="L379" s="124"/>
      <c r="M379" s="74">
        <v>216000</v>
      </c>
      <c r="N379" s="75" t="s">
        <v>19</v>
      </c>
      <c r="O379" s="75" t="s">
        <v>203</v>
      </c>
      <c r="P379" s="134" t="str">
        <f>IF(AND('331-CT'!$E$7=TH!H379,OR(N379="331",O379="331")),"x","")</f>
        <v/>
      </c>
    </row>
    <row r="380" spans="1:16" s="109" customFormat="1">
      <c r="A380" s="72">
        <f t="shared" si="15"/>
        <v>2014</v>
      </c>
      <c r="B380" s="72">
        <f t="shared" si="16"/>
        <v>11</v>
      </c>
      <c r="C380" s="73">
        <v>41963</v>
      </c>
      <c r="D380" s="73" t="s">
        <v>169</v>
      </c>
      <c r="E380" s="73">
        <v>41963</v>
      </c>
      <c r="F380" s="76" t="s">
        <v>576</v>
      </c>
      <c r="G380" s="265"/>
      <c r="H380" s="124" t="s">
        <v>266</v>
      </c>
      <c r="I380" s="124"/>
      <c r="J380" s="124"/>
      <c r="K380" s="124"/>
      <c r="L380" s="124"/>
      <c r="M380" s="74">
        <v>40500000</v>
      </c>
      <c r="N380" s="136" t="s">
        <v>39</v>
      </c>
      <c r="O380" s="136" t="s">
        <v>203</v>
      </c>
      <c r="P380" s="134" t="str">
        <f>IF(AND('331-CT'!$E$7=TH!H380,OR(N380="331",O380="331")),"x","")</f>
        <v/>
      </c>
    </row>
    <row r="381" spans="1:16" s="109" customFormat="1">
      <c r="A381" s="72">
        <f t="shared" si="15"/>
        <v>2014</v>
      </c>
      <c r="B381" s="72">
        <f t="shared" si="16"/>
        <v>11</v>
      </c>
      <c r="C381" s="73">
        <v>41963</v>
      </c>
      <c r="D381" s="73" t="s">
        <v>21</v>
      </c>
      <c r="E381" s="73">
        <v>41963</v>
      </c>
      <c r="F381" s="76" t="s">
        <v>45</v>
      </c>
      <c r="G381" s="265"/>
      <c r="H381" s="124" t="s">
        <v>266</v>
      </c>
      <c r="I381" s="124"/>
      <c r="J381" s="124"/>
      <c r="K381" s="124"/>
      <c r="L381" s="124"/>
      <c r="M381" s="74">
        <v>40500000</v>
      </c>
      <c r="N381" s="136" t="s">
        <v>54</v>
      </c>
      <c r="O381" s="136" t="s">
        <v>39</v>
      </c>
      <c r="P381" s="134" t="str">
        <f>IF(AND('331-CT'!$E$7=TH!H381,OR(N381="331",O381="331")),"x","")</f>
        <v/>
      </c>
    </row>
    <row r="382" spans="1:16" s="109" customFormat="1">
      <c r="A382" s="72">
        <f t="shared" si="15"/>
        <v>2014</v>
      </c>
      <c r="B382" s="72">
        <f t="shared" si="16"/>
        <v>11</v>
      </c>
      <c r="C382" s="73">
        <v>41963</v>
      </c>
      <c r="D382" s="73" t="s">
        <v>17</v>
      </c>
      <c r="E382" s="73">
        <v>41963</v>
      </c>
      <c r="F382" s="76" t="s">
        <v>140</v>
      </c>
      <c r="G382" s="265"/>
      <c r="H382" s="122" t="s">
        <v>313</v>
      </c>
      <c r="I382" s="122"/>
      <c r="J382" s="122"/>
      <c r="K382" s="122"/>
      <c r="L382" s="122"/>
      <c r="M382" s="74">
        <v>8614699</v>
      </c>
      <c r="N382" s="75" t="s">
        <v>239</v>
      </c>
      <c r="O382" s="75" t="s">
        <v>54</v>
      </c>
      <c r="P382" s="134" t="str">
        <f>IF(AND('331-CT'!$E$7=TH!H382,OR(N382="331",O382="331")),"x","")</f>
        <v/>
      </c>
    </row>
    <row r="383" spans="1:16" s="109" customFormat="1">
      <c r="A383" s="72">
        <f t="shared" si="15"/>
        <v>2014</v>
      </c>
      <c r="B383" s="72">
        <f t="shared" si="16"/>
        <v>11</v>
      </c>
      <c r="C383" s="73">
        <v>41963</v>
      </c>
      <c r="D383" s="73" t="s">
        <v>17</v>
      </c>
      <c r="E383" s="73">
        <v>41963</v>
      </c>
      <c r="F383" s="76" t="s">
        <v>141</v>
      </c>
      <c r="G383" s="265"/>
      <c r="H383" s="122" t="s">
        <v>314</v>
      </c>
      <c r="I383" s="122"/>
      <c r="J383" s="122"/>
      <c r="K383" s="122"/>
      <c r="L383" s="122"/>
      <c r="M383" s="74">
        <v>31679861</v>
      </c>
      <c r="N383" s="75" t="s">
        <v>239</v>
      </c>
      <c r="O383" s="75" t="s">
        <v>54</v>
      </c>
      <c r="P383" s="134" t="str">
        <f>IF(AND('331-CT'!$E$7=TH!H383,OR(N383="331",O383="331")),"x","")</f>
        <v/>
      </c>
    </row>
    <row r="384" spans="1:16" s="109" customFormat="1">
      <c r="A384" s="72">
        <f t="shared" si="15"/>
        <v>2014</v>
      </c>
      <c r="B384" s="72">
        <f t="shared" si="16"/>
        <v>11</v>
      </c>
      <c r="C384" s="73">
        <v>41963</v>
      </c>
      <c r="D384" s="73" t="s">
        <v>17</v>
      </c>
      <c r="E384" s="73">
        <v>41963</v>
      </c>
      <c r="F384" s="76" t="s">
        <v>112</v>
      </c>
      <c r="G384" s="265"/>
      <c r="H384" s="122" t="s">
        <v>85</v>
      </c>
      <c r="I384" s="122"/>
      <c r="J384" s="122"/>
      <c r="K384" s="122"/>
      <c r="L384" s="122"/>
      <c r="M384" s="74">
        <v>1000000000</v>
      </c>
      <c r="N384" s="75" t="s">
        <v>18</v>
      </c>
      <c r="O384" s="75" t="s">
        <v>54</v>
      </c>
      <c r="P384" s="134" t="str">
        <f>IF(AND('331-CT'!$E$7=TH!H384,OR(N384="331",O384="331")),"x","")</f>
        <v/>
      </c>
    </row>
    <row r="385" spans="1:16" s="109" customFormat="1">
      <c r="A385" s="72">
        <f t="shared" si="15"/>
        <v>2014</v>
      </c>
      <c r="B385" s="72">
        <f t="shared" si="16"/>
        <v>11</v>
      </c>
      <c r="C385" s="73">
        <v>41963</v>
      </c>
      <c r="D385" s="73" t="s">
        <v>17</v>
      </c>
      <c r="E385" s="73">
        <v>41963</v>
      </c>
      <c r="F385" s="76" t="s">
        <v>34</v>
      </c>
      <c r="G385" s="265"/>
      <c r="H385" s="122"/>
      <c r="I385" s="122"/>
      <c r="J385" s="122"/>
      <c r="K385" s="122"/>
      <c r="L385" s="122"/>
      <c r="M385" s="74">
        <v>500000</v>
      </c>
      <c r="N385" s="75" t="s">
        <v>241</v>
      </c>
      <c r="O385" s="75" t="s">
        <v>54</v>
      </c>
      <c r="P385" s="134" t="str">
        <f>IF(AND('331-CT'!$E$7=TH!H385,OR(N385="331",O385="331")),"x","")</f>
        <v/>
      </c>
    </row>
    <row r="386" spans="1:16" s="109" customFormat="1">
      <c r="A386" s="72">
        <f t="shared" si="15"/>
        <v>2014</v>
      </c>
      <c r="B386" s="72">
        <f t="shared" si="16"/>
        <v>11</v>
      </c>
      <c r="C386" s="73">
        <v>41963</v>
      </c>
      <c r="D386" s="73" t="s">
        <v>17</v>
      </c>
      <c r="E386" s="73">
        <v>41963</v>
      </c>
      <c r="F386" s="76" t="s">
        <v>35</v>
      </c>
      <c r="G386" s="265"/>
      <c r="H386" s="122"/>
      <c r="I386" s="122"/>
      <c r="J386" s="122"/>
      <c r="K386" s="122"/>
      <c r="L386" s="122"/>
      <c r="M386" s="74">
        <v>50000</v>
      </c>
      <c r="N386" s="75" t="s">
        <v>19</v>
      </c>
      <c r="O386" s="75" t="s">
        <v>54</v>
      </c>
      <c r="P386" s="134" t="str">
        <f>IF(AND('331-CT'!$E$7=TH!H386,OR(N386="331",O386="331")),"x","")</f>
        <v/>
      </c>
    </row>
    <row r="387" spans="1:16" s="109" customFormat="1">
      <c r="A387" s="72">
        <f t="shared" si="15"/>
        <v>2014</v>
      </c>
      <c r="B387" s="72">
        <f t="shared" si="16"/>
        <v>11</v>
      </c>
      <c r="C387" s="73">
        <v>41963</v>
      </c>
      <c r="D387" s="73" t="s">
        <v>21</v>
      </c>
      <c r="E387" s="73">
        <v>41963</v>
      </c>
      <c r="F387" s="76" t="s">
        <v>139</v>
      </c>
      <c r="G387" s="265"/>
      <c r="H387" s="123" t="s">
        <v>315</v>
      </c>
      <c r="I387" s="123"/>
      <c r="J387" s="123"/>
      <c r="K387" s="123"/>
      <c r="L387" s="123"/>
      <c r="M387" s="74">
        <v>1500000000</v>
      </c>
      <c r="N387" s="75" t="s">
        <v>54</v>
      </c>
      <c r="O387" s="75" t="s">
        <v>227</v>
      </c>
      <c r="P387" s="134" t="str">
        <f>IF(AND('331-CT'!$E$7=TH!H387,OR(N387="331",O387="331")),"x","")</f>
        <v/>
      </c>
    </row>
    <row r="388" spans="1:16" s="109" customFormat="1">
      <c r="A388" s="72">
        <f t="shared" si="15"/>
        <v>2014</v>
      </c>
      <c r="B388" s="72">
        <f t="shared" si="16"/>
        <v>11</v>
      </c>
      <c r="C388" s="73">
        <v>41968</v>
      </c>
      <c r="D388" s="73" t="s">
        <v>21</v>
      </c>
      <c r="E388" s="73">
        <v>41968</v>
      </c>
      <c r="F388" s="76" t="s">
        <v>98</v>
      </c>
      <c r="G388" s="265"/>
      <c r="H388" s="122"/>
      <c r="I388" s="122"/>
      <c r="J388" s="122"/>
      <c r="K388" s="122"/>
      <c r="L388" s="122"/>
      <c r="M388" s="74">
        <v>61267</v>
      </c>
      <c r="N388" s="75" t="s">
        <v>54</v>
      </c>
      <c r="O388" s="75" t="s">
        <v>99</v>
      </c>
      <c r="P388" s="134" t="str">
        <f>IF(AND('331-CT'!$E$7=TH!H388,OR(N388="331",O388="331")),"x","")</f>
        <v/>
      </c>
    </row>
    <row r="389" spans="1:16" s="109" customFormat="1">
      <c r="A389" s="72">
        <f t="shared" si="15"/>
        <v>2014</v>
      </c>
      <c r="B389" s="72">
        <f t="shared" si="16"/>
        <v>12</v>
      </c>
      <c r="C389" s="73">
        <v>41984</v>
      </c>
      <c r="D389" s="73" t="s">
        <v>17</v>
      </c>
      <c r="E389" s="73">
        <v>41984</v>
      </c>
      <c r="F389" s="76" t="s">
        <v>112</v>
      </c>
      <c r="G389" s="265"/>
      <c r="H389" s="122" t="s">
        <v>85</v>
      </c>
      <c r="I389" s="122"/>
      <c r="J389" s="122"/>
      <c r="K389" s="122"/>
      <c r="L389" s="122"/>
      <c r="M389" s="74">
        <v>1000000000</v>
      </c>
      <c r="N389" s="75" t="s">
        <v>18</v>
      </c>
      <c r="O389" s="75" t="s">
        <v>54</v>
      </c>
      <c r="P389" s="134" t="str">
        <f>IF(AND('331-CT'!$E$7=TH!H389,OR(N389="331",O389="331")),"x","")</f>
        <v/>
      </c>
    </row>
    <row r="390" spans="1:16" s="109" customFormat="1">
      <c r="A390" s="72">
        <f t="shared" si="15"/>
        <v>2014</v>
      </c>
      <c r="B390" s="72">
        <f t="shared" si="16"/>
        <v>12</v>
      </c>
      <c r="C390" s="73">
        <v>41984</v>
      </c>
      <c r="D390" s="73" t="s">
        <v>21</v>
      </c>
      <c r="E390" s="73">
        <v>41984</v>
      </c>
      <c r="F390" s="76" t="s">
        <v>142</v>
      </c>
      <c r="G390" s="265"/>
      <c r="H390" s="122" t="s">
        <v>317</v>
      </c>
      <c r="I390" s="122"/>
      <c r="J390" s="122"/>
      <c r="K390" s="122"/>
      <c r="L390" s="122"/>
      <c r="M390" s="74">
        <v>1000000000</v>
      </c>
      <c r="N390" s="75" t="s">
        <v>54</v>
      </c>
      <c r="O390" s="75" t="s">
        <v>227</v>
      </c>
      <c r="P390" s="134" t="str">
        <f>IF(AND('331-CT'!$E$7=TH!H390,OR(N390="331",O390="331")),"x","")</f>
        <v/>
      </c>
    </row>
    <row r="391" spans="1:16" s="109" customFormat="1">
      <c r="A391" s="72">
        <f t="shared" si="15"/>
        <v>2014</v>
      </c>
      <c r="B391" s="72">
        <f t="shared" si="16"/>
        <v>12</v>
      </c>
      <c r="C391" s="73">
        <v>41993</v>
      </c>
      <c r="D391" s="73" t="s">
        <v>17</v>
      </c>
      <c r="E391" s="73">
        <v>41993</v>
      </c>
      <c r="F391" s="76" t="s">
        <v>119</v>
      </c>
      <c r="G391" s="270"/>
      <c r="H391" s="122" t="s">
        <v>313</v>
      </c>
      <c r="I391" s="122"/>
      <c r="J391" s="122"/>
      <c r="K391" s="122"/>
      <c r="L391" s="122"/>
      <c r="M391" s="74">
        <v>8336805</v>
      </c>
      <c r="N391" s="136" t="s">
        <v>239</v>
      </c>
      <c r="O391" s="75" t="s">
        <v>54</v>
      </c>
      <c r="P391" s="134" t="str">
        <f>IF(AND('331-CT'!$E$7=TH!H391,OR(N391="331",O391="331")),"x","")</f>
        <v/>
      </c>
    </row>
    <row r="392" spans="1:16" s="109" customFormat="1">
      <c r="A392" s="72">
        <f t="shared" si="15"/>
        <v>2014</v>
      </c>
      <c r="B392" s="72">
        <f t="shared" si="16"/>
        <v>12</v>
      </c>
      <c r="C392" s="73">
        <v>41993</v>
      </c>
      <c r="D392" s="73" t="s">
        <v>17</v>
      </c>
      <c r="E392" s="73">
        <v>41993</v>
      </c>
      <c r="F392" s="76" t="s">
        <v>141</v>
      </c>
      <c r="G392" s="270"/>
      <c r="H392" s="122" t="s">
        <v>314</v>
      </c>
      <c r="I392" s="122"/>
      <c r="J392" s="122"/>
      <c r="K392" s="122"/>
      <c r="L392" s="122"/>
      <c r="M392" s="74">
        <v>16673611</v>
      </c>
      <c r="N392" s="136" t="s">
        <v>239</v>
      </c>
      <c r="O392" s="75" t="s">
        <v>54</v>
      </c>
      <c r="P392" s="134" t="str">
        <f>IF(AND('331-CT'!$E$7=TH!H392,OR(N392="331",O392="331")),"x","")</f>
        <v/>
      </c>
    </row>
    <row r="393" spans="1:16" s="109" customFormat="1">
      <c r="A393" s="72">
        <f t="shared" si="15"/>
        <v>2014</v>
      </c>
      <c r="B393" s="72">
        <f t="shared" si="16"/>
        <v>12</v>
      </c>
      <c r="C393" s="73">
        <v>41993</v>
      </c>
      <c r="D393" s="73" t="s">
        <v>17</v>
      </c>
      <c r="E393" s="73">
        <v>41993</v>
      </c>
      <c r="F393" s="76" t="s">
        <v>143</v>
      </c>
      <c r="G393" s="265"/>
      <c r="H393" s="9" t="s">
        <v>316</v>
      </c>
      <c r="I393" s="9"/>
      <c r="J393" s="9"/>
      <c r="K393" s="9"/>
      <c r="L393" s="9"/>
      <c r="M393" s="74">
        <v>25788519</v>
      </c>
      <c r="N393" s="75" t="s">
        <v>239</v>
      </c>
      <c r="O393" s="75" t="s">
        <v>54</v>
      </c>
      <c r="P393" s="134" t="str">
        <f>IF(AND('331-CT'!$E$7=TH!H393,OR(N393="331",O393="331")),"x","")</f>
        <v/>
      </c>
    </row>
    <row r="394" spans="1:16" s="109" customFormat="1">
      <c r="A394" s="72">
        <f t="shared" si="15"/>
        <v>2014</v>
      </c>
      <c r="B394" s="72">
        <f t="shared" si="16"/>
        <v>12</v>
      </c>
      <c r="C394" s="73">
        <v>41993</v>
      </c>
      <c r="D394" s="73" t="s">
        <v>170</v>
      </c>
      <c r="E394" s="73">
        <v>41993</v>
      </c>
      <c r="F394" s="76" t="s">
        <v>575</v>
      </c>
      <c r="G394" s="265"/>
      <c r="H394" s="122" t="s">
        <v>271</v>
      </c>
      <c r="I394" s="122"/>
      <c r="J394" s="122"/>
      <c r="K394" s="122"/>
      <c r="L394" s="122"/>
      <c r="M394" s="74">
        <v>51000000</v>
      </c>
      <c r="N394" s="75" t="s">
        <v>54</v>
      </c>
      <c r="O394" s="75" t="s">
        <v>203</v>
      </c>
      <c r="P394" s="134" t="str">
        <f>IF(AND('331-CT'!$E$7=TH!H394,OR(N394="331",O394="331")),"x","")</f>
        <v/>
      </c>
    </row>
    <row r="395" spans="1:16" s="109" customFormat="1">
      <c r="A395" s="72">
        <f t="shared" si="15"/>
        <v>2014</v>
      </c>
      <c r="B395" s="72">
        <f t="shared" si="16"/>
        <v>12</v>
      </c>
      <c r="C395" s="73">
        <v>41996</v>
      </c>
      <c r="D395" s="73" t="s">
        <v>17</v>
      </c>
      <c r="E395" s="73">
        <v>41996</v>
      </c>
      <c r="F395" s="76" t="s">
        <v>49</v>
      </c>
      <c r="G395" s="265"/>
      <c r="H395" s="122"/>
      <c r="I395" s="122"/>
      <c r="J395" s="122"/>
      <c r="K395" s="122"/>
      <c r="L395" s="122"/>
      <c r="M395" s="74">
        <v>50000</v>
      </c>
      <c r="N395" s="75" t="s">
        <v>241</v>
      </c>
      <c r="O395" s="75" t="s">
        <v>54</v>
      </c>
      <c r="P395" s="134" t="str">
        <f>IF(AND('331-CT'!$E$7=TH!H395,OR(N395="331",O395="331")),"x","")</f>
        <v/>
      </c>
    </row>
    <row r="396" spans="1:16" s="109" customFormat="1">
      <c r="A396" s="72">
        <f t="shared" ref="A396:A404" si="17">IF(C396&lt;&gt;"",YEAR(C396),"")</f>
        <v>2014</v>
      </c>
      <c r="B396" s="72">
        <f t="shared" ref="B396:B404" si="18">IF(C396&lt;&gt;"",MONTH(C396),"")</f>
        <v>12</v>
      </c>
      <c r="C396" s="73">
        <v>41996</v>
      </c>
      <c r="D396" s="73" t="s">
        <v>17</v>
      </c>
      <c r="E396" s="73">
        <v>41996</v>
      </c>
      <c r="F396" s="76" t="s">
        <v>44</v>
      </c>
      <c r="G396" s="265"/>
      <c r="H396" s="9"/>
      <c r="I396" s="9"/>
      <c r="J396" s="9"/>
      <c r="K396" s="9"/>
      <c r="L396" s="9"/>
      <c r="M396" s="74">
        <v>5000</v>
      </c>
      <c r="N396" s="75" t="s">
        <v>19</v>
      </c>
      <c r="O396" s="75" t="s">
        <v>54</v>
      </c>
      <c r="P396" s="134" t="str">
        <f>IF(AND('331-CT'!$E$7=TH!H396,OR(N396="331",O396="331")),"x","")</f>
        <v/>
      </c>
    </row>
    <row r="397" spans="1:16" s="109" customFormat="1">
      <c r="A397" s="72">
        <f t="shared" si="17"/>
        <v>2014</v>
      </c>
      <c r="B397" s="72">
        <f t="shared" si="18"/>
        <v>12</v>
      </c>
      <c r="C397" s="73">
        <v>41996</v>
      </c>
      <c r="D397" s="73" t="s">
        <v>17</v>
      </c>
      <c r="E397" s="73">
        <v>41996</v>
      </c>
      <c r="F397" s="76" t="s">
        <v>48</v>
      </c>
      <c r="G397" s="265"/>
      <c r="H397" s="122"/>
      <c r="I397" s="122"/>
      <c r="J397" s="122"/>
      <c r="K397" s="122"/>
      <c r="L397" s="122"/>
      <c r="M397" s="74">
        <v>50000</v>
      </c>
      <c r="N397" s="75" t="s">
        <v>241</v>
      </c>
      <c r="O397" s="75" t="s">
        <v>54</v>
      </c>
      <c r="P397" s="134" t="str">
        <f>IF(AND('331-CT'!$E$7=TH!H397,OR(N397="331",O397="331")),"x","")</f>
        <v/>
      </c>
    </row>
    <row r="398" spans="1:16" s="109" customFormat="1">
      <c r="A398" s="72">
        <f t="shared" si="17"/>
        <v>2014</v>
      </c>
      <c r="B398" s="72">
        <f t="shared" si="18"/>
        <v>12</v>
      </c>
      <c r="C398" s="73">
        <v>41996</v>
      </c>
      <c r="D398" s="73" t="s">
        <v>17</v>
      </c>
      <c r="E398" s="73">
        <v>41996</v>
      </c>
      <c r="F398" s="76" t="s">
        <v>44</v>
      </c>
      <c r="G398" s="265"/>
      <c r="H398" s="122"/>
      <c r="I398" s="122"/>
      <c r="J398" s="122"/>
      <c r="K398" s="122"/>
      <c r="L398" s="122"/>
      <c r="M398" s="74">
        <v>5000</v>
      </c>
      <c r="N398" s="75" t="s">
        <v>19</v>
      </c>
      <c r="O398" s="75" t="s">
        <v>54</v>
      </c>
      <c r="P398" s="134" t="str">
        <f>IF(AND('331-CT'!$E$7=TH!H398,OR(N398="331",O398="331")),"x","")</f>
        <v/>
      </c>
    </row>
    <row r="399" spans="1:16" s="109" customFormat="1">
      <c r="A399" s="72">
        <f t="shared" si="17"/>
        <v>2014</v>
      </c>
      <c r="B399" s="72">
        <f t="shared" si="18"/>
        <v>12</v>
      </c>
      <c r="C399" s="73">
        <v>41996</v>
      </c>
      <c r="D399" s="73" t="s">
        <v>17</v>
      </c>
      <c r="E399" s="73">
        <v>41996</v>
      </c>
      <c r="F399" s="76" t="s">
        <v>47</v>
      </c>
      <c r="G399" s="270"/>
      <c r="H399" s="122"/>
      <c r="I399" s="122"/>
      <c r="J399" s="122"/>
      <c r="K399" s="122"/>
      <c r="L399" s="122"/>
      <c r="M399" s="74">
        <v>50000</v>
      </c>
      <c r="N399" s="75" t="s">
        <v>241</v>
      </c>
      <c r="O399" s="75" t="s">
        <v>54</v>
      </c>
      <c r="P399" s="134" t="str">
        <f>IF(AND('331-CT'!$E$7=TH!H399,OR(N399="331",O399="331")),"x","")</f>
        <v/>
      </c>
    </row>
    <row r="400" spans="1:16" s="109" customFormat="1">
      <c r="A400" s="72">
        <f t="shared" si="17"/>
        <v>2014</v>
      </c>
      <c r="B400" s="72">
        <f t="shared" si="18"/>
        <v>12</v>
      </c>
      <c r="C400" s="73">
        <v>41996</v>
      </c>
      <c r="D400" s="73" t="s">
        <v>17</v>
      </c>
      <c r="E400" s="73">
        <v>41996</v>
      </c>
      <c r="F400" s="76" t="s">
        <v>44</v>
      </c>
      <c r="G400" s="270"/>
      <c r="H400" s="122"/>
      <c r="I400" s="122"/>
      <c r="J400" s="122"/>
      <c r="K400" s="122"/>
      <c r="L400" s="122"/>
      <c r="M400" s="74">
        <v>5000</v>
      </c>
      <c r="N400" s="75" t="s">
        <v>19</v>
      </c>
      <c r="O400" s="75" t="s">
        <v>54</v>
      </c>
      <c r="P400" s="134" t="str">
        <f>IF(AND('331-CT'!$E$7=TH!H400,OR(N400="331",O400="331")),"x","")</f>
        <v/>
      </c>
    </row>
    <row r="401" spans="1:16" s="109" customFormat="1">
      <c r="A401" s="72">
        <f t="shared" si="17"/>
        <v>2014</v>
      </c>
      <c r="B401" s="72">
        <f t="shared" si="18"/>
        <v>12</v>
      </c>
      <c r="C401" s="73">
        <v>41998</v>
      </c>
      <c r="D401" s="73" t="s">
        <v>21</v>
      </c>
      <c r="E401" s="73">
        <v>41998</v>
      </c>
      <c r="F401" s="76" t="s">
        <v>98</v>
      </c>
      <c r="G401" s="270"/>
      <c r="H401" s="122"/>
      <c r="I401" s="122"/>
      <c r="J401" s="122"/>
      <c r="K401" s="122"/>
      <c r="L401" s="122"/>
      <c r="M401" s="74">
        <v>125079</v>
      </c>
      <c r="N401" s="75" t="s">
        <v>54</v>
      </c>
      <c r="O401" s="75" t="s">
        <v>99</v>
      </c>
      <c r="P401" s="134" t="str">
        <f>IF(AND('331-CT'!$E$7=TH!H401,OR(N401="331",O401="331")),"x","")</f>
        <v/>
      </c>
    </row>
    <row r="402" spans="1:16" s="109" customFormat="1">
      <c r="A402" s="72">
        <f t="shared" si="17"/>
        <v>2014</v>
      </c>
      <c r="B402" s="72">
        <f t="shared" si="18"/>
        <v>12</v>
      </c>
      <c r="C402" s="73">
        <v>42003</v>
      </c>
      <c r="D402" s="73" t="s">
        <v>171</v>
      </c>
      <c r="E402" s="73">
        <v>42003</v>
      </c>
      <c r="F402" s="76" t="s">
        <v>575</v>
      </c>
      <c r="G402" s="270"/>
      <c r="H402" s="122" t="s">
        <v>271</v>
      </c>
      <c r="I402" s="122"/>
      <c r="J402" s="122"/>
      <c r="K402" s="122"/>
      <c r="L402" s="122"/>
      <c r="M402" s="74">
        <v>1000000</v>
      </c>
      <c r="N402" s="75" t="s">
        <v>54</v>
      </c>
      <c r="O402" s="75" t="s">
        <v>203</v>
      </c>
      <c r="P402" s="134" t="str">
        <f>IF(AND('331-CT'!$E$7=TH!H402,OR(N402="331",O402="331")),"x","")</f>
        <v/>
      </c>
    </row>
    <row r="403" spans="1:16" s="109" customFormat="1">
      <c r="A403" s="72">
        <f t="shared" si="17"/>
        <v>2014</v>
      </c>
      <c r="B403" s="72">
        <f t="shared" si="18"/>
        <v>12</v>
      </c>
      <c r="C403" s="73">
        <v>42004</v>
      </c>
      <c r="D403" s="73" t="s">
        <v>17</v>
      </c>
      <c r="E403" s="73">
        <v>42004</v>
      </c>
      <c r="F403" s="76" t="s">
        <v>34</v>
      </c>
      <c r="G403" s="137"/>
      <c r="H403" s="9"/>
      <c r="I403" s="9"/>
      <c r="J403" s="9"/>
      <c r="K403" s="9"/>
      <c r="L403" s="9"/>
      <c r="M403" s="74">
        <v>500000</v>
      </c>
      <c r="N403" s="75" t="s">
        <v>241</v>
      </c>
      <c r="O403" s="75" t="s">
        <v>54</v>
      </c>
      <c r="P403" s="134" t="str">
        <f>IF(AND('331-CT'!$E$7=TH!H403,OR(N403="331",O403="331")),"x","")</f>
        <v/>
      </c>
    </row>
    <row r="404" spans="1:16" s="109" customFormat="1">
      <c r="A404" s="72">
        <f t="shared" si="17"/>
        <v>2014</v>
      </c>
      <c r="B404" s="72">
        <f t="shared" si="18"/>
        <v>12</v>
      </c>
      <c r="C404" s="73">
        <v>42004</v>
      </c>
      <c r="D404" s="73" t="s">
        <v>17</v>
      </c>
      <c r="E404" s="73">
        <v>42004</v>
      </c>
      <c r="F404" s="76" t="s">
        <v>35</v>
      </c>
      <c r="G404" s="137"/>
      <c r="H404" s="9"/>
      <c r="I404" s="9"/>
      <c r="J404" s="9"/>
      <c r="K404" s="9"/>
      <c r="L404" s="9"/>
      <c r="M404" s="74">
        <v>50000</v>
      </c>
      <c r="N404" s="75" t="s">
        <v>19</v>
      </c>
      <c r="O404" s="75" t="s">
        <v>54</v>
      </c>
      <c r="P404" s="134" t="str">
        <f>IF(AND('331-CT'!$E$7=TH!H404,OR(N404="331",O404="331")),"x","")</f>
        <v/>
      </c>
    </row>
    <row r="405" spans="1:16" s="109" customFormat="1">
      <c r="A405" s="72">
        <f t="shared" ref="A405:A468" si="19">IF(C405&lt;&gt;"",YEAR(C405),"")</f>
        <v>2015</v>
      </c>
      <c r="B405" s="72">
        <f t="shared" ref="B405:B468" si="20">IF(C405&lt;&gt;"",MONTH(C405),"")</f>
        <v>1</v>
      </c>
      <c r="C405" s="107">
        <v>42012</v>
      </c>
      <c r="D405" s="73" t="s">
        <v>17</v>
      </c>
      <c r="E405" s="73">
        <v>42012</v>
      </c>
      <c r="F405" s="76" t="s">
        <v>181</v>
      </c>
      <c r="G405" s="265"/>
      <c r="H405" s="122" t="s">
        <v>111</v>
      </c>
      <c r="I405" s="122"/>
      <c r="J405" s="122"/>
      <c r="K405" s="122"/>
      <c r="L405" s="122"/>
      <c r="M405" s="74">
        <v>500000000</v>
      </c>
      <c r="N405" s="78" t="s">
        <v>18</v>
      </c>
      <c r="O405" s="75" t="s">
        <v>54</v>
      </c>
      <c r="P405" s="134" t="str">
        <f>IF(AND('331-CT'!$E$7=TH!H405,OR(N405="331",O405="331")),"x","")</f>
        <v/>
      </c>
    </row>
    <row r="406" spans="1:16" s="109" customFormat="1">
      <c r="A406" s="72">
        <f t="shared" si="19"/>
        <v>2015</v>
      </c>
      <c r="B406" s="72">
        <f t="shared" si="20"/>
        <v>1</v>
      </c>
      <c r="C406" s="73">
        <v>42012</v>
      </c>
      <c r="D406" s="73" t="s">
        <v>17</v>
      </c>
      <c r="E406" s="73">
        <v>42012</v>
      </c>
      <c r="F406" s="76" t="s">
        <v>34</v>
      </c>
      <c r="G406" s="265"/>
      <c r="H406" s="122"/>
      <c r="I406" s="122"/>
      <c r="J406" s="122"/>
      <c r="K406" s="122"/>
      <c r="L406" s="122"/>
      <c r="M406" s="74">
        <v>150000</v>
      </c>
      <c r="N406" s="75" t="s">
        <v>241</v>
      </c>
      <c r="O406" s="75" t="s">
        <v>54</v>
      </c>
      <c r="P406" s="134" t="str">
        <f>IF(AND('331-CT'!$E$7=TH!H406,OR(N406="331",O406="331")),"x","")</f>
        <v/>
      </c>
    </row>
    <row r="407" spans="1:16" s="109" customFormat="1">
      <c r="A407" s="72">
        <f t="shared" si="19"/>
        <v>2015</v>
      </c>
      <c r="B407" s="72">
        <f t="shared" si="20"/>
        <v>1</v>
      </c>
      <c r="C407" s="73">
        <v>42012</v>
      </c>
      <c r="D407" s="73" t="s">
        <v>17</v>
      </c>
      <c r="E407" s="73">
        <v>42012</v>
      </c>
      <c r="F407" s="76" t="s">
        <v>35</v>
      </c>
      <c r="G407" s="265"/>
      <c r="H407" s="122"/>
      <c r="I407" s="122"/>
      <c r="J407" s="122"/>
      <c r="K407" s="122"/>
      <c r="L407" s="122"/>
      <c r="M407" s="74">
        <v>15000</v>
      </c>
      <c r="N407" s="75" t="s">
        <v>19</v>
      </c>
      <c r="O407" s="75" t="s">
        <v>54</v>
      </c>
      <c r="P407" s="134" t="str">
        <f>IF(AND('331-CT'!$E$7=TH!H407,OR(N407="331",O407="331")),"x","")</f>
        <v/>
      </c>
    </row>
    <row r="408" spans="1:16" s="109" customFormat="1">
      <c r="A408" s="72">
        <f t="shared" si="19"/>
        <v>2015</v>
      </c>
      <c r="B408" s="72">
        <f t="shared" si="20"/>
        <v>1</v>
      </c>
      <c r="C408" s="73">
        <v>42017</v>
      </c>
      <c r="D408" s="73" t="s">
        <v>73</v>
      </c>
      <c r="E408" s="73">
        <v>42017</v>
      </c>
      <c r="F408" s="93" t="s">
        <v>576</v>
      </c>
      <c r="G408" s="265"/>
      <c r="H408" s="120" t="s">
        <v>266</v>
      </c>
      <c r="I408" s="120"/>
      <c r="J408" s="120"/>
      <c r="K408" s="120"/>
      <c r="L408" s="120"/>
      <c r="M408" s="74">
        <v>1500000</v>
      </c>
      <c r="N408" s="75" t="s">
        <v>39</v>
      </c>
      <c r="O408" s="75" t="s">
        <v>203</v>
      </c>
      <c r="P408" s="134" t="str">
        <f>IF(AND('331-CT'!$E$7=TH!H408,OR(N408="331",O408="331")),"x","")</f>
        <v/>
      </c>
    </row>
    <row r="409" spans="1:16" s="109" customFormat="1">
      <c r="A409" s="72">
        <f t="shared" si="19"/>
        <v>2015</v>
      </c>
      <c r="B409" s="72">
        <f t="shared" si="20"/>
        <v>1</v>
      </c>
      <c r="C409" s="107">
        <v>42017</v>
      </c>
      <c r="D409" s="73" t="s">
        <v>21</v>
      </c>
      <c r="E409" s="73">
        <v>42017</v>
      </c>
      <c r="F409" s="76" t="s">
        <v>45</v>
      </c>
      <c r="G409" s="265"/>
      <c r="H409" s="120" t="s">
        <v>266</v>
      </c>
      <c r="I409" s="120"/>
      <c r="J409" s="120"/>
      <c r="K409" s="120"/>
      <c r="L409" s="120"/>
      <c r="M409" s="74">
        <v>1500000</v>
      </c>
      <c r="N409" s="75" t="s">
        <v>54</v>
      </c>
      <c r="O409" s="75" t="s">
        <v>39</v>
      </c>
      <c r="P409" s="134" t="str">
        <f>IF(AND('331-CT'!$E$7=TH!H409,OR(N409="331",O409="331")),"x","")</f>
        <v/>
      </c>
    </row>
    <row r="410" spans="1:16" s="109" customFormat="1">
      <c r="A410" s="72">
        <f t="shared" si="19"/>
        <v>2015</v>
      </c>
      <c r="B410" s="72">
        <f t="shared" si="20"/>
        <v>1</v>
      </c>
      <c r="C410" s="73">
        <v>42017</v>
      </c>
      <c r="D410" s="73" t="s">
        <v>78</v>
      </c>
      <c r="E410" s="73">
        <v>42017</v>
      </c>
      <c r="F410" s="76" t="s">
        <v>149</v>
      </c>
      <c r="G410" s="265"/>
      <c r="H410" s="122"/>
      <c r="I410" s="122"/>
      <c r="J410" s="122"/>
      <c r="K410" s="122"/>
      <c r="L410" s="122"/>
      <c r="M410" s="74">
        <v>1500000</v>
      </c>
      <c r="N410" s="75" t="s">
        <v>241</v>
      </c>
      <c r="O410" s="75" t="s">
        <v>219</v>
      </c>
      <c r="P410" s="134" t="str">
        <f>IF(AND('331-CT'!$E$7=TH!H410,OR(N410="331",O410="331")),"x","")</f>
        <v/>
      </c>
    </row>
    <row r="411" spans="1:16" s="109" customFormat="1">
      <c r="A411" s="72">
        <f t="shared" si="19"/>
        <v>2015</v>
      </c>
      <c r="B411" s="72">
        <f t="shared" si="20"/>
        <v>1</v>
      </c>
      <c r="C411" s="73">
        <v>42017</v>
      </c>
      <c r="D411" s="73" t="s">
        <v>17</v>
      </c>
      <c r="E411" s="73">
        <v>42017</v>
      </c>
      <c r="F411" s="76" t="s">
        <v>149</v>
      </c>
      <c r="G411" s="265"/>
      <c r="H411" s="122"/>
      <c r="I411" s="122"/>
      <c r="J411" s="122"/>
      <c r="K411" s="122"/>
      <c r="L411" s="122"/>
      <c r="M411" s="74">
        <v>1500000</v>
      </c>
      <c r="N411" s="75" t="s">
        <v>219</v>
      </c>
      <c r="O411" s="75" t="s">
        <v>54</v>
      </c>
      <c r="P411" s="134" t="str">
        <f>IF(AND('331-CT'!$E$7=TH!H411,OR(N411="331",O411="331")),"x","")</f>
        <v/>
      </c>
    </row>
    <row r="412" spans="1:16" s="109" customFormat="1">
      <c r="A412" s="72">
        <f t="shared" si="19"/>
        <v>2015</v>
      </c>
      <c r="B412" s="72">
        <f t="shared" si="20"/>
        <v>1</v>
      </c>
      <c r="C412" s="73">
        <v>42017</v>
      </c>
      <c r="D412" s="73" t="s">
        <v>17</v>
      </c>
      <c r="E412" s="73">
        <v>42017</v>
      </c>
      <c r="F412" s="76" t="s">
        <v>34</v>
      </c>
      <c r="G412" s="265"/>
      <c r="H412" s="122"/>
      <c r="I412" s="122"/>
      <c r="J412" s="122"/>
      <c r="K412" s="122"/>
      <c r="L412" s="122"/>
      <c r="M412" s="74">
        <v>25000</v>
      </c>
      <c r="N412" s="75" t="s">
        <v>241</v>
      </c>
      <c r="O412" s="75" t="s">
        <v>54</v>
      </c>
      <c r="P412" s="134" t="str">
        <f>IF(AND('331-CT'!$E$7=TH!H412,OR(N412="331",O412="331")),"x","")</f>
        <v/>
      </c>
    </row>
    <row r="413" spans="1:16" s="109" customFormat="1">
      <c r="A413" s="72">
        <f t="shared" si="19"/>
        <v>2015</v>
      </c>
      <c r="B413" s="72">
        <f t="shared" si="20"/>
        <v>1</v>
      </c>
      <c r="C413" s="73">
        <v>42017</v>
      </c>
      <c r="D413" s="73" t="s">
        <v>17</v>
      </c>
      <c r="E413" s="73">
        <v>42017</v>
      </c>
      <c r="F413" s="76" t="s">
        <v>35</v>
      </c>
      <c r="G413" s="265"/>
      <c r="H413" s="122"/>
      <c r="I413" s="122"/>
      <c r="J413" s="122"/>
      <c r="K413" s="122"/>
      <c r="L413" s="122"/>
      <c r="M413" s="74">
        <v>2500</v>
      </c>
      <c r="N413" s="75" t="s">
        <v>19</v>
      </c>
      <c r="O413" s="75" t="s">
        <v>54</v>
      </c>
      <c r="P413" s="134" t="str">
        <f>IF(AND('331-CT'!$E$7=TH!H413,OR(N413="331",O413="331")),"x","")</f>
        <v/>
      </c>
    </row>
    <row r="414" spans="1:16" s="109" customFormat="1">
      <c r="A414" s="72">
        <f t="shared" si="19"/>
        <v>2015</v>
      </c>
      <c r="B414" s="72">
        <f t="shared" si="20"/>
        <v>1</v>
      </c>
      <c r="C414" s="73">
        <v>42025</v>
      </c>
      <c r="D414" s="73" t="s">
        <v>92</v>
      </c>
      <c r="E414" s="73">
        <v>42025</v>
      </c>
      <c r="F414" s="93" t="s">
        <v>575</v>
      </c>
      <c r="G414" s="265"/>
      <c r="H414" s="122" t="s">
        <v>271</v>
      </c>
      <c r="I414" s="122"/>
      <c r="J414" s="122"/>
      <c r="K414" s="122"/>
      <c r="L414" s="122"/>
      <c r="M414" s="74">
        <v>73000000</v>
      </c>
      <c r="N414" s="75" t="s">
        <v>54</v>
      </c>
      <c r="O414" s="75" t="s">
        <v>203</v>
      </c>
      <c r="P414" s="134" t="str">
        <f>IF(AND('331-CT'!$E$7=TH!H414,OR(N414="331",O414="331")),"x","")</f>
        <v/>
      </c>
    </row>
    <row r="415" spans="1:16" s="109" customFormat="1">
      <c r="A415" s="72">
        <f t="shared" si="19"/>
        <v>2015</v>
      </c>
      <c r="B415" s="72">
        <f t="shared" si="20"/>
        <v>1</v>
      </c>
      <c r="C415" s="73">
        <v>42025</v>
      </c>
      <c r="D415" s="73" t="s">
        <v>17</v>
      </c>
      <c r="E415" s="73">
        <v>42025</v>
      </c>
      <c r="F415" s="76" t="s">
        <v>119</v>
      </c>
      <c r="G415" s="265"/>
      <c r="H415" s="122" t="s">
        <v>313</v>
      </c>
      <c r="I415" s="122"/>
      <c r="J415" s="122"/>
      <c r="K415" s="122"/>
      <c r="L415" s="122"/>
      <c r="M415" s="74">
        <v>8187032</v>
      </c>
      <c r="N415" s="75" t="s">
        <v>239</v>
      </c>
      <c r="O415" s="75" t="s">
        <v>54</v>
      </c>
      <c r="P415" s="134" t="str">
        <f>IF(AND('331-CT'!$E$7=TH!H415,OR(N415="331",O415="331")),"x","")</f>
        <v/>
      </c>
    </row>
    <row r="416" spans="1:16" s="109" customFormat="1">
      <c r="A416" s="72">
        <f t="shared" si="19"/>
        <v>2015</v>
      </c>
      <c r="B416" s="72">
        <f t="shared" si="20"/>
        <v>1</v>
      </c>
      <c r="C416" s="73">
        <v>42025</v>
      </c>
      <c r="D416" s="73" t="s">
        <v>17</v>
      </c>
      <c r="E416" s="73">
        <v>42025</v>
      </c>
      <c r="F416" s="76" t="s">
        <v>141</v>
      </c>
      <c r="G416" s="265"/>
      <c r="H416" s="122" t="s">
        <v>314</v>
      </c>
      <c r="I416" s="122"/>
      <c r="J416" s="122"/>
      <c r="K416" s="122"/>
      <c r="L416" s="122"/>
      <c r="M416" s="74">
        <v>16374064</v>
      </c>
      <c r="N416" s="75" t="s">
        <v>239</v>
      </c>
      <c r="O416" s="75" t="s">
        <v>54</v>
      </c>
      <c r="P416" s="134" t="str">
        <f>IF(AND('331-CT'!$E$7=TH!H416,OR(N416="331",O416="331")),"x","")</f>
        <v/>
      </c>
    </row>
    <row r="417" spans="1:16" s="109" customFormat="1">
      <c r="A417" s="72">
        <f t="shared" si="19"/>
        <v>2015</v>
      </c>
      <c r="B417" s="72">
        <f t="shared" si="20"/>
        <v>1</v>
      </c>
      <c r="C417" s="73">
        <v>42025</v>
      </c>
      <c r="D417" s="73" t="s">
        <v>17</v>
      </c>
      <c r="E417" s="73">
        <v>42025</v>
      </c>
      <c r="F417" s="76" t="s">
        <v>143</v>
      </c>
      <c r="G417" s="265"/>
      <c r="H417" s="122" t="s">
        <v>316</v>
      </c>
      <c r="I417" s="122"/>
      <c r="J417" s="122"/>
      <c r="K417" s="122"/>
      <c r="L417" s="122"/>
      <c r="M417" s="74">
        <v>13099251</v>
      </c>
      <c r="N417" s="75" t="s">
        <v>239</v>
      </c>
      <c r="O417" s="75" t="s">
        <v>54</v>
      </c>
      <c r="P417" s="134" t="str">
        <f>IF(AND('331-CT'!$E$7=TH!H417,OR(N417="331",O417="331")),"x","")</f>
        <v/>
      </c>
    </row>
    <row r="418" spans="1:16" s="109" customFormat="1">
      <c r="A418" s="72">
        <f t="shared" si="19"/>
        <v>2015</v>
      </c>
      <c r="B418" s="72">
        <f t="shared" si="20"/>
        <v>1</v>
      </c>
      <c r="C418" s="73">
        <v>42025</v>
      </c>
      <c r="D418" s="73" t="s">
        <v>17</v>
      </c>
      <c r="E418" s="73">
        <v>42025</v>
      </c>
      <c r="F418" s="76" t="s">
        <v>144</v>
      </c>
      <c r="G418" s="265"/>
      <c r="H418" s="122" t="s">
        <v>315</v>
      </c>
      <c r="I418" s="122"/>
      <c r="J418" s="122"/>
      <c r="K418" s="122"/>
      <c r="L418" s="122"/>
      <c r="M418" s="74">
        <v>24310897</v>
      </c>
      <c r="N418" s="75" t="s">
        <v>239</v>
      </c>
      <c r="O418" s="75" t="s">
        <v>54</v>
      </c>
      <c r="P418" s="134" t="str">
        <f>IF(AND('331-CT'!$E$7=TH!H418,OR(N418="331",O418="331")),"x","")</f>
        <v/>
      </c>
    </row>
    <row r="419" spans="1:16" s="109" customFormat="1">
      <c r="A419" s="72">
        <f t="shared" si="19"/>
        <v>2015</v>
      </c>
      <c r="B419" s="72">
        <f t="shared" si="20"/>
        <v>1</v>
      </c>
      <c r="C419" s="73">
        <v>42025</v>
      </c>
      <c r="D419" s="73" t="s">
        <v>17</v>
      </c>
      <c r="E419" s="73">
        <v>42025</v>
      </c>
      <c r="F419" s="76" t="s">
        <v>145</v>
      </c>
      <c r="G419" s="265"/>
      <c r="H419" s="122" t="s">
        <v>317</v>
      </c>
      <c r="I419" s="122"/>
      <c r="J419" s="122"/>
      <c r="K419" s="122"/>
      <c r="L419" s="122"/>
      <c r="M419" s="74">
        <v>10299815</v>
      </c>
      <c r="N419" s="75" t="s">
        <v>239</v>
      </c>
      <c r="O419" s="75" t="s">
        <v>54</v>
      </c>
      <c r="P419" s="134" t="str">
        <f>IF(AND('331-CT'!$E$7=TH!H419,OR(N419="331",O419="331")),"x","")</f>
        <v/>
      </c>
    </row>
    <row r="420" spans="1:16" s="109" customFormat="1">
      <c r="A420" s="72">
        <f t="shared" si="19"/>
        <v>2015</v>
      </c>
      <c r="B420" s="72">
        <f t="shared" si="20"/>
        <v>1</v>
      </c>
      <c r="C420" s="107">
        <v>42028</v>
      </c>
      <c r="D420" s="73" t="s">
        <v>21</v>
      </c>
      <c r="E420" s="73">
        <v>42028</v>
      </c>
      <c r="F420" s="76" t="s">
        <v>98</v>
      </c>
      <c r="G420" s="265"/>
      <c r="H420" s="122"/>
      <c r="I420" s="122"/>
      <c r="J420" s="122"/>
      <c r="K420" s="122"/>
      <c r="L420" s="122"/>
      <c r="M420" s="74">
        <v>58551</v>
      </c>
      <c r="N420" s="75" t="s">
        <v>54</v>
      </c>
      <c r="O420" s="75" t="s">
        <v>99</v>
      </c>
      <c r="P420" s="134" t="str">
        <f>IF(AND('331-CT'!$E$7=TH!H420,OR(N420="331",O420="331")),"x","")</f>
        <v/>
      </c>
    </row>
    <row r="421" spans="1:16" s="109" customFormat="1">
      <c r="A421" s="72">
        <f t="shared" si="19"/>
        <v>2015</v>
      </c>
      <c r="B421" s="72">
        <f t="shared" si="20"/>
        <v>1</v>
      </c>
      <c r="C421" s="107">
        <v>42033</v>
      </c>
      <c r="D421" s="73" t="s">
        <v>21</v>
      </c>
      <c r="E421" s="73">
        <v>42033</v>
      </c>
      <c r="F421" s="76" t="s">
        <v>146</v>
      </c>
      <c r="G421" s="265"/>
      <c r="H421" s="122" t="s">
        <v>318</v>
      </c>
      <c r="I421" s="122"/>
      <c r="J421" s="122"/>
      <c r="K421" s="122"/>
      <c r="L421" s="122"/>
      <c r="M421" s="74">
        <v>1500000000</v>
      </c>
      <c r="N421" s="75" t="s">
        <v>54</v>
      </c>
      <c r="O421" s="75" t="s">
        <v>227</v>
      </c>
      <c r="P421" s="134" t="str">
        <f>IF(AND('331-CT'!$E$7=TH!H421,OR(N421="331",O421="331")),"x","")</f>
        <v/>
      </c>
    </row>
    <row r="422" spans="1:16" s="109" customFormat="1">
      <c r="A422" s="72">
        <f t="shared" si="19"/>
        <v>2015</v>
      </c>
      <c r="B422" s="72">
        <f t="shared" si="20"/>
        <v>1</v>
      </c>
      <c r="C422" s="107">
        <v>42034</v>
      </c>
      <c r="D422" s="73" t="s">
        <v>17</v>
      </c>
      <c r="E422" s="73">
        <v>42034</v>
      </c>
      <c r="F422" s="76" t="s">
        <v>113</v>
      </c>
      <c r="G422" s="265"/>
      <c r="H422" s="122" t="s">
        <v>138</v>
      </c>
      <c r="I422" s="122"/>
      <c r="J422" s="122"/>
      <c r="K422" s="122"/>
      <c r="L422" s="122"/>
      <c r="M422" s="74">
        <v>600000000</v>
      </c>
      <c r="N422" s="75" t="s">
        <v>18</v>
      </c>
      <c r="O422" s="75" t="s">
        <v>54</v>
      </c>
      <c r="P422" s="134" t="str">
        <f>IF(AND('331-CT'!$E$7=TH!H422,OR(N422="331",O422="331")),"x","")</f>
        <v/>
      </c>
    </row>
    <row r="423" spans="1:16" s="109" customFormat="1">
      <c r="A423" s="72">
        <f t="shared" si="19"/>
        <v>2015</v>
      </c>
      <c r="B423" s="72">
        <f t="shared" si="20"/>
        <v>1</v>
      </c>
      <c r="C423" s="73">
        <v>42034</v>
      </c>
      <c r="D423" s="73" t="s">
        <v>17</v>
      </c>
      <c r="E423" s="73">
        <v>42034</v>
      </c>
      <c r="F423" s="76" t="s">
        <v>34</v>
      </c>
      <c r="G423" s="265"/>
      <c r="H423" s="122"/>
      <c r="I423" s="122"/>
      <c r="J423" s="122"/>
      <c r="K423" s="122"/>
      <c r="L423" s="122"/>
      <c r="M423" s="74">
        <v>180000</v>
      </c>
      <c r="N423" s="75" t="s">
        <v>241</v>
      </c>
      <c r="O423" s="75" t="s">
        <v>54</v>
      </c>
      <c r="P423" s="134" t="str">
        <f>IF(AND('331-CT'!$E$7=TH!H423,OR(N423="331",O423="331")),"x","")</f>
        <v/>
      </c>
    </row>
    <row r="424" spans="1:16" s="109" customFormat="1">
      <c r="A424" s="72">
        <f t="shared" si="19"/>
        <v>2015</v>
      </c>
      <c r="B424" s="72">
        <f t="shared" si="20"/>
        <v>1</v>
      </c>
      <c r="C424" s="73">
        <v>42034</v>
      </c>
      <c r="D424" s="73" t="s">
        <v>17</v>
      </c>
      <c r="E424" s="73">
        <v>42034</v>
      </c>
      <c r="F424" s="76" t="s">
        <v>35</v>
      </c>
      <c r="G424" s="265"/>
      <c r="H424" s="122"/>
      <c r="I424" s="122"/>
      <c r="J424" s="122"/>
      <c r="K424" s="122"/>
      <c r="L424" s="122"/>
      <c r="M424" s="74">
        <v>18000</v>
      </c>
      <c r="N424" s="75" t="s">
        <v>19</v>
      </c>
      <c r="O424" s="75" t="s">
        <v>54</v>
      </c>
      <c r="P424" s="134" t="str">
        <f>IF(AND('331-CT'!$E$7=TH!H424,OR(N424="331",O424="331")),"x","")</f>
        <v/>
      </c>
    </row>
    <row r="425" spans="1:16" s="109" customFormat="1">
      <c r="A425" s="72">
        <f t="shared" si="19"/>
        <v>2015</v>
      </c>
      <c r="B425" s="72">
        <f t="shared" si="20"/>
        <v>1</v>
      </c>
      <c r="C425" s="107">
        <v>42034</v>
      </c>
      <c r="D425" s="73" t="s">
        <v>17</v>
      </c>
      <c r="E425" s="73">
        <v>42034</v>
      </c>
      <c r="F425" s="76" t="s">
        <v>179</v>
      </c>
      <c r="G425" s="265"/>
      <c r="H425" s="122" t="s">
        <v>109</v>
      </c>
      <c r="I425" s="122"/>
      <c r="J425" s="122"/>
      <c r="K425" s="122"/>
      <c r="L425" s="122"/>
      <c r="M425" s="74">
        <v>50000000</v>
      </c>
      <c r="N425" s="78" t="s">
        <v>18</v>
      </c>
      <c r="O425" s="75" t="s">
        <v>54</v>
      </c>
      <c r="P425" s="134" t="str">
        <f>IF(AND('331-CT'!$E$7=TH!H425,OR(N425="331",O425="331")),"x","")</f>
        <v/>
      </c>
    </row>
    <row r="426" spans="1:16" s="109" customFormat="1">
      <c r="A426" s="72">
        <f t="shared" si="19"/>
        <v>2015</v>
      </c>
      <c r="B426" s="72">
        <f t="shared" si="20"/>
        <v>1</v>
      </c>
      <c r="C426" s="73">
        <v>42034</v>
      </c>
      <c r="D426" s="73" t="s">
        <v>17</v>
      </c>
      <c r="E426" s="73">
        <v>42034</v>
      </c>
      <c r="F426" s="76" t="s">
        <v>34</v>
      </c>
      <c r="G426" s="265"/>
      <c r="H426" s="122"/>
      <c r="I426" s="122"/>
      <c r="J426" s="122"/>
      <c r="K426" s="122"/>
      <c r="L426" s="122"/>
      <c r="M426" s="74">
        <v>20000</v>
      </c>
      <c r="N426" s="75" t="s">
        <v>241</v>
      </c>
      <c r="O426" s="75" t="s">
        <v>54</v>
      </c>
      <c r="P426" s="134" t="str">
        <f>IF(AND('331-CT'!$E$7=TH!H426,OR(N426="331",O426="331")),"x","")</f>
        <v/>
      </c>
    </row>
    <row r="427" spans="1:16" s="109" customFormat="1">
      <c r="A427" s="72">
        <f t="shared" si="19"/>
        <v>2015</v>
      </c>
      <c r="B427" s="72">
        <f t="shared" si="20"/>
        <v>1</v>
      </c>
      <c r="C427" s="73">
        <v>42034</v>
      </c>
      <c r="D427" s="73" t="s">
        <v>17</v>
      </c>
      <c r="E427" s="73">
        <v>42034</v>
      </c>
      <c r="F427" s="76" t="s">
        <v>35</v>
      </c>
      <c r="G427" s="265"/>
      <c r="H427" s="122"/>
      <c r="I427" s="122"/>
      <c r="J427" s="122"/>
      <c r="K427" s="122"/>
      <c r="L427" s="122"/>
      <c r="M427" s="74">
        <v>2000</v>
      </c>
      <c r="N427" s="75" t="s">
        <v>19</v>
      </c>
      <c r="O427" s="75" t="s">
        <v>54</v>
      </c>
      <c r="P427" s="134" t="str">
        <f>IF(AND('331-CT'!$E$7=TH!H427,OR(N427="331",O427="331")),"x","")</f>
        <v/>
      </c>
    </row>
    <row r="428" spans="1:16" s="109" customFormat="1">
      <c r="A428" s="72">
        <f t="shared" si="19"/>
        <v>2015</v>
      </c>
      <c r="B428" s="72">
        <f t="shared" si="20"/>
        <v>1</v>
      </c>
      <c r="C428" s="107">
        <v>42034</v>
      </c>
      <c r="D428" s="73" t="s">
        <v>17</v>
      </c>
      <c r="E428" s="73">
        <v>42034</v>
      </c>
      <c r="F428" s="76" t="s">
        <v>113</v>
      </c>
      <c r="G428" s="265"/>
      <c r="H428" s="122" t="s">
        <v>85</v>
      </c>
      <c r="I428" s="122"/>
      <c r="J428" s="122"/>
      <c r="K428" s="122"/>
      <c r="L428" s="122"/>
      <c r="M428" s="74">
        <v>700000000</v>
      </c>
      <c r="N428" s="78" t="s">
        <v>18</v>
      </c>
      <c r="O428" s="75" t="s">
        <v>54</v>
      </c>
      <c r="P428" s="134" t="str">
        <f>IF(AND('331-CT'!$E$7=TH!H428,OR(N428="331",O428="331")),"x","")</f>
        <v/>
      </c>
    </row>
    <row r="429" spans="1:16" s="109" customFormat="1">
      <c r="A429" s="72">
        <f t="shared" si="19"/>
        <v>2015</v>
      </c>
      <c r="B429" s="72">
        <f t="shared" si="20"/>
        <v>1</v>
      </c>
      <c r="C429" s="73">
        <v>42034</v>
      </c>
      <c r="D429" s="73" t="s">
        <v>17</v>
      </c>
      <c r="E429" s="73">
        <v>42034</v>
      </c>
      <c r="F429" s="76" t="s">
        <v>34</v>
      </c>
      <c r="G429" s="265"/>
      <c r="H429" s="122"/>
      <c r="I429" s="122"/>
      <c r="J429" s="122"/>
      <c r="K429" s="122"/>
      <c r="L429" s="122"/>
      <c r="M429" s="74">
        <v>350000</v>
      </c>
      <c r="N429" s="75" t="s">
        <v>241</v>
      </c>
      <c r="O429" s="75" t="s">
        <v>54</v>
      </c>
      <c r="P429" s="134" t="str">
        <f>IF(AND('331-CT'!$E$7=TH!H429,OR(N429="331",O429="331")),"x","")</f>
        <v/>
      </c>
    </row>
    <row r="430" spans="1:16" s="109" customFormat="1">
      <c r="A430" s="72">
        <f t="shared" si="19"/>
        <v>2015</v>
      </c>
      <c r="B430" s="72">
        <f t="shared" si="20"/>
        <v>1</v>
      </c>
      <c r="C430" s="73">
        <v>42034</v>
      </c>
      <c r="D430" s="73" t="s">
        <v>17</v>
      </c>
      <c r="E430" s="73">
        <v>42034</v>
      </c>
      <c r="F430" s="76" t="s">
        <v>35</v>
      </c>
      <c r="G430" s="265"/>
      <c r="H430" s="122"/>
      <c r="I430" s="122"/>
      <c r="J430" s="122"/>
      <c r="K430" s="122"/>
      <c r="L430" s="122"/>
      <c r="M430" s="74">
        <v>35000</v>
      </c>
      <c r="N430" s="75" t="s">
        <v>19</v>
      </c>
      <c r="O430" s="75" t="s">
        <v>54</v>
      </c>
      <c r="P430" s="134" t="str">
        <f>IF(AND('331-CT'!$E$7=TH!H430,OR(N430="331",O430="331")),"x","")</f>
        <v/>
      </c>
    </row>
    <row r="431" spans="1:16" s="109" customFormat="1">
      <c r="A431" s="72">
        <f t="shared" si="19"/>
        <v>2015</v>
      </c>
      <c r="B431" s="72">
        <f t="shared" si="20"/>
        <v>2</v>
      </c>
      <c r="C431" s="107">
        <v>42059</v>
      </c>
      <c r="D431" s="73" t="s">
        <v>21</v>
      </c>
      <c r="E431" s="73">
        <v>42059</v>
      </c>
      <c r="F431" s="76" t="s">
        <v>98</v>
      </c>
      <c r="G431" s="265"/>
      <c r="H431" s="122"/>
      <c r="I431" s="122"/>
      <c r="J431" s="122"/>
      <c r="K431" s="122"/>
      <c r="L431" s="122"/>
      <c r="M431" s="74">
        <v>45256</v>
      </c>
      <c r="N431" s="75" t="s">
        <v>54</v>
      </c>
      <c r="O431" s="75" t="s">
        <v>99</v>
      </c>
      <c r="P431" s="134" t="str">
        <f>IF(AND('331-CT'!$E$7=TH!H431,OR(N431="331",O431="331")),"x","")</f>
        <v/>
      </c>
    </row>
    <row r="432" spans="1:16" s="109" customFormat="1">
      <c r="A432" s="72">
        <f t="shared" si="19"/>
        <v>2015</v>
      </c>
      <c r="B432" s="72">
        <f t="shared" si="20"/>
        <v>2</v>
      </c>
      <c r="C432" s="73">
        <v>42061</v>
      </c>
      <c r="D432" s="73" t="s">
        <v>93</v>
      </c>
      <c r="E432" s="73">
        <v>42061</v>
      </c>
      <c r="F432" s="93" t="s">
        <v>576</v>
      </c>
      <c r="G432" s="265"/>
      <c r="H432" s="120" t="s">
        <v>266</v>
      </c>
      <c r="I432" s="120"/>
      <c r="J432" s="120"/>
      <c r="K432" s="120"/>
      <c r="L432" s="120"/>
      <c r="M432" s="74">
        <v>60000000</v>
      </c>
      <c r="N432" s="75" t="s">
        <v>39</v>
      </c>
      <c r="O432" s="75" t="s">
        <v>203</v>
      </c>
      <c r="P432" s="134" t="str">
        <f>IF(AND('331-CT'!$E$7=TH!H432,OR(N432="331",O432="331")),"x","")</f>
        <v/>
      </c>
    </row>
    <row r="433" spans="1:16" s="109" customFormat="1">
      <c r="A433" s="72">
        <f t="shared" si="19"/>
        <v>2015</v>
      </c>
      <c r="B433" s="72">
        <f t="shared" si="20"/>
        <v>2</v>
      </c>
      <c r="C433" s="107">
        <v>42061</v>
      </c>
      <c r="D433" s="73" t="s">
        <v>21</v>
      </c>
      <c r="E433" s="73">
        <v>42061</v>
      </c>
      <c r="F433" s="76" t="s">
        <v>45</v>
      </c>
      <c r="G433" s="265"/>
      <c r="H433" s="120" t="s">
        <v>266</v>
      </c>
      <c r="I433" s="120"/>
      <c r="J433" s="120"/>
      <c r="K433" s="120"/>
      <c r="L433" s="120"/>
      <c r="M433" s="74">
        <v>60000000</v>
      </c>
      <c r="N433" s="75" t="s">
        <v>54</v>
      </c>
      <c r="O433" s="75" t="s">
        <v>39</v>
      </c>
      <c r="P433" s="134" t="str">
        <f>IF(AND('331-CT'!$E$7=TH!H433,OR(N433="331",O433="331")),"x","")</f>
        <v/>
      </c>
    </row>
    <row r="434" spans="1:16" s="109" customFormat="1">
      <c r="A434" s="72">
        <f t="shared" si="19"/>
        <v>2015</v>
      </c>
      <c r="B434" s="72">
        <f t="shared" si="20"/>
        <v>2</v>
      </c>
      <c r="C434" s="73">
        <v>42061</v>
      </c>
      <c r="D434" s="73" t="s">
        <v>17</v>
      </c>
      <c r="E434" s="73">
        <v>42061</v>
      </c>
      <c r="F434" s="76" t="s">
        <v>119</v>
      </c>
      <c r="G434" s="265"/>
      <c r="H434" s="122" t="s">
        <v>313</v>
      </c>
      <c r="I434" s="122"/>
      <c r="J434" s="122"/>
      <c r="K434" s="122"/>
      <c r="L434" s="122"/>
      <c r="M434" s="74">
        <v>8190270</v>
      </c>
      <c r="N434" s="75" t="s">
        <v>239</v>
      </c>
      <c r="O434" s="75" t="s">
        <v>54</v>
      </c>
      <c r="P434" s="134" t="str">
        <f>IF(AND('331-CT'!$E$7=TH!H434,OR(N434="331",O434="331")),"x","")</f>
        <v/>
      </c>
    </row>
    <row r="435" spans="1:16" s="109" customFormat="1">
      <c r="A435" s="72">
        <f t="shared" si="19"/>
        <v>2015</v>
      </c>
      <c r="B435" s="72">
        <f t="shared" si="20"/>
        <v>2</v>
      </c>
      <c r="C435" s="73">
        <v>42061</v>
      </c>
      <c r="D435" s="73" t="s">
        <v>17</v>
      </c>
      <c r="E435" s="73">
        <v>42061</v>
      </c>
      <c r="F435" s="76" t="s">
        <v>141</v>
      </c>
      <c r="G435" s="265"/>
      <c r="H435" s="122" t="s">
        <v>314</v>
      </c>
      <c r="I435" s="122"/>
      <c r="J435" s="122"/>
      <c r="K435" s="122"/>
      <c r="L435" s="122"/>
      <c r="M435" s="74">
        <v>16380540</v>
      </c>
      <c r="N435" s="75" t="s">
        <v>239</v>
      </c>
      <c r="O435" s="75" t="s">
        <v>54</v>
      </c>
      <c r="P435" s="134" t="str">
        <f>IF(AND('331-CT'!$E$7=TH!H435,OR(N435="331",O435="331")),"x","")</f>
        <v/>
      </c>
    </row>
    <row r="436" spans="1:16" s="109" customFormat="1">
      <c r="A436" s="72">
        <f t="shared" si="19"/>
        <v>2015</v>
      </c>
      <c r="B436" s="72">
        <f t="shared" si="20"/>
        <v>2</v>
      </c>
      <c r="C436" s="73">
        <v>42061</v>
      </c>
      <c r="D436" s="73" t="s">
        <v>17</v>
      </c>
      <c r="E436" s="73">
        <v>42061</v>
      </c>
      <c r="F436" s="76" t="s">
        <v>143</v>
      </c>
      <c r="G436" s="265"/>
      <c r="H436" s="122" t="s">
        <v>316</v>
      </c>
      <c r="I436" s="122"/>
      <c r="J436" s="122"/>
      <c r="K436" s="122"/>
      <c r="L436" s="122"/>
      <c r="M436" s="74">
        <v>13104432</v>
      </c>
      <c r="N436" s="75" t="s">
        <v>239</v>
      </c>
      <c r="O436" s="75" t="s">
        <v>54</v>
      </c>
      <c r="P436" s="134" t="str">
        <f>IF(AND('331-CT'!$E$7=TH!H436,OR(N436="331",O436="331")),"x","")</f>
        <v/>
      </c>
    </row>
    <row r="437" spans="1:16" s="109" customFormat="1">
      <c r="A437" s="72">
        <f t="shared" si="19"/>
        <v>2015</v>
      </c>
      <c r="B437" s="72">
        <f t="shared" si="20"/>
        <v>2</v>
      </c>
      <c r="C437" s="73">
        <v>42061</v>
      </c>
      <c r="D437" s="73" t="s">
        <v>17</v>
      </c>
      <c r="E437" s="73">
        <v>42061</v>
      </c>
      <c r="F437" s="76" t="s">
        <v>144</v>
      </c>
      <c r="G437" s="265"/>
      <c r="H437" s="122" t="s">
        <v>315</v>
      </c>
      <c r="I437" s="122"/>
      <c r="J437" s="122"/>
      <c r="K437" s="122"/>
      <c r="L437" s="122"/>
      <c r="M437" s="74">
        <v>12285405</v>
      </c>
      <c r="N437" s="75" t="s">
        <v>239</v>
      </c>
      <c r="O437" s="75" t="s">
        <v>54</v>
      </c>
      <c r="P437" s="134" t="str">
        <f>IF(AND('331-CT'!$E$7=TH!H437,OR(N437="331",O437="331")),"x","")</f>
        <v/>
      </c>
    </row>
    <row r="438" spans="1:16" s="109" customFormat="1">
      <c r="A438" s="72">
        <f t="shared" si="19"/>
        <v>2015</v>
      </c>
      <c r="B438" s="72">
        <f t="shared" si="20"/>
        <v>2</v>
      </c>
      <c r="C438" s="73">
        <v>42061</v>
      </c>
      <c r="D438" s="73" t="s">
        <v>17</v>
      </c>
      <c r="E438" s="73">
        <v>42061</v>
      </c>
      <c r="F438" s="76" t="s">
        <v>145</v>
      </c>
      <c r="G438" s="265"/>
      <c r="H438" s="122" t="s">
        <v>317</v>
      </c>
      <c r="I438" s="122"/>
      <c r="J438" s="122"/>
      <c r="K438" s="122"/>
      <c r="L438" s="122"/>
      <c r="M438" s="74">
        <v>8190270</v>
      </c>
      <c r="N438" s="75" t="s">
        <v>239</v>
      </c>
      <c r="O438" s="75" t="s">
        <v>54</v>
      </c>
      <c r="P438" s="134" t="str">
        <f>IF(AND('331-CT'!$E$7=TH!H438,OR(N438="331",O438="331")),"x","")</f>
        <v/>
      </c>
    </row>
    <row r="439" spans="1:16" s="109" customFormat="1">
      <c r="A439" s="72">
        <f t="shared" si="19"/>
        <v>2015</v>
      </c>
      <c r="B439" s="72">
        <f t="shared" si="20"/>
        <v>3</v>
      </c>
      <c r="C439" s="73">
        <v>42086</v>
      </c>
      <c r="D439" s="73" t="s">
        <v>72</v>
      </c>
      <c r="E439" s="73">
        <v>42086</v>
      </c>
      <c r="F439" s="93" t="s">
        <v>576</v>
      </c>
      <c r="G439" s="265"/>
      <c r="H439" s="120" t="s">
        <v>266</v>
      </c>
      <c r="I439" s="120"/>
      <c r="J439" s="120"/>
      <c r="K439" s="120"/>
      <c r="L439" s="120"/>
      <c r="M439" s="74">
        <v>72000000</v>
      </c>
      <c r="N439" s="75" t="s">
        <v>39</v>
      </c>
      <c r="O439" s="75" t="s">
        <v>203</v>
      </c>
      <c r="P439" s="134" t="str">
        <f>IF(AND('331-CT'!$E$7=TH!H439,OR(N439="331",O439="331")),"x","")</f>
        <v/>
      </c>
    </row>
    <row r="440" spans="1:16" s="109" customFormat="1">
      <c r="A440" s="72">
        <f t="shared" si="19"/>
        <v>2015</v>
      </c>
      <c r="B440" s="72">
        <f t="shared" si="20"/>
        <v>3</v>
      </c>
      <c r="C440" s="107">
        <v>42086</v>
      </c>
      <c r="D440" s="73" t="s">
        <v>21</v>
      </c>
      <c r="E440" s="73">
        <v>42086</v>
      </c>
      <c r="F440" s="76" t="s">
        <v>45</v>
      </c>
      <c r="G440" s="265"/>
      <c r="H440" s="120" t="s">
        <v>266</v>
      </c>
      <c r="I440" s="120"/>
      <c r="J440" s="120"/>
      <c r="K440" s="120"/>
      <c r="L440" s="120"/>
      <c r="M440" s="74">
        <v>72000000</v>
      </c>
      <c r="N440" s="75" t="s">
        <v>54</v>
      </c>
      <c r="O440" s="75" t="s">
        <v>39</v>
      </c>
      <c r="P440" s="134" t="str">
        <f>IF(AND('331-CT'!$E$7=TH!H440,OR(N440="331",O440="331")),"x","")</f>
        <v/>
      </c>
    </row>
    <row r="441" spans="1:16" s="109" customFormat="1">
      <c r="A441" s="72">
        <f t="shared" si="19"/>
        <v>2015</v>
      </c>
      <c r="B441" s="72">
        <f t="shared" si="20"/>
        <v>3</v>
      </c>
      <c r="C441" s="73">
        <v>42086</v>
      </c>
      <c r="D441" s="73" t="s">
        <v>17</v>
      </c>
      <c r="E441" s="73">
        <v>42086</v>
      </c>
      <c r="F441" s="76" t="s">
        <v>119</v>
      </c>
      <c r="G441" s="265"/>
      <c r="H441" s="122" t="s">
        <v>313</v>
      </c>
      <c r="I441" s="122"/>
      <c r="J441" s="122"/>
      <c r="K441" s="122"/>
      <c r="L441" s="122"/>
      <c r="M441" s="74">
        <v>7400588</v>
      </c>
      <c r="N441" s="75" t="s">
        <v>239</v>
      </c>
      <c r="O441" s="75" t="s">
        <v>54</v>
      </c>
      <c r="P441" s="134" t="str">
        <f>IF(AND('331-CT'!$E$7=TH!H441,OR(N441="331",O441="331")),"x","")</f>
        <v/>
      </c>
    </row>
    <row r="442" spans="1:16" s="109" customFormat="1">
      <c r="A442" s="72">
        <f t="shared" si="19"/>
        <v>2015</v>
      </c>
      <c r="B442" s="72">
        <f t="shared" si="20"/>
        <v>3</v>
      </c>
      <c r="C442" s="73">
        <v>42086</v>
      </c>
      <c r="D442" s="73" t="s">
        <v>17</v>
      </c>
      <c r="E442" s="73">
        <v>42086</v>
      </c>
      <c r="F442" s="76" t="s">
        <v>141</v>
      </c>
      <c r="G442" s="265"/>
      <c r="H442" s="122" t="s">
        <v>314</v>
      </c>
      <c r="I442" s="122"/>
      <c r="J442" s="122"/>
      <c r="K442" s="122"/>
      <c r="L442" s="122"/>
      <c r="M442" s="74">
        <v>14801176</v>
      </c>
      <c r="N442" s="75" t="s">
        <v>239</v>
      </c>
      <c r="O442" s="75" t="s">
        <v>54</v>
      </c>
      <c r="P442" s="134" t="str">
        <f>IF(AND('331-CT'!$E$7=TH!H442,OR(N442="331",O442="331")),"x","")</f>
        <v/>
      </c>
    </row>
    <row r="443" spans="1:16" s="109" customFormat="1">
      <c r="A443" s="72">
        <f t="shared" si="19"/>
        <v>2015</v>
      </c>
      <c r="B443" s="72">
        <f t="shared" si="20"/>
        <v>3</v>
      </c>
      <c r="C443" s="73">
        <v>42086</v>
      </c>
      <c r="D443" s="73" t="s">
        <v>17</v>
      </c>
      <c r="E443" s="73">
        <v>42086</v>
      </c>
      <c r="F443" s="76" t="s">
        <v>143</v>
      </c>
      <c r="G443" s="265"/>
      <c r="H443" s="122" t="s">
        <v>316</v>
      </c>
      <c r="I443" s="122"/>
      <c r="J443" s="122"/>
      <c r="K443" s="122"/>
      <c r="L443" s="122"/>
      <c r="M443" s="74">
        <v>11840941</v>
      </c>
      <c r="N443" s="75" t="s">
        <v>239</v>
      </c>
      <c r="O443" s="75" t="s">
        <v>54</v>
      </c>
      <c r="P443" s="134" t="str">
        <f>IF(AND('331-CT'!$E$7=TH!H443,OR(N443="331",O443="331")),"x","")</f>
        <v/>
      </c>
    </row>
    <row r="444" spans="1:16" s="109" customFormat="1">
      <c r="A444" s="72">
        <f t="shared" si="19"/>
        <v>2015</v>
      </c>
      <c r="B444" s="72">
        <f t="shared" si="20"/>
        <v>3</v>
      </c>
      <c r="C444" s="73">
        <v>42086</v>
      </c>
      <c r="D444" s="73" t="s">
        <v>17</v>
      </c>
      <c r="E444" s="73">
        <v>42086</v>
      </c>
      <c r="F444" s="76" t="s">
        <v>144</v>
      </c>
      <c r="G444" s="265"/>
      <c r="H444" s="122" t="s">
        <v>315</v>
      </c>
      <c r="I444" s="122"/>
      <c r="J444" s="122"/>
      <c r="K444" s="122"/>
      <c r="L444" s="122"/>
      <c r="M444" s="74">
        <v>11100882</v>
      </c>
      <c r="N444" s="75" t="s">
        <v>239</v>
      </c>
      <c r="O444" s="75" t="s">
        <v>54</v>
      </c>
      <c r="P444" s="134" t="str">
        <f>IF(AND('331-CT'!$E$7=TH!H444,OR(N444="331",O444="331")),"x","")</f>
        <v/>
      </c>
    </row>
    <row r="445" spans="1:16" s="109" customFormat="1">
      <c r="A445" s="72">
        <f t="shared" si="19"/>
        <v>2015</v>
      </c>
      <c r="B445" s="72">
        <f t="shared" si="20"/>
        <v>3</v>
      </c>
      <c r="C445" s="73">
        <v>42086</v>
      </c>
      <c r="D445" s="73" t="s">
        <v>17</v>
      </c>
      <c r="E445" s="73">
        <v>42086</v>
      </c>
      <c r="F445" s="76" t="s">
        <v>145</v>
      </c>
      <c r="G445" s="265"/>
      <c r="H445" s="122" t="s">
        <v>317</v>
      </c>
      <c r="I445" s="122"/>
      <c r="J445" s="122"/>
      <c r="K445" s="122"/>
      <c r="L445" s="122"/>
      <c r="M445" s="74">
        <v>7400588</v>
      </c>
      <c r="N445" s="75" t="s">
        <v>239</v>
      </c>
      <c r="O445" s="75" t="s">
        <v>54</v>
      </c>
      <c r="P445" s="134" t="str">
        <f>IF(AND('331-CT'!$E$7=TH!H445,OR(N445="331",O445="331")),"x","")</f>
        <v/>
      </c>
    </row>
    <row r="446" spans="1:16" s="109" customFormat="1">
      <c r="A446" s="72">
        <f t="shared" si="19"/>
        <v>2015</v>
      </c>
      <c r="B446" s="72">
        <f t="shared" si="20"/>
        <v>3</v>
      </c>
      <c r="C446" s="73">
        <v>42086</v>
      </c>
      <c r="D446" s="73" t="s">
        <v>17</v>
      </c>
      <c r="E446" s="73">
        <v>42086</v>
      </c>
      <c r="F446" s="76" t="s">
        <v>147</v>
      </c>
      <c r="G446" s="265"/>
      <c r="H446" s="122" t="s">
        <v>318</v>
      </c>
      <c r="I446" s="122"/>
      <c r="J446" s="122"/>
      <c r="K446" s="122"/>
      <c r="L446" s="122"/>
      <c r="M446" s="74">
        <v>19426543</v>
      </c>
      <c r="N446" s="75" t="s">
        <v>239</v>
      </c>
      <c r="O446" s="75" t="s">
        <v>54</v>
      </c>
      <c r="P446" s="134" t="str">
        <f>IF(AND('331-CT'!$E$7=TH!H446,OR(N446="331",O446="331")),"x","")</f>
        <v/>
      </c>
    </row>
    <row r="447" spans="1:16" s="109" customFormat="1">
      <c r="A447" s="72">
        <f t="shared" si="19"/>
        <v>2015</v>
      </c>
      <c r="B447" s="72">
        <f t="shared" si="20"/>
        <v>3</v>
      </c>
      <c r="C447" s="73">
        <v>42086</v>
      </c>
      <c r="D447" s="73" t="s">
        <v>17</v>
      </c>
      <c r="E447" s="73">
        <v>42086</v>
      </c>
      <c r="F447" s="76" t="s">
        <v>49</v>
      </c>
      <c r="G447" s="265"/>
      <c r="H447" s="122"/>
      <c r="I447" s="122"/>
      <c r="J447" s="122"/>
      <c r="K447" s="122"/>
      <c r="L447" s="122"/>
      <c r="M447" s="74">
        <v>50000</v>
      </c>
      <c r="N447" s="75" t="s">
        <v>241</v>
      </c>
      <c r="O447" s="75" t="s">
        <v>54</v>
      </c>
      <c r="P447" s="134" t="str">
        <f>IF(AND('331-CT'!$E$7=TH!H447,OR(N447="331",O447="331")),"x","")</f>
        <v/>
      </c>
    </row>
    <row r="448" spans="1:16" s="109" customFormat="1">
      <c r="A448" s="72">
        <f t="shared" si="19"/>
        <v>2015</v>
      </c>
      <c r="B448" s="72">
        <f t="shared" si="20"/>
        <v>3</v>
      </c>
      <c r="C448" s="73">
        <v>42086</v>
      </c>
      <c r="D448" s="73" t="s">
        <v>17</v>
      </c>
      <c r="E448" s="73">
        <v>42086</v>
      </c>
      <c r="F448" s="76" t="s">
        <v>44</v>
      </c>
      <c r="G448" s="265"/>
      <c r="H448" s="122"/>
      <c r="I448" s="122"/>
      <c r="J448" s="122"/>
      <c r="K448" s="122"/>
      <c r="L448" s="122"/>
      <c r="M448" s="74">
        <v>5000</v>
      </c>
      <c r="N448" s="75" t="s">
        <v>19</v>
      </c>
      <c r="O448" s="75" t="s">
        <v>54</v>
      </c>
      <c r="P448" s="134" t="str">
        <f>IF(AND('331-CT'!$E$7=TH!H448,OR(N448="331",O448="331")),"x","")</f>
        <v/>
      </c>
    </row>
    <row r="449" spans="1:16" s="109" customFormat="1">
      <c r="A449" s="72">
        <f t="shared" si="19"/>
        <v>2015</v>
      </c>
      <c r="B449" s="72">
        <f t="shared" si="20"/>
        <v>3</v>
      </c>
      <c r="C449" s="73">
        <v>42086</v>
      </c>
      <c r="D449" s="73" t="s">
        <v>17</v>
      </c>
      <c r="E449" s="73">
        <v>42086</v>
      </c>
      <c r="F449" s="76" t="s">
        <v>47</v>
      </c>
      <c r="G449" s="265"/>
      <c r="H449" s="122"/>
      <c r="I449" s="122"/>
      <c r="J449" s="122"/>
      <c r="K449" s="122"/>
      <c r="L449" s="122"/>
      <c r="M449" s="74">
        <v>50000</v>
      </c>
      <c r="N449" s="75" t="s">
        <v>241</v>
      </c>
      <c r="O449" s="75" t="s">
        <v>54</v>
      </c>
      <c r="P449" s="134" t="str">
        <f>IF(AND('331-CT'!$E$7=TH!H449,OR(N449="331",O449="331")),"x","")</f>
        <v/>
      </c>
    </row>
    <row r="450" spans="1:16" s="109" customFormat="1">
      <c r="A450" s="72">
        <f t="shared" si="19"/>
        <v>2015</v>
      </c>
      <c r="B450" s="72">
        <f t="shared" si="20"/>
        <v>3</v>
      </c>
      <c r="C450" s="73">
        <v>42086</v>
      </c>
      <c r="D450" s="73" t="s">
        <v>17</v>
      </c>
      <c r="E450" s="73">
        <v>42086</v>
      </c>
      <c r="F450" s="76" t="s">
        <v>44</v>
      </c>
      <c r="G450" s="265"/>
      <c r="H450" s="122"/>
      <c r="I450" s="122"/>
      <c r="J450" s="122"/>
      <c r="K450" s="122"/>
      <c r="L450" s="122"/>
      <c r="M450" s="74">
        <v>5000</v>
      </c>
      <c r="N450" s="75" t="s">
        <v>19</v>
      </c>
      <c r="O450" s="75" t="s">
        <v>54</v>
      </c>
      <c r="P450" s="134" t="str">
        <f>IF(AND('331-CT'!$E$7=TH!H450,OR(N450="331",O450="331")),"x","")</f>
        <v/>
      </c>
    </row>
    <row r="451" spans="1:16" s="109" customFormat="1">
      <c r="A451" s="72">
        <f t="shared" si="19"/>
        <v>2015</v>
      </c>
      <c r="B451" s="72">
        <f t="shared" si="20"/>
        <v>3</v>
      </c>
      <c r="C451" s="107">
        <v>42087</v>
      </c>
      <c r="D451" s="73" t="s">
        <v>21</v>
      </c>
      <c r="E451" s="73">
        <v>42087</v>
      </c>
      <c r="F451" s="76" t="s">
        <v>98</v>
      </c>
      <c r="G451" s="265"/>
      <c r="H451" s="122"/>
      <c r="I451" s="122"/>
      <c r="J451" s="122"/>
      <c r="K451" s="122"/>
      <c r="L451" s="122"/>
      <c r="M451" s="74">
        <v>35634</v>
      </c>
      <c r="N451" s="75" t="s">
        <v>54</v>
      </c>
      <c r="O451" s="75" t="s">
        <v>99</v>
      </c>
      <c r="P451" s="134" t="str">
        <f>IF(AND('331-CT'!$E$7=TH!H451,OR(N451="331",O451="331")),"x","")</f>
        <v/>
      </c>
    </row>
    <row r="452" spans="1:16" s="109" customFormat="1">
      <c r="A452" s="72">
        <f t="shared" si="19"/>
        <v>2015</v>
      </c>
      <c r="B452" s="72">
        <f t="shared" si="20"/>
        <v>3</v>
      </c>
      <c r="C452" s="107">
        <v>42088</v>
      </c>
      <c r="D452" s="73" t="s">
        <v>21</v>
      </c>
      <c r="E452" s="73">
        <v>42088</v>
      </c>
      <c r="F452" s="76" t="s">
        <v>148</v>
      </c>
      <c r="G452" s="265"/>
      <c r="H452" s="122" t="s">
        <v>319</v>
      </c>
      <c r="I452" s="122"/>
      <c r="J452" s="122"/>
      <c r="K452" s="122"/>
      <c r="L452" s="122"/>
      <c r="M452" s="74">
        <v>2000000000</v>
      </c>
      <c r="N452" s="75" t="s">
        <v>54</v>
      </c>
      <c r="O452" s="75" t="s">
        <v>227</v>
      </c>
      <c r="P452" s="134" t="str">
        <f>IF(AND('331-CT'!$E$7=TH!H452,OR(N452="331",O452="331")),"x","")</f>
        <v/>
      </c>
    </row>
    <row r="453" spans="1:16" s="109" customFormat="1">
      <c r="A453" s="72">
        <f t="shared" si="19"/>
        <v>2015</v>
      </c>
      <c r="B453" s="72">
        <f t="shared" si="20"/>
        <v>3</v>
      </c>
      <c r="C453" s="107">
        <v>42088</v>
      </c>
      <c r="D453" s="73" t="s">
        <v>17</v>
      </c>
      <c r="E453" s="73">
        <v>42088</v>
      </c>
      <c r="F453" s="76" t="s">
        <v>113</v>
      </c>
      <c r="G453" s="265"/>
      <c r="H453" s="122" t="s">
        <v>138</v>
      </c>
      <c r="I453" s="122"/>
      <c r="J453" s="122"/>
      <c r="K453" s="122"/>
      <c r="L453" s="122"/>
      <c r="M453" s="74">
        <v>600000000</v>
      </c>
      <c r="N453" s="77" t="s">
        <v>18</v>
      </c>
      <c r="O453" s="75" t="s">
        <v>54</v>
      </c>
      <c r="P453" s="134" t="str">
        <f>IF(AND('331-CT'!$E$7=TH!H453,OR(N453="331",O453="331")),"x","")</f>
        <v/>
      </c>
    </row>
    <row r="454" spans="1:16" s="109" customFormat="1">
      <c r="A454" s="72">
        <f t="shared" si="19"/>
        <v>2015</v>
      </c>
      <c r="B454" s="72">
        <f t="shared" si="20"/>
        <v>3</v>
      </c>
      <c r="C454" s="73">
        <v>42088</v>
      </c>
      <c r="D454" s="73" t="s">
        <v>17</v>
      </c>
      <c r="E454" s="73">
        <v>42088</v>
      </c>
      <c r="F454" s="76" t="s">
        <v>34</v>
      </c>
      <c r="G454" s="265"/>
      <c r="H454" s="122"/>
      <c r="I454" s="122"/>
      <c r="J454" s="122"/>
      <c r="K454" s="122"/>
      <c r="L454" s="122"/>
      <c r="M454" s="74">
        <v>180000</v>
      </c>
      <c r="N454" s="75" t="s">
        <v>241</v>
      </c>
      <c r="O454" s="75" t="s">
        <v>54</v>
      </c>
      <c r="P454" s="134" t="str">
        <f>IF(AND('331-CT'!$E$7=TH!H454,OR(N454="331",O454="331")),"x","")</f>
        <v/>
      </c>
    </row>
    <row r="455" spans="1:16" s="109" customFormat="1">
      <c r="A455" s="72">
        <f t="shared" si="19"/>
        <v>2015</v>
      </c>
      <c r="B455" s="72">
        <f t="shared" si="20"/>
        <v>3</v>
      </c>
      <c r="C455" s="73">
        <v>42088</v>
      </c>
      <c r="D455" s="73" t="s">
        <v>17</v>
      </c>
      <c r="E455" s="73">
        <v>42088</v>
      </c>
      <c r="F455" s="76" t="s">
        <v>35</v>
      </c>
      <c r="G455" s="265"/>
      <c r="H455" s="122"/>
      <c r="I455" s="122"/>
      <c r="J455" s="122"/>
      <c r="K455" s="122"/>
      <c r="L455" s="122"/>
      <c r="M455" s="74">
        <v>18000</v>
      </c>
      <c r="N455" s="75" t="s">
        <v>19</v>
      </c>
      <c r="O455" s="75" t="s">
        <v>54</v>
      </c>
      <c r="P455" s="134" t="str">
        <f>IF(AND('331-CT'!$E$7=TH!H455,OR(N455="331",O455="331")),"x","")</f>
        <v/>
      </c>
    </row>
    <row r="456" spans="1:16" s="109" customFormat="1">
      <c r="A456" s="72">
        <f t="shared" si="19"/>
        <v>2015</v>
      </c>
      <c r="B456" s="72">
        <f t="shared" si="20"/>
        <v>3</v>
      </c>
      <c r="C456" s="107">
        <v>42094</v>
      </c>
      <c r="D456" s="73" t="s">
        <v>17</v>
      </c>
      <c r="E456" s="73">
        <v>42094</v>
      </c>
      <c r="F456" s="76" t="s">
        <v>182</v>
      </c>
      <c r="G456" s="265"/>
      <c r="H456" s="122" t="s">
        <v>150</v>
      </c>
      <c r="I456" s="122"/>
      <c r="J456" s="122"/>
      <c r="K456" s="122"/>
      <c r="L456" s="122"/>
      <c r="M456" s="74">
        <v>360000000</v>
      </c>
      <c r="N456" s="77" t="s">
        <v>18</v>
      </c>
      <c r="O456" s="75" t="s">
        <v>54</v>
      </c>
      <c r="P456" s="134" t="str">
        <f>IF(AND('331-CT'!$E$7=TH!H456,OR(N456="331",O456="331")),"x","")</f>
        <v/>
      </c>
    </row>
    <row r="457" spans="1:16" s="109" customFormat="1">
      <c r="A457" s="72">
        <f t="shared" si="19"/>
        <v>2015</v>
      </c>
      <c r="B457" s="72">
        <f t="shared" si="20"/>
        <v>3</v>
      </c>
      <c r="C457" s="107">
        <v>42094</v>
      </c>
      <c r="D457" s="73" t="s">
        <v>17</v>
      </c>
      <c r="E457" s="73">
        <v>42094</v>
      </c>
      <c r="F457" s="76" t="s">
        <v>181</v>
      </c>
      <c r="G457" s="265"/>
      <c r="H457" s="122" t="s">
        <v>111</v>
      </c>
      <c r="I457" s="122"/>
      <c r="J457" s="122"/>
      <c r="K457" s="122"/>
      <c r="L457" s="122"/>
      <c r="M457" s="74">
        <v>251000000</v>
      </c>
      <c r="N457" s="77" t="s">
        <v>18</v>
      </c>
      <c r="O457" s="75" t="s">
        <v>54</v>
      </c>
      <c r="P457" s="134" t="str">
        <f>IF(AND('331-CT'!$E$7=TH!H457,OR(N457="331",O457="331")),"x","")</f>
        <v/>
      </c>
    </row>
    <row r="458" spans="1:16" s="109" customFormat="1">
      <c r="A458" s="72">
        <f t="shared" si="19"/>
        <v>2015</v>
      </c>
      <c r="B458" s="72">
        <f t="shared" si="20"/>
        <v>3</v>
      </c>
      <c r="C458" s="73">
        <v>42094</v>
      </c>
      <c r="D458" s="73" t="s">
        <v>17</v>
      </c>
      <c r="E458" s="73">
        <v>42094</v>
      </c>
      <c r="F458" s="76" t="s">
        <v>34</v>
      </c>
      <c r="G458" s="265"/>
      <c r="H458" s="122"/>
      <c r="I458" s="122"/>
      <c r="J458" s="122"/>
      <c r="K458" s="122"/>
      <c r="L458" s="122"/>
      <c r="M458" s="74">
        <v>75300</v>
      </c>
      <c r="N458" s="75" t="s">
        <v>241</v>
      </c>
      <c r="O458" s="75" t="s">
        <v>54</v>
      </c>
      <c r="P458" s="134" t="str">
        <f>IF(AND('331-CT'!$E$7=TH!H458,OR(N458="331",O458="331")),"x","")</f>
        <v/>
      </c>
    </row>
    <row r="459" spans="1:16" s="109" customFormat="1">
      <c r="A459" s="72">
        <f t="shared" si="19"/>
        <v>2015</v>
      </c>
      <c r="B459" s="72">
        <f t="shared" si="20"/>
        <v>3</v>
      </c>
      <c r="C459" s="73">
        <v>42094</v>
      </c>
      <c r="D459" s="73" t="s">
        <v>17</v>
      </c>
      <c r="E459" s="73">
        <v>42094</v>
      </c>
      <c r="F459" s="76" t="s">
        <v>35</v>
      </c>
      <c r="G459" s="265"/>
      <c r="H459" s="122"/>
      <c r="I459" s="122"/>
      <c r="J459" s="122"/>
      <c r="K459" s="122"/>
      <c r="L459" s="122"/>
      <c r="M459" s="74">
        <v>7530</v>
      </c>
      <c r="N459" s="75" t="s">
        <v>19</v>
      </c>
      <c r="O459" s="75" t="s">
        <v>54</v>
      </c>
      <c r="P459" s="134" t="str">
        <f>IF(AND('331-CT'!$E$7=TH!H459,OR(N459="331",O459="331")),"x","")</f>
        <v/>
      </c>
    </row>
    <row r="460" spans="1:16" s="109" customFormat="1">
      <c r="A460" s="72">
        <f t="shared" si="19"/>
        <v>2015</v>
      </c>
      <c r="B460" s="72">
        <f t="shared" si="20"/>
        <v>4</v>
      </c>
      <c r="C460" s="73">
        <v>42095</v>
      </c>
      <c r="D460" s="73" t="s">
        <v>73</v>
      </c>
      <c r="E460" s="73">
        <v>42095</v>
      </c>
      <c r="F460" s="76" t="s">
        <v>159</v>
      </c>
      <c r="G460" s="270" t="s">
        <v>523</v>
      </c>
      <c r="H460" s="122" t="s">
        <v>524</v>
      </c>
      <c r="I460" s="122"/>
      <c r="J460" s="122"/>
      <c r="K460" s="122"/>
      <c r="L460" s="122"/>
      <c r="M460" s="74">
        <v>17290000</v>
      </c>
      <c r="N460" s="75" t="s">
        <v>654</v>
      </c>
      <c r="O460" s="75" t="s">
        <v>203</v>
      </c>
      <c r="P460" s="134" t="str">
        <f>IF(AND('331-CT'!$E$7=TH!H460,OR(N460="331",O460="331")),"x","")</f>
        <v/>
      </c>
    </row>
    <row r="461" spans="1:16" s="109" customFormat="1">
      <c r="A461" s="72">
        <f t="shared" si="19"/>
        <v>2015</v>
      </c>
      <c r="B461" s="72">
        <f t="shared" si="20"/>
        <v>4</v>
      </c>
      <c r="C461" s="73">
        <v>42095</v>
      </c>
      <c r="D461" s="73" t="s">
        <v>73</v>
      </c>
      <c r="E461" s="73">
        <v>42095</v>
      </c>
      <c r="F461" s="76" t="s">
        <v>160</v>
      </c>
      <c r="G461" s="270" t="s">
        <v>523</v>
      </c>
      <c r="H461" s="122" t="s">
        <v>524</v>
      </c>
      <c r="I461" s="122"/>
      <c r="J461" s="122"/>
      <c r="K461" s="122"/>
      <c r="L461" s="122"/>
      <c r="M461" s="74">
        <v>1729000</v>
      </c>
      <c r="N461" s="75" t="s">
        <v>19</v>
      </c>
      <c r="O461" s="75" t="s">
        <v>203</v>
      </c>
      <c r="P461" s="134" t="str">
        <f>IF(AND('331-CT'!$E$7=TH!H461,OR(N461="331",O461="331")),"x","")</f>
        <v/>
      </c>
    </row>
    <row r="462" spans="1:16" s="109" customFormat="1">
      <c r="A462" s="72">
        <f t="shared" si="19"/>
        <v>2015</v>
      </c>
      <c r="B462" s="72">
        <f t="shared" si="20"/>
        <v>4</v>
      </c>
      <c r="C462" s="107">
        <v>42096</v>
      </c>
      <c r="D462" s="73" t="s">
        <v>17</v>
      </c>
      <c r="E462" s="73">
        <v>42096</v>
      </c>
      <c r="F462" s="76" t="s">
        <v>113</v>
      </c>
      <c r="G462" s="265"/>
      <c r="H462" s="122" t="s">
        <v>85</v>
      </c>
      <c r="I462" s="122"/>
      <c r="J462" s="122"/>
      <c r="K462" s="122"/>
      <c r="L462" s="122"/>
      <c r="M462" s="74">
        <v>500000000</v>
      </c>
      <c r="N462" s="77" t="s">
        <v>18</v>
      </c>
      <c r="O462" s="75" t="s">
        <v>54</v>
      </c>
      <c r="P462" s="134" t="str">
        <f>IF(AND('331-CT'!$E$7=TH!H462,OR(N462="331",O462="331")),"x","")</f>
        <v/>
      </c>
    </row>
    <row r="463" spans="1:16" s="109" customFormat="1">
      <c r="A463" s="72">
        <f t="shared" si="19"/>
        <v>2015</v>
      </c>
      <c r="B463" s="72">
        <f t="shared" si="20"/>
        <v>4</v>
      </c>
      <c r="C463" s="73">
        <v>42096</v>
      </c>
      <c r="D463" s="73" t="s">
        <v>17</v>
      </c>
      <c r="E463" s="73">
        <v>42096</v>
      </c>
      <c r="F463" s="76" t="s">
        <v>34</v>
      </c>
      <c r="G463" s="265"/>
      <c r="H463" s="122"/>
      <c r="I463" s="122"/>
      <c r="J463" s="122"/>
      <c r="K463" s="122"/>
      <c r="L463" s="122"/>
      <c r="M463" s="74">
        <v>250000</v>
      </c>
      <c r="N463" s="75" t="s">
        <v>241</v>
      </c>
      <c r="O463" s="75" t="s">
        <v>54</v>
      </c>
      <c r="P463" s="134" t="str">
        <f>IF(AND('331-CT'!$E$7=TH!H463,OR(N463="331",O463="331")),"x","")</f>
        <v/>
      </c>
    </row>
    <row r="464" spans="1:16" s="109" customFormat="1">
      <c r="A464" s="72">
        <f t="shared" si="19"/>
        <v>2015</v>
      </c>
      <c r="B464" s="72">
        <f t="shared" si="20"/>
        <v>4</v>
      </c>
      <c r="C464" s="73">
        <v>42096</v>
      </c>
      <c r="D464" s="73" t="s">
        <v>17</v>
      </c>
      <c r="E464" s="73">
        <v>42096</v>
      </c>
      <c r="F464" s="76" t="s">
        <v>35</v>
      </c>
      <c r="G464" s="265"/>
      <c r="H464" s="122"/>
      <c r="I464" s="122"/>
      <c r="J464" s="122"/>
      <c r="K464" s="122"/>
      <c r="L464" s="122"/>
      <c r="M464" s="74">
        <v>25000</v>
      </c>
      <c r="N464" s="75" t="s">
        <v>19</v>
      </c>
      <c r="O464" s="75" t="s">
        <v>54</v>
      </c>
      <c r="P464" s="134" t="str">
        <f>IF(AND('331-CT'!$E$7=TH!H464,OR(N464="331",O464="331")),"x","")</f>
        <v/>
      </c>
    </row>
    <row r="465" spans="1:16" s="109" customFormat="1">
      <c r="A465" s="72">
        <f t="shared" si="19"/>
        <v>2015</v>
      </c>
      <c r="B465" s="72">
        <f t="shared" si="20"/>
        <v>4</v>
      </c>
      <c r="C465" s="73">
        <v>42096</v>
      </c>
      <c r="D465" s="73" t="s">
        <v>92</v>
      </c>
      <c r="E465" s="73">
        <v>42096</v>
      </c>
      <c r="F465" s="76" t="s">
        <v>159</v>
      </c>
      <c r="G465" s="270" t="s">
        <v>525</v>
      </c>
      <c r="H465" s="122" t="s">
        <v>524</v>
      </c>
      <c r="I465" s="122"/>
      <c r="J465" s="122"/>
      <c r="K465" s="122"/>
      <c r="L465" s="122"/>
      <c r="M465" s="74">
        <v>8170000</v>
      </c>
      <c r="N465" s="75" t="s">
        <v>654</v>
      </c>
      <c r="O465" s="75" t="s">
        <v>203</v>
      </c>
      <c r="P465" s="134" t="str">
        <f>IF(AND('331-CT'!$E$7=TH!H465,OR(N465="331",O465="331")),"x","")</f>
        <v/>
      </c>
    </row>
    <row r="466" spans="1:16" s="109" customFormat="1">
      <c r="A466" s="72">
        <f t="shared" si="19"/>
        <v>2015</v>
      </c>
      <c r="B466" s="72">
        <f t="shared" si="20"/>
        <v>4</v>
      </c>
      <c r="C466" s="73">
        <v>42096</v>
      </c>
      <c r="D466" s="73" t="s">
        <v>92</v>
      </c>
      <c r="E466" s="73">
        <v>42096</v>
      </c>
      <c r="F466" s="76" t="s">
        <v>160</v>
      </c>
      <c r="G466" s="270" t="s">
        <v>525</v>
      </c>
      <c r="H466" s="122" t="s">
        <v>524</v>
      </c>
      <c r="I466" s="122"/>
      <c r="J466" s="122"/>
      <c r="K466" s="122"/>
      <c r="L466" s="122"/>
      <c r="M466" s="74">
        <v>817000</v>
      </c>
      <c r="N466" s="75" t="s">
        <v>19</v>
      </c>
      <c r="O466" s="75" t="s">
        <v>203</v>
      </c>
      <c r="P466" s="134" t="str">
        <f>IF(AND('331-CT'!$E$7=TH!H466,OR(N466="331",O466="331")),"x","")</f>
        <v/>
      </c>
    </row>
    <row r="467" spans="1:16" s="109" customFormat="1">
      <c r="A467" s="72">
        <f t="shared" si="19"/>
        <v>2015</v>
      </c>
      <c r="B467" s="72">
        <f t="shared" si="20"/>
        <v>4</v>
      </c>
      <c r="C467" s="73">
        <v>42100</v>
      </c>
      <c r="D467" s="73" t="s">
        <v>93</v>
      </c>
      <c r="E467" s="73">
        <v>42100</v>
      </c>
      <c r="F467" s="76" t="s">
        <v>161</v>
      </c>
      <c r="G467" s="270" t="s">
        <v>526</v>
      </c>
      <c r="H467" s="122" t="s">
        <v>528</v>
      </c>
      <c r="I467" s="122"/>
      <c r="J467" s="122"/>
      <c r="K467" s="122"/>
      <c r="L467" s="122"/>
      <c r="M467" s="74">
        <v>17726430</v>
      </c>
      <c r="N467" s="75" t="s">
        <v>654</v>
      </c>
      <c r="O467" s="75" t="s">
        <v>203</v>
      </c>
      <c r="P467" s="134" t="str">
        <f>IF(AND('331-CT'!$E$7=TH!H467,OR(N467="331",O467="331")),"x","")</f>
        <v/>
      </c>
    </row>
    <row r="468" spans="1:16" s="109" customFormat="1">
      <c r="A468" s="72">
        <f t="shared" si="19"/>
        <v>2015</v>
      </c>
      <c r="B468" s="72">
        <f t="shared" si="20"/>
        <v>4</v>
      </c>
      <c r="C468" s="73">
        <v>42100</v>
      </c>
      <c r="D468" s="73" t="s">
        <v>93</v>
      </c>
      <c r="E468" s="73">
        <v>42100</v>
      </c>
      <c r="F468" s="76" t="s">
        <v>162</v>
      </c>
      <c r="G468" s="270" t="s">
        <v>526</v>
      </c>
      <c r="H468" s="122" t="s">
        <v>528</v>
      </c>
      <c r="I468" s="122"/>
      <c r="J468" s="122"/>
      <c r="K468" s="122"/>
      <c r="L468" s="122"/>
      <c r="M468" s="74">
        <v>1772643</v>
      </c>
      <c r="N468" s="75" t="s">
        <v>19</v>
      </c>
      <c r="O468" s="75" t="s">
        <v>203</v>
      </c>
      <c r="P468" s="134" t="str">
        <f>IF(AND('331-CT'!$E$7=TH!H468,OR(N468="331",O468="331")),"x","")</f>
        <v/>
      </c>
    </row>
    <row r="469" spans="1:16" s="109" customFormat="1">
      <c r="A469" s="72">
        <f t="shared" ref="A469:A532" si="21">IF(C469&lt;&gt;"",YEAR(C469),"")</f>
        <v>2015</v>
      </c>
      <c r="B469" s="72">
        <f t="shared" ref="B469:B532" si="22">IF(C469&lt;&gt;"",MONTH(C469),"")</f>
        <v>4</v>
      </c>
      <c r="C469" s="107">
        <v>42103</v>
      </c>
      <c r="D469" s="73" t="s">
        <v>17</v>
      </c>
      <c r="E469" s="73">
        <v>42103</v>
      </c>
      <c r="F469" s="76" t="s">
        <v>173</v>
      </c>
      <c r="G469" s="265"/>
      <c r="H469" s="122" t="s">
        <v>151</v>
      </c>
      <c r="I469" s="122"/>
      <c r="J469" s="122"/>
      <c r="K469" s="122"/>
      <c r="L469" s="122"/>
      <c r="M469" s="74">
        <v>195195000</v>
      </c>
      <c r="N469" s="77" t="s">
        <v>18</v>
      </c>
      <c r="O469" s="75" t="s">
        <v>54</v>
      </c>
      <c r="P469" s="134" t="str">
        <f>IF(AND('331-CT'!$E$7=TH!H469,OR(N469="331",O469="331")),"x","")</f>
        <v/>
      </c>
    </row>
    <row r="470" spans="1:16" s="109" customFormat="1">
      <c r="A470" s="72">
        <f t="shared" si="21"/>
        <v>2015</v>
      </c>
      <c r="B470" s="72">
        <f t="shared" si="22"/>
        <v>4</v>
      </c>
      <c r="C470" s="73">
        <v>42103</v>
      </c>
      <c r="D470" s="73" t="s">
        <v>17</v>
      </c>
      <c r="E470" s="73">
        <v>42103</v>
      </c>
      <c r="F470" s="76" t="s">
        <v>34</v>
      </c>
      <c r="G470" s="265"/>
      <c r="H470" s="122"/>
      <c r="I470" s="122"/>
      <c r="J470" s="122"/>
      <c r="K470" s="122"/>
      <c r="L470" s="122"/>
      <c r="M470" s="74">
        <v>58559</v>
      </c>
      <c r="N470" s="75" t="s">
        <v>241</v>
      </c>
      <c r="O470" s="75" t="s">
        <v>54</v>
      </c>
      <c r="P470" s="134" t="str">
        <f>IF(AND('331-CT'!$E$7=TH!H470,OR(N470="331",O470="331")),"x","")</f>
        <v/>
      </c>
    </row>
    <row r="471" spans="1:16" s="109" customFormat="1">
      <c r="A471" s="72">
        <f t="shared" si="21"/>
        <v>2015</v>
      </c>
      <c r="B471" s="72">
        <f t="shared" si="22"/>
        <v>4</v>
      </c>
      <c r="C471" s="73">
        <v>42103</v>
      </c>
      <c r="D471" s="73" t="s">
        <v>17</v>
      </c>
      <c r="E471" s="73">
        <v>42103</v>
      </c>
      <c r="F471" s="76" t="s">
        <v>35</v>
      </c>
      <c r="G471" s="265"/>
      <c r="H471" s="122"/>
      <c r="I471" s="122"/>
      <c r="J471" s="122"/>
      <c r="K471" s="122"/>
      <c r="L471" s="122"/>
      <c r="M471" s="74">
        <v>5856</v>
      </c>
      <c r="N471" s="75" t="s">
        <v>19</v>
      </c>
      <c r="O471" s="75" t="s">
        <v>54</v>
      </c>
      <c r="P471" s="134" t="str">
        <f>IF(AND('331-CT'!$E$7=TH!H471,OR(N471="331",O471="331")),"x","")</f>
        <v/>
      </c>
    </row>
    <row r="472" spans="1:16" s="109" customFormat="1">
      <c r="A472" s="72">
        <f t="shared" si="21"/>
        <v>2015</v>
      </c>
      <c r="B472" s="72">
        <f t="shared" si="22"/>
        <v>4</v>
      </c>
      <c r="C472" s="73">
        <v>42110</v>
      </c>
      <c r="D472" s="73" t="s">
        <v>72</v>
      </c>
      <c r="E472" s="73">
        <v>42110</v>
      </c>
      <c r="F472" s="76" t="s">
        <v>161</v>
      </c>
      <c r="G472" s="270" t="s">
        <v>527</v>
      </c>
      <c r="H472" s="122" t="s">
        <v>528</v>
      </c>
      <c r="I472" s="122"/>
      <c r="J472" s="122"/>
      <c r="K472" s="122"/>
      <c r="L472" s="122"/>
      <c r="M472" s="74">
        <v>17424628</v>
      </c>
      <c r="N472" s="75" t="s">
        <v>654</v>
      </c>
      <c r="O472" s="75" t="s">
        <v>203</v>
      </c>
      <c r="P472" s="134" t="str">
        <f>IF(AND('331-CT'!$E$7=TH!H472,OR(N472="331",O472="331")),"x","")</f>
        <v/>
      </c>
    </row>
    <row r="473" spans="1:16" s="109" customFormat="1">
      <c r="A473" s="72">
        <f t="shared" si="21"/>
        <v>2015</v>
      </c>
      <c r="B473" s="72">
        <f t="shared" si="22"/>
        <v>4</v>
      </c>
      <c r="C473" s="73">
        <v>42110</v>
      </c>
      <c r="D473" s="73" t="s">
        <v>72</v>
      </c>
      <c r="E473" s="73">
        <v>42110</v>
      </c>
      <c r="F473" s="76" t="s">
        <v>162</v>
      </c>
      <c r="G473" s="270" t="s">
        <v>527</v>
      </c>
      <c r="H473" s="122" t="s">
        <v>528</v>
      </c>
      <c r="I473" s="122"/>
      <c r="J473" s="122"/>
      <c r="K473" s="122"/>
      <c r="L473" s="122"/>
      <c r="M473" s="74">
        <v>1742463</v>
      </c>
      <c r="N473" s="75" t="s">
        <v>19</v>
      </c>
      <c r="O473" s="75" t="s">
        <v>203</v>
      </c>
      <c r="P473" s="134" t="str">
        <f>IF(AND('331-CT'!$E$7=TH!H473,OR(N473="331",O473="331")),"x","")</f>
        <v/>
      </c>
    </row>
    <row r="474" spans="1:16" s="109" customFormat="1">
      <c r="A474" s="72">
        <f t="shared" si="21"/>
        <v>2015</v>
      </c>
      <c r="B474" s="72">
        <f t="shared" si="22"/>
        <v>4</v>
      </c>
      <c r="C474" s="73">
        <v>42114</v>
      </c>
      <c r="D474" s="73" t="s">
        <v>17</v>
      </c>
      <c r="E474" s="73">
        <v>42114</v>
      </c>
      <c r="F474" s="76" t="s">
        <v>119</v>
      </c>
      <c r="G474" s="265"/>
      <c r="H474" s="122" t="s">
        <v>313</v>
      </c>
      <c r="I474" s="122"/>
      <c r="J474" s="122"/>
      <c r="K474" s="122"/>
      <c r="L474" s="122"/>
      <c r="M474" s="74">
        <v>8180556</v>
      </c>
      <c r="N474" s="75" t="s">
        <v>239</v>
      </c>
      <c r="O474" s="75" t="s">
        <v>54</v>
      </c>
      <c r="P474" s="134" t="str">
        <f>IF(AND('331-CT'!$E$7=TH!H474,OR(N474="331",O474="331")),"x","")</f>
        <v/>
      </c>
    </row>
    <row r="475" spans="1:16" s="135" customFormat="1">
      <c r="A475" s="72">
        <f t="shared" si="21"/>
        <v>2015</v>
      </c>
      <c r="B475" s="72">
        <f t="shared" si="22"/>
        <v>4</v>
      </c>
      <c r="C475" s="73">
        <v>42114</v>
      </c>
      <c r="D475" s="73" t="s">
        <v>17</v>
      </c>
      <c r="E475" s="73">
        <v>42114</v>
      </c>
      <c r="F475" s="76" t="s">
        <v>141</v>
      </c>
      <c r="G475" s="265"/>
      <c r="H475" s="122" t="s">
        <v>314</v>
      </c>
      <c r="I475" s="122"/>
      <c r="J475" s="122"/>
      <c r="K475" s="122"/>
      <c r="L475" s="122"/>
      <c r="M475" s="74">
        <v>16361111</v>
      </c>
      <c r="N475" s="75" t="s">
        <v>239</v>
      </c>
      <c r="O475" s="75" t="s">
        <v>54</v>
      </c>
      <c r="P475" s="134" t="str">
        <f>IF(AND('331-CT'!$E$7=TH!H475,OR(N475="331",O475="331")),"x","")</f>
        <v/>
      </c>
    </row>
    <row r="476" spans="1:16" s="135" customFormat="1">
      <c r="A476" s="72">
        <f t="shared" si="21"/>
        <v>2015</v>
      </c>
      <c r="B476" s="72">
        <f t="shared" si="22"/>
        <v>4</v>
      </c>
      <c r="C476" s="73">
        <v>42114</v>
      </c>
      <c r="D476" s="73" t="s">
        <v>17</v>
      </c>
      <c r="E476" s="73">
        <v>42114</v>
      </c>
      <c r="F476" s="76" t="s">
        <v>143</v>
      </c>
      <c r="G476" s="265"/>
      <c r="H476" s="122" t="s">
        <v>316</v>
      </c>
      <c r="I476" s="122"/>
      <c r="J476" s="122"/>
      <c r="K476" s="122"/>
      <c r="L476" s="122"/>
      <c r="M476" s="74">
        <v>13088889</v>
      </c>
      <c r="N476" s="75" t="s">
        <v>239</v>
      </c>
      <c r="O476" s="75" t="s">
        <v>54</v>
      </c>
      <c r="P476" s="134" t="str">
        <f>IF(AND('331-CT'!$E$7=TH!H476,OR(N476="331",O476="331")),"x","")</f>
        <v/>
      </c>
    </row>
    <row r="477" spans="1:16" s="109" customFormat="1">
      <c r="A477" s="72">
        <f t="shared" si="21"/>
        <v>2015</v>
      </c>
      <c r="B477" s="72">
        <f t="shared" si="22"/>
        <v>4</v>
      </c>
      <c r="C477" s="73">
        <v>42114</v>
      </c>
      <c r="D477" s="73" t="s">
        <v>17</v>
      </c>
      <c r="E477" s="73">
        <v>42114</v>
      </c>
      <c r="F477" s="76" t="s">
        <v>144</v>
      </c>
      <c r="G477" s="265"/>
      <c r="H477" s="122" t="s">
        <v>315</v>
      </c>
      <c r="I477" s="122"/>
      <c r="J477" s="122"/>
      <c r="K477" s="122"/>
      <c r="L477" s="122"/>
      <c r="M477" s="74">
        <v>12270833</v>
      </c>
      <c r="N477" s="75" t="s">
        <v>239</v>
      </c>
      <c r="O477" s="75" t="s">
        <v>54</v>
      </c>
      <c r="P477" s="134" t="str">
        <f>IF(AND('331-CT'!$E$7=TH!H477,OR(N477="331",O477="331")),"x","")</f>
        <v/>
      </c>
    </row>
    <row r="478" spans="1:16" s="109" customFormat="1">
      <c r="A478" s="72">
        <f t="shared" si="21"/>
        <v>2015</v>
      </c>
      <c r="B478" s="72">
        <f t="shared" si="22"/>
        <v>4</v>
      </c>
      <c r="C478" s="73">
        <v>42114</v>
      </c>
      <c r="D478" s="73" t="s">
        <v>17</v>
      </c>
      <c r="E478" s="73">
        <v>42114</v>
      </c>
      <c r="F478" s="76" t="s">
        <v>145</v>
      </c>
      <c r="G478" s="265"/>
      <c r="H478" s="122" t="s">
        <v>317</v>
      </c>
      <c r="I478" s="122"/>
      <c r="J478" s="122"/>
      <c r="K478" s="122"/>
      <c r="L478" s="122"/>
      <c r="M478" s="74">
        <v>8180556</v>
      </c>
      <c r="N478" s="75" t="s">
        <v>239</v>
      </c>
      <c r="O478" s="75" t="s">
        <v>54</v>
      </c>
      <c r="P478" s="134" t="str">
        <f>IF(AND('331-CT'!$E$7=TH!H478,OR(N478="331",O478="331")),"x","")</f>
        <v/>
      </c>
    </row>
    <row r="479" spans="1:16" s="109" customFormat="1">
      <c r="A479" s="72">
        <f t="shared" si="21"/>
        <v>2015</v>
      </c>
      <c r="B479" s="72">
        <f t="shared" si="22"/>
        <v>4</v>
      </c>
      <c r="C479" s="73">
        <v>42114</v>
      </c>
      <c r="D479" s="73" t="s">
        <v>17</v>
      </c>
      <c r="E479" s="73">
        <v>42114</v>
      </c>
      <c r="F479" s="76" t="s">
        <v>147</v>
      </c>
      <c r="G479" s="265"/>
      <c r="H479" s="122" t="s">
        <v>318</v>
      </c>
      <c r="I479" s="122"/>
      <c r="J479" s="122"/>
      <c r="K479" s="122"/>
      <c r="L479" s="122"/>
      <c r="M479" s="74">
        <v>12270833</v>
      </c>
      <c r="N479" s="75" t="s">
        <v>239</v>
      </c>
      <c r="O479" s="75" t="s">
        <v>54</v>
      </c>
      <c r="P479" s="134" t="str">
        <f>IF(AND('331-CT'!$E$7=TH!H479,OR(N479="331",O479="331")),"x","")</f>
        <v/>
      </c>
    </row>
    <row r="480" spans="1:16" s="109" customFormat="1">
      <c r="A480" s="72">
        <f t="shared" si="21"/>
        <v>2015</v>
      </c>
      <c r="B480" s="72">
        <f t="shared" si="22"/>
        <v>4</v>
      </c>
      <c r="C480" s="73">
        <v>42114</v>
      </c>
      <c r="D480" s="73" t="s">
        <v>71</v>
      </c>
      <c r="E480" s="73">
        <v>42114</v>
      </c>
      <c r="F480" s="93" t="s">
        <v>575</v>
      </c>
      <c r="G480" s="265"/>
      <c r="H480" s="122" t="s">
        <v>271</v>
      </c>
      <c r="I480" s="122"/>
      <c r="J480" s="122"/>
      <c r="K480" s="122"/>
      <c r="L480" s="122"/>
      <c r="M480" s="74">
        <v>71000000</v>
      </c>
      <c r="N480" s="78" t="s">
        <v>54</v>
      </c>
      <c r="O480" s="75" t="s">
        <v>203</v>
      </c>
      <c r="P480" s="134" t="str">
        <f>IF(AND('331-CT'!$E$7=TH!H480,OR(N480="331",O480="331")),"x","")</f>
        <v/>
      </c>
    </row>
    <row r="481" spans="1:16" s="109" customFormat="1">
      <c r="A481" s="72">
        <f t="shared" si="21"/>
        <v>2015</v>
      </c>
      <c r="B481" s="72">
        <f t="shared" si="22"/>
        <v>4</v>
      </c>
      <c r="C481" s="107">
        <v>42114</v>
      </c>
      <c r="D481" s="73" t="s">
        <v>21</v>
      </c>
      <c r="E481" s="73">
        <v>42114</v>
      </c>
      <c r="F481" s="76" t="s">
        <v>174</v>
      </c>
      <c r="G481" s="265"/>
      <c r="H481" s="122" t="s">
        <v>320</v>
      </c>
      <c r="I481" s="122"/>
      <c r="J481" s="122"/>
      <c r="K481" s="122"/>
      <c r="L481" s="122"/>
      <c r="M481" s="74">
        <v>1400000000</v>
      </c>
      <c r="N481" s="75" t="s">
        <v>54</v>
      </c>
      <c r="O481" s="75" t="s">
        <v>227</v>
      </c>
      <c r="P481" s="134" t="str">
        <f>IF(AND('331-CT'!$E$7=TH!H481,OR(N481="331",O481="331")),"x","")</f>
        <v/>
      </c>
    </row>
    <row r="482" spans="1:16" s="109" customFormat="1">
      <c r="A482" s="129">
        <f t="shared" si="21"/>
        <v>2015</v>
      </c>
      <c r="B482" s="129">
        <f t="shared" si="22"/>
        <v>4</v>
      </c>
      <c r="C482" s="130">
        <v>42115</v>
      </c>
      <c r="D482" s="130" t="s">
        <v>133</v>
      </c>
      <c r="E482" s="130">
        <v>42115</v>
      </c>
      <c r="F482" s="131" t="s">
        <v>276</v>
      </c>
      <c r="G482" s="271" t="s">
        <v>529</v>
      </c>
      <c r="H482" s="132" t="s">
        <v>188</v>
      </c>
      <c r="I482" s="132"/>
      <c r="J482" s="132"/>
      <c r="K482" s="132"/>
      <c r="L482" s="132"/>
      <c r="M482" s="133">
        <v>3714800</v>
      </c>
      <c r="N482" s="134" t="s">
        <v>241</v>
      </c>
      <c r="O482" s="134" t="s">
        <v>203</v>
      </c>
      <c r="P482" s="134" t="str">
        <f>IF(AND('331-CT'!$E$7=TH!H482,OR(N482="331",O482="331")),"x","")</f>
        <v/>
      </c>
    </row>
    <row r="483" spans="1:16" s="109" customFormat="1">
      <c r="A483" s="129">
        <f t="shared" si="21"/>
        <v>2015</v>
      </c>
      <c r="B483" s="129">
        <f t="shared" si="22"/>
        <v>4</v>
      </c>
      <c r="C483" s="130">
        <v>42115</v>
      </c>
      <c r="D483" s="130" t="s">
        <v>133</v>
      </c>
      <c r="E483" s="130">
        <v>42115</v>
      </c>
      <c r="F483" s="131" t="s">
        <v>277</v>
      </c>
      <c r="G483" s="271" t="s">
        <v>529</v>
      </c>
      <c r="H483" s="132" t="s">
        <v>188</v>
      </c>
      <c r="I483" s="132"/>
      <c r="J483" s="132"/>
      <c r="K483" s="132"/>
      <c r="L483" s="132"/>
      <c r="M483" s="133">
        <v>185740</v>
      </c>
      <c r="N483" s="134" t="s">
        <v>19</v>
      </c>
      <c r="O483" s="134" t="s">
        <v>203</v>
      </c>
      <c r="P483" s="134" t="str">
        <f>IF(AND('331-CT'!$E$7=TH!H483,OR(N483="331",O483="331")),"x","")</f>
        <v/>
      </c>
    </row>
    <row r="484" spans="1:16" s="109" customFormat="1">
      <c r="A484" s="72">
        <f t="shared" si="21"/>
        <v>2015</v>
      </c>
      <c r="B484" s="72">
        <f t="shared" si="22"/>
        <v>4</v>
      </c>
      <c r="C484" s="107">
        <v>42116</v>
      </c>
      <c r="D484" s="73" t="s">
        <v>17</v>
      </c>
      <c r="E484" s="73">
        <v>42116</v>
      </c>
      <c r="F484" s="76" t="s">
        <v>113</v>
      </c>
      <c r="G484" s="265"/>
      <c r="H484" s="122" t="s">
        <v>85</v>
      </c>
      <c r="I484" s="122"/>
      <c r="J484" s="122"/>
      <c r="K484" s="122"/>
      <c r="L484" s="122"/>
      <c r="M484" s="74">
        <v>500000000</v>
      </c>
      <c r="N484" s="75" t="s">
        <v>18</v>
      </c>
      <c r="O484" s="75" t="s">
        <v>54</v>
      </c>
      <c r="P484" s="134" t="str">
        <f>IF(AND('331-CT'!$E$7=TH!H484,OR(N484="331",O484="331")),"x","")</f>
        <v/>
      </c>
    </row>
    <row r="485" spans="1:16" s="109" customFormat="1">
      <c r="A485" s="72">
        <f t="shared" si="21"/>
        <v>2015</v>
      </c>
      <c r="B485" s="72">
        <f t="shared" si="22"/>
        <v>4</v>
      </c>
      <c r="C485" s="73">
        <v>42116</v>
      </c>
      <c r="D485" s="73" t="s">
        <v>17</v>
      </c>
      <c r="E485" s="73">
        <v>42116</v>
      </c>
      <c r="F485" s="76" t="s">
        <v>34</v>
      </c>
      <c r="G485" s="265"/>
      <c r="H485" s="122"/>
      <c r="I485" s="122"/>
      <c r="J485" s="122"/>
      <c r="K485" s="122"/>
      <c r="L485" s="122"/>
      <c r="M485" s="74">
        <v>250000</v>
      </c>
      <c r="N485" s="75" t="s">
        <v>241</v>
      </c>
      <c r="O485" s="75" t="s">
        <v>54</v>
      </c>
      <c r="P485" s="134" t="str">
        <f>IF(AND('331-CT'!$E$7=TH!H485,OR(N485="331",O485="331")),"x","")</f>
        <v/>
      </c>
    </row>
    <row r="486" spans="1:16" s="109" customFormat="1">
      <c r="A486" s="72">
        <f t="shared" si="21"/>
        <v>2015</v>
      </c>
      <c r="B486" s="72">
        <f t="shared" si="22"/>
        <v>4</v>
      </c>
      <c r="C486" s="107">
        <v>42116</v>
      </c>
      <c r="D486" s="73" t="s">
        <v>17</v>
      </c>
      <c r="E486" s="73">
        <v>42116</v>
      </c>
      <c r="F486" s="76" t="s">
        <v>183</v>
      </c>
      <c r="G486" s="265"/>
      <c r="H486" s="122" t="s">
        <v>152</v>
      </c>
      <c r="I486" s="122"/>
      <c r="J486" s="122"/>
      <c r="K486" s="122"/>
      <c r="L486" s="122"/>
      <c r="M486" s="74">
        <v>100000000</v>
      </c>
      <c r="N486" s="75" t="s">
        <v>18</v>
      </c>
      <c r="O486" s="75" t="s">
        <v>54</v>
      </c>
      <c r="P486" s="134" t="str">
        <f>IF(AND('331-CT'!$E$7=TH!H486,OR(N486="331",O486="331")),"x","")</f>
        <v/>
      </c>
    </row>
    <row r="487" spans="1:16" s="109" customFormat="1">
      <c r="A487" s="72">
        <f t="shared" si="21"/>
        <v>2015</v>
      </c>
      <c r="B487" s="72">
        <f t="shared" si="22"/>
        <v>4</v>
      </c>
      <c r="C487" s="73">
        <v>42116</v>
      </c>
      <c r="D487" s="73" t="s">
        <v>17</v>
      </c>
      <c r="E487" s="73">
        <v>42116</v>
      </c>
      <c r="F487" s="76" t="s">
        <v>35</v>
      </c>
      <c r="G487" s="265"/>
      <c r="H487" s="122"/>
      <c r="I487" s="122"/>
      <c r="J487" s="122"/>
      <c r="K487" s="122"/>
      <c r="L487" s="122"/>
      <c r="M487" s="74">
        <v>25000</v>
      </c>
      <c r="N487" s="75" t="s">
        <v>19</v>
      </c>
      <c r="O487" s="75" t="s">
        <v>54</v>
      </c>
      <c r="P487" s="134" t="str">
        <f>IF(AND('331-CT'!$E$7=TH!H487,OR(N487="331",O487="331")),"x","")</f>
        <v/>
      </c>
    </row>
    <row r="488" spans="1:16" s="109" customFormat="1">
      <c r="A488" s="72">
        <f t="shared" si="21"/>
        <v>2015</v>
      </c>
      <c r="B488" s="72">
        <f t="shared" si="22"/>
        <v>4</v>
      </c>
      <c r="C488" s="73">
        <v>42116</v>
      </c>
      <c r="D488" s="73" t="s">
        <v>17</v>
      </c>
      <c r="E488" s="73">
        <v>42116</v>
      </c>
      <c r="F488" s="76" t="s">
        <v>34</v>
      </c>
      <c r="G488" s="265"/>
      <c r="H488" s="124"/>
      <c r="I488" s="124"/>
      <c r="J488" s="124"/>
      <c r="K488" s="124"/>
      <c r="L488" s="124"/>
      <c r="M488" s="74">
        <v>30000</v>
      </c>
      <c r="N488" s="75" t="s">
        <v>241</v>
      </c>
      <c r="O488" s="75" t="s">
        <v>54</v>
      </c>
      <c r="P488" s="134" t="str">
        <f>IF(AND('331-CT'!$E$7=TH!H488,OR(N488="331",O488="331")),"x","")</f>
        <v/>
      </c>
    </row>
    <row r="489" spans="1:16" s="109" customFormat="1">
      <c r="A489" s="72">
        <f t="shared" si="21"/>
        <v>2015</v>
      </c>
      <c r="B489" s="72">
        <f t="shared" si="22"/>
        <v>4</v>
      </c>
      <c r="C489" s="73">
        <v>42116</v>
      </c>
      <c r="D489" s="73" t="s">
        <v>17</v>
      </c>
      <c r="E489" s="73">
        <v>42116</v>
      </c>
      <c r="F489" s="76" t="s">
        <v>35</v>
      </c>
      <c r="G489" s="265"/>
      <c r="H489" s="124"/>
      <c r="I489" s="124"/>
      <c r="J489" s="124"/>
      <c r="K489" s="124"/>
      <c r="L489" s="124"/>
      <c r="M489" s="74">
        <v>3000</v>
      </c>
      <c r="N489" s="75" t="s">
        <v>19</v>
      </c>
      <c r="O489" s="75" t="s">
        <v>54</v>
      </c>
      <c r="P489" s="134" t="str">
        <f>IF(AND('331-CT'!$E$7=TH!H489,OR(N489="331",O489="331")),"x","")</f>
        <v/>
      </c>
    </row>
    <row r="490" spans="1:16" s="109" customFormat="1">
      <c r="A490" s="72">
        <f t="shared" si="21"/>
        <v>2015</v>
      </c>
      <c r="B490" s="72">
        <f t="shared" si="22"/>
        <v>4</v>
      </c>
      <c r="C490" s="107">
        <v>42118</v>
      </c>
      <c r="D490" s="73" t="s">
        <v>21</v>
      </c>
      <c r="E490" s="73">
        <v>42118</v>
      </c>
      <c r="F490" s="76" t="s">
        <v>98</v>
      </c>
      <c r="G490" s="265"/>
      <c r="H490" s="122"/>
      <c r="I490" s="122"/>
      <c r="J490" s="122"/>
      <c r="K490" s="122"/>
      <c r="L490" s="122"/>
      <c r="M490" s="74">
        <v>195198</v>
      </c>
      <c r="N490" s="75" t="s">
        <v>54</v>
      </c>
      <c r="O490" s="75" t="s">
        <v>99</v>
      </c>
      <c r="P490" s="134" t="str">
        <f>IF(AND('331-CT'!$E$7=TH!H490,OR(N490="331",O490="331")),"x","")</f>
        <v/>
      </c>
    </row>
    <row r="491" spans="1:16" s="109" customFormat="1">
      <c r="A491" s="72">
        <f t="shared" si="21"/>
        <v>2015</v>
      </c>
      <c r="B491" s="72">
        <f t="shared" si="22"/>
        <v>5</v>
      </c>
      <c r="C491" s="107">
        <v>42131</v>
      </c>
      <c r="D491" s="73" t="s">
        <v>17</v>
      </c>
      <c r="E491" s="73">
        <v>42131</v>
      </c>
      <c r="F491" s="76" t="s">
        <v>175</v>
      </c>
      <c r="G491" s="265"/>
      <c r="H491" s="124" t="s">
        <v>138</v>
      </c>
      <c r="I491" s="124"/>
      <c r="J491" s="124"/>
      <c r="K491" s="124"/>
      <c r="L491" s="124"/>
      <c r="M491" s="74">
        <v>500000000</v>
      </c>
      <c r="N491" s="75" t="s">
        <v>18</v>
      </c>
      <c r="O491" s="75" t="s">
        <v>54</v>
      </c>
      <c r="P491" s="134" t="str">
        <f>IF(AND('331-CT'!$E$7=TH!H491,OR(N491="331",O491="331")),"x","")</f>
        <v/>
      </c>
    </row>
    <row r="492" spans="1:16" s="109" customFormat="1">
      <c r="A492" s="72">
        <f t="shared" si="21"/>
        <v>2015</v>
      </c>
      <c r="B492" s="72">
        <f t="shared" si="22"/>
        <v>5</v>
      </c>
      <c r="C492" s="73">
        <v>42131</v>
      </c>
      <c r="D492" s="73" t="s">
        <v>17</v>
      </c>
      <c r="E492" s="73">
        <v>42131</v>
      </c>
      <c r="F492" s="76" t="s">
        <v>34</v>
      </c>
      <c r="G492" s="265"/>
      <c r="H492" s="122"/>
      <c r="I492" s="122"/>
      <c r="J492" s="122"/>
      <c r="K492" s="122"/>
      <c r="L492" s="122"/>
      <c r="M492" s="74">
        <v>150000</v>
      </c>
      <c r="N492" s="75" t="s">
        <v>241</v>
      </c>
      <c r="O492" s="75" t="s">
        <v>54</v>
      </c>
      <c r="P492" s="134" t="str">
        <f>IF(AND('331-CT'!$E$7=TH!H492,OR(N492="331",O492="331")),"x","")</f>
        <v/>
      </c>
    </row>
    <row r="493" spans="1:16" s="109" customFormat="1">
      <c r="A493" s="72">
        <f t="shared" si="21"/>
        <v>2015</v>
      </c>
      <c r="B493" s="72">
        <f t="shared" si="22"/>
        <v>5</v>
      </c>
      <c r="C493" s="73">
        <v>42131</v>
      </c>
      <c r="D493" s="73" t="s">
        <v>17</v>
      </c>
      <c r="E493" s="73">
        <v>42131</v>
      </c>
      <c r="F493" s="76" t="s">
        <v>35</v>
      </c>
      <c r="G493" s="265"/>
      <c r="H493" s="122"/>
      <c r="I493" s="122"/>
      <c r="J493" s="122"/>
      <c r="K493" s="122"/>
      <c r="L493" s="122"/>
      <c r="M493" s="74">
        <v>15000</v>
      </c>
      <c r="N493" s="75" t="s">
        <v>19</v>
      </c>
      <c r="O493" s="75" t="s">
        <v>54</v>
      </c>
      <c r="P493" s="134" t="str">
        <f>IF(AND('331-CT'!$E$7=TH!H493,OR(N493="331",O493="331")),"x","")</f>
        <v/>
      </c>
    </row>
    <row r="494" spans="1:16" s="109" customFormat="1">
      <c r="A494" s="72">
        <f t="shared" si="21"/>
        <v>2015</v>
      </c>
      <c r="B494" s="72">
        <f t="shared" si="22"/>
        <v>5</v>
      </c>
      <c r="C494" s="107">
        <v>42131</v>
      </c>
      <c r="D494" s="73" t="s">
        <v>17</v>
      </c>
      <c r="E494" s="73">
        <v>42131</v>
      </c>
      <c r="F494" s="76" t="s">
        <v>176</v>
      </c>
      <c r="G494" s="265"/>
      <c r="H494" s="124" t="s">
        <v>299</v>
      </c>
      <c r="I494" s="124"/>
      <c r="J494" s="124"/>
      <c r="K494" s="124"/>
      <c r="L494" s="124"/>
      <c r="M494" s="74">
        <v>100000000</v>
      </c>
      <c r="N494" s="75" t="s">
        <v>18</v>
      </c>
      <c r="O494" s="75" t="s">
        <v>54</v>
      </c>
      <c r="P494" s="134" t="str">
        <f>IF(AND('331-CT'!$E$7=TH!H494,OR(N494="331",O494="331")),"x","")</f>
        <v/>
      </c>
    </row>
    <row r="495" spans="1:16" s="109" customFormat="1">
      <c r="A495" s="72">
        <f t="shared" si="21"/>
        <v>2015</v>
      </c>
      <c r="B495" s="72">
        <f t="shared" si="22"/>
        <v>5</v>
      </c>
      <c r="C495" s="73">
        <v>42131</v>
      </c>
      <c r="D495" s="73" t="s">
        <v>17</v>
      </c>
      <c r="E495" s="73">
        <v>42131</v>
      </c>
      <c r="F495" s="76" t="s">
        <v>34</v>
      </c>
      <c r="G495" s="265"/>
      <c r="H495" s="124"/>
      <c r="I495" s="124"/>
      <c r="J495" s="124"/>
      <c r="K495" s="124"/>
      <c r="L495" s="124"/>
      <c r="M495" s="74">
        <v>30000</v>
      </c>
      <c r="N495" s="75" t="s">
        <v>241</v>
      </c>
      <c r="O495" s="75" t="s">
        <v>54</v>
      </c>
      <c r="P495" s="134" t="str">
        <f>IF(AND('331-CT'!$E$7=TH!H495,OR(N495="331",O495="331")),"x","")</f>
        <v/>
      </c>
    </row>
    <row r="496" spans="1:16" s="109" customFormat="1">
      <c r="A496" s="72">
        <f t="shared" si="21"/>
        <v>2015</v>
      </c>
      <c r="B496" s="72">
        <f t="shared" si="22"/>
        <v>5</v>
      </c>
      <c r="C496" s="73">
        <v>42131</v>
      </c>
      <c r="D496" s="73" t="s">
        <v>17</v>
      </c>
      <c r="E496" s="73">
        <v>42131</v>
      </c>
      <c r="F496" s="76" t="s">
        <v>35</v>
      </c>
      <c r="G496" s="265"/>
      <c r="H496" s="124"/>
      <c r="I496" s="124"/>
      <c r="J496" s="124"/>
      <c r="K496" s="124"/>
      <c r="L496" s="124"/>
      <c r="M496" s="74">
        <v>3000</v>
      </c>
      <c r="N496" s="75" t="s">
        <v>19</v>
      </c>
      <c r="O496" s="75" t="s">
        <v>54</v>
      </c>
      <c r="P496" s="134" t="str">
        <f>IF(AND('331-CT'!$E$7=TH!H496,OR(N496="331",O496="331")),"x","")</f>
        <v/>
      </c>
    </row>
    <row r="497" spans="1:16" s="109" customFormat="1">
      <c r="A497" s="72">
        <f t="shared" si="21"/>
        <v>2015</v>
      </c>
      <c r="B497" s="72">
        <f t="shared" si="22"/>
        <v>5</v>
      </c>
      <c r="C497" s="73">
        <v>42132</v>
      </c>
      <c r="D497" s="73" t="s">
        <v>78</v>
      </c>
      <c r="E497" s="73">
        <v>42132</v>
      </c>
      <c r="F497" s="76" t="s">
        <v>283</v>
      </c>
      <c r="G497" s="270" t="s">
        <v>570</v>
      </c>
      <c r="H497" s="7" t="s">
        <v>284</v>
      </c>
      <c r="I497" s="7"/>
      <c r="J497" s="7"/>
      <c r="K497" s="7"/>
      <c r="L497" s="7"/>
      <c r="M497" s="74">
        <v>30440000</v>
      </c>
      <c r="N497" s="136" t="s">
        <v>654</v>
      </c>
      <c r="O497" s="136" t="s">
        <v>18</v>
      </c>
      <c r="P497" s="134" t="str">
        <f>IF(AND('331-CT'!$E$7=TH!H497,OR(N497="331",O497="331")),"x","")</f>
        <v/>
      </c>
    </row>
    <row r="498" spans="1:16" s="109" customFormat="1">
      <c r="A498" s="72">
        <f t="shared" si="21"/>
        <v>2015</v>
      </c>
      <c r="B498" s="72">
        <f t="shared" si="22"/>
        <v>5</v>
      </c>
      <c r="C498" s="107">
        <v>42132</v>
      </c>
      <c r="D498" s="73" t="s">
        <v>17</v>
      </c>
      <c r="E498" s="73">
        <v>42132</v>
      </c>
      <c r="F498" s="76" t="s">
        <v>177</v>
      </c>
      <c r="G498" s="265"/>
      <c r="H498" s="122" t="s">
        <v>750</v>
      </c>
      <c r="I498" s="122"/>
      <c r="J498" s="122"/>
      <c r="K498" s="122"/>
      <c r="L498" s="122"/>
      <c r="M498" s="74">
        <v>150000000</v>
      </c>
      <c r="N498" s="75" t="s">
        <v>212</v>
      </c>
      <c r="O498" s="75" t="s">
        <v>54</v>
      </c>
      <c r="P498" s="134" t="str">
        <f>IF(AND('331-CT'!$E$7=TH!H498,OR(N498="331",O498="331")),"x","")</f>
        <v/>
      </c>
    </row>
    <row r="499" spans="1:16" s="109" customFormat="1">
      <c r="A499" s="72">
        <f t="shared" si="21"/>
        <v>2015</v>
      </c>
      <c r="B499" s="72">
        <f t="shared" si="22"/>
        <v>5</v>
      </c>
      <c r="C499" s="73">
        <v>42132</v>
      </c>
      <c r="D499" s="73" t="s">
        <v>17</v>
      </c>
      <c r="E499" s="73">
        <v>42132</v>
      </c>
      <c r="F499" s="76" t="s">
        <v>34</v>
      </c>
      <c r="G499" s="265"/>
      <c r="H499" s="122"/>
      <c r="I499" s="122"/>
      <c r="J499" s="122"/>
      <c r="K499" s="122"/>
      <c r="L499" s="122"/>
      <c r="M499" s="74">
        <v>75000</v>
      </c>
      <c r="N499" s="75" t="s">
        <v>241</v>
      </c>
      <c r="O499" s="75" t="s">
        <v>54</v>
      </c>
      <c r="P499" s="134" t="str">
        <f>IF(AND('331-CT'!$E$7=TH!H499,OR(N499="331",O499="331")),"x","")</f>
        <v/>
      </c>
    </row>
    <row r="500" spans="1:16" s="109" customFormat="1">
      <c r="A500" s="72">
        <f t="shared" si="21"/>
        <v>2015</v>
      </c>
      <c r="B500" s="72">
        <f t="shared" si="22"/>
        <v>5</v>
      </c>
      <c r="C500" s="73">
        <v>42132</v>
      </c>
      <c r="D500" s="73" t="s">
        <v>17</v>
      </c>
      <c r="E500" s="73">
        <v>42132</v>
      </c>
      <c r="F500" s="76" t="s">
        <v>35</v>
      </c>
      <c r="G500" s="265"/>
      <c r="H500" s="122"/>
      <c r="I500" s="122"/>
      <c r="J500" s="122"/>
      <c r="K500" s="122"/>
      <c r="L500" s="122"/>
      <c r="M500" s="74">
        <v>7500</v>
      </c>
      <c r="N500" s="75" t="s">
        <v>19</v>
      </c>
      <c r="O500" s="75" t="s">
        <v>54</v>
      </c>
      <c r="P500" s="134" t="str">
        <f>IF(AND('331-CT'!$E$7=TH!H500,OR(N500="331",O500="331")),"x","")</f>
        <v/>
      </c>
    </row>
    <row r="501" spans="1:16" s="109" customFormat="1">
      <c r="A501" s="72">
        <f t="shared" si="21"/>
        <v>2015</v>
      </c>
      <c r="B501" s="72">
        <f t="shared" si="22"/>
        <v>5</v>
      </c>
      <c r="C501" s="107">
        <v>42136</v>
      </c>
      <c r="D501" s="73" t="s">
        <v>21</v>
      </c>
      <c r="E501" s="73">
        <v>42136</v>
      </c>
      <c r="F501" s="76" t="s">
        <v>177</v>
      </c>
      <c r="G501" s="265"/>
      <c r="H501" s="122" t="s">
        <v>750</v>
      </c>
      <c r="I501" s="122"/>
      <c r="J501" s="122"/>
      <c r="K501" s="122"/>
      <c r="L501" s="122"/>
      <c r="M501" s="74">
        <v>150000000</v>
      </c>
      <c r="N501" s="75" t="s">
        <v>54</v>
      </c>
      <c r="O501" s="75" t="s">
        <v>212</v>
      </c>
      <c r="P501" s="134" t="str">
        <f>IF(AND('331-CT'!$E$7=TH!H501,OR(N501="331",O501="331")),"x","")</f>
        <v/>
      </c>
    </row>
    <row r="502" spans="1:16" s="109" customFormat="1">
      <c r="A502" s="72">
        <f t="shared" si="21"/>
        <v>2015</v>
      </c>
      <c r="B502" s="72">
        <f t="shared" si="22"/>
        <v>5</v>
      </c>
      <c r="C502" s="107">
        <v>42136</v>
      </c>
      <c r="D502" s="73" t="s">
        <v>17</v>
      </c>
      <c r="E502" s="73">
        <v>42136</v>
      </c>
      <c r="F502" s="76" t="s">
        <v>177</v>
      </c>
      <c r="G502" s="265"/>
      <c r="H502" s="122" t="s">
        <v>172</v>
      </c>
      <c r="I502" s="122"/>
      <c r="J502" s="122"/>
      <c r="K502" s="122"/>
      <c r="L502" s="122"/>
      <c r="M502" s="74">
        <v>150000000</v>
      </c>
      <c r="N502" s="75" t="s">
        <v>18</v>
      </c>
      <c r="O502" s="75" t="s">
        <v>54</v>
      </c>
      <c r="P502" s="134" t="str">
        <f>IF(AND('331-CT'!$E$7=TH!H502,OR(N502="331",O502="331")),"x","")</f>
        <v/>
      </c>
    </row>
    <row r="503" spans="1:16" s="109" customFormat="1">
      <c r="A503" s="72">
        <f t="shared" si="21"/>
        <v>2015</v>
      </c>
      <c r="B503" s="72">
        <f t="shared" si="22"/>
        <v>5</v>
      </c>
      <c r="C503" s="73">
        <v>42136</v>
      </c>
      <c r="D503" s="73" t="s">
        <v>17</v>
      </c>
      <c r="E503" s="73">
        <v>42136</v>
      </c>
      <c r="F503" s="76" t="s">
        <v>34</v>
      </c>
      <c r="G503" s="265"/>
      <c r="H503" s="122"/>
      <c r="I503" s="122"/>
      <c r="J503" s="122"/>
      <c r="K503" s="122"/>
      <c r="L503" s="122"/>
      <c r="M503" s="74">
        <v>75000</v>
      </c>
      <c r="N503" s="75" t="s">
        <v>241</v>
      </c>
      <c r="O503" s="75" t="s">
        <v>54</v>
      </c>
      <c r="P503" s="134" t="str">
        <f>IF(AND('331-CT'!$E$7=TH!H503,OR(N503="331",O503="331")),"x","")</f>
        <v/>
      </c>
    </row>
    <row r="504" spans="1:16" s="109" customFormat="1">
      <c r="A504" s="72">
        <f t="shared" si="21"/>
        <v>2015</v>
      </c>
      <c r="B504" s="72">
        <f t="shared" si="22"/>
        <v>5</v>
      </c>
      <c r="C504" s="73">
        <v>42136</v>
      </c>
      <c r="D504" s="73" t="s">
        <v>17</v>
      </c>
      <c r="E504" s="73">
        <v>42136</v>
      </c>
      <c r="F504" s="76" t="s">
        <v>35</v>
      </c>
      <c r="G504" s="265"/>
      <c r="H504" s="122"/>
      <c r="I504" s="122"/>
      <c r="J504" s="122"/>
      <c r="K504" s="122"/>
      <c r="L504" s="122"/>
      <c r="M504" s="74">
        <v>7500</v>
      </c>
      <c r="N504" s="75" t="s">
        <v>19</v>
      </c>
      <c r="O504" s="75" t="s">
        <v>54</v>
      </c>
      <c r="P504" s="134" t="str">
        <f>IF(AND('331-CT'!$E$7=TH!H504,OR(N504="331",O504="331")),"x","")</f>
        <v/>
      </c>
    </row>
    <row r="505" spans="1:16" s="109" customFormat="1">
      <c r="A505" s="72">
        <f t="shared" si="21"/>
        <v>2015</v>
      </c>
      <c r="B505" s="72">
        <f t="shared" si="22"/>
        <v>5</v>
      </c>
      <c r="C505" s="107">
        <v>42138</v>
      </c>
      <c r="D505" s="73" t="s">
        <v>21</v>
      </c>
      <c r="E505" s="73">
        <v>42138</v>
      </c>
      <c r="F505" s="76" t="s">
        <v>178</v>
      </c>
      <c r="G505" s="265"/>
      <c r="H505" s="122" t="s">
        <v>321</v>
      </c>
      <c r="I505" s="122"/>
      <c r="J505" s="122"/>
      <c r="K505" s="122"/>
      <c r="L505" s="122"/>
      <c r="M505" s="74">
        <v>1500000000</v>
      </c>
      <c r="N505" s="75" t="s">
        <v>54</v>
      </c>
      <c r="O505" s="75" t="s">
        <v>227</v>
      </c>
      <c r="P505" s="134" t="str">
        <f>IF(AND('331-CT'!$E$7=TH!H505,OR(N505="331",O505="331")),"x","")</f>
        <v/>
      </c>
    </row>
    <row r="506" spans="1:16" s="109" customFormat="1">
      <c r="A506" s="72">
        <f t="shared" si="21"/>
        <v>2015</v>
      </c>
      <c r="B506" s="72">
        <f t="shared" si="22"/>
        <v>5</v>
      </c>
      <c r="C506" s="107">
        <v>42138</v>
      </c>
      <c r="D506" s="73" t="s">
        <v>17</v>
      </c>
      <c r="E506" s="73">
        <v>42138</v>
      </c>
      <c r="F506" s="76" t="s">
        <v>113</v>
      </c>
      <c r="G506" s="265"/>
      <c r="H506" s="122" t="s">
        <v>85</v>
      </c>
      <c r="I506" s="122"/>
      <c r="J506" s="122"/>
      <c r="K506" s="122"/>
      <c r="L506" s="122"/>
      <c r="M506" s="74">
        <v>500000000</v>
      </c>
      <c r="N506" s="78" t="s">
        <v>18</v>
      </c>
      <c r="O506" s="75" t="s">
        <v>54</v>
      </c>
      <c r="P506" s="134" t="str">
        <f>IF(AND('331-CT'!$E$7=TH!H506,OR(N506="331",O506="331")),"x","")</f>
        <v/>
      </c>
    </row>
    <row r="507" spans="1:16" s="109" customFormat="1">
      <c r="A507" s="72">
        <f t="shared" si="21"/>
        <v>2015</v>
      </c>
      <c r="B507" s="72">
        <f t="shared" si="22"/>
        <v>5</v>
      </c>
      <c r="C507" s="73">
        <v>42138</v>
      </c>
      <c r="D507" s="73" t="s">
        <v>17</v>
      </c>
      <c r="E507" s="73">
        <v>42138</v>
      </c>
      <c r="F507" s="76" t="s">
        <v>34</v>
      </c>
      <c r="G507" s="265"/>
      <c r="H507" s="122"/>
      <c r="I507" s="122"/>
      <c r="J507" s="122"/>
      <c r="K507" s="122"/>
      <c r="L507" s="122"/>
      <c r="M507" s="74">
        <v>250000</v>
      </c>
      <c r="N507" s="75" t="s">
        <v>241</v>
      </c>
      <c r="O507" s="75" t="s">
        <v>54</v>
      </c>
      <c r="P507" s="134" t="str">
        <f>IF(AND('331-CT'!$E$7=TH!H507,OR(N507="331",O507="331")),"x","")</f>
        <v/>
      </c>
    </row>
    <row r="508" spans="1:16" s="109" customFormat="1">
      <c r="A508" s="72">
        <f t="shared" si="21"/>
        <v>2015</v>
      </c>
      <c r="B508" s="72">
        <f t="shared" si="22"/>
        <v>5</v>
      </c>
      <c r="C508" s="73">
        <v>42138</v>
      </c>
      <c r="D508" s="73" t="s">
        <v>17</v>
      </c>
      <c r="E508" s="73">
        <v>42138</v>
      </c>
      <c r="F508" s="76" t="s">
        <v>35</v>
      </c>
      <c r="G508" s="265"/>
      <c r="H508" s="122"/>
      <c r="I508" s="122"/>
      <c r="J508" s="122"/>
      <c r="K508" s="122"/>
      <c r="L508" s="122"/>
      <c r="M508" s="74">
        <v>25000</v>
      </c>
      <c r="N508" s="75" t="s">
        <v>19</v>
      </c>
      <c r="O508" s="75" t="s">
        <v>54</v>
      </c>
      <c r="P508" s="134" t="str">
        <f>IF(AND('331-CT'!$E$7=TH!H508,OR(N508="331",O508="331")),"x","")</f>
        <v/>
      </c>
    </row>
    <row r="509" spans="1:16" s="109" customFormat="1">
      <c r="A509" s="72">
        <f t="shared" si="21"/>
        <v>2015</v>
      </c>
      <c r="B509" s="72">
        <f t="shared" si="22"/>
        <v>5</v>
      </c>
      <c r="C509" s="107">
        <v>42142</v>
      </c>
      <c r="D509" s="73" t="s">
        <v>17</v>
      </c>
      <c r="E509" s="73">
        <v>42142</v>
      </c>
      <c r="F509" s="76" t="s">
        <v>175</v>
      </c>
      <c r="G509" s="265"/>
      <c r="H509" s="122" t="s">
        <v>138</v>
      </c>
      <c r="I509" s="122"/>
      <c r="J509" s="122"/>
      <c r="K509" s="122"/>
      <c r="L509" s="122"/>
      <c r="M509" s="74">
        <v>500000000</v>
      </c>
      <c r="N509" s="75" t="s">
        <v>18</v>
      </c>
      <c r="O509" s="75" t="s">
        <v>54</v>
      </c>
      <c r="P509" s="134" t="str">
        <f>IF(AND('331-CT'!$E$7=TH!H509,OR(N509="331",O509="331")),"x","")</f>
        <v/>
      </c>
    </row>
    <row r="510" spans="1:16" s="109" customFormat="1">
      <c r="A510" s="72">
        <f t="shared" si="21"/>
        <v>2015</v>
      </c>
      <c r="B510" s="72">
        <f t="shared" si="22"/>
        <v>5</v>
      </c>
      <c r="C510" s="73">
        <v>42142</v>
      </c>
      <c r="D510" s="73" t="s">
        <v>17</v>
      </c>
      <c r="E510" s="73">
        <v>42142</v>
      </c>
      <c r="F510" s="76" t="s">
        <v>34</v>
      </c>
      <c r="G510" s="265"/>
      <c r="H510" s="122"/>
      <c r="I510" s="122"/>
      <c r="J510" s="122"/>
      <c r="K510" s="122"/>
      <c r="L510" s="122"/>
      <c r="M510" s="74">
        <v>150000</v>
      </c>
      <c r="N510" s="75" t="s">
        <v>241</v>
      </c>
      <c r="O510" s="75" t="s">
        <v>54</v>
      </c>
      <c r="P510" s="134" t="str">
        <f>IF(AND('331-CT'!$E$7=TH!H510,OR(N510="331",O510="331")),"x","")</f>
        <v/>
      </c>
    </row>
    <row r="511" spans="1:16" s="109" customFormat="1">
      <c r="A511" s="72">
        <f t="shared" si="21"/>
        <v>2015</v>
      </c>
      <c r="B511" s="72">
        <f t="shared" si="22"/>
        <v>5</v>
      </c>
      <c r="C511" s="73">
        <v>42142</v>
      </c>
      <c r="D511" s="73" t="s">
        <v>17</v>
      </c>
      <c r="E511" s="73">
        <v>42142</v>
      </c>
      <c r="F511" s="76" t="s">
        <v>35</v>
      </c>
      <c r="G511" s="265"/>
      <c r="H511" s="122"/>
      <c r="I511" s="122"/>
      <c r="J511" s="122"/>
      <c r="K511" s="122"/>
      <c r="L511" s="122"/>
      <c r="M511" s="74">
        <v>15000</v>
      </c>
      <c r="N511" s="75" t="s">
        <v>19</v>
      </c>
      <c r="O511" s="75" t="s">
        <v>54</v>
      </c>
      <c r="P511" s="134" t="str">
        <f>IF(AND('331-CT'!$E$7=TH!H511,OR(N511="331",O511="331")),"x","")</f>
        <v/>
      </c>
    </row>
    <row r="512" spans="1:16" s="109" customFormat="1">
      <c r="A512" s="72">
        <f t="shared" si="21"/>
        <v>2015</v>
      </c>
      <c r="B512" s="72">
        <f t="shared" si="22"/>
        <v>5</v>
      </c>
      <c r="C512" s="73">
        <v>42143</v>
      </c>
      <c r="D512" s="73" t="s">
        <v>134</v>
      </c>
      <c r="E512" s="73">
        <v>42143</v>
      </c>
      <c r="F512" s="93" t="s">
        <v>575</v>
      </c>
      <c r="G512" s="265"/>
      <c r="H512" s="122" t="s">
        <v>271</v>
      </c>
      <c r="I512" s="122"/>
      <c r="J512" s="122"/>
      <c r="K512" s="122"/>
      <c r="L512" s="122"/>
      <c r="M512" s="74">
        <v>97000000</v>
      </c>
      <c r="N512" s="78" t="s">
        <v>54</v>
      </c>
      <c r="O512" s="75" t="s">
        <v>203</v>
      </c>
      <c r="P512" s="134" t="str">
        <f>IF(AND('331-CT'!$E$7=TH!H512,OR(N512="331",O512="331")),"x","")</f>
        <v/>
      </c>
    </row>
    <row r="513" spans="1:16" s="109" customFormat="1">
      <c r="A513" s="72">
        <f t="shared" si="21"/>
        <v>2015</v>
      </c>
      <c r="B513" s="72">
        <f t="shared" si="22"/>
        <v>5</v>
      </c>
      <c r="C513" s="73">
        <v>42144</v>
      </c>
      <c r="D513" s="73" t="s">
        <v>17</v>
      </c>
      <c r="E513" s="73">
        <v>42144</v>
      </c>
      <c r="F513" s="76" t="s">
        <v>119</v>
      </c>
      <c r="G513" s="265"/>
      <c r="H513" s="123" t="s">
        <v>313</v>
      </c>
      <c r="I513" s="123"/>
      <c r="J513" s="123"/>
      <c r="K513" s="123"/>
      <c r="L513" s="123"/>
      <c r="M513" s="74">
        <v>7916667</v>
      </c>
      <c r="N513" s="75" t="s">
        <v>239</v>
      </c>
      <c r="O513" s="75" t="s">
        <v>54</v>
      </c>
      <c r="P513" s="134" t="str">
        <f>IF(AND('331-CT'!$E$7=TH!H513,OR(N513="331",O513="331")),"x","")</f>
        <v/>
      </c>
    </row>
    <row r="514" spans="1:16" s="109" customFormat="1">
      <c r="A514" s="72">
        <f t="shared" si="21"/>
        <v>2015</v>
      </c>
      <c r="B514" s="72">
        <f t="shared" si="22"/>
        <v>5</v>
      </c>
      <c r="C514" s="73">
        <v>42144</v>
      </c>
      <c r="D514" s="73" t="s">
        <v>17</v>
      </c>
      <c r="E514" s="73">
        <v>42144</v>
      </c>
      <c r="F514" s="76" t="s">
        <v>141</v>
      </c>
      <c r="G514" s="265"/>
      <c r="H514" s="122" t="s">
        <v>314</v>
      </c>
      <c r="I514" s="122"/>
      <c r="J514" s="122"/>
      <c r="K514" s="122"/>
      <c r="L514" s="122"/>
      <c r="M514" s="74">
        <v>15833333</v>
      </c>
      <c r="N514" s="75" t="s">
        <v>239</v>
      </c>
      <c r="O514" s="75" t="s">
        <v>54</v>
      </c>
      <c r="P514" s="134" t="str">
        <f>IF(AND('331-CT'!$E$7=TH!H514,OR(N514="331",O514="331")),"x","")</f>
        <v/>
      </c>
    </row>
    <row r="515" spans="1:16" s="109" customFormat="1">
      <c r="A515" s="72">
        <f t="shared" si="21"/>
        <v>2015</v>
      </c>
      <c r="B515" s="72">
        <f t="shared" si="22"/>
        <v>5</v>
      </c>
      <c r="C515" s="73">
        <v>42144</v>
      </c>
      <c r="D515" s="73" t="s">
        <v>17</v>
      </c>
      <c r="E515" s="73">
        <v>42144</v>
      </c>
      <c r="F515" s="76" t="s">
        <v>143</v>
      </c>
      <c r="G515" s="265"/>
      <c r="H515" s="122" t="s">
        <v>316</v>
      </c>
      <c r="I515" s="122"/>
      <c r="J515" s="122"/>
      <c r="K515" s="122"/>
      <c r="L515" s="122"/>
      <c r="M515" s="74">
        <v>12666667</v>
      </c>
      <c r="N515" s="75" t="s">
        <v>239</v>
      </c>
      <c r="O515" s="75" t="s">
        <v>54</v>
      </c>
      <c r="P515" s="134" t="str">
        <f>IF(AND('331-CT'!$E$7=TH!H515,OR(N515="331",O515="331")),"x","")</f>
        <v/>
      </c>
    </row>
    <row r="516" spans="1:16" s="109" customFormat="1">
      <c r="A516" s="72">
        <f t="shared" si="21"/>
        <v>2015</v>
      </c>
      <c r="B516" s="72">
        <f t="shared" si="22"/>
        <v>5</v>
      </c>
      <c r="C516" s="73">
        <v>42144</v>
      </c>
      <c r="D516" s="73" t="s">
        <v>17</v>
      </c>
      <c r="E516" s="73">
        <v>42144</v>
      </c>
      <c r="F516" s="252" t="s">
        <v>144</v>
      </c>
      <c r="G516" s="272"/>
      <c r="H516" s="123" t="s">
        <v>315</v>
      </c>
      <c r="I516" s="123"/>
      <c r="J516" s="123"/>
      <c r="K516" s="123"/>
      <c r="L516" s="123"/>
      <c r="M516" s="74">
        <v>11879701</v>
      </c>
      <c r="N516" s="75" t="s">
        <v>239</v>
      </c>
      <c r="O516" s="75" t="s">
        <v>54</v>
      </c>
      <c r="P516" s="134" t="str">
        <f>IF(AND('331-CT'!$E$7=TH!H516,OR(N516="331",O516="331")),"x","")</f>
        <v/>
      </c>
    </row>
    <row r="517" spans="1:16" s="109" customFormat="1">
      <c r="A517" s="72">
        <f t="shared" si="21"/>
        <v>2015</v>
      </c>
      <c r="B517" s="72">
        <f t="shared" si="22"/>
        <v>5</v>
      </c>
      <c r="C517" s="73">
        <v>42144</v>
      </c>
      <c r="D517" s="73" t="s">
        <v>17</v>
      </c>
      <c r="E517" s="73">
        <v>42144</v>
      </c>
      <c r="F517" s="76" t="s">
        <v>145</v>
      </c>
      <c r="G517" s="265"/>
      <c r="H517" s="122" t="s">
        <v>317</v>
      </c>
      <c r="I517" s="122"/>
      <c r="J517" s="122"/>
      <c r="K517" s="122"/>
      <c r="L517" s="122"/>
      <c r="M517" s="74">
        <v>7916667</v>
      </c>
      <c r="N517" s="75" t="s">
        <v>239</v>
      </c>
      <c r="O517" s="75" t="s">
        <v>54</v>
      </c>
      <c r="P517" s="134" t="str">
        <f>IF(AND('331-CT'!$E$7=TH!H517,OR(N517="331",O517="331")),"x","")</f>
        <v/>
      </c>
    </row>
    <row r="518" spans="1:16" s="109" customFormat="1">
      <c r="A518" s="72">
        <f t="shared" si="21"/>
        <v>2015</v>
      </c>
      <c r="B518" s="72">
        <f t="shared" si="22"/>
        <v>5</v>
      </c>
      <c r="C518" s="73">
        <v>42144</v>
      </c>
      <c r="D518" s="73" t="s">
        <v>17</v>
      </c>
      <c r="E518" s="73">
        <v>42144</v>
      </c>
      <c r="F518" s="76" t="s">
        <v>147</v>
      </c>
      <c r="G518" s="265"/>
      <c r="H518" s="122" t="s">
        <v>318</v>
      </c>
      <c r="I518" s="122"/>
      <c r="J518" s="122"/>
      <c r="K518" s="122"/>
      <c r="L518" s="122"/>
      <c r="M518" s="74">
        <v>11875000</v>
      </c>
      <c r="N518" s="75" t="s">
        <v>239</v>
      </c>
      <c r="O518" s="75" t="s">
        <v>54</v>
      </c>
      <c r="P518" s="134" t="str">
        <f>IF(AND('331-CT'!$E$7=TH!H518,OR(N518="331",O518="331")),"x","")</f>
        <v/>
      </c>
    </row>
    <row r="519" spans="1:16" s="109" customFormat="1">
      <c r="A519" s="72">
        <f t="shared" si="21"/>
        <v>2015</v>
      </c>
      <c r="B519" s="72">
        <f t="shared" si="22"/>
        <v>5</v>
      </c>
      <c r="C519" s="73">
        <v>42144</v>
      </c>
      <c r="D519" s="73" t="s">
        <v>17</v>
      </c>
      <c r="E519" s="73">
        <v>42144</v>
      </c>
      <c r="F519" s="76" t="s">
        <v>272</v>
      </c>
      <c r="G519" s="265"/>
      <c r="H519" s="122" t="s">
        <v>319</v>
      </c>
      <c r="I519" s="122"/>
      <c r="J519" s="122"/>
      <c r="K519" s="122"/>
      <c r="L519" s="122"/>
      <c r="M519" s="74">
        <v>29027778</v>
      </c>
      <c r="N519" s="75" t="s">
        <v>239</v>
      </c>
      <c r="O519" s="75" t="s">
        <v>54</v>
      </c>
      <c r="P519" s="134" t="str">
        <f>IF(AND('331-CT'!$E$7=TH!H519,OR(N519="331",O519="331")),"x","")</f>
        <v/>
      </c>
    </row>
    <row r="520" spans="1:16" s="109" customFormat="1">
      <c r="A520" s="72">
        <f t="shared" si="21"/>
        <v>2015</v>
      </c>
      <c r="B520" s="72">
        <f t="shared" si="22"/>
        <v>5</v>
      </c>
      <c r="C520" s="73">
        <v>42144</v>
      </c>
      <c r="D520" s="73" t="s">
        <v>17</v>
      </c>
      <c r="E520" s="73">
        <v>42144</v>
      </c>
      <c r="F520" s="76" t="s">
        <v>177</v>
      </c>
      <c r="G520" s="265"/>
      <c r="H520" s="122" t="s">
        <v>172</v>
      </c>
      <c r="I520" s="122"/>
      <c r="J520" s="122"/>
      <c r="K520" s="122"/>
      <c r="L520" s="122"/>
      <c r="M520" s="74">
        <v>150000000</v>
      </c>
      <c r="N520" s="75" t="s">
        <v>18</v>
      </c>
      <c r="O520" s="75" t="s">
        <v>54</v>
      </c>
      <c r="P520" s="134" t="str">
        <f>IF(AND('331-CT'!$E$7=TH!H520,OR(N520="331",O520="331")),"x","")</f>
        <v/>
      </c>
    </row>
    <row r="521" spans="1:16" s="109" customFormat="1">
      <c r="A521" s="72">
        <f t="shared" si="21"/>
        <v>2015</v>
      </c>
      <c r="B521" s="72">
        <f t="shared" si="22"/>
        <v>5</v>
      </c>
      <c r="C521" s="73">
        <v>42144</v>
      </c>
      <c r="D521" s="73" t="s">
        <v>17</v>
      </c>
      <c r="E521" s="73">
        <v>42144</v>
      </c>
      <c r="F521" s="76" t="s">
        <v>34</v>
      </c>
      <c r="G521" s="265"/>
      <c r="H521" s="122"/>
      <c r="I521" s="122"/>
      <c r="J521" s="122"/>
      <c r="K521" s="122"/>
      <c r="L521" s="122"/>
      <c r="M521" s="74">
        <v>75000</v>
      </c>
      <c r="N521" s="75" t="s">
        <v>241</v>
      </c>
      <c r="O521" s="75" t="s">
        <v>54</v>
      </c>
      <c r="P521" s="134" t="str">
        <f>IF(AND('331-CT'!$E$7=TH!H521,OR(N521="331",O521="331")),"x","")</f>
        <v/>
      </c>
    </row>
    <row r="522" spans="1:16" s="109" customFormat="1">
      <c r="A522" s="72">
        <f t="shared" si="21"/>
        <v>2015</v>
      </c>
      <c r="B522" s="72">
        <f t="shared" si="22"/>
        <v>5</v>
      </c>
      <c r="C522" s="73">
        <v>42144</v>
      </c>
      <c r="D522" s="73" t="s">
        <v>17</v>
      </c>
      <c r="E522" s="73">
        <v>42144</v>
      </c>
      <c r="F522" s="76" t="s">
        <v>35</v>
      </c>
      <c r="G522" s="265"/>
      <c r="H522" s="122"/>
      <c r="I522" s="122"/>
      <c r="J522" s="122"/>
      <c r="K522" s="122"/>
      <c r="L522" s="122"/>
      <c r="M522" s="74">
        <v>7500</v>
      </c>
      <c r="N522" s="75" t="s">
        <v>19</v>
      </c>
      <c r="O522" s="75" t="s">
        <v>54</v>
      </c>
      <c r="P522" s="134" t="str">
        <f>IF(AND('331-CT'!$E$7=TH!H522,OR(N522="331",O522="331")),"x","")</f>
        <v/>
      </c>
    </row>
    <row r="523" spans="1:16" s="109" customFormat="1">
      <c r="A523" s="72">
        <f t="shared" si="21"/>
        <v>2015</v>
      </c>
      <c r="B523" s="72">
        <f t="shared" si="22"/>
        <v>5</v>
      </c>
      <c r="C523" s="73">
        <v>42144</v>
      </c>
      <c r="D523" s="73" t="s">
        <v>17</v>
      </c>
      <c r="E523" s="73">
        <v>42144</v>
      </c>
      <c r="F523" s="253" t="s">
        <v>110</v>
      </c>
      <c r="G523" s="273"/>
      <c r="H523" s="9" t="s">
        <v>109</v>
      </c>
      <c r="I523" s="9"/>
      <c r="J523" s="9"/>
      <c r="K523" s="9"/>
      <c r="L523" s="9"/>
      <c r="M523" s="74">
        <v>50000000</v>
      </c>
      <c r="N523" s="75" t="s">
        <v>18</v>
      </c>
      <c r="O523" s="75" t="s">
        <v>54</v>
      </c>
      <c r="P523" s="134" t="str">
        <f>IF(AND('331-CT'!$E$7=TH!H523,OR(N523="331",O523="331")),"x","")</f>
        <v/>
      </c>
    </row>
    <row r="524" spans="1:16" s="109" customFormat="1">
      <c r="A524" s="72">
        <f t="shared" si="21"/>
        <v>2015</v>
      </c>
      <c r="B524" s="72">
        <f t="shared" si="22"/>
        <v>5</v>
      </c>
      <c r="C524" s="73">
        <v>42144</v>
      </c>
      <c r="D524" s="73" t="s">
        <v>17</v>
      </c>
      <c r="E524" s="73">
        <v>42144</v>
      </c>
      <c r="F524" s="76" t="s">
        <v>34</v>
      </c>
      <c r="G524" s="265"/>
      <c r="H524" s="122"/>
      <c r="I524" s="122"/>
      <c r="J524" s="122"/>
      <c r="K524" s="122"/>
      <c r="L524" s="122"/>
      <c r="M524" s="74">
        <v>25000</v>
      </c>
      <c r="N524" s="75" t="s">
        <v>241</v>
      </c>
      <c r="O524" s="75" t="s">
        <v>54</v>
      </c>
      <c r="P524" s="134" t="str">
        <f>IF(AND('331-CT'!$E$7=TH!H524,OR(N524="331",O524="331")),"x","")</f>
        <v/>
      </c>
    </row>
    <row r="525" spans="1:16" s="109" customFormat="1">
      <c r="A525" s="72">
        <f t="shared" si="21"/>
        <v>2015</v>
      </c>
      <c r="B525" s="72">
        <f t="shared" si="22"/>
        <v>5</v>
      </c>
      <c r="C525" s="73">
        <v>42144</v>
      </c>
      <c r="D525" s="73" t="s">
        <v>17</v>
      </c>
      <c r="E525" s="73">
        <v>42144</v>
      </c>
      <c r="F525" s="76" t="s">
        <v>35</v>
      </c>
      <c r="G525" s="265"/>
      <c r="H525" s="122"/>
      <c r="I525" s="122"/>
      <c r="J525" s="122"/>
      <c r="K525" s="122"/>
      <c r="L525" s="122"/>
      <c r="M525" s="74">
        <v>2500</v>
      </c>
      <c r="N525" s="75" t="s">
        <v>19</v>
      </c>
      <c r="O525" s="75" t="s">
        <v>54</v>
      </c>
      <c r="P525" s="134" t="str">
        <f>IF(AND('331-CT'!$E$7=TH!H525,OR(N525="331",O525="331")),"x","")</f>
        <v/>
      </c>
    </row>
    <row r="526" spans="1:16" s="109" customFormat="1">
      <c r="A526" s="72">
        <f t="shared" si="21"/>
        <v>2015</v>
      </c>
      <c r="B526" s="72">
        <f t="shared" si="22"/>
        <v>5</v>
      </c>
      <c r="C526" s="73">
        <v>42144</v>
      </c>
      <c r="D526" s="73" t="s">
        <v>17</v>
      </c>
      <c r="E526" s="73">
        <v>42144</v>
      </c>
      <c r="F526" s="76" t="s">
        <v>275</v>
      </c>
      <c r="G526" s="265"/>
      <c r="H526" s="9" t="s">
        <v>190</v>
      </c>
      <c r="I526" s="9"/>
      <c r="J526" s="9"/>
      <c r="K526" s="9"/>
      <c r="L526" s="9"/>
      <c r="M526" s="74">
        <v>200000000</v>
      </c>
      <c r="N526" s="75" t="s">
        <v>18</v>
      </c>
      <c r="O526" s="75" t="s">
        <v>54</v>
      </c>
      <c r="P526" s="134" t="str">
        <f>IF(AND('331-CT'!$E$7=TH!H526,OR(N526="331",O526="331")),"x","")</f>
        <v/>
      </c>
    </row>
    <row r="527" spans="1:16" s="109" customFormat="1">
      <c r="A527" s="72">
        <f t="shared" si="21"/>
        <v>2015</v>
      </c>
      <c r="B527" s="72">
        <f t="shared" si="22"/>
        <v>5</v>
      </c>
      <c r="C527" s="73">
        <v>42144</v>
      </c>
      <c r="D527" s="73" t="s">
        <v>17</v>
      </c>
      <c r="E527" s="73">
        <v>42144</v>
      </c>
      <c r="F527" s="76" t="s">
        <v>34</v>
      </c>
      <c r="G527" s="265"/>
      <c r="H527" s="122"/>
      <c r="I527" s="122"/>
      <c r="J527" s="122"/>
      <c r="K527" s="122"/>
      <c r="L527" s="122"/>
      <c r="M527" s="74">
        <v>100000</v>
      </c>
      <c r="N527" s="75" t="s">
        <v>241</v>
      </c>
      <c r="O527" s="75" t="s">
        <v>54</v>
      </c>
      <c r="P527" s="134" t="str">
        <f>IF(AND('331-CT'!$E$7=TH!H527,OR(N527="331",O527="331")),"x","")</f>
        <v/>
      </c>
    </row>
    <row r="528" spans="1:16" s="109" customFormat="1">
      <c r="A528" s="72">
        <f t="shared" si="21"/>
        <v>2015</v>
      </c>
      <c r="B528" s="72">
        <f t="shared" si="22"/>
        <v>5</v>
      </c>
      <c r="C528" s="73">
        <v>42144</v>
      </c>
      <c r="D528" s="73" t="s">
        <v>17</v>
      </c>
      <c r="E528" s="73">
        <v>42144</v>
      </c>
      <c r="F528" s="76" t="s">
        <v>35</v>
      </c>
      <c r="G528" s="265"/>
      <c r="H528" s="122"/>
      <c r="I528" s="122"/>
      <c r="J528" s="122"/>
      <c r="K528" s="122"/>
      <c r="L528" s="122"/>
      <c r="M528" s="74">
        <v>10000</v>
      </c>
      <c r="N528" s="75" t="s">
        <v>19</v>
      </c>
      <c r="O528" s="75" t="s">
        <v>54</v>
      </c>
      <c r="P528" s="134" t="str">
        <f>IF(AND('331-CT'!$E$7=TH!H528,OR(N528="331",O528="331")),"x","")</f>
        <v/>
      </c>
    </row>
    <row r="529" spans="1:16" s="109" customFormat="1">
      <c r="A529" s="129">
        <f t="shared" si="21"/>
        <v>2015</v>
      </c>
      <c r="B529" s="129">
        <f t="shared" si="22"/>
        <v>5</v>
      </c>
      <c r="C529" s="130">
        <v>42145</v>
      </c>
      <c r="D529" s="130" t="s">
        <v>135</v>
      </c>
      <c r="E529" s="130">
        <v>42145</v>
      </c>
      <c r="F529" s="131" t="s">
        <v>286</v>
      </c>
      <c r="G529" s="271" t="s">
        <v>530</v>
      </c>
      <c r="H529" s="132" t="s">
        <v>188</v>
      </c>
      <c r="I529" s="132"/>
      <c r="J529" s="132"/>
      <c r="K529" s="132"/>
      <c r="L529" s="132"/>
      <c r="M529" s="133">
        <v>2020200</v>
      </c>
      <c r="N529" s="134" t="s">
        <v>241</v>
      </c>
      <c r="O529" s="134" t="s">
        <v>203</v>
      </c>
      <c r="P529" s="134" t="str">
        <f>IF(AND('331-CT'!$E$7=TH!H529,OR(N529="331",O529="331")),"x","")</f>
        <v/>
      </c>
    </row>
    <row r="530" spans="1:16" s="109" customFormat="1">
      <c r="A530" s="129">
        <f t="shared" si="21"/>
        <v>2015</v>
      </c>
      <c r="B530" s="129">
        <f t="shared" si="22"/>
        <v>5</v>
      </c>
      <c r="C530" s="130">
        <v>42145</v>
      </c>
      <c r="D530" s="130" t="s">
        <v>135</v>
      </c>
      <c r="E530" s="130">
        <v>42145</v>
      </c>
      <c r="F530" s="131" t="s">
        <v>287</v>
      </c>
      <c r="G530" s="271" t="s">
        <v>530</v>
      </c>
      <c r="H530" s="132" t="s">
        <v>188</v>
      </c>
      <c r="I530" s="132"/>
      <c r="J530" s="132"/>
      <c r="K530" s="132"/>
      <c r="L530" s="132"/>
      <c r="M530" s="133">
        <v>101010</v>
      </c>
      <c r="N530" s="134" t="s">
        <v>19</v>
      </c>
      <c r="O530" s="134" t="s">
        <v>203</v>
      </c>
      <c r="P530" s="134" t="str">
        <f>IF(AND('331-CT'!$E$7=TH!H530,OR(N530="331",O530="331")),"x","")</f>
        <v/>
      </c>
    </row>
    <row r="531" spans="1:16" s="109" customFormat="1">
      <c r="A531" s="72">
        <f t="shared" si="21"/>
        <v>2015</v>
      </c>
      <c r="B531" s="72">
        <f t="shared" si="22"/>
        <v>5</v>
      </c>
      <c r="C531" s="73">
        <v>42147</v>
      </c>
      <c r="D531" s="73" t="s">
        <v>21</v>
      </c>
      <c r="E531" s="73">
        <v>42147</v>
      </c>
      <c r="F531" s="76" t="s">
        <v>98</v>
      </c>
      <c r="G531" s="265"/>
      <c r="H531" s="122"/>
      <c r="I531" s="122"/>
      <c r="J531" s="122"/>
      <c r="K531" s="122"/>
      <c r="L531" s="122"/>
      <c r="M531" s="74">
        <v>192904</v>
      </c>
      <c r="N531" s="75" t="s">
        <v>54</v>
      </c>
      <c r="O531" s="75" t="s">
        <v>99</v>
      </c>
      <c r="P531" s="134" t="str">
        <f>IF(AND('331-CT'!$E$7=TH!H531,OR(N531="331",O531="331")),"x","")</f>
        <v/>
      </c>
    </row>
    <row r="532" spans="1:16" s="109" customFormat="1">
      <c r="A532" s="72">
        <f t="shared" si="21"/>
        <v>2015</v>
      </c>
      <c r="B532" s="72">
        <f t="shared" si="22"/>
        <v>5</v>
      </c>
      <c r="C532" s="73">
        <v>42150</v>
      </c>
      <c r="D532" s="73" t="s">
        <v>154</v>
      </c>
      <c r="E532" s="73">
        <v>42150</v>
      </c>
      <c r="F532" s="76" t="s">
        <v>269</v>
      </c>
      <c r="G532" s="270" t="s">
        <v>531</v>
      </c>
      <c r="H532" s="122" t="s">
        <v>270</v>
      </c>
      <c r="I532" s="122"/>
      <c r="J532" s="122"/>
      <c r="K532" s="122"/>
      <c r="L532" s="122"/>
      <c r="M532" s="74">
        <v>27530000</v>
      </c>
      <c r="N532" s="75" t="s">
        <v>654</v>
      </c>
      <c r="O532" s="75" t="s">
        <v>203</v>
      </c>
      <c r="P532" s="134" t="str">
        <f>IF(AND('331-CT'!$E$7=TH!H532,OR(N532="331",O532="331")),"x","")</f>
        <v/>
      </c>
    </row>
    <row r="533" spans="1:16" s="109" customFormat="1">
      <c r="A533" s="72">
        <f t="shared" ref="A533:A596" si="23">IF(C533&lt;&gt;"",YEAR(C533),"")</f>
        <v>2015</v>
      </c>
      <c r="B533" s="72">
        <f t="shared" ref="B533:B596" si="24">IF(C533&lt;&gt;"",MONTH(C533),"")</f>
        <v>5</v>
      </c>
      <c r="C533" s="73">
        <v>42150</v>
      </c>
      <c r="D533" s="73" t="s">
        <v>17</v>
      </c>
      <c r="E533" s="73">
        <v>42150</v>
      </c>
      <c r="F533" s="76" t="s">
        <v>273</v>
      </c>
      <c r="G533" s="265"/>
      <c r="H533" s="122" t="s">
        <v>268</v>
      </c>
      <c r="I533" s="122"/>
      <c r="J533" s="122"/>
      <c r="K533" s="122"/>
      <c r="L533" s="122"/>
      <c r="M533" s="74">
        <v>200000000</v>
      </c>
      <c r="N533" s="75" t="s">
        <v>18</v>
      </c>
      <c r="O533" s="75" t="s">
        <v>54</v>
      </c>
      <c r="P533" s="134" t="str">
        <f>IF(AND('331-CT'!$E$7=TH!H533,OR(N533="331",O533="331")),"x","")</f>
        <v/>
      </c>
    </row>
    <row r="534" spans="1:16" s="109" customFormat="1">
      <c r="A534" s="72">
        <f t="shared" si="23"/>
        <v>2015</v>
      </c>
      <c r="B534" s="72">
        <f t="shared" si="24"/>
        <v>5</v>
      </c>
      <c r="C534" s="73">
        <v>42150</v>
      </c>
      <c r="D534" s="73" t="s">
        <v>17</v>
      </c>
      <c r="E534" s="73">
        <v>42150</v>
      </c>
      <c r="F534" s="76" t="s">
        <v>34</v>
      </c>
      <c r="G534" s="265"/>
      <c r="H534" s="122"/>
      <c r="I534" s="122"/>
      <c r="J534" s="122"/>
      <c r="K534" s="122"/>
      <c r="L534" s="122"/>
      <c r="M534" s="74">
        <v>100000</v>
      </c>
      <c r="N534" s="75" t="s">
        <v>241</v>
      </c>
      <c r="O534" s="75" t="s">
        <v>54</v>
      </c>
      <c r="P534" s="134" t="str">
        <f>IF(AND('331-CT'!$E$7=TH!H534,OR(N534="331",O534="331")),"x","")</f>
        <v/>
      </c>
    </row>
    <row r="535" spans="1:16" s="109" customFormat="1">
      <c r="A535" s="72">
        <f t="shared" si="23"/>
        <v>2015</v>
      </c>
      <c r="B535" s="72">
        <f t="shared" si="24"/>
        <v>5</v>
      </c>
      <c r="C535" s="73">
        <v>42150</v>
      </c>
      <c r="D535" s="73" t="s">
        <v>17</v>
      </c>
      <c r="E535" s="73">
        <v>42150</v>
      </c>
      <c r="F535" s="76" t="s">
        <v>35</v>
      </c>
      <c r="G535" s="265"/>
      <c r="H535" s="122"/>
      <c r="I535" s="122"/>
      <c r="J535" s="122"/>
      <c r="K535" s="122"/>
      <c r="L535" s="122"/>
      <c r="M535" s="74">
        <v>10000</v>
      </c>
      <c r="N535" s="75" t="s">
        <v>19</v>
      </c>
      <c r="O535" s="75" t="s">
        <v>54</v>
      </c>
      <c r="P535" s="134" t="str">
        <f>IF(AND('331-CT'!$E$7=TH!H535,OR(N535="331",O535="331")),"x","")</f>
        <v/>
      </c>
    </row>
    <row r="536" spans="1:16" s="135" customFormat="1">
      <c r="A536" s="72">
        <f t="shared" si="23"/>
        <v>2015</v>
      </c>
      <c r="B536" s="72">
        <f t="shared" si="24"/>
        <v>5</v>
      </c>
      <c r="C536" s="73">
        <v>42152</v>
      </c>
      <c r="D536" s="73" t="s">
        <v>17</v>
      </c>
      <c r="E536" s="73">
        <v>42152</v>
      </c>
      <c r="F536" s="76" t="s">
        <v>282</v>
      </c>
      <c r="G536" s="265"/>
      <c r="H536" s="7" t="s">
        <v>83</v>
      </c>
      <c r="I536" s="7"/>
      <c r="J536" s="7"/>
      <c r="K536" s="7"/>
      <c r="L536" s="7"/>
      <c r="M536" s="74">
        <v>36432000</v>
      </c>
      <c r="N536" s="75" t="s">
        <v>18</v>
      </c>
      <c r="O536" s="75" t="s">
        <v>54</v>
      </c>
      <c r="P536" s="134" t="str">
        <f>IF(AND('331-CT'!$E$7=TH!H536,OR(N536="331",O536="331")),"x","")</f>
        <v>x</v>
      </c>
    </row>
    <row r="537" spans="1:16" s="135" customFormat="1">
      <c r="A537" s="72">
        <f t="shared" si="23"/>
        <v>2015</v>
      </c>
      <c r="B537" s="72">
        <f t="shared" si="24"/>
        <v>5</v>
      </c>
      <c r="C537" s="73">
        <v>42152</v>
      </c>
      <c r="D537" s="73" t="s">
        <v>17</v>
      </c>
      <c r="E537" s="73">
        <v>42152</v>
      </c>
      <c r="F537" s="76" t="s">
        <v>34</v>
      </c>
      <c r="G537" s="265"/>
      <c r="H537" s="122"/>
      <c r="I537" s="122"/>
      <c r="J537" s="122"/>
      <c r="K537" s="122"/>
      <c r="L537" s="122"/>
      <c r="M537" s="74">
        <v>25000</v>
      </c>
      <c r="N537" s="75" t="s">
        <v>241</v>
      </c>
      <c r="O537" s="75" t="s">
        <v>54</v>
      </c>
      <c r="P537" s="134" t="str">
        <f>IF(AND('331-CT'!$E$7=TH!H537,OR(N537="331",O537="331")),"x","")</f>
        <v/>
      </c>
    </row>
    <row r="538" spans="1:16" s="109" customFormat="1">
      <c r="A538" s="72">
        <f t="shared" si="23"/>
        <v>2015</v>
      </c>
      <c r="B538" s="72">
        <f t="shared" si="24"/>
        <v>5</v>
      </c>
      <c r="C538" s="73">
        <v>42152</v>
      </c>
      <c r="D538" s="73" t="s">
        <v>17</v>
      </c>
      <c r="E538" s="73">
        <v>42152</v>
      </c>
      <c r="F538" s="76" t="s">
        <v>35</v>
      </c>
      <c r="G538" s="265"/>
      <c r="H538" s="122"/>
      <c r="I538" s="122"/>
      <c r="J538" s="122"/>
      <c r="K538" s="122"/>
      <c r="L538" s="122"/>
      <c r="M538" s="74">
        <v>2500</v>
      </c>
      <c r="N538" s="75" t="s">
        <v>19</v>
      </c>
      <c r="O538" s="75" t="s">
        <v>54</v>
      </c>
      <c r="P538" s="134" t="str">
        <f>IF(AND('331-CT'!$E$7=TH!H538,OR(N538="331",O538="331")),"x","")</f>
        <v/>
      </c>
    </row>
    <row r="539" spans="1:16" s="109" customFormat="1">
      <c r="A539" s="72">
        <f t="shared" si="23"/>
        <v>2015</v>
      </c>
      <c r="B539" s="72">
        <f t="shared" si="24"/>
        <v>5</v>
      </c>
      <c r="C539" s="73">
        <v>42153</v>
      </c>
      <c r="D539" s="73" t="s">
        <v>157</v>
      </c>
      <c r="E539" s="73">
        <v>42153</v>
      </c>
      <c r="F539" s="76" t="s">
        <v>278</v>
      </c>
      <c r="G539" s="265" t="s">
        <v>532</v>
      </c>
      <c r="H539" s="122" t="s">
        <v>279</v>
      </c>
      <c r="I539" s="122"/>
      <c r="J539" s="122"/>
      <c r="K539" s="122"/>
      <c r="L539" s="122"/>
      <c r="M539" s="74">
        <v>1000000</v>
      </c>
      <c r="N539" s="75" t="s">
        <v>241</v>
      </c>
      <c r="O539" s="75" t="s">
        <v>203</v>
      </c>
      <c r="P539" s="134" t="str">
        <f>IF(AND('331-CT'!$E$7=TH!H539,OR(N539="331",O539="331")),"x","")</f>
        <v/>
      </c>
    </row>
    <row r="540" spans="1:16" s="109" customFormat="1">
      <c r="A540" s="72">
        <f t="shared" si="23"/>
        <v>2015</v>
      </c>
      <c r="B540" s="72">
        <f t="shared" si="24"/>
        <v>5</v>
      </c>
      <c r="C540" s="73">
        <v>42153</v>
      </c>
      <c r="D540" s="73" t="s">
        <v>158</v>
      </c>
      <c r="E540" s="73">
        <v>42153</v>
      </c>
      <c r="F540" s="76" t="s">
        <v>280</v>
      </c>
      <c r="G540" s="270" t="s">
        <v>533</v>
      </c>
      <c r="H540" s="122" t="s">
        <v>279</v>
      </c>
      <c r="I540" s="122"/>
      <c r="J540" s="122"/>
      <c r="K540" s="122"/>
      <c r="L540" s="122"/>
      <c r="M540" s="74">
        <v>45455</v>
      </c>
      <c r="N540" s="75" t="s">
        <v>241</v>
      </c>
      <c r="O540" s="75" t="s">
        <v>203</v>
      </c>
      <c r="P540" s="134" t="str">
        <f>IF(AND('331-CT'!$E$7=TH!H540,OR(N540="331",O540="331")),"x","")</f>
        <v/>
      </c>
    </row>
    <row r="541" spans="1:16" s="109" customFormat="1">
      <c r="A541" s="72">
        <f t="shared" si="23"/>
        <v>2015</v>
      </c>
      <c r="B541" s="72">
        <f t="shared" si="24"/>
        <v>5</v>
      </c>
      <c r="C541" s="73">
        <v>42153</v>
      </c>
      <c r="D541" s="73" t="s">
        <v>158</v>
      </c>
      <c r="E541" s="73">
        <v>42153</v>
      </c>
      <c r="F541" s="76" t="s">
        <v>281</v>
      </c>
      <c r="G541" s="270" t="s">
        <v>533</v>
      </c>
      <c r="H541" s="122" t="s">
        <v>279</v>
      </c>
      <c r="I541" s="122"/>
      <c r="J541" s="122"/>
      <c r="K541" s="122"/>
      <c r="L541" s="122"/>
      <c r="M541" s="74">
        <v>4545</v>
      </c>
      <c r="N541" s="75" t="s">
        <v>19</v>
      </c>
      <c r="O541" s="75" t="s">
        <v>203</v>
      </c>
      <c r="P541" s="134" t="str">
        <f>IF(AND('331-CT'!$E$7=TH!H541,OR(N541="331",O541="331")),"x","")</f>
        <v/>
      </c>
    </row>
    <row r="542" spans="1:16" s="109" customFormat="1">
      <c r="A542" s="72">
        <f t="shared" si="23"/>
        <v>2015</v>
      </c>
      <c r="B542" s="72">
        <f t="shared" si="24"/>
        <v>5</v>
      </c>
      <c r="C542" s="73">
        <v>42153</v>
      </c>
      <c r="D542" s="73" t="s">
        <v>78</v>
      </c>
      <c r="E542" s="73">
        <v>42153</v>
      </c>
      <c r="F542" s="76" t="s">
        <v>274</v>
      </c>
      <c r="G542" s="270" t="s">
        <v>571</v>
      </c>
      <c r="H542" s="7" t="s">
        <v>83</v>
      </c>
      <c r="I542" s="7"/>
      <c r="J542" s="7"/>
      <c r="K542" s="7"/>
      <c r="L542" s="7"/>
      <c r="M542" s="74">
        <v>33120000</v>
      </c>
      <c r="N542" s="75" t="s">
        <v>241</v>
      </c>
      <c r="O542" s="75" t="s">
        <v>18</v>
      </c>
      <c r="P542" s="134" t="str">
        <f>IF(AND('331-CT'!$E$7=TH!H542,OR(N542="331",O542="331")),"x","")</f>
        <v>x</v>
      </c>
    </row>
    <row r="543" spans="1:16" s="109" customFormat="1">
      <c r="A543" s="72">
        <f t="shared" si="23"/>
        <v>2015</v>
      </c>
      <c r="B543" s="72">
        <f t="shared" si="24"/>
        <v>5</v>
      </c>
      <c r="C543" s="73">
        <v>42153</v>
      </c>
      <c r="D543" s="73" t="s">
        <v>78</v>
      </c>
      <c r="E543" s="73">
        <v>42153</v>
      </c>
      <c r="F543" s="76" t="s">
        <v>285</v>
      </c>
      <c r="G543" s="270" t="s">
        <v>571</v>
      </c>
      <c r="H543" s="7" t="s">
        <v>83</v>
      </c>
      <c r="I543" s="7"/>
      <c r="J543" s="7"/>
      <c r="K543" s="7"/>
      <c r="L543" s="7"/>
      <c r="M543" s="74">
        <v>3312000</v>
      </c>
      <c r="N543" s="75" t="s">
        <v>19</v>
      </c>
      <c r="O543" s="75" t="s">
        <v>18</v>
      </c>
      <c r="P543" s="134" t="str">
        <f>IF(AND('331-CT'!$E$7=TH!H543,OR(N543="331",O543="331")),"x","")</f>
        <v>x</v>
      </c>
    </row>
    <row r="544" spans="1:16" s="109" customFormat="1">
      <c r="A544" s="72">
        <f t="shared" si="23"/>
        <v>2015</v>
      </c>
      <c r="B544" s="72">
        <f t="shared" si="24"/>
        <v>6</v>
      </c>
      <c r="C544" s="73">
        <v>42157</v>
      </c>
      <c r="D544" s="73" t="s">
        <v>17</v>
      </c>
      <c r="E544" s="73">
        <v>42157</v>
      </c>
      <c r="F544" s="76" t="s">
        <v>300</v>
      </c>
      <c r="G544" s="265"/>
      <c r="H544" s="124" t="s">
        <v>299</v>
      </c>
      <c r="I544" s="124"/>
      <c r="J544" s="124"/>
      <c r="K544" s="124"/>
      <c r="L544" s="124"/>
      <c r="M544" s="74">
        <v>100000000</v>
      </c>
      <c r="N544" s="75" t="s">
        <v>18</v>
      </c>
      <c r="O544" s="75" t="s">
        <v>54</v>
      </c>
      <c r="P544" s="134" t="str">
        <f>IF(AND('331-CT'!$E$7=TH!H544,OR(N544="331",O544="331")),"x","")</f>
        <v/>
      </c>
    </row>
    <row r="545" spans="1:16" s="109" customFormat="1">
      <c r="A545" s="72">
        <f t="shared" si="23"/>
        <v>2015</v>
      </c>
      <c r="B545" s="72">
        <f t="shared" si="24"/>
        <v>6</v>
      </c>
      <c r="C545" s="73">
        <v>42157</v>
      </c>
      <c r="D545" s="73" t="s">
        <v>17</v>
      </c>
      <c r="E545" s="73">
        <v>42157</v>
      </c>
      <c r="F545" s="76" t="s">
        <v>34</v>
      </c>
      <c r="G545" s="265"/>
      <c r="H545" s="122"/>
      <c r="I545" s="122"/>
      <c r="J545" s="122"/>
      <c r="K545" s="122"/>
      <c r="L545" s="122"/>
      <c r="M545" s="74">
        <v>50000</v>
      </c>
      <c r="N545" s="75" t="s">
        <v>241</v>
      </c>
      <c r="O545" s="75" t="s">
        <v>54</v>
      </c>
      <c r="P545" s="134" t="str">
        <f>IF(AND('331-CT'!$E$7=TH!H545,OR(N545="331",O545="331")),"x","")</f>
        <v/>
      </c>
    </row>
    <row r="546" spans="1:16" s="109" customFormat="1">
      <c r="A546" s="72">
        <f t="shared" si="23"/>
        <v>2015</v>
      </c>
      <c r="B546" s="72">
        <f t="shared" si="24"/>
        <v>6</v>
      </c>
      <c r="C546" s="73">
        <v>42157</v>
      </c>
      <c r="D546" s="73" t="s">
        <v>17</v>
      </c>
      <c r="E546" s="73">
        <v>42157</v>
      </c>
      <c r="F546" s="76" t="s">
        <v>35</v>
      </c>
      <c r="G546" s="265"/>
      <c r="H546" s="122"/>
      <c r="I546" s="122"/>
      <c r="J546" s="122"/>
      <c r="K546" s="122"/>
      <c r="L546" s="122"/>
      <c r="M546" s="74">
        <v>5000</v>
      </c>
      <c r="N546" s="75" t="s">
        <v>19</v>
      </c>
      <c r="O546" s="75" t="s">
        <v>54</v>
      </c>
      <c r="P546" s="134" t="str">
        <f>IF(AND('331-CT'!$E$7=TH!H546,OR(N546="331",O546="331")),"x","")</f>
        <v/>
      </c>
    </row>
    <row r="547" spans="1:16" s="109" customFormat="1">
      <c r="A547" s="72">
        <f t="shared" si="23"/>
        <v>2015</v>
      </c>
      <c r="B547" s="72">
        <f t="shared" si="24"/>
        <v>6</v>
      </c>
      <c r="C547" s="73">
        <v>42158</v>
      </c>
      <c r="D547" s="73" t="s">
        <v>17</v>
      </c>
      <c r="E547" s="73">
        <v>42158</v>
      </c>
      <c r="F547" s="76" t="s">
        <v>300</v>
      </c>
      <c r="G547" s="265"/>
      <c r="H547" s="122" t="s">
        <v>172</v>
      </c>
      <c r="I547" s="122"/>
      <c r="J547" s="122"/>
      <c r="K547" s="122"/>
      <c r="L547" s="122"/>
      <c r="M547" s="74">
        <v>50000000</v>
      </c>
      <c r="N547" s="75" t="s">
        <v>18</v>
      </c>
      <c r="O547" s="75" t="s">
        <v>54</v>
      </c>
      <c r="P547" s="134" t="str">
        <f>IF(AND('331-CT'!$E$7=TH!H547,OR(N547="331",O547="331")),"x","")</f>
        <v/>
      </c>
    </row>
    <row r="548" spans="1:16" s="109" customFormat="1">
      <c r="A548" s="72">
        <f t="shared" si="23"/>
        <v>2015</v>
      </c>
      <c r="B548" s="72">
        <f t="shared" si="24"/>
        <v>6</v>
      </c>
      <c r="C548" s="73">
        <v>42159</v>
      </c>
      <c r="D548" s="73" t="s">
        <v>17</v>
      </c>
      <c r="E548" s="73">
        <v>42159</v>
      </c>
      <c r="F548" s="76" t="s">
        <v>34</v>
      </c>
      <c r="G548" s="265"/>
      <c r="H548" s="122"/>
      <c r="I548" s="122"/>
      <c r="J548" s="122"/>
      <c r="K548" s="122"/>
      <c r="L548" s="122"/>
      <c r="M548" s="74">
        <v>25000</v>
      </c>
      <c r="N548" s="75" t="s">
        <v>241</v>
      </c>
      <c r="O548" s="75" t="s">
        <v>54</v>
      </c>
      <c r="P548" s="134" t="str">
        <f>IF(AND('331-CT'!$E$7=TH!H548,OR(N548="331",O548="331")),"x","")</f>
        <v/>
      </c>
    </row>
    <row r="549" spans="1:16" s="109" customFormat="1">
      <c r="A549" s="72">
        <f t="shared" si="23"/>
        <v>2015</v>
      </c>
      <c r="B549" s="72">
        <f t="shared" si="24"/>
        <v>6</v>
      </c>
      <c r="C549" s="73">
        <v>42160</v>
      </c>
      <c r="D549" s="73" t="s">
        <v>17</v>
      </c>
      <c r="E549" s="73">
        <v>42160</v>
      </c>
      <c r="F549" s="76" t="s">
        <v>35</v>
      </c>
      <c r="G549" s="265"/>
      <c r="H549" s="122"/>
      <c r="I549" s="122"/>
      <c r="J549" s="122"/>
      <c r="K549" s="122"/>
      <c r="L549" s="122"/>
      <c r="M549" s="74">
        <v>2500</v>
      </c>
      <c r="N549" s="75" t="s">
        <v>19</v>
      </c>
      <c r="O549" s="75" t="s">
        <v>54</v>
      </c>
      <c r="P549" s="134" t="str">
        <f>IF(AND('331-CT'!$E$7=TH!H549,OR(N549="331",O549="331")),"x","")</f>
        <v/>
      </c>
    </row>
    <row r="550" spans="1:16" s="109" customFormat="1">
      <c r="A550" s="72">
        <f t="shared" si="23"/>
        <v>2015</v>
      </c>
      <c r="B550" s="72">
        <f t="shared" si="24"/>
        <v>6</v>
      </c>
      <c r="C550" s="73">
        <v>42161</v>
      </c>
      <c r="D550" s="73" t="s">
        <v>21</v>
      </c>
      <c r="E550" s="73">
        <v>42161</v>
      </c>
      <c r="F550" s="76" t="s">
        <v>322</v>
      </c>
      <c r="G550" s="265"/>
      <c r="H550" s="123" t="s">
        <v>323</v>
      </c>
      <c r="I550" s="123"/>
      <c r="J550" s="123"/>
      <c r="K550" s="123"/>
      <c r="L550" s="123"/>
      <c r="M550" s="74">
        <v>1500000000</v>
      </c>
      <c r="N550" s="75" t="s">
        <v>54</v>
      </c>
      <c r="O550" s="75" t="s">
        <v>227</v>
      </c>
      <c r="P550" s="134" t="str">
        <f>IF(AND('331-CT'!$E$7=TH!H550,OR(N550="331",O550="331")),"x","")</f>
        <v/>
      </c>
    </row>
    <row r="551" spans="1:16" s="109" customFormat="1">
      <c r="A551" s="72">
        <f t="shared" si="23"/>
        <v>2015</v>
      </c>
      <c r="B551" s="72">
        <f t="shared" si="24"/>
        <v>6</v>
      </c>
      <c r="C551" s="73">
        <v>42162</v>
      </c>
      <c r="D551" s="73" t="s">
        <v>17</v>
      </c>
      <c r="E551" s="73">
        <v>42162</v>
      </c>
      <c r="F551" s="76" t="s">
        <v>300</v>
      </c>
      <c r="G551" s="265"/>
      <c r="H551" s="9" t="s">
        <v>138</v>
      </c>
      <c r="I551" s="9"/>
      <c r="J551" s="9"/>
      <c r="K551" s="9"/>
      <c r="L551" s="9"/>
      <c r="M551" s="74">
        <v>500000000</v>
      </c>
      <c r="N551" s="75" t="s">
        <v>18</v>
      </c>
      <c r="O551" s="75" t="s">
        <v>54</v>
      </c>
      <c r="P551" s="134" t="str">
        <f>IF(AND('331-CT'!$E$7=TH!H551,OR(N551="331",O551="331")),"x","")</f>
        <v/>
      </c>
    </row>
    <row r="552" spans="1:16" s="109" customFormat="1">
      <c r="A552" s="72">
        <f t="shared" si="23"/>
        <v>2015</v>
      </c>
      <c r="B552" s="72">
        <f t="shared" si="24"/>
        <v>6</v>
      </c>
      <c r="C552" s="73">
        <v>42163</v>
      </c>
      <c r="D552" s="73" t="s">
        <v>17</v>
      </c>
      <c r="E552" s="73">
        <v>42163</v>
      </c>
      <c r="F552" s="76" t="s">
        <v>34</v>
      </c>
      <c r="G552" s="265"/>
      <c r="H552" s="122"/>
      <c r="I552" s="122"/>
      <c r="J552" s="122"/>
      <c r="K552" s="122"/>
      <c r="L552" s="122"/>
      <c r="M552" s="74">
        <v>150000</v>
      </c>
      <c r="N552" s="75" t="s">
        <v>241</v>
      </c>
      <c r="O552" s="75" t="s">
        <v>54</v>
      </c>
      <c r="P552" s="134" t="str">
        <f>IF(AND('331-CT'!$E$7=TH!H552,OR(N552="331",O552="331")),"x","")</f>
        <v/>
      </c>
    </row>
    <row r="553" spans="1:16" s="109" customFormat="1">
      <c r="A553" s="72">
        <f t="shared" si="23"/>
        <v>2015</v>
      </c>
      <c r="B553" s="72">
        <f t="shared" si="24"/>
        <v>6</v>
      </c>
      <c r="C553" s="73">
        <v>42164</v>
      </c>
      <c r="D553" s="73" t="s">
        <v>17</v>
      </c>
      <c r="E553" s="73">
        <v>42164</v>
      </c>
      <c r="F553" s="76" t="s">
        <v>35</v>
      </c>
      <c r="G553" s="265"/>
      <c r="H553" s="122"/>
      <c r="I553" s="122"/>
      <c r="J553" s="122"/>
      <c r="K553" s="122"/>
      <c r="L553" s="122"/>
      <c r="M553" s="74">
        <v>15000</v>
      </c>
      <c r="N553" s="75" t="s">
        <v>19</v>
      </c>
      <c r="O553" s="75" t="s">
        <v>54</v>
      </c>
      <c r="P553" s="134" t="str">
        <f>IF(AND('331-CT'!$E$7=TH!H553,OR(N553="331",O553="331")),"x","")</f>
        <v/>
      </c>
    </row>
    <row r="554" spans="1:16" s="109" customFormat="1">
      <c r="A554" s="72">
        <f t="shared" si="23"/>
        <v>2015</v>
      </c>
      <c r="B554" s="72">
        <f t="shared" si="24"/>
        <v>6</v>
      </c>
      <c r="C554" s="73">
        <v>42165</v>
      </c>
      <c r="D554" s="73" t="s">
        <v>17</v>
      </c>
      <c r="E554" s="73">
        <v>42165</v>
      </c>
      <c r="F554" s="76" t="s">
        <v>300</v>
      </c>
      <c r="G554" s="265"/>
      <c r="H554" s="122" t="s">
        <v>172</v>
      </c>
      <c r="I554" s="122"/>
      <c r="J554" s="122"/>
      <c r="K554" s="122"/>
      <c r="L554" s="122"/>
      <c r="M554" s="74">
        <v>200000000</v>
      </c>
      <c r="N554" s="75" t="s">
        <v>18</v>
      </c>
      <c r="O554" s="75" t="s">
        <v>54</v>
      </c>
      <c r="P554" s="134" t="str">
        <f>IF(AND('331-CT'!$E$7=TH!H554,OR(N554="331",O554="331")),"x","")</f>
        <v/>
      </c>
    </row>
    <row r="555" spans="1:16" s="109" customFormat="1">
      <c r="A555" s="72">
        <f t="shared" si="23"/>
        <v>2015</v>
      </c>
      <c r="B555" s="72">
        <f t="shared" si="24"/>
        <v>6</v>
      </c>
      <c r="C555" s="73">
        <v>42166</v>
      </c>
      <c r="D555" s="73" t="s">
        <v>17</v>
      </c>
      <c r="E555" s="73">
        <v>42166</v>
      </c>
      <c r="F555" s="76" t="s">
        <v>34</v>
      </c>
      <c r="G555" s="265"/>
      <c r="H555" s="122"/>
      <c r="I555" s="122"/>
      <c r="J555" s="122"/>
      <c r="K555" s="122"/>
      <c r="L555" s="122"/>
      <c r="M555" s="74">
        <v>100000</v>
      </c>
      <c r="N555" s="75" t="s">
        <v>241</v>
      </c>
      <c r="O555" s="75" t="s">
        <v>54</v>
      </c>
      <c r="P555" s="134" t="str">
        <f>IF(AND('331-CT'!$E$7=TH!H555,OR(N555="331",O555="331")),"x","")</f>
        <v/>
      </c>
    </row>
    <row r="556" spans="1:16" s="109" customFormat="1">
      <c r="A556" s="72">
        <f t="shared" si="23"/>
        <v>2015</v>
      </c>
      <c r="B556" s="72">
        <f t="shared" si="24"/>
        <v>6</v>
      </c>
      <c r="C556" s="73">
        <v>42167</v>
      </c>
      <c r="D556" s="73" t="s">
        <v>17</v>
      </c>
      <c r="E556" s="73">
        <v>42167</v>
      </c>
      <c r="F556" s="76" t="s">
        <v>35</v>
      </c>
      <c r="G556" s="265"/>
      <c r="H556" s="122"/>
      <c r="I556" s="122"/>
      <c r="J556" s="122"/>
      <c r="K556" s="122"/>
      <c r="L556" s="122"/>
      <c r="M556" s="74">
        <v>10000</v>
      </c>
      <c r="N556" s="75" t="s">
        <v>19</v>
      </c>
      <c r="O556" s="75" t="s">
        <v>54</v>
      </c>
      <c r="P556" s="134" t="str">
        <f>IF(AND('331-CT'!$E$7=TH!H556,OR(N556="331",O556="331")),"x","")</f>
        <v/>
      </c>
    </row>
    <row r="557" spans="1:16" s="109" customFormat="1">
      <c r="A557" s="72">
        <f t="shared" si="23"/>
        <v>2015</v>
      </c>
      <c r="B557" s="72">
        <f t="shared" si="24"/>
        <v>6</v>
      </c>
      <c r="C557" s="73">
        <v>42168</v>
      </c>
      <c r="D557" s="73" t="s">
        <v>17</v>
      </c>
      <c r="E557" s="73">
        <v>42168</v>
      </c>
      <c r="F557" s="76" t="s">
        <v>300</v>
      </c>
      <c r="G557" s="265"/>
      <c r="H557" s="9" t="s">
        <v>151</v>
      </c>
      <c r="I557" s="9"/>
      <c r="J557" s="9"/>
      <c r="K557" s="9"/>
      <c r="L557" s="9"/>
      <c r="M557" s="74">
        <v>140000000</v>
      </c>
      <c r="N557" s="75" t="s">
        <v>18</v>
      </c>
      <c r="O557" s="75" t="s">
        <v>54</v>
      </c>
      <c r="P557" s="134" t="str">
        <f>IF(AND('331-CT'!$E$7=TH!H557,OR(N557="331",O557="331")),"x","")</f>
        <v/>
      </c>
    </row>
    <row r="558" spans="1:16" s="109" customFormat="1">
      <c r="A558" s="72">
        <f t="shared" si="23"/>
        <v>2015</v>
      </c>
      <c r="B558" s="72">
        <f t="shared" si="24"/>
        <v>6</v>
      </c>
      <c r="C558" s="73">
        <v>42169</v>
      </c>
      <c r="D558" s="73" t="s">
        <v>17</v>
      </c>
      <c r="E558" s="73">
        <v>42169</v>
      </c>
      <c r="F558" s="76" t="s">
        <v>34</v>
      </c>
      <c r="G558" s="265"/>
      <c r="H558" s="122"/>
      <c r="I558" s="122"/>
      <c r="J558" s="122"/>
      <c r="K558" s="122"/>
      <c r="L558" s="122"/>
      <c r="M558" s="74">
        <v>42000</v>
      </c>
      <c r="N558" s="75" t="s">
        <v>241</v>
      </c>
      <c r="O558" s="75" t="s">
        <v>54</v>
      </c>
      <c r="P558" s="134" t="str">
        <f>IF(AND('331-CT'!$E$7=TH!H558,OR(N558="331",O558="331")),"x","")</f>
        <v/>
      </c>
    </row>
    <row r="559" spans="1:16" s="109" customFormat="1">
      <c r="A559" s="72">
        <f t="shared" si="23"/>
        <v>2015</v>
      </c>
      <c r="B559" s="72">
        <f t="shared" si="24"/>
        <v>6</v>
      </c>
      <c r="C559" s="73">
        <v>42170</v>
      </c>
      <c r="D559" s="73" t="s">
        <v>17</v>
      </c>
      <c r="E559" s="73">
        <v>42170</v>
      </c>
      <c r="F559" s="76" t="s">
        <v>35</v>
      </c>
      <c r="G559" s="265"/>
      <c r="H559" s="122"/>
      <c r="I559" s="122"/>
      <c r="J559" s="122"/>
      <c r="K559" s="122"/>
      <c r="L559" s="122"/>
      <c r="M559" s="74">
        <v>4200</v>
      </c>
      <c r="N559" s="75" t="s">
        <v>19</v>
      </c>
      <c r="O559" s="75" t="s">
        <v>54</v>
      </c>
      <c r="P559" s="134" t="str">
        <f>IF(AND('331-CT'!$E$7=TH!H559,OR(N559="331",O559="331")),"x","")</f>
        <v/>
      </c>
    </row>
    <row r="560" spans="1:16" s="109" customFormat="1">
      <c r="A560" s="72">
        <f t="shared" si="23"/>
        <v>2015</v>
      </c>
      <c r="B560" s="72">
        <f t="shared" si="24"/>
        <v>6</v>
      </c>
      <c r="C560" s="73">
        <v>42171</v>
      </c>
      <c r="D560" s="73" t="s">
        <v>17</v>
      </c>
      <c r="E560" s="73">
        <v>42171</v>
      </c>
      <c r="F560" s="76" t="s">
        <v>300</v>
      </c>
      <c r="G560" s="265"/>
      <c r="H560" s="9" t="s">
        <v>111</v>
      </c>
      <c r="I560" s="9"/>
      <c r="J560" s="9"/>
      <c r="K560" s="9"/>
      <c r="L560" s="9"/>
      <c r="M560" s="74">
        <v>200000000</v>
      </c>
      <c r="N560" s="75" t="s">
        <v>18</v>
      </c>
      <c r="O560" s="75" t="s">
        <v>54</v>
      </c>
      <c r="P560" s="134" t="str">
        <f>IF(AND('331-CT'!$E$7=TH!H560,OR(N560="331",O560="331")),"x","")</f>
        <v/>
      </c>
    </row>
    <row r="561" spans="1:16" s="109" customFormat="1">
      <c r="A561" s="72">
        <f t="shared" si="23"/>
        <v>2015</v>
      </c>
      <c r="B561" s="72">
        <f t="shared" si="24"/>
        <v>6</v>
      </c>
      <c r="C561" s="73">
        <v>42172</v>
      </c>
      <c r="D561" s="73" t="s">
        <v>17</v>
      </c>
      <c r="E561" s="73">
        <v>42172</v>
      </c>
      <c r="F561" s="76" t="s">
        <v>34</v>
      </c>
      <c r="G561" s="265"/>
      <c r="H561" s="122"/>
      <c r="I561" s="122"/>
      <c r="J561" s="122"/>
      <c r="K561" s="122"/>
      <c r="L561" s="122"/>
      <c r="M561" s="74">
        <v>60000</v>
      </c>
      <c r="N561" s="75" t="s">
        <v>241</v>
      </c>
      <c r="O561" s="75" t="s">
        <v>54</v>
      </c>
      <c r="P561" s="134" t="str">
        <f>IF(AND('331-CT'!$E$7=TH!H561,OR(N561="331",O561="331")),"x","")</f>
        <v/>
      </c>
    </row>
    <row r="562" spans="1:16">
      <c r="A562" s="72">
        <f t="shared" si="23"/>
        <v>2015</v>
      </c>
      <c r="B562" s="72">
        <f t="shared" si="24"/>
        <v>6</v>
      </c>
      <c r="C562" s="73">
        <v>42173</v>
      </c>
      <c r="D562" s="73" t="s">
        <v>17</v>
      </c>
      <c r="E562" s="73">
        <v>42173</v>
      </c>
      <c r="F562" s="76" t="s">
        <v>35</v>
      </c>
      <c r="G562" s="265"/>
      <c r="H562" s="122"/>
      <c r="I562" s="122"/>
      <c r="J562" s="122"/>
      <c r="K562" s="122"/>
      <c r="L562" s="122"/>
      <c r="M562" s="74">
        <v>6000</v>
      </c>
      <c r="N562" s="75" t="s">
        <v>19</v>
      </c>
      <c r="O562" s="75" t="s">
        <v>54</v>
      </c>
      <c r="P562" s="134" t="str">
        <f>IF(AND('331-CT'!$E$7=TH!H562,OR(N562="331",O562="331")),"x","")</f>
        <v/>
      </c>
    </row>
    <row r="563" spans="1:16">
      <c r="A563" s="72">
        <f t="shared" si="23"/>
        <v>2015</v>
      </c>
      <c r="B563" s="72">
        <f t="shared" si="24"/>
        <v>6</v>
      </c>
      <c r="C563" s="73">
        <v>42174</v>
      </c>
      <c r="D563" s="73" t="s">
        <v>17</v>
      </c>
      <c r="E563" s="73">
        <v>42174</v>
      </c>
      <c r="F563" s="76" t="s">
        <v>300</v>
      </c>
      <c r="G563" s="265"/>
      <c r="H563" s="9" t="s">
        <v>301</v>
      </c>
      <c r="I563" s="9"/>
      <c r="J563" s="9"/>
      <c r="K563" s="9"/>
      <c r="L563" s="9"/>
      <c r="M563" s="74">
        <v>171000000</v>
      </c>
      <c r="N563" s="75" t="s">
        <v>18</v>
      </c>
      <c r="O563" s="75" t="s">
        <v>54</v>
      </c>
      <c r="P563" s="134" t="str">
        <f>IF(AND('331-CT'!$E$7=TH!H563,OR(N563="331",O563="331")),"x","")</f>
        <v/>
      </c>
    </row>
    <row r="564" spans="1:16">
      <c r="A564" s="72">
        <f t="shared" si="23"/>
        <v>2015</v>
      </c>
      <c r="B564" s="72">
        <f t="shared" si="24"/>
        <v>6</v>
      </c>
      <c r="C564" s="73">
        <v>42174</v>
      </c>
      <c r="D564" s="73" t="s">
        <v>17</v>
      </c>
      <c r="E564" s="73">
        <v>42174</v>
      </c>
      <c r="F564" s="76" t="s">
        <v>300</v>
      </c>
      <c r="G564" s="265"/>
      <c r="H564" s="122" t="s">
        <v>284</v>
      </c>
      <c r="I564" s="122"/>
      <c r="J564" s="122"/>
      <c r="K564" s="122"/>
      <c r="L564" s="122"/>
      <c r="M564" s="74">
        <v>30440000</v>
      </c>
      <c r="N564" s="75" t="s">
        <v>18</v>
      </c>
      <c r="O564" s="75" t="s">
        <v>54</v>
      </c>
      <c r="P564" s="134" t="str">
        <f>IF(AND('331-CT'!$E$7=TH!H564,OR(N564="331",O564="331")),"x","")</f>
        <v/>
      </c>
    </row>
    <row r="565" spans="1:16">
      <c r="A565" s="72">
        <f t="shared" si="23"/>
        <v>2015</v>
      </c>
      <c r="B565" s="72">
        <f t="shared" si="24"/>
        <v>6</v>
      </c>
      <c r="C565" s="73">
        <v>42174</v>
      </c>
      <c r="D565" s="73" t="s">
        <v>17</v>
      </c>
      <c r="E565" s="73">
        <v>42174</v>
      </c>
      <c r="F565" s="76" t="s">
        <v>34</v>
      </c>
      <c r="G565" s="265"/>
      <c r="H565" s="122"/>
      <c r="I565" s="122"/>
      <c r="J565" s="122"/>
      <c r="K565" s="122"/>
      <c r="L565" s="122"/>
      <c r="M565" s="74">
        <v>25000</v>
      </c>
      <c r="N565" s="75" t="s">
        <v>241</v>
      </c>
      <c r="O565" s="75" t="s">
        <v>54</v>
      </c>
      <c r="P565" s="134" t="str">
        <f>IF(AND('331-CT'!$E$7=TH!H565,OR(N565="331",O565="331")),"x","")</f>
        <v/>
      </c>
    </row>
    <row r="566" spans="1:16">
      <c r="A566" s="72">
        <f t="shared" si="23"/>
        <v>2015</v>
      </c>
      <c r="B566" s="72">
        <f t="shared" si="24"/>
        <v>6</v>
      </c>
      <c r="C566" s="73">
        <v>42174</v>
      </c>
      <c r="D566" s="73" t="s">
        <v>17</v>
      </c>
      <c r="E566" s="73">
        <v>42174</v>
      </c>
      <c r="F566" s="76" t="s">
        <v>35</v>
      </c>
      <c r="G566" s="265"/>
      <c r="H566" s="123"/>
      <c r="I566" s="123"/>
      <c r="J566" s="123"/>
      <c r="K566" s="123"/>
      <c r="L566" s="123"/>
      <c r="M566" s="74">
        <v>2500</v>
      </c>
      <c r="N566" s="75" t="s">
        <v>19</v>
      </c>
      <c r="O566" s="75" t="s">
        <v>54</v>
      </c>
      <c r="P566" s="134" t="str">
        <f>IF(AND('331-CT'!$E$7=TH!H566,OR(N566="331",O566="331")),"x","")</f>
        <v/>
      </c>
    </row>
    <row r="567" spans="1:16">
      <c r="A567" s="72">
        <f t="shared" si="23"/>
        <v>2015</v>
      </c>
      <c r="B567" s="72">
        <f t="shared" si="24"/>
        <v>6</v>
      </c>
      <c r="C567" s="73">
        <v>42175</v>
      </c>
      <c r="D567" s="73" t="s">
        <v>17</v>
      </c>
      <c r="E567" s="73">
        <v>42175</v>
      </c>
      <c r="F567" s="76" t="s">
        <v>34</v>
      </c>
      <c r="G567" s="265"/>
      <c r="H567" s="122"/>
      <c r="I567" s="122"/>
      <c r="J567" s="122"/>
      <c r="K567" s="122"/>
      <c r="L567" s="122"/>
      <c r="M567" s="74">
        <v>85500</v>
      </c>
      <c r="N567" s="75" t="s">
        <v>241</v>
      </c>
      <c r="O567" s="75" t="s">
        <v>54</v>
      </c>
      <c r="P567" s="134" t="str">
        <f>IF(AND('331-CT'!$E$7=TH!H567,OR(N567="331",O567="331")),"x","")</f>
        <v/>
      </c>
    </row>
    <row r="568" spans="1:16">
      <c r="A568" s="72">
        <f t="shared" si="23"/>
        <v>2015</v>
      </c>
      <c r="B568" s="72">
        <f t="shared" si="24"/>
        <v>6</v>
      </c>
      <c r="C568" s="73">
        <v>42176</v>
      </c>
      <c r="D568" s="73" t="s">
        <v>17</v>
      </c>
      <c r="E568" s="73">
        <v>42176</v>
      </c>
      <c r="F568" s="76" t="s">
        <v>35</v>
      </c>
      <c r="G568" s="265"/>
      <c r="H568" s="122"/>
      <c r="I568" s="122"/>
      <c r="J568" s="122"/>
      <c r="K568" s="122"/>
      <c r="L568" s="122"/>
      <c r="M568" s="74">
        <v>8550</v>
      </c>
      <c r="N568" s="75" t="s">
        <v>19</v>
      </c>
      <c r="O568" s="75" t="s">
        <v>54</v>
      </c>
      <c r="P568" s="134" t="str">
        <f>IF(AND('331-CT'!$E$7=TH!H568,OR(N568="331",O568="331")),"x","")</f>
        <v/>
      </c>
    </row>
    <row r="569" spans="1:16">
      <c r="A569" s="72">
        <f t="shared" si="23"/>
        <v>2015</v>
      </c>
      <c r="B569" s="72">
        <f t="shared" si="24"/>
        <v>6</v>
      </c>
      <c r="C569" s="73">
        <v>42177</v>
      </c>
      <c r="D569" s="73" t="s">
        <v>17</v>
      </c>
      <c r="E569" s="73">
        <v>42177</v>
      </c>
      <c r="F569" s="76" t="s">
        <v>300</v>
      </c>
      <c r="G569" s="265"/>
      <c r="H569" s="9" t="s">
        <v>299</v>
      </c>
      <c r="I569" s="9"/>
      <c r="J569" s="9"/>
      <c r="K569" s="9"/>
      <c r="L569" s="9"/>
      <c r="M569" s="74">
        <v>100000000</v>
      </c>
      <c r="N569" s="75" t="s">
        <v>18</v>
      </c>
      <c r="O569" s="75" t="s">
        <v>54</v>
      </c>
      <c r="P569" s="134" t="str">
        <f>IF(AND('331-CT'!$E$7=TH!H569,OR(N569="331",O569="331")),"x","")</f>
        <v/>
      </c>
    </row>
    <row r="570" spans="1:16">
      <c r="A570" s="72">
        <f t="shared" si="23"/>
        <v>2015</v>
      </c>
      <c r="B570" s="72">
        <f t="shared" si="24"/>
        <v>6</v>
      </c>
      <c r="C570" s="73">
        <v>42178</v>
      </c>
      <c r="D570" s="73" t="s">
        <v>17</v>
      </c>
      <c r="E570" s="73">
        <v>42178</v>
      </c>
      <c r="F570" s="76" t="s">
        <v>34</v>
      </c>
      <c r="G570" s="265"/>
      <c r="H570" s="122"/>
      <c r="I570" s="122"/>
      <c r="J570" s="122"/>
      <c r="K570" s="122"/>
      <c r="L570" s="122"/>
      <c r="M570" s="74">
        <v>50000</v>
      </c>
      <c r="N570" s="75" t="s">
        <v>241</v>
      </c>
      <c r="O570" s="75" t="s">
        <v>54</v>
      </c>
      <c r="P570" s="134" t="str">
        <f>IF(AND('331-CT'!$E$7=TH!H570,OR(N570="331",O570="331")),"x","")</f>
        <v/>
      </c>
    </row>
    <row r="571" spans="1:16">
      <c r="A571" s="72">
        <f t="shared" si="23"/>
        <v>2015</v>
      </c>
      <c r="B571" s="72">
        <f t="shared" si="24"/>
        <v>6</v>
      </c>
      <c r="C571" s="73">
        <v>42179</v>
      </c>
      <c r="D571" s="73" t="s">
        <v>17</v>
      </c>
      <c r="E571" s="73">
        <v>42179</v>
      </c>
      <c r="F571" s="76" t="s">
        <v>35</v>
      </c>
      <c r="G571" s="265"/>
      <c r="H571" s="123"/>
      <c r="I571" s="123"/>
      <c r="J571" s="123"/>
      <c r="K571" s="123"/>
      <c r="L571" s="123"/>
      <c r="M571" s="74">
        <v>5000</v>
      </c>
      <c r="N571" s="75" t="s">
        <v>19</v>
      </c>
      <c r="O571" s="75" t="s">
        <v>54</v>
      </c>
      <c r="P571" s="134" t="str">
        <f>IF(AND('331-CT'!$E$7=TH!H571,OR(N571="331",O571="331")),"x","")</f>
        <v/>
      </c>
    </row>
    <row r="572" spans="1:16">
      <c r="A572" s="72">
        <f t="shared" si="23"/>
        <v>2015</v>
      </c>
      <c r="B572" s="72">
        <f t="shared" si="24"/>
        <v>6</v>
      </c>
      <c r="C572" s="73">
        <v>42179</v>
      </c>
      <c r="D572" s="73" t="s">
        <v>21</v>
      </c>
      <c r="E572" s="73">
        <v>42179</v>
      </c>
      <c r="F572" s="76" t="s">
        <v>98</v>
      </c>
      <c r="G572" s="265"/>
      <c r="H572" s="122"/>
      <c r="I572" s="122"/>
      <c r="J572" s="122"/>
      <c r="K572" s="122"/>
      <c r="L572" s="122"/>
      <c r="M572" s="74">
        <v>88048</v>
      </c>
      <c r="N572" s="75" t="s">
        <v>54</v>
      </c>
      <c r="O572" s="75" t="s">
        <v>99</v>
      </c>
      <c r="P572" s="134" t="str">
        <f>IF(AND('331-CT'!$E$7=TH!H572,OR(N572="331",O572="331")),"x","")</f>
        <v/>
      </c>
    </row>
    <row r="573" spans="1:16">
      <c r="A573" s="72">
        <f t="shared" si="23"/>
        <v>2015</v>
      </c>
      <c r="B573" s="72">
        <f t="shared" si="24"/>
        <v>6</v>
      </c>
      <c r="C573" s="73">
        <v>42180</v>
      </c>
      <c r="D573" s="73" t="s">
        <v>163</v>
      </c>
      <c r="E573" s="73">
        <v>42180</v>
      </c>
      <c r="F573" s="93" t="s">
        <v>575</v>
      </c>
      <c r="G573" s="265"/>
      <c r="H573" s="122" t="s">
        <v>271</v>
      </c>
      <c r="I573" s="122"/>
      <c r="J573" s="122"/>
      <c r="K573" s="122"/>
      <c r="L573" s="122"/>
      <c r="M573" s="74">
        <v>116000000</v>
      </c>
      <c r="N573" s="75" t="s">
        <v>54</v>
      </c>
      <c r="O573" s="75" t="s">
        <v>203</v>
      </c>
      <c r="P573" s="134" t="str">
        <f>IF(AND('331-CT'!$E$7=TH!H573,OR(N573="331",O573="331")),"x","")</f>
        <v/>
      </c>
    </row>
    <row r="574" spans="1:16">
      <c r="A574" s="72">
        <f t="shared" si="23"/>
        <v>2015</v>
      </c>
      <c r="B574" s="72">
        <f t="shared" si="24"/>
        <v>6</v>
      </c>
      <c r="C574" s="73">
        <v>42180</v>
      </c>
      <c r="D574" s="73" t="s">
        <v>78</v>
      </c>
      <c r="E574" s="73">
        <v>42180</v>
      </c>
      <c r="F574" s="76" t="s">
        <v>297</v>
      </c>
      <c r="G574" s="265" t="s">
        <v>296</v>
      </c>
      <c r="H574" s="124" t="s">
        <v>299</v>
      </c>
      <c r="I574" s="124"/>
      <c r="J574" s="124"/>
      <c r="K574" s="124"/>
      <c r="L574" s="124"/>
      <c r="M574" s="74">
        <v>173764636</v>
      </c>
      <c r="N574" s="75" t="s">
        <v>654</v>
      </c>
      <c r="O574" s="75" t="s">
        <v>18</v>
      </c>
      <c r="P574" s="134" t="str">
        <f>IF(AND('331-CT'!$E$7=TH!H574,OR(N574="331",O574="331")),"x","")</f>
        <v/>
      </c>
    </row>
    <row r="575" spans="1:16">
      <c r="A575" s="72">
        <f t="shared" si="23"/>
        <v>2015</v>
      </c>
      <c r="B575" s="72">
        <f t="shared" si="24"/>
        <v>6</v>
      </c>
      <c r="C575" s="73">
        <v>42180</v>
      </c>
      <c r="D575" s="73" t="s">
        <v>78</v>
      </c>
      <c r="E575" s="73">
        <v>42180</v>
      </c>
      <c r="F575" s="76" t="s">
        <v>298</v>
      </c>
      <c r="G575" s="265" t="s">
        <v>296</v>
      </c>
      <c r="H575" s="124" t="s">
        <v>299</v>
      </c>
      <c r="I575" s="124"/>
      <c r="J575" s="124"/>
      <c r="K575" s="124"/>
      <c r="L575" s="124"/>
      <c r="M575" s="74">
        <v>17376464</v>
      </c>
      <c r="N575" s="75" t="s">
        <v>19</v>
      </c>
      <c r="O575" s="75" t="s">
        <v>18</v>
      </c>
      <c r="P575" s="134" t="str">
        <f>IF(AND('331-CT'!$E$7=TH!H575,OR(N575="331",O575="331")),"x","")</f>
        <v/>
      </c>
    </row>
    <row r="576" spans="1:16">
      <c r="A576" s="72">
        <f t="shared" si="23"/>
        <v>2015</v>
      </c>
      <c r="B576" s="72">
        <f t="shared" si="24"/>
        <v>6</v>
      </c>
      <c r="C576" s="73">
        <v>42180</v>
      </c>
      <c r="D576" s="73" t="s">
        <v>78</v>
      </c>
      <c r="E576" s="73">
        <v>42180</v>
      </c>
      <c r="F576" s="76" t="s">
        <v>294</v>
      </c>
      <c r="G576" s="265" t="s">
        <v>293</v>
      </c>
      <c r="H576" s="124" t="s">
        <v>299</v>
      </c>
      <c r="I576" s="124"/>
      <c r="J576" s="124"/>
      <c r="K576" s="124"/>
      <c r="L576" s="124"/>
      <c r="M576" s="74">
        <v>46033273</v>
      </c>
      <c r="N576" s="75" t="s">
        <v>654</v>
      </c>
      <c r="O576" s="75" t="s">
        <v>18</v>
      </c>
      <c r="P576" s="134" t="str">
        <f>IF(AND('331-CT'!$E$7=TH!H576,OR(N576="331",O576="331")),"x","")</f>
        <v/>
      </c>
    </row>
    <row r="577" spans="1:16">
      <c r="A577" s="72">
        <f t="shared" si="23"/>
        <v>2015</v>
      </c>
      <c r="B577" s="72">
        <f t="shared" si="24"/>
        <v>6</v>
      </c>
      <c r="C577" s="73">
        <v>42180</v>
      </c>
      <c r="D577" s="73" t="s">
        <v>78</v>
      </c>
      <c r="E577" s="73">
        <v>42180</v>
      </c>
      <c r="F577" s="76" t="s">
        <v>295</v>
      </c>
      <c r="G577" s="265" t="s">
        <v>293</v>
      </c>
      <c r="H577" s="124" t="s">
        <v>299</v>
      </c>
      <c r="I577" s="124"/>
      <c r="J577" s="124"/>
      <c r="K577" s="124"/>
      <c r="L577" s="124"/>
      <c r="M577" s="74">
        <v>4603327</v>
      </c>
      <c r="N577" s="75" t="s">
        <v>19</v>
      </c>
      <c r="O577" s="75" t="s">
        <v>18</v>
      </c>
      <c r="P577" s="134" t="str">
        <f>IF(AND('331-CT'!$E$7=TH!H577,OR(N577="331",O577="331")),"x","")</f>
        <v/>
      </c>
    </row>
    <row r="578" spans="1:16">
      <c r="A578" s="72">
        <f t="shared" si="23"/>
        <v>2015</v>
      </c>
      <c r="B578" s="72">
        <f t="shared" si="24"/>
        <v>6</v>
      </c>
      <c r="C578" s="73">
        <v>42180</v>
      </c>
      <c r="D578" s="73" t="s">
        <v>78</v>
      </c>
      <c r="E578" s="73">
        <v>42180</v>
      </c>
      <c r="F578" s="76" t="s">
        <v>290</v>
      </c>
      <c r="G578" s="265" t="s">
        <v>292</v>
      </c>
      <c r="H578" s="124" t="s">
        <v>299</v>
      </c>
      <c r="I578" s="124"/>
      <c r="J578" s="124"/>
      <c r="K578" s="124"/>
      <c r="L578" s="124"/>
      <c r="M578" s="74">
        <v>12290909</v>
      </c>
      <c r="N578" s="136" t="s">
        <v>654</v>
      </c>
      <c r="O578" s="136" t="s">
        <v>18</v>
      </c>
      <c r="P578" s="134" t="str">
        <f>IF(AND('331-CT'!$E$7=TH!H578,OR(N578="331",O578="331")),"x","")</f>
        <v/>
      </c>
    </row>
    <row r="579" spans="1:16">
      <c r="A579" s="72">
        <f t="shared" si="23"/>
        <v>2015</v>
      </c>
      <c r="B579" s="72">
        <f t="shared" si="24"/>
        <v>6</v>
      </c>
      <c r="C579" s="73">
        <v>42180</v>
      </c>
      <c r="D579" s="73" t="s">
        <v>78</v>
      </c>
      <c r="E579" s="73">
        <v>42180</v>
      </c>
      <c r="F579" s="76" t="s">
        <v>291</v>
      </c>
      <c r="G579" s="265" t="s">
        <v>292</v>
      </c>
      <c r="H579" s="124" t="s">
        <v>299</v>
      </c>
      <c r="I579" s="124"/>
      <c r="J579" s="124"/>
      <c r="K579" s="124"/>
      <c r="L579" s="124"/>
      <c r="M579" s="74">
        <v>1229091</v>
      </c>
      <c r="N579" s="136" t="s">
        <v>19</v>
      </c>
      <c r="O579" s="136" t="s">
        <v>18</v>
      </c>
      <c r="P579" s="134" t="str">
        <f>IF(AND('331-CT'!$E$7=TH!H579,OR(N579="331",O579="331")),"x","")</f>
        <v/>
      </c>
    </row>
    <row r="580" spans="1:16">
      <c r="A580" s="72">
        <f t="shared" si="23"/>
        <v>2015</v>
      </c>
      <c r="B580" s="72">
        <f t="shared" si="24"/>
        <v>6</v>
      </c>
      <c r="C580" s="73">
        <v>42181</v>
      </c>
      <c r="D580" s="73" t="s">
        <v>17</v>
      </c>
      <c r="E580" s="73">
        <v>42181</v>
      </c>
      <c r="F580" s="76" t="s">
        <v>119</v>
      </c>
      <c r="G580" s="265"/>
      <c r="H580" s="122" t="s">
        <v>313</v>
      </c>
      <c r="I580" s="122"/>
      <c r="J580" s="122"/>
      <c r="K580" s="122"/>
      <c r="L580" s="122"/>
      <c r="M580" s="74">
        <v>8203223</v>
      </c>
      <c r="N580" s="75" t="s">
        <v>239</v>
      </c>
      <c r="O580" s="75" t="s">
        <v>54</v>
      </c>
      <c r="P580" s="134" t="str">
        <f>IF(AND('331-CT'!$E$7=TH!H580,OR(N580="331",O580="331")),"x","")</f>
        <v/>
      </c>
    </row>
    <row r="581" spans="1:16">
      <c r="A581" s="72">
        <f t="shared" si="23"/>
        <v>2015</v>
      </c>
      <c r="B581" s="72">
        <f t="shared" si="24"/>
        <v>6</v>
      </c>
      <c r="C581" s="73">
        <v>42181</v>
      </c>
      <c r="D581" s="73" t="s">
        <v>17</v>
      </c>
      <c r="E581" s="73">
        <v>42181</v>
      </c>
      <c r="F581" s="76" t="s">
        <v>141</v>
      </c>
      <c r="G581" s="265"/>
      <c r="H581" s="122" t="s">
        <v>314</v>
      </c>
      <c r="I581" s="122"/>
      <c r="J581" s="122"/>
      <c r="K581" s="122"/>
      <c r="L581" s="122"/>
      <c r="M581" s="74">
        <v>16406445</v>
      </c>
      <c r="N581" s="75" t="s">
        <v>239</v>
      </c>
      <c r="O581" s="75" t="s">
        <v>54</v>
      </c>
      <c r="P581" s="134" t="str">
        <f>IF(AND('331-CT'!$E$7=TH!H581,OR(N581="331",O581="331")),"x","")</f>
        <v/>
      </c>
    </row>
    <row r="582" spans="1:16">
      <c r="A582" s="72">
        <f t="shared" si="23"/>
        <v>2015</v>
      </c>
      <c r="B582" s="72">
        <f t="shared" si="24"/>
        <v>6</v>
      </c>
      <c r="C582" s="73">
        <v>42181</v>
      </c>
      <c r="D582" s="73" t="s">
        <v>17</v>
      </c>
      <c r="E582" s="73">
        <v>42181</v>
      </c>
      <c r="F582" s="76" t="s">
        <v>143</v>
      </c>
      <c r="G582" s="265"/>
      <c r="H582" s="122" t="s">
        <v>316</v>
      </c>
      <c r="I582" s="122"/>
      <c r="J582" s="122"/>
      <c r="K582" s="122"/>
      <c r="L582" s="122"/>
      <c r="M582" s="74">
        <v>13125156</v>
      </c>
      <c r="N582" s="75" t="s">
        <v>239</v>
      </c>
      <c r="O582" s="75" t="s">
        <v>54</v>
      </c>
      <c r="P582" s="134" t="str">
        <f>IF(AND('331-CT'!$E$7=TH!H582,OR(N582="331",O582="331")),"x","")</f>
        <v/>
      </c>
    </row>
    <row r="583" spans="1:16">
      <c r="A583" s="72">
        <f t="shared" si="23"/>
        <v>2015</v>
      </c>
      <c r="B583" s="72">
        <f t="shared" si="24"/>
        <v>6</v>
      </c>
      <c r="C583" s="73">
        <v>42181</v>
      </c>
      <c r="D583" s="73" t="s">
        <v>17</v>
      </c>
      <c r="E583" s="73">
        <v>42181</v>
      </c>
      <c r="F583" s="76" t="s">
        <v>144</v>
      </c>
      <c r="G583" s="265"/>
      <c r="H583" s="122" t="s">
        <v>315</v>
      </c>
      <c r="I583" s="122"/>
      <c r="J583" s="122"/>
      <c r="K583" s="122"/>
      <c r="L583" s="122"/>
      <c r="M583" s="74">
        <v>12304833</v>
      </c>
      <c r="N583" s="75" t="s">
        <v>239</v>
      </c>
      <c r="O583" s="75" t="s">
        <v>54</v>
      </c>
      <c r="P583" s="134" t="str">
        <f>IF(AND('331-CT'!$E$7=TH!H583,OR(N583="331",O583="331")),"x","")</f>
        <v/>
      </c>
    </row>
    <row r="584" spans="1:16">
      <c r="A584" s="72">
        <f t="shared" si="23"/>
        <v>2015</v>
      </c>
      <c r="B584" s="72">
        <f t="shared" si="24"/>
        <v>6</v>
      </c>
      <c r="C584" s="73">
        <v>42181</v>
      </c>
      <c r="D584" s="73" t="s">
        <v>17</v>
      </c>
      <c r="E584" s="73">
        <v>42181</v>
      </c>
      <c r="F584" s="76" t="s">
        <v>145</v>
      </c>
      <c r="G584" s="265"/>
      <c r="H584" s="122" t="s">
        <v>317</v>
      </c>
      <c r="I584" s="122"/>
      <c r="J584" s="122"/>
      <c r="K584" s="122"/>
      <c r="L584" s="122"/>
      <c r="M584" s="74">
        <v>8203223</v>
      </c>
      <c r="N584" s="75" t="s">
        <v>239</v>
      </c>
      <c r="O584" s="75" t="s">
        <v>54</v>
      </c>
      <c r="P584" s="134" t="str">
        <f>IF(AND('331-CT'!$E$7=TH!H584,OR(N584="331",O584="331")),"x","")</f>
        <v/>
      </c>
    </row>
    <row r="585" spans="1:16">
      <c r="A585" s="72">
        <f t="shared" si="23"/>
        <v>2015</v>
      </c>
      <c r="B585" s="72">
        <f t="shared" si="24"/>
        <v>6</v>
      </c>
      <c r="C585" s="73">
        <v>42181</v>
      </c>
      <c r="D585" s="73" t="s">
        <v>17</v>
      </c>
      <c r="E585" s="73">
        <v>42181</v>
      </c>
      <c r="F585" s="76" t="s">
        <v>147</v>
      </c>
      <c r="G585" s="265"/>
      <c r="H585" s="123" t="s">
        <v>318</v>
      </c>
      <c r="I585" s="123"/>
      <c r="J585" s="123"/>
      <c r="K585" s="123"/>
      <c r="L585" s="123"/>
      <c r="M585" s="74">
        <v>12304833</v>
      </c>
      <c r="N585" s="75" t="s">
        <v>239</v>
      </c>
      <c r="O585" s="75" t="s">
        <v>54</v>
      </c>
      <c r="P585" s="134" t="str">
        <f>IF(AND('331-CT'!$E$7=TH!H585,OR(N585="331",O585="331")),"x","")</f>
        <v/>
      </c>
    </row>
    <row r="586" spans="1:16">
      <c r="A586" s="72">
        <f t="shared" si="23"/>
        <v>2015</v>
      </c>
      <c r="B586" s="72">
        <f t="shared" si="24"/>
        <v>6</v>
      </c>
      <c r="C586" s="73">
        <v>42181</v>
      </c>
      <c r="D586" s="73" t="s">
        <v>17</v>
      </c>
      <c r="E586" s="73">
        <v>42181</v>
      </c>
      <c r="F586" s="76" t="s">
        <v>272</v>
      </c>
      <c r="G586" s="265"/>
      <c r="H586" s="122" t="s">
        <v>319</v>
      </c>
      <c r="I586" s="122"/>
      <c r="J586" s="122"/>
      <c r="K586" s="122"/>
      <c r="L586" s="122"/>
      <c r="M586" s="74">
        <v>16407126</v>
      </c>
      <c r="N586" s="75" t="s">
        <v>239</v>
      </c>
      <c r="O586" s="75" t="s">
        <v>54</v>
      </c>
      <c r="P586" s="134" t="str">
        <f>IF(AND('331-CT'!$E$7=TH!H586,OR(N586="331",O586="331")),"x","")</f>
        <v/>
      </c>
    </row>
    <row r="587" spans="1:16">
      <c r="A587" s="72">
        <f t="shared" si="23"/>
        <v>2015</v>
      </c>
      <c r="B587" s="72">
        <f t="shared" si="24"/>
        <v>6</v>
      </c>
      <c r="C587" s="73">
        <v>42181</v>
      </c>
      <c r="D587" s="73" t="s">
        <v>17</v>
      </c>
      <c r="E587" s="73">
        <v>42181</v>
      </c>
      <c r="F587" s="76" t="s">
        <v>302</v>
      </c>
      <c r="G587" s="265"/>
      <c r="H587" s="122" t="s">
        <v>320</v>
      </c>
      <c r="I587" s="122"/>
      <c r="J587" s="122"/>
      <c r="K587" s="122"/>
      <c r="L587" s="122"/>
      <c r="M587" s="74">
        <v>22228087</v>
      </c>
      <c r="N587" s="75" t="s">
        <v>239</v>
      </c>
      <c r="O587" s="75" t="s">
        <v>54</v>
      </c>
      <c r="P587" s="134" t="str">
        <f>IF(AND('331-CT'!$E$7=TH!H587,OR(N587="331",O587="331")),"x","")</f>
        <v/>
      </c>
    </row>
    <row r="588" spans="1:16">
      <c r="A588" s="72">
        <f t="shared" si="23"/>
        <v>2015</v>
      </c>
      <c r="B588" s="72">
        <f t="shared" si="24"/>
        <v>6</v>
      </c>
      <c r="C588" s="73">
        <v>42181</v>
      </c>
      <c r="D588" s="73" t="s">
        <v>17</v>
      </c>
      <c r="E588" s="73">
        <v>42181</v>
      </c>
      <c r="F588" s="76" t="s">
        <v>303</v>
      </c>
      <c r="G588" s="265"/>
      <c r="H588" s="122" t="s">
        <v>321</v>
      </c>
      <c r="I588" s="122"/>
      <c r="J588" s="122"/>
      <c r="K588" s="122"/>
      <c r="L588" s="122"/>
      <c r="M588" s="74">
        <v>14289484</v>
      </c>
      <c r="N588" s="75" t="s">
        <v>239</v>
      </c>
      <c r="O588" s="75" t="s">
        <v>54</v>
      </c>
      <c r="P588" s="134" t="str">
        <f>IF(AND('331-CT'!$E$7=TH!H588,OR(N588="331",O588="331")),"x","")</f>
        <v/>
      </c>
    </row>
    <row r="589" spans="1:16">
      <c r="A589" s="72">
        <f t="shared" si="23"/>
        <v>2015</v>
      </c>
      <c r="B589" s="72">
        <f t="shared" si="24"/>
        <v>6</v>
      </c>
      <c r="C589" s="73">
        <v>42184</v>
      </c>
      <c r="D589" s="73" t="s">
        <v>78</v>
      </c>
      <c r="E589" s="73">
        <v>42184</v>
      </c>
      <c r="F589" s="76" t="s">
        <v>288</v>
      </c>
      <c r="G589" s="270" t="s">
        <v>562</v>
      </c>
      <c r="H589" s="122" t="s">
        <v>85</v>
      </c>
      <c r="I589" s="122"/>
      <c r="J589" s="122"/>
      <c r="K589" s="122"/>
      <c r="L589" s="122"/>
      <c r="M589" s="74">
        <v>6818181818</v>
      </c>
      <c r="N589" s="136" t="s">
        <v>654</v>
      </c>
      <c r="O589" s="75" t="s">
        <v>18</v>
      </c>
      <c r="P589" s="134" t="str">
        <f>IF(AND('331-CT'!$E$7=TH!H589,OR(N589="331",O589="331")),"x","")</f>
        <v/>
      </c>
    </row>
    <row r="590" spans="1:16">
      <c r="A590" s="72">
        <f t="shared" si="23"/>
        <v>2015</v>
      </c>
      <c r="B590" s="72">
        <f t="shared" si="24"/>
        <v>6</v>
      </c>
      <c r="C590" s="73">
        <v>42184</v>
      </c>
      <c r="D590" s="73" t="s">
        <v>78</v>
      </c>
      <c r="E590" s="73">
        <v>42184</v>
      </c>
      <c r="F590" s="76" t="s">
        <v>289</v>
      </c>
      <c r="G590" s="270" t="s">
        <v>562</v>
      </c>
      <c r="H590" s="122" t="s">
        <v>85</v>
      </c>
      <c r="I590" s="122"/>
      <c r="J590" s="122"/>
      <c r="K590" s="122"/>
      <c r="L590" s="122"/>
      <c r="M590" s="74">
        <v>681818182</v>
      </c>
      <c r="N590" s="136" t="s">
        <v>19</v>
      </c>
      <c r="O590" s="75" t="s">
        <v>18</v>
      </c>
      <c r="P590" s="134" t="str">
        <f>IF(AND('331-CT'!$E$7=TH!H590,OR(N590="331",O590="331")),"x","")</f>
        <v/>
      </c>
    </row>
    <row r="591" spans="1:16">
      <c r="A591" s="72">
        <f t="shared" si="23"/>
        <v>2015</v>
      </c>
      <c r="B591" s="72">
        <f t="shared" si="24"/>
        <v>6</v>
      </c>
      <c r="C591" s="73">
        <v>42185</v>
      </c>
      <c r="D591" s="73" t="s">
        <v>17</v>
      </c>
      <c r="E591" s="73">
        <v>42185</v>
      </c>
      <c r="F591" s="76" t="s">
        <v>300</v>
      </c>
      <c r="G591" s="265"/>
      <c r="H591" s="9" t="s">
        <v>304</v>
      </c>
      <c r="I591" s="9"/>
      <c r="J591" s="9"/>
      <c r="K591" s="9"/>
      <c r="L591" s="9"/>
      <c r="M591" s="74">
        <v>45000000</v>
      </c>
      <c r="N591" s="75" t="s">
        <v>18</v>
      </c>
      <c r="O591" s="75" t="s">
        <v>54</v>
      </c>
      <c r="P591" s="134" t="str">
        <f>IF(AND('331-CT'!$E$7=TH!H591,OR(N591="331",O591="331")),"x","")</f>
        <v/>
      </c>
    </row>
    <row r="592" spans="1:16">
      <c r="A592" s="72">
        <f t="shared" si="23"/>
        <v>2015</v>
      </c>
      <c r="B592" s="72">
        <f t="shared" si="24"/>
        <v>6</v>
      </c>
      <c r="C592" s="73">
        <v>42185</v>
      </c>
      <c r="D592" s="73" t="s">
        <v>17</v>
      </c>
      <c r="E592" s="73">
        <v>42185</v>
      </c>
      <c r="F592" s="76" t="s">
        <v>34</v>
      </c>
      <c r="G592" s="265"/>
      <c r="H592" s="122"/>
      <c r="I592" s="122"/>
      <c r="J592" s="122"/>
      <c r="K592" s="122"/>
      <c r="L592" s="122"/>
      <c r="M592" s="74">
        <v>20000</v>
      </c>
      <c r="N592" s="75" t="s">
        <v>241</v>
      </c>
      <c r="O592" s="75" t="s">
        <v>54</v>
      </c>
      <c r="P592" s="134" t="str">
        <f>IF(AND('331-CT'!$E$7=TH!H592,OR(N592="331",O592="331")),"x","")</f>
        <v/>
      </c>
    </row>
    <row r="593" spans="1:16">
      <c r="A593" s="72">
        <f t="shared" si="23"/>
        <v>2015</v>
      </c>
      <c r="B593" s="72">
        <f t="shared" si="24"/>
        <v>6</v>
      </c>
      <c r="C593" s="73">
        <v>42185</v>
      </c>
      <c r="D593" s="73" t="s">
        <v>17</v>
      </c>
      <c r="E593" s="73">
        <v>42185</v>
      </c>
      <c r="F593" s="76" t="s">
        <v>35</v>
      </c>
      <c r="G593" s="265"/>
      <c r="H593" s="122"/>
      <c r="I593" s="122"/>
      <c r="J593" s="122"/>
      <c r="K593" s="122"/>
      <c r="L593" s="122"/>
      <c r="M593" s="74">
        <v>2000</v>
      </c>
      <c r="N593" s="75" t="s">
        <v>19</v>
      </c>
      <c r="O593" s="75" t="s">
        <v>54</v>
      </c>
      <c r="P593" s="134" t="str">
        <f>IF(AND('331-CT'!$E$7=TH!H593,OR(N593="331",O593="331")),"x","")</f>
        <v/>
      </c>
    </row>
    <row r="594" spans="1:16">
      <c r="A594" s="72">
        <f t="shared" si="23"/>
        <v>2015</v>
      </c>
      <c r="B594" s="72">
        <f t="shared" si="24"/>
        <v>6</v>
      </c>
      <c r="C594" s="73">
        <v>42185</v>
      </c>
      <c r="D594" s="73" t="s">
        <v>17</v>
      </c>
      <c r="E594" s="73">
        <v>42185</v>
      </c>
      <c r="F594" s="76" t="s">
        <v>300</v>
      </c>
      <c r="G594" s="265"/>
      <c r="H594" s="9" t="s">
        <v>305</v>
      </c>
      <c r="I594" s="9"/>
      <c r="J594" s="9"/>
      <c r="K594" s="9"/>
      <c r="L594" s="9"/>
      <c r="M594" s="74">
        <v>100000000</v>
      </c>
      <c r="N594" s="75" t="s">
        <v>18</v>
      </c>
      <c r="O594" s="75" t="s">
        <v>54</v>
      </c>
      <c r="P594" s="134" t="str">
        <f>IF(AND('331-CT'!$E$7=TH!H594,OR(N594="331",O594="331")),"x","")</f>
        <v/>
      </c>
    </row>
    <row r="595" spans="1:16">
      <c r="A595" s="72">
        <f t="shared" si="23"/>
        <v>2015</v>
      </c>
      <c r="B595" s="72">
        <f t="shared" si="24"/>
        <v>6</v>
      </c>
      <c r="C595" s="73">
        <v>42185</v>
      </c>
      <c r="D595" s="73" t="s">
        <v>17</v>
      </c>
      <c r="E595" s="73">
        <v>42185</v>
      </c>
      <c r="F595" s="76" t="s">
        <v>34</v>
      </c>
      <c r="G595" s="265"/>
      <c r="H595" s="122"/>
      <c r="I595" s="122"/>
      <c r="J595" s="122"/>
      <c r="K595" s="122"/>
      <c r="L595" s="122"/>
      <c r="M595" s="74">
        <v>30000</v>
      </c>
      <c r="N595" s="75" t="s">
        <v>241</v>
      </c>
      <c r="O595" s="75" t="s">
        <v>54</v>
      </c>
      <c r="P595" s="134" t="str">
        <f>IF(AND('331-CT'!$E$7=TH!H595,OR(N595="331",O595="331")),"x","")</f>
        <v/>
      </c>
    </row>
    <row r="596" spans="1:16">
      <c r="A596" s="72">
        <f t="shared" si="23"/>
        <v>2015</v>
      </c>
      <c r="B596" s="72">
        <f t="shared" si="24"/>
        <v>6</v>
      </c>
      <c r="C596" s="73">
        <v>42185</v>
      </c>
      <c r="D596" s="73" t="s">
        <v>17</v>
      </c>
      <c r="E596" s="73">
        <v>42185</v>
      </c>
      <c r="F596" s="76" t="s">
        <v>35</v>
      </c>
      <c r="G596" s="265"/>
      <c r="H596" s="122"/>
      <c r="I596" s="122"/>
      <c r="J596" s="122"/>
      <c r="K596" s="122"/>
      <c r="L596" s="122"/>
      <c r="M596" s="74">
        <v>3000</v>
      </c>
      <c r="N596" s="75" t="s">
        <v>19</v>
      </c>
      <c r="O596" s="75" t="s">
        <v>54</v>
      </c>
      <c r="P596" s="134" t="str">
        <f>IF(AND('331-CT'!$E$7=TH!H596,OR(N596="331",O596="331")),"x","")</f>
        <v/>
      </c>
    </row>
    <row r="597" spans="1:16">
      <c r="A597" s="72">
        <f t="shared" ref="A597:A660" si="25">IF(C597&lt;&gt;"",YEAR(C597),"")</f>
        <v>2015</v>
      </c>
      <c r="B597" s="72">
        <f t="shared" ref="B597:B660" si="26">IF(C597&lt;&gt;"",MONTH(C597),"")</f>
        <v>7</v>
      </c>
      <c r="C597" s="73">
        <v>42186</v>
      </c>
      <c r="D597" s="73" t="s">
        <v>73</v>
      </c>
      <c r="E597" s="73">
        <v>42159</v>
      </c>
      <c r="F597" s="76" t="s">
        <v>329</v>
      </c>
      <c r="G597" s="270" t="s">
        <v>534</v>
      </c>
      <c r="H597" s="122" t="s">
        <v>330</v>
      </c>
      <c r="I597" s="122"/>
      <c r="J597" s="122"/>
      <c r="K597" s="122"/>
      <c r="L597" s="122"/>
      <c r="M597" s="74">
        <v>3127345</v>
      </c>
      <c r="N597" s="75" t="s">
        <v>654</v>
      </c>
      <c r="O597" s="75" t="s">
        <v>203</v>
      </c>
      <c r="P597" s="134" t="str">
        <f>IF(AND('331-CT'!$E$7=TH!H597,OR(N597="331",O597="331")),"x","")</f>
        <v/>
      </c>
    </row>
    <row r="598" spans="1:16">
      <c r="A598" s="72">
        <f t="shared" si="25"/>
        <v>2015</v>
      </c>
      <c r="B598" s="72">
        <f t="shared" si="26"/>
        <v>7</v>
      </c>
      <c r="C598" s="73">
        <v>42186</v>
      </c>
      <c r="D598" s="73" t="s">
        <v>73</v>
      </c>
      <c r="E598" s="73">
        <v>42159</v>
      </c>
      <c r="F598" s="76" t="s">
        <v>331</v>
      </c>
      <c r="G598" s="270" t="s">
        <v>534</v>
      </c>
      <c r="H598" s="122" t="s">
        <v>330</v>
      </c>
      <c r="I598" s="122"/>
      <c r="J598" s="122"/>
      <c r="K598" s="122"/>
      <c r="L598" s="122"/>
      <c r="M598" s="74">
        <v>312734</v>
      </c>
      <c r="N598" s="75" t="s">
        <v>19</v>
      </c>
      <c r="O598" s="75" t="s">
        <v>203</v>
      </c>
      <c r="P598" s="134" t="str">
        <f>IF(AND('331-CT'!$E$7=TH!H598,OR(N598="331",O598="331")),"x","")</f>
        <v/>
      </c>
    </row>
    <row r="599" spans="1:16">
      <c r="A599" s="72">
        <f t="shared" si="25"/>
        <v>2015</v>
      </c>
      <c r="B599" s="72">
        <f t="shared" si="26"/>
        <v>7</v>
      </c>
      <c r="C599" s="73">
        <v>42186</v>
      </c>
      <c r="D599" s="73" t="s">
        <v>92</v>
      </c>
      <c r="E599" s="73">
        <v>42174</v>
      </c>
      <c r="F599" s="76" t="s">
        <v>332</v>
      </c>
      <c r="G599" s="270" t="s">
        <v>535</v>
      </c>
      <c r="H599" s="122" t="s">
        <v>334</v>
      </c>
      <c r="I599" s="122"/>
      <c r="J599" s="122"/>
      <c r="K599" s="122"/>
      <c r="L599" s="122"/>
      <c r="M599" s="74">
        <v>9662500</v>
      </c>
      <c r="N599" s="75" t="s">
        <v>654</v>
      </c>
      <c r="O599" s="75" t="s">
        <v>203</v>
      </c>
      <c r="P599" s="134" t="str">
        <f>IF(AND('331-CT'!$E$7=TH!H599,OR(N599="331",O599="331")),"x","")</f>
        <v/>
      </c>
    </row>
    <row r="600" spans="1:16">
      <c r="A600" s="72">
        <f t="shared" si="25"/>
        <v>2015</v>
      </c>
      <c r="B600" s="72">
        <f t="shared" si="26"/>
        <v>7</v>
      </c>
      <c r="C600" s="73">
        <v>42186</v>
      </c>
      <c r="D600" s="73" t="s">
        <v>92</v>
      </c>
      <c r="E600" s="73">
        <v>42174</v>
      </c>
      <c r="F600" s="76" t="s">
        <v>333</v>
      </c>
      <c r="G600" s="270" t="s">
        <v>535</v>
      </c>
      <c r="H600" s="122" t="s">
        <v>334</v>
      </c>
      <c r="I600" s="122"/>
      <c r="J600" s="122"/>
      <c r="K600" s="122"/>
      <c r="L600" s="122"/>
      <c r="M600" s="74">
        <v>966250</v>
      </c>
      <c r="N600" s="75" t="s">
        <v>19</v>
      </c>
      <c r="O600" s="75" t="s">
        <v>203</v>
      </c>
      <c r="P600" s="134" t="str">
        <f>IF(AND('331-CT'!$E$7=TH!H600,OR(N600="331",O600="331")),"x","")</f>
        <v/>
      </c>
    </row>
    <row r="601" spans="1:16">
      <c r="A601" s="72">
        <f t="shared" si="25"/>
        <v>2015</v>
      </c>
      <c r="B601" s="72">
        <f t="shared" si="26"/>
        <v>7</v>
      </c>
      <c r="C601" s="73">
        <v>42187</v>
      </c>
      <c r="D601" s="73" t="s">
        <v>78</v>
      </c>
      <c r="E601" s="73">
        <v>42187</v>
      </c>
      <c r="F601" s="76" t="s">
        <v>309</v>
      </c>
      <c r="G601" s="137" t="s">
        <v>308</v>
      </c>
      <c r="H601" s="9" t="s">
        <v>311</v>
      </c>
      <c r="I601" s="9"/>
      <c r="J601" s="9"/>
      <c r="K601" s="9"/>
      <c r="L601" s="9"/>
      <c r="M601" s="74">
        <v>19645867</v>
      </c>
      <c r="N601" s="75" t="s">
        <v>654</v>
      </c>
      <c r="O601" s="75" t="s">
        <v>18</v>
      </c>
      <c r="P601" s="134" t="str">
        <f>IF(AND('331-CT'!$E$7=TH!H601,OR(N601="331",O601="331")),"x","")</f>
        <v/>
      </c>
    </row>
    <row r="602" spans="1:16">
      <c r="A602" s="72">
        <f t="shared" si="25"/>
        <v>2015</v>
      </c>
      <c r="B602" s="72">
        <f t="shared" si="26"/>
        <v>7</v>
      </c>
      <c r="C602" s="73">
        <v>42187</v>
      </c>
      <c r="D602" s="73" t="s">
        <v>78</v>
      </c>
      <c r="E602" s="73">
        <v>42187</v>
      </c>
      <c r="F602" s="76" t="s">
        <v>310</v>
      </c>
      <c r="G602" s="137" t="s">
        <v>308</v>
      </c>
      <c r="H602" s="9" t="s">
        <v>311</v>
      </c>
      <c r="I602" s="9"/>
      <c r="J602" s="9"/>
      <c r="K602" s="9"/>
      <c r="L602" s="9"/>
      <c r="M602" s="74">
        <v>1964587</v>
      </c>
      <c r="N602" s="75" t="s">
        <v>19</v>
      </c>
      <c r="O602" s="75" t="s">
        <v>18</v>
      </c>
      <c r="P602" s="134" t="str">
        <f>IF(AND('331-CT'!$E$7=TH!H602,OR(N602="331",O602="331")),"x","")</f>
        <v/>
      </c>
    </row>
    <row r="603" spans="1:16">
      <c r="A603" s="72">
        <f t="shared" si="25"/>
        <v>2015</v>
      </c>
      <c r="B603" s="72">
        <f t="shared" si="26"/>
        <v>7</v>
      </c>
      <c r="C603" s="73">
        <v>42187</v>
      </c>
      <c r="D603" s="73" t="s">
        <v>93</v>
      </c>
      <c r="E603" s="73">
        <v>42187</v>
      </c>
      <c r="F603" s="93" t="s">
        <v>575</v>
      </c>
      <c r="G603" s="265"/>
      <c r="H603" s="122" t="s">
        <v>271</v>
      </c>
      <c r="I603" s="122"/>
      <c r="J603" s="122"/>
      <c r="K603" s="122"/>
      <c r="L603" s="122"/>
      <c r="M603" s="74">
        <v>30000000</v>
      </c>
      <c r="N603" s="75" t="s">
        <v>54</v>
      </c>
      <c r="O603" s="75" t="s">
        <v>203</v>
      </c>
      <c r="P603" s="134" t="str">
        <f>IF(AND('331-CT'!$E$7=TH!H603,OR(N603="331",O603="331")),"x","")</f>
        <v/>
      </c>
    </row>
    <row r="604" spans="1:16">
      <c r="A604" s="72">
        <f t="shared" si="25"/>
        <v>2015</v>
      </c>
      <c r="B604" s="72">
        <f t="shared" si="26"/>
        <v>7</v>
      </c>
      <c r="C604" s="130">
        <v>42187</v>
      </c>
      <c r="D604" s="130" t="s">
        <v>72</v>
      </c>
      <c r="E604" s="130">
        <v>42176</v>
      </c>
      <c r="F604" s="131" t="s">
        <v>335</v>
      </c>
      <c r="G604" s="271" t="s">
        <v>536</v>
      </c>
      <c r="H604" s="132" t="s">
        <v>188</v>
      </c>
      <c r="I604" s="132"/>
      <c r="J604" s="132"/>
      <c r="K604" s="132"/>
      <c r="L604" s="132"/>
      <c r="M604" s="133">
        <v>2012800</v>
      </c>
      <c r="N604" s="134" t="s">
        <v>241</v>
      </c>
      <c r="O604" s="134" t="s">
        <v>203</v>
      </c>
      <c r="P604" s="134" t="str">
        <f>IF(AND('331-CT'!$E$7=TH!H604,OR(N604="331",O604="331")),"x","")</f>
        <v/>
      </c>
    </row>
    <row r="605" spans="1:16">
      <c r="A605" s="72">
        <f t="shared" si="25"/>
        <v>2015</v>
      </c>
      <c r="B605" s="72">
        <f t="shared" si="26"/>
        <v>7</v>
      </c>
      <c r="C605" s="73">
        <v>42187</v>
      </c>
      <c r="D605" s="130" t="s">
        <v>72</v>
      </c>
      <c r="E605" s="73">
        <v>42176</v>
      </c>
      <c r="F605" s="76" t="s">
        <v>336</v>
      </c>
      <c r="G605" s="270" t="s">
        <v>536</v>
      </c>
      <c r="H605" s="132" t="s">
        <v>188</v>
      </c>
      <c r="I605" s="132"/>
      <c r="J605" s="132"/>
      <c r="K605" s="132"/>
      <c r="L605" s="132"/>
      <c r="M605" s="74">
        <v>100640</v>
      </c>
      <c r="N605" s="75" t="s">
        <v>19</v>
      </c>
      <c r="O605" s="75" t="s">
        <v>203</v>
      </c>
      <c r="P605" s="134" t="str">
        <f>IF(AND('331-CT'!$E$7=TH!H605,OR(N605="331",O605="331")),"x","")</f>
        <v/>
      </c>
    </row>
    <row r="606" spans="1:16">
      <c r="A606" s="72">
        <f t="shared" si="25"/>
        <v>2015</v>
      </c>
      <c r="B606" s="72">
        <f t="shared" si="26"/>
        <v>7</v>
      </c>
      <c r="C606" s="73">
        <v>42187</v>
      </c>
      <c r="D606" s="73" t="s">
        <v>71</v>
      </c>
      <c r="E606" s="73">
        <v>42177</v>
      </c>
      <c r="F606" s="76" t="s">
        <v>332</v>
      </c>
      <c r="G606" s="270" t="s">
        <v>537</v>
      </c>
      <c r="H606" s="122" t="s">
        <v>334</v>
      </c>
      <c r="I606" s="122"/>
      <c r="J606" s="122"/>
      <c r="K606" s="122"/>
      <c r="L606" s="122"/>
      <c r="M606" s="74">
        <v>9662500</v>
      </c>
      <c r="N606" s="75" t="s">
        <v>654</v>
      </c>
      <c r="O606" s="75" t="s">
        <v>203</v>
      </c>
      <c r="P606" s="134" t="str">
        <f>IF(AND('331-CT'!$E$7=TH!H606,OR(N606="331",O606="331")),"x","")</f>
        <v/>
      </c>
    </row>
    <row r="607" spans="1:16">
      <c r="A607" s="72">
        <f t="shared" si="25"/>
        <v>2015</v>
      </c>
      <c r="B607" s="72">
        <f t="shared" si="26"/>
        <v>7</v>
      </c>
      <c r="C607" s="73">
        <v>42187</v>
      </c>
      <c r="D607" s="73" t="s">
        <v>71</v>
      </c>
      <c r="E607" s="73">
        <v>42177</v>
      </c>
      <c r="F607" s="76" t="s">
        <v>333</v>
      </c>
      <c r="G607" s="270" t="s">
        <v>537</v>
      </c>
      <c r="H607" s="122" t="s">
        <v>334</v>
      </c>
      <c r="I607" s="122"/>
      <c r="J607" s="122"/>
      <c r="K607" s="122"/>
      <c r="L607" s="122"/>
      <c r="M607" s="74">
        <v>966250</v>
      </c>
      <c r="N607" s="75" t="s">
        <v>19</v>
      </c>
      <c r="O607" s="75" t="s">
        <v>203</v>
      </c>
      <c r="P607" s="134" t="str">
        <f>IF(AND('331-CT'!$E$7=TH!H607,OR(N607="331",O607="331")),"x","")</f>
        <v/>
      </c>
    </row>
    <row r="608" spans="1:16">
      <c r="A608" s="72">
        <f t="shared" si="25"/>
        <v>2015</v>
      </c>
      <c r="B608" s="72">
        <f t="shared" si="26"/>
        <v>7</v>
      </c>
      <c r="C608" s="73">
        <v>42187</v>
      </c>
      <c r="D608" s="73" t="s">
        <v>21</v>
      </c>
      <c r="E608" s="73">
        <v>42187</v>
      </c>
      <c r="F608" s="76" t="s">
        <v>324</v>
      </c>
      <c r="G608" s="265"/>
      <c r="H608" s="122" t="s">
        <v>325</v>
      </c>
      <c r="I608" s="122"/>
      <c r="J608" s="122"/>
      <c r="K608" s="122"/>
      <c r="L608" s="122"/>
      <c r="M608" s="74">
        <v>1500000000</v>
      </c>
      <c r="N608" s="75" t="s">
        <v>54</v>
      </c>
      <c r="O608" s="75" t="s">
        <v>227</v>
      </c>
      <c r="P608" s="134" t="str">
        <f>IF(AND('331-CT'!$E$7=TH!H608,OR(N608="331",O608="331")),"x","")</f>
        <v/>
      </c>
    </row>
    <row r="609" spans="1:16">
      <c r="A609" s="72">
        <f t="shared" si="25"/>
        <v>2015</v>
      </c>
      <c r="B609" s="72">
        <f t="shared" si="26"/>
        <v>7</v>
      </c>
      <c r="C609" s="73">
        <v>42187</v>
      </c>
      <c r="D609" s="73" t="s">
        <v>17</v>
      </c>
      <c r="E609" s="73">
        <v>42187</v>
      </c>
      <c r="F609" s="76" t="s">
        <v>300</v>
      </c>
      <c r="G609" s="265"/>
      <c r="H609" s="9" t="s">
        <v>305</v>
      </c>
      <c r="I609" s="9"/>
      <c r="J609" s="9"/>
      <c r="K609" s="9"/>
      <c r="L609" s="9"/>
      <c r="M609" s="74">
        <v>200000000</v>
      </c>
      <c r="N609" s="75" t="s">
        <v>18</v>
      </c>
      <c r="O609" s="75" t="s">
        <v>54</v>
      </c>
      <c r="P609" s="134" t="str">
        <f>IF(AND('331-CT'!$E$7=TH!H609,OR(N609="331",O609="331")),"x","")</f>
        <v/>
      </c>
    </row>
    <row r="610" spans="1:16">
      <c r="A610" s="72">
        <f t="shared" si="25"/>
        <v>2015</v>
      </c>
      <c r="B610" s="72">
        <f t="shared" si="26"/>
        <v>7</v>
      </c>
      <c r="C610" s="73">
        <v>42187</v>
      </c>
      <c r="D610" s="73" t="s">
        <v>17</v>
      </c>
      <c r="E610" s="73">
        <v>42187</v>
      </c>
      <c r="F610" s="76" t="s">
        <v>34</v>
      </c>
      <c r="G610" s="265"/>
      <c r="H610" s="122"/>
      <c r="I610" s="122"/>
      <c r="J610" s="122"/>
      <c r="K610" s="122"/>
      <c r="L610" s="122"/>
      <c r="M610" s="74">
        <v>60000</v>
      </c>
      <c r="N610" s="75" t="s">
        <v>241</v>
      </c>
      <c r="O610" s="75" t="s">
        <v>54</v>
      </c>
      <c r="P610" s="134" t="str">
        <f>IF(AND('331-CT'!$E$7=TH!H610,OR(N610="331",O610="331")),"x","")</f>
        <v/>
      </c>
    </row>
    <row r="611" spans="1:16">
      <c r="A611" s="72">
        <f t="shared" si="25"/>
        <v>2015</v>
      </c>
      <c r="B611" s="72">
        <f t="shared" si="26"/>
        <v>7</v>
      </c>
      <c r="C611" s="73">
        <v>42187</v>
      </c>
      <c r="D611" s="73" t="s">
        <v>17</v>
      </c>
      <c r="E611" s="73">
        <v>42187</v>
      </c>
      <c r="F611" s="76" t="s">
        <v>35</v>
      </c>
      <c r="G611" s="265"/>
      <c r="H611" s="122"/>
      <c r="I611" s="122"/>
      <c r="J611" s="122"/>
      <c r="K611" s="122"/>
      <c r="L611" s="122"/>
      <c r="M611" s="74">
        <v>6000</v>
      </c>
      <c r="N611" s="75" t="s">
        <v>19</v>
      </c>
      <c r="O611" s="75" t="s">
        <v>54</v>
      </c>
      <c r="P611" s="134" t="str">
        <f>IF(AND('331-CT'!$E$7=TH!H611,OR(N611="331",O611="331")),"x","")</f>
        <v/>
      </c>
    </row>
    <row r="612" spans="1:16">
      <c r="A612" s="72">
        <f t="shared" si="25"/>
        <v>2015</v>
      </c>
      <c r="B612" s="72">
        <f t="shared" si="26"/>
        <v>7</v>
      </c>
      <c r="C612" s="73">
        <v>42187</v>
      </c>
      <c r="D612" s="73" t="s">
        <v>17</v>
      </c>
      <c r="E612" s="73">
        <v>42187</v>
      </c>
      <c r="F612" s="76" t="s">
        <v>300</v>
      </c>
      <c r="G612" s="265"/>
      <c r="H612" s="122" t="s">
        <v>85</v>
      </c>
      <c r="I612" s="122"/>
      <c r="J612" s="122"/>
      <c r="K612" s="122"/>
      <c r="L612" s="122"/>
      <c r="M612" s="74">
        <v>1000000000</v>
      </c>
      <c r="N612" s="75" t="s">
        <v>18</v>
      </c>
      <c r="O612" s="75" t="s">
        <v>54</v>
      </c>
      <c r="P612" s="134" t="str">
        <f>IF(AND('331-CT'!$E$7=TH!H612,OR(N612="331",O612="331")),"x","")</f>
        <v/>
      </c>
    </row>
    <row r="613" spans="1:16">
      <c r="A613" s="72">
        <f t="shared" si="25"/>
        <v>2015</v>
      </c>
      <c r="B613" s="72">
        <f t="shared" si="26"/>
        <v>7</v>
      </c>
      <c r="C613" s="73">
        <v>42187</v>
      </c>
      <c r="D613" s="73" t="s">
        <v>17</v>
      </c>
      <c r="E613" s="73">
        <v>42187</v>
      </c>
      <c r="F613" s="76" t="s">
        <v>34</v>
      </c>
      <c r="G613" s="265"/>
      <c r="H613" s="122"/>
      <c r="I613" s="122"/>
      <c r="J613" s="122"/>
      <c r="K613" s="122"/>
      <c r="L613" s="122"/>
      <c r="M613" s="74">
        <v>500000</v>
      </c>
      <c r="N613" s="75" t="s">
        <v>241</v>
      </c>
      <c r="O613" s="75" t="s">
        <v>54</v>
      </c>
      <c r="P613" s="134" t="str">
        <f>IF(AND('331-CT'!$E$7=TH!H613,OR(N613="331",O613="331")),"x","")</f>
        <v/>
      </c>
    </row>
    <row r="614" spans="1:16">
      <c r="A614" s="72">
        <f t="shared" si="25"/>
        <v>2015</v>
      </c>
      <c r="B614" s="72">
        <f t="shared" si="26"/>
        <v>7</v>
      </c>
      <c r="C614" s="73">
        <v>42187</v>
      </c>
      <c r="D614" s="73" t="s">
        <v>17</v>
      </c>
      <c r="E614" s="73">
        <v>42187</v>
      </c>
      <c r="F614" s="76" t="s">
        <v>35</v>
      </c>
      <c r="G614" s="265"/>
      <c r="H614" s="122"/>
      <c r="I614" s="122"/>
      <c r="J614" s="122"/>
      <c r="K614" s="122"/>
      <c r="L614" s="122"/>
      <c r="M614" s="74">
        <v>50000</v>
      </c>
      <c r="N614" s="75" t="s">
        <v>19</v>
      </c>
      <c r="O614" s="75" t="s">
        <v>54</v>
      </c>
      <c r="P614" s="134" t="str">
        <f>IF(AND('331-CT'!$E$7=TH!H614,OR(N614="331",O614="331")),"x","")</f>
        <v/>
      </c>
    </row>
    <row r="615" spans="1:16">
      <c r="A615" s="72">
        <f t="shared" si="25"/>
        <v>2015</v>
      </c>
      <c r="B615" s="72">
        <f t="shared" si="26"/>
        <v>7</v>
      </c>
      <c r="C615" s="73">
        <v>42187</v>
      </c>
      <c r="D615" s="73" t="s">
        <v>78</v>
      </c>
      <c r="E615" s="73">
        <v>42187</v>
      </c>
      <c r="F615" s="76" t="s">
        <v>288</v>
      </c>
      <c r="G615" s="270" t="s">
        <v>572</v>
      </c>
      <c r="H615" s="122" t="s">
        <v>85</v>
      </c>
      <c r="I615" s="122"/>
      <c r="J615" s="122"/>
      <c r="K615" s="122"/>
      <c r="L615" s="122"/>
      <c r="M615" s="74">
        <v>909090909</v>
      </c>
      <c r="N615" s="136" t="s">
        <v>654</v>
      </c>
      <c r="O615" s="75" t="s">
        <v>18</v>
      </c>
      <c r="P615" s="134" t="str">
        <f>IF(AND('331-CT'!$E$7=TH!H615,OR(N615="331",O615="331")),"x","")</f>
        <v/>
      </c>
    </row>
    <row r="616" spans="1:16">
      <c r="A616" s="72">
        <f t="shared" si="25"/>
        <v>2015</v>
      </c>
      <c r="B616" s="72">
        <f t="shared" si="26"/>
        <v>7</v>
      </c>
      <c r="C616" s="73">
        <v>42187</v>
      </c>
      <c r="D616" s="73" t="s">
        <v>78</v>
      </c>
      <c r="E616" s="73">
        <v>42187</v>
      </c>
      <c r="F616" s="76" t="s">
        <v>289</v>
      </c>
      <c r="G616" s="270" t="s">
        <v>572</v>
      </c>
      <c r="H616" s="122" t="s">
        <v>85</v>
      </c>
      <c r="I616" s="122"/>
      <c r="J616" s="122"/>
      <c r="K616" s="122"/>
      <c r="L616" s="122"/>
      <c r="M616" s="74">
        <v>90909091</v>
      </c>
      <c r="N616" s="136" t="s">
        <v>19</v>
      </c>
      <c r="O616" s="75" t="s">
        <v>18</v>
      </c>
      <c r="P616" s="134" t="str">
        <f>IF(AND('331-CT'!$E$7=TH!H616,OR(N616="331",O616="331")),"x","")</f>
        <v/>
      </c>
    </row>
    <row r="617" spans="1:16">
      <c r="A617" s="72">
        <f t="shared" si="25"/>
        <v>2015</v>
      </c>
      <c r="B617" s="72">
        <f t="shared" si="26"/>
        <v>7</v>
      </c>
      <c r="C617" s="73">
        <v>42188</v>
      </c>
      <c r="D617" s="73" t="s">
        <v>17</v>
      </c>
      <c r="E617" s="73">
        <v>42188</v>
      </c>
      <c r="F617" s="76" t="s">
        <v>300</v>
      </c>
      <c r="G617" s="265"/>
      <c r="H617" s="9" t="s">
        <v>190</v>
      </c>
      <c r="I617" s="9"/>
      <c r="J617" s="9"/>
      <c r="K617" s="9"/>
      <c r="L617" s="9"/>
      <c r="M617" s="74">
        <v>250000000</v>
      </c>
      <c r="N617" s="75" t="s">
        <v>18</v>
      </c>
      <c r="O617" s="75" t="s">
        <v>54</v>
      </c>
      <c r="P617" s="134" t="str">
        <f>IF(AND('331-CT'!$E$7=TH!H617,OR(N617="331",O617="331")),"x","")</f>
        <v/>
      </c>
    </row>
    <row r="618" spans="1:16">
      <c r="A618" s="72">
        <f t="shared" si="25"/>
        <v>2015</v>
      </c>
      <c r="B618" s="72">
        <f t="shared" si="26"/>
        <v>7</v>
      </c>
      <c r="C618" s="73">
        <v>42188</v>
      </c>
      <c r="D618" s="73" t="s">
        <v>17</v>
      </c>
      <c r="E618" s="73">
        <v>42188</v>
      </c>
      <c r="F618" s="76" t="s">
        <v>34</v>
      </c>
      <c r="G618" s="265"/>
      <c r="H618" s="122"/>
      <c r="I618" s="122"/>
      <c r="J618" s="122"/>
      <c r="K618" s="122"/>
      <c r="L618" s="122"/>
      <c r="M618" s="74">
        <v>125000</v>
      </c>
      <c r="N618" s="75" t="s">
        <v>241</v>
      </c>
      <c r="O618" s="75" t="s">
        <v>54</v>
      </c>
      <c r="P618" s="134" t="str">
        <f>IF(AND('331-CT'!$E$7=TH!H618,OR(N618="331",O618="331")),"x","")</f>
        <v/>
      </c>
    </row>
    <row r="619" spans="1:16">
      <c r="A619" s="72">
        <f t="shared" si="25"/>
        <v>2015</v>
      </c>
      <c r="B619" s="72">
        <f t="shared" si="26"/>
        <v>7</v>
      </c>
      <c r="C619" s="73">
        <v>42188</v>
      </c>
      <c r="D619" s="73" t="s">
        <v>17</v>
      </c>
      <c r="E619" s="73">
        <v>42188</v>
      </c>
      <c r="F619" s="76" t="s">
        <v>35</v>
      </c>
      <c r="G619" s="265"/>
      <c r="H619" s="122"/>
      <c r="I619" s="122"/>
      <c r="J619" s="122"/>
      <c r="K619" s="122"/>
      <c r="L619" s="122"/>
      <c r="M619" s="74">
        <v>12500</v>
      </c>
      <c r="N619" s="75" t="s">
        <v>19</v>
      </c>
      <c r="O619" s="75" t="s">
        <v>54</v>
      </c>
      <c r="P619" s="134" t="str">
        <f>IF(AND('331-CT'!$E$7=TH!H619,OR(N619="331",O619="331")),"x","")</f>
        <v/>
      </c>
    </row>
    <row r="620" spans="1:16" ht="13.5" customHeight="1">
      <c r="A620" s="72">
        <f t="shared" si="25"/>
        <v>2015</v>
      </c>
      <c r="B620" s="72">
        <f t="shared" si="26"/>
        <v>7</v>
      </c>
      <c r="C620" s="73">
        <v>42188</v>
      </c>
      <c r="D620" s="73" t="s">
        <v>17</v>
      </c>
      <c r="E620" s="73">
        <v>42188</v>
      </c>
      <c r="F620" s="76" t="s">
        <v>306</v>
      </c>
      <c r="G620" s="265"/>
      <c r="H620" s="9" t="s">
        <v>311</v>
      </c>
      <c r="I620" s="9"/>
      <c r="J620" s="9"/>
      <c r="K620" s="9"/>
      <c r="L620" s="9"/>
      <c r="M620" s="74">
        <v>21610454</v>
      </c>
      <c r="N620" s="75" t="s">
        <v>18</v>
      </c>
      <c r="O620" s="75" t="s">
        <v>54</v>
      </c>
      <c r="P620" s="134" t="str">
        <f>IF(AND('331-CT'!$E$7=TH!H620,OR(N620="331",O620="331")),"x","")</f>
        <v/>
      </c>
    </row>
    <row r="621" spans="1:16">
      <c r="A621" s="72">
        <f t="shared" si="25"/>
        <v>2015</v>
      </c>
      <c r="B621" s="72">
        <f t="shared" si="26"/>
        <v>7</v>
      </c>
      <c r="C621" s="73">
        <v>42191</v>
      </c>
      <c r="D621" s="73" t="s">
        <v>133</v>
      </c>
      <c r="E621" s="73">
        <v>42191</v>
      </c>
      <c r="F621" s="93" t="s">
        <v>575</v>
      </c>
      <c r="G621" s="265"/>
      <c r="H621" s="122" t="s">
        <v>307</v>
      </c>
      <c r="I621" s="122"/>
      <c r="J621" s="122"/>
      <c r="K621" s="122"/>
      <c r="L621" s="122"/>
      <c r="M621" s="74">
        <v>500000000</v>
      </c>
      <c r="N621" s="75" t="s">
        <v>54</v>
      </c>
      <c r="O621" s="75" t="s">
        <v>203</v>
      </c>
      <c r="P621" s="134" t="str">
        <f>IF(AND('331-CT'!$E$7=TH!H621,OR(N621="331",O621="331")),"x","")</f>
        <v/>
      </c>
    </row>
    <row r="622" spans="1:16">
      <c r="A622" s="72">
        <f t="shared" si="25"/>
        <v>2015</v>
      </c>
      <c r="B622" s="72">
        <f t="shared" si="26"/>
        <v>7</v>
      </c>
      <c r="C622" s="73">
        <v>42193</v>
      </c>
      <c r="D622" s="73" t="s">
        <v>134</v>
      </c>
      <c r="E622" s="73">
        <v>42193</v>
      </c>
      <c r="F622" s="76" t="s">
        <v>337</v>
      </c>
      <c r="G622" s="270" t="s">
        <v>538</v>
      </c>
      <c r="H622" s="122" t="s">
        <v>338</v>
      </c>
      <c r="I622" s="122"/>
      <c r="J622" s="122"/>
      <c r="K622" s="122"/>
      <c r="L622" s="122"/>
      <c r="M622" s="74">
        <v>2400000</v>
      </c>
      <c r="N622" s="75" t="s">
        <v>654</v>
      </c>
      <c r="O622" s="75" t="s">
        <v>203</v>
      </c>
      <c r="P622" s="134" t="str">
        <f>IF(AND('331-CT'!$E$7=TH!H622,OR(N622="331",O622="331")),"x","")</f>
        <v/>
      </c>
    </row>
    <row r="623" spans="1:16">
      <c r="A623" s="72">
        <f t="shared" si="25"/>
        <v>2015</v>
      </c>
      <c r="B623" s="72">
        <f t="shared" si="26"/>
        <v>7</v>
      </c>
      <c r="C623" s="73">
        <v>42193</v>
      </c>
      <c r="D623" s="73" t="s">
        <v>135</v>
      </c>
      <c r="E623" s="73">
        <v>42193</v>
      </c>
      <c r="F623" s="76" t="s">
        <v>339</v>
      </c>
      <c r="G623" s="270" t="s">
        <v>539</v>
      </c>
      <c r="H623" s="122" t="s">
        <v>279</v>
      </c>
      <c r="I623" s="122"/>
      <c r="J623" s="122"/>
      <c r="K623" s="122"/>
      <c r="L623" s="122"/>
      <c r="M623" s="74">
        <v>38267</v>
      </c>
      <c r="N623" s="75" t="s">
        <v>241</v>
      </c>
      <c r="O623" s="75" t="s">
        <v>203</v>
      </c>
      <c r="P623" s="134" t="str">
        <f>IF(AND('331-CT'!$E$7=TH!H623,OR(N623="331",O623="331")),"x","")</f>
        <v/>
      </c>
    </row>
    <row r="624" spans="1:16">
      <c r="A624" s="72">
        <f t="shared" si="25"/>
        <v>2015</v>
      </c>
      <c r="B624" s="72">
        <f t="shared" si="26"/>
        <v>7</v>
      </c>
      <c r="C624" s="73">
        <v>42193</v>
      </c>
      <c r="D624" s="73" t="s">
        <v>135</v>
      </c>
      <c r="E624" s="73">
        <v>42193</v>
      </c>
      <c r="F624" s="76" t="s">
        <v>340</v>
      </c>
      <c r="G624" s="270" t="s">
        <v>539</v>
      </c>
      <c r="H624" s="122" t="s">
        <v>279</v>
      </c>
      <c r="I624" s="122"/>
      <c r="J624" s="122"/>
      <c r="K624" s="122"/>
      <c r="L624" s="122"/>
      <c r="M624" s="74">
        <v>3827</v>
      </c>
      <c r="N624" s="75" t="s">
        <v>19</v>
      </c>
      <c r="O624" s="75" t="s">
        <v>203</v>
      </c>
      <c r="P624" s="134" t="str">
        <f>IF(AND('331-CT'!$E$7=TH!H624,OR(N624="331",O624="331")),"x","")</f>
        <v/>
      </c>
    </row>
    <row r="625" spans="1:16">
      <c r="A625" s="72">
        <f t="shared" si="25"/>
        <v>2015</v>
      </c>
      <c r="B625" s="72">
        <f t="shared" si="26"/>
        <v>7</v>
      </c>
      <c r="C625" s="73">
        <v>42193</v>
      </c>
      <c r="D625" s="73" t="s">
        <v>135</v>
      </c>
      <c r="E625" s="73">
        <v>42193</v>
      </c>
      <c r="F625" s="76" t="s">
        <v>341</v>
      </c>
      <c r="G625" s="270" t="s">
        <v>540</v>
      </c>
      <c r="H625" s="122" t="s">
        <v>279</v>
      </c>
      <c r="I625" s="122"/>
      <c r="J625" s="122"/>
      <c r="K625" s="122"/>
      <c r="L625" s="122"/>
      <c r="M625" s="74">
        <v>15300</v>
      </c>
      <c r="N625" s="75" t="s">
        <v>241</v>
      </c>
      <c r="O625" s="75" t="s">
        <v>203</v>
      </c>
      <c r="P625" s="134" t="str">
        <f>IF(AND('331-CT'!$E$7=TH!H625,OR(N625="331",O625="331")),"x","")</f>
        <v/>
      </c>
    </row>
    <row r="626" spans="1:16">
      <c r="A626" s="72">
        <f t="shared" si="25"/>
        <v>2015</v>
      </c>
      <c r="B626" s="72">
        <f t="shared" si="26"/>
        <v>7</v>
      </c>
      <c r="C626" s="73">
        <v>42193</v>
      </c>
      <c r="D626" s="73" t="s">
        <v>135</v>
      </c>
      <c r="E626" s="73">
        <v>42193</v>
      </c>
      <c r="F626" s="76" t="s">
        <v>342</v>
      </c>
      <c r="G626" s="270" t="s">
        <v>540</v>
      </c>
      <c r="H626" s="122" t="s">
        <v>279</v>
      </c>
      <c r="I626" s="122"/>
      <c r="J626" s="122"/>
      <c r="K626" s="122"/>
      <c r="L626" s="122"/>
      <c r="M626" s="74">
        <v>1530</v>
      </c>
      <c r="N626" s="75" t="s">
        <v>19</v>
      </c>
      <c r="O626" s="75" t="s">
        <v>203</v>
      </c>
      <c r="P626" s="134" t="str">
        <f>IF(AND('331-CT'!$E$7=TH!H626,OR(N626="331",O626="331")),"x","")</f>
        <v/>
      </c>
    </row>
    <row r="627" spans="1:16">
      <c r="A627" s="72">
        <f t="shared" si="25"/>
        <v>2015</v>
      </c>
      <c r="B627" s="72">
        <f t="shared" si="26"/>
        <v>7</v>
      </c>
      <c r="C627" s="73">
        <v>42193</v>
      </c>
      <c r="D627" s="73" t="s">
        <v>135</v>
      </c>
      <c r="E627" s="73">
        <v>42193</v>
      </c>
      <c r="F627" s="76" t="s">
        <v>343</v>
      </c>
      <c r="G627" s="270" t="s">
        <v>541</v>
      </c>
      <c r="H627" s="122" t="s">
        <v>279</v>
      </c>
      <c r="I627" s="122"/>
      <c r="J627" s="122"/>
      <c r="K627" s="122"/>
      <c r="L627" s="122"/>
      <c r="M627" s="74">
        <v>133000</v>
      </c>
      <c r="N627" s="75" t="s">
        <v>241</v>
      </c>
      <c r="O627" s="75" t="s">
        <v>203</v>
      </c>
      <c r="P627" s="134" t="str">
        <f>IF(AND('331-CT'!$E$7=TH!H627,OR(N627="331",O627="331")),"x","")</f>
        <v/>
      </c>
    </row>
    <row r="628" spans="1:16">
      <c r="A628" s="72">
        <f t="shared" si="25"/>
        <v>2015</v>
      </c>
      <c r="B628" s="72">
        <f t="shared" si="26"/>
        <v>7</v>
      </c>
      <c r="C628" s="73">
        <v>42193</v>
      </c>
      <c r="D628" s="73" t="s">
        <v>135</v>
      </c>
      <c r="E628" s="73">
        <v>42193</v>
      </c>
      <c r="F628" s="76" t="s">
        <v>344</v>
      </c>
      <c r="G628" s="270" t="s">
        <v>541</v>
      </c>
      <c r="H628" s="122" t="s">
        <v>279</v>
      </c>
      <c r="I628" s="122"/>
      <c r="J628" s="122"/>
      <c r="K628" s="122"/>
      <c r="L628" s="122"/>
      <c r="M628" s="74">
        <v>13300</v>
      </c>
      <c r="N628" s="75" t="s">
        <v>19</v>
      </c>
      <c r="O628" s="75" t="s">
        <v>203</v>
      </c>
      <c r="P628" s="134" t="str">
        <f>IF(AND('331-CT'!$E$7=TH!H628,OR(N628="331",O628="331")),"x","")</f>
        <v/>
      </c>
    </row>
    <row r="629" spans="1:16">
      <c r="A629" s="72">
        <f t="shared" si="25"/>
        <v>2015</v>
      </c>
      <c r="B629" s="72">
        <f t="shared" si="26"/>
        <v>7</v>
      </c>
      <c r="C629" s="73">
        <v>42193</v>
      </c>
      <c r="D629" s="73" t="s">
        <v>78</v>
      </c>
      <c r="E629" s="73">
        <v>42193</v>
      </c>
      <c r="F629" s="76" t="s">
        <v>327</v>
      </c>
      <c r="G629" s="265" t="s">
        <v>326</v>
      </c>
      <c r="H629" s="9" t="s">
        <v>304</v>
      </c>
      <c r="I629" s="9"/>
      <c r="J629" s="9"/>
      <c r="K629" s="9"/>
      <c r="L629" s="9"/>
      <c r="M629" s="74">
        <v>136478605</v>
      </c>
      <c r="N629" s="75" t="s">
        <v>654</v>
      </c>
      <c r="O629" s="75" t="s">
        <v>18</v>
      </c>
      <c r="P629" s="134" t="str">
        <f>IF(AND('331-CT'!$E$7=TH!H629,OR(N629="331",O629="331")),"x","")</f>
        <v/>
      </c>
    </row>
    <row r="630" spans="1:16">
      <c r="A630" s="72">
        <f t="shared" si="25"/>
        <v>2015</v>
      </c>
      <c r="B630" s="72">
        <f t="shared" si="26"/>
        <v>7</v>
      </c>
      <c r="C630" s="73">
        <v>42193</v>
      </c>
      <c r="D630" s="73" t="s">
        <v>78</v>
      </c>
      <c r="E630" s="73">
        <v>42193</v>
      </c>
      <c r="F630" s="76" t="s">
        <v>328</v>
      </c>
      <c r="G630" s="265" t="s">
        <v>326</v>
      </c>
      <c r="H630" s="9" t="s">
        <v>304</v>
      </c>
      <c r="I630" s="9"/>
      <c r="J630" s="9"/>
      <c r="K630" s="9"/>
      <c r="L630" s="9"/>
      <c r="M630" s="74">
        <v>13647861</v>
      </c>
      <c r="N630" s="75" t="s">
        <v>19</v>
      </c>
      <c r="O630" s="75" t="s">
        <v>18</v>
      </c>
      <c r="P630" s="134" t="str">
        <f>IF(AND('331-CT'!$E$7=TH!H630,OR(N630="331",O630="331")),"x","")</f>
        <v/>
      </c>
    </row>
    <row r="631" spans="1:16">
      <c r="A631" s="72">
        <f t="shared" si="25"/>
        <v>2015</v>
      </c>
      <c r="B631" s="72">
        <f t="shared" si="26"/>
        <v>7</v>
      </c>
      <c r="C631" s="73">
        <v>42193</v>
      </c>
      <c r="D631" s="73" t="s">
        <v>78</v>
      </c>
      <c r="E631" s="73">
        <v>42193</v>
      </c>
      <c r="F631" s="76" t="s">
        <v>602</v>
      </c>
      <c r="G631" s="265"/>
      <c r="H631" s="9" t="s">
        <v>304</v>
      </c>
      <c r="I631" s="9"/>
      <c r="J631" s="9"/>
      <c r="K631" s="9"/>
      <c r="L631" s="9"/>
      <c r="M631" s="74">
        <v>327600</v>
      </c>
      <c r="N631" s="75" t="s">
        <v>241</v>
      </c>
      <c r="O631" s="75" t="s">
        <v>18</v>
      </c>
      <c r="P631" s="134" t="str">
        <f>IF(AND('331-CT'!$E$7=TH!H631,OR(N631="331",O631="331")),"x","")</f>
        <v/>
      </c>
    </row>
    <row r="632" spans="1:16">
      <c r="A632" s="72">
        <f t="shared" si="25"/>
        <v>2015</v>
      </c>
      <c r="B632" s="72">
        <f t="shared" si="26"/>
        <v>7</v>
      </c>
      <c r="C632" s="73">
        <v>42194</v>
      </c>
      <c r="D632" s="73" t="s">
        <v>17</v>
      </c>
      <c r="E632" s="73">
        <v>42194</v>
      </c>
      <c r="F632" s="76" t="s">
        <v>414</v>
      </c>
      <c r="G632" s="265"/>
      <c r="H632" s="122" t="s">
        <v>750</v>
      </c>
      <c r="I632" s="122"/>
      <c r="J632" s="122"/>
      <c r="K632" s="122"/>
      <c r="L632" s="122"/>
      <c r="M632" s="74">
        <v>105126466</v>
      </c>
      <c r="N632" s="75" t="s">
        <v>212</v>
      </c>
      <c r="O632" s="75" t="s">
        <v>54</v>
      </c>
      <c r="P632" s="134" t="str">
        <f>IF(AND('331-CT'!$E$7=TH!H632,OR(N632="331",O632="331")),"x","")</f>
        <v/>
      </c>
    </row>
    <row r="633" spans="1:16">
      <c r="A633" s="72">
        <f t="shared" si="25"/>
        <v>2015</v>
      </c>
      <c r="B633" s="72">
        <f t="shared" si="26"/>
        <v>7</v>
      </c>
      <c r="C633" s="73">
        <v>42194</v>
      </c>
      <c r="D633" s="73" t="s">
        <v>17</v>
      </c>
      <c r="E633" s="73">
        <v>42194</v>
      </c>
      <c r="F633" s="76" t="s">
        <v>422</v>
      </c>
      <c r="G633" s="265"/>
      <c r="H633" s="122"/>
      <c r="I633" s="122"/>
      <c r="J633" s="122"/>
      <c r="K633" s="122"/>
      <c r="L633" s="122"/>
      <c r="M633" s="74">
        <v>327600</v>
      </c>
      <c r="N633" s="75" t="s">
        <v>241</v>
      </c>
      <c r="O633" s="75" t="s">
        <v>54</v>
      </c>
      <c r="P633" s="134" t="str">
        <f>IF(AND('331-CT'!$E$7=TH!H633,OR(N633="331",O633="331")),"x","")</f>
        <v/>
      </c>
    </row>
    <row r="634" spans="1:16">
      <c r="A634" s="72">
        <f t="shared" si="25"/>
        <v>2015</v>
      </c>
      <c r="B634" s="72">
        <f t="shared" si="26"/>
        <v>7</v>
      </c>
      <c r="C634" s="73">
        <v>42195</v>
      </c>
      <c r="D634" s="73" t="s">
        <v>17</v>
      </c>
      <c r="E634" s="73">
        <v>42195</v>
      </c>
      <c r="F634" s="76" t="s">
        <v>300</v>
      </c>
      <c r="G634" s="265"/>
      <c r="H634" s="9" t="s">
        <v>304</v>
      </c>
      <c r="I634" s="9"/>
      <c r="J634" s="9"/>
      <c r="K634" s="9"/>
      <c r="L634" s="9"/>
      <c r="M634" s="74">
        <v>105454066</v>
      </c>
      <c r="N634" s="75" t="s">
        <v>18</v>
      </c>
      <c r="O634" s="75" t="s">
        <v>54</v>
      </c>
      <c r="P634" s="134" t="str">
        <f>IF(AND('331-CT'!$E$7=TH!H634,OR(N634="331",O634="331")),"x","")</f>
        <v/>
      </c>
    </row>
    <row r="635" spans="1:16">
      <c r="A635" s="72">
        <f t="shared" si="25"/>
        <v>2015</v>
      </c>
      <c r="B635" s="72">
        <f t="shared" si="26"/>
        <v>7</v>
      </c>
      <c r="C635" s="73">
        <v>42195</v>
      </c>
      <c r="D635" s="73" t="s">
        <v>17</v>
      </c>
      <c r="E635" s="73">
        <v>42195</v>
      </c>
      <c r="F635" s="76" t="s">
        <v>34</v>
      </c>
      <c r="G635" s="265"/>
      <c r="H635" s="9"/>
      <c r="I635" s="9"/>
      <c r="J635" s="9"/>
      <c r="K635" s="9"/>
      <c r="L635" s="9"/>
      <c r="M635" s="74">
        <v>31636</v>
      </c>
      <c r="N635" s="75" t="s">
        <v>241</v>
      </c>
      <c r="O635" s="75" t="s">
        <v>54</v>
      </c>
      <c r="P635" s="134" t="str">
        <f>IF(AND('331-CT'!$E$7=TH!H635,OR(N635="331",O635="331")),"x","")</f>
        <v/>
      </c>
    </row>
    <row r="636" spans="1:16">
      <c r="A636" s="72">
        <f t="shared" si="25"/>
        <v>2015</v>
      </c>
      <c r="B636" s="72">
        <f t="shared" si="26"/>
        <v>7</v>
      </c>
      <c r="C636" s="73">
        <v>42195</v>
      </c>
      <c r="D636" s="73" t="s">
        <v>17</v>
      </c>
      <c r="E636" s="73">
        <v>42195</v>
      </c>
      <c r="F636" s="76" t="s">
        <v>35</v>
      </c>
      <c r="G636" s="265"/>
      <c r="H636" s="9"/>
      <c r="I636" s="9"/>
      <c r="J636" s="9"/>
      <c r="K636" s="9"/>
      <c r="L636" s="9"/>
      <c r="M636" s="74">
        <v>3164</v>
      </c>
      <c r="N636" s="75" t="s">
        <v>19</v>
      </c>
      <c r="O636" s="75" t="s">
        <v>54</v>
      </c>
      <c r="P636" s="134" t="str">
        <f>IF(AND('331-CT'!$E$7=TH!H636,OR(N636="331",O636="331")),"x","")</f>
        <v/>
      </c>
    </row>
    <row r="637" spans="1:16">
      <c r="A637" s="72">
        <f t="shared" si="25"/>
        <v>2015</v>
      </c>
      <c r="B637" s="72">
        <f t="shared" si="26"/>
        <v>7</v>
      </c>
      <c r="C637" s="73">
        <v>42195</v>
      </c>
      <c r="D637" s="73" t="s">
        <v>17</v>
      </c>
      <c r="E637" s="73">
        <v>42195</v>
      </c>
      <c r="F637" s="76" t="s">
        <v>300</v>
      </c>
      <c r="G637" s="265"/>
      <c r="H637" s="9" t="s">
        <v>299</v>
      </c>
      <c r="I637" s="9"/>
      <c r="J637" s="9"/>
      <c r="K637" s="9"/>
      <c r="L637" s="9"/>
      <c r="M637" s="74">
        <v>55297700</v>
      </c>
      <c r="N637" s="75" t="s">
        <v>18</v>
      </c>
      <c r="O637" s="75" t="s">
        <v>54</v>
      </c>
      <c r="P637" s="134" t="str">
        <f>IF(AND('331-CT'!$E$7=TH!H637,OR(N637="331",O637="331")),"x","")</f>
        <v/>
      </c>
    </row>
    <row r="638" spans="1:16">
      <c r="A638" s="72">
        <f t="shared" si="25"/>
        <v>2015</v>
      </c>
      <c r="B638" s="72">
        <f t="shared" si="26"/>
        <v>7</v>
      </c>
      <c r="C638" s="73">
        <v>42195</v>
      </c>
      <c r="D638" s="73" t="s">
        <v>17</v>
      </c>
      <c r="E638" s="73">
        <v>42195</v>
      </c>
      <c r="F638" s="76" t="s">
        <v>34</v>
      </c>
      <c r="G638" s="265"/>
      <c r="H638" s="122"/>
      <c r="I638" s="122"/>
      <c r="J638" s="122"/>
      <c r="K638" s="122"/>
      <c r="L638" s="122"/>
      <c r="M638" s="74">
        <v>20000</v>
      </c>
      <c r="N638" s="75" t="s">
        <v>241</v>
      </c>
      <c r="O638" s="75" t="s">
        <v>54</v>
      </c>
      <c r="P638" s="134" t="str">
        <f>IF(AND('331-CT'!$E$7=TH!H638,OR(N638="331",O638="331")),"x","")</f>
        <v/>
      </c>
    </row>
    <row r="639" spans="1:16">
      <c r="A639" s="72">
        <f t="shared" si="25"/>
        <v>2015</v>
      </c>
      <c r="B639" s="72">
        <f t="shared" si="26"/>
        <v>7</v>
      </c>
      <c r="C639" s="73">
        <v>42195</v>
      </c>
      <c r="D639" s="73" t="s">
        <v>17</v>
      </c>
      <c r="E639" s="73">
        <v>42195</v>
      </c>
      <c r="F639" s="76" t="s">
        <v>35</v>
      </c>
      <c r="G639" s="265"/>
      <c r="H639" s="122"/>
      <c r="I639" s="122"/>
      <c r="J639" s="122"/>
      <c r="K639" s="122"/>
      <c r="L639" s="122"/>
      <c r="M639" s="74">
        <v>2000</v>
      </c>
      <c r="N639" s="75" t="s">
        <v>19</v>
      </c>
      <c r="O639" s="75" t="s">
        <v>54</v>
      </c>
      <c r="P639" s="134" t="str">
        <f>IF(AND('331-CT'!$E$7=TH!H639,OR(N639="331",O639="331")),"x","")</f>
        <v/>
      </c>
    </row>
    <row r="640" spans="1:16">
      <c r="A640" s="72">
        <f t="shared" si="25"/>
        <v>2015</v>
      </c>
      <c r="B640" s="72">
        <f t="shared" si="26"/>
        <v>7</v>
      </c>
      <c r="C640" s="73">
        <v>42195</v>
      </c>
      <c r="D640" s="73" t="s">
        <v>21</v>
      </c>
      <c r="E640" s="73">
        <v>42195</v>
      </c>
      <c r="F640" s="76" t="s">
        <v>415</v>
      </c>
      <c r="G640" s="265"/>
      <c r="H640" s="122" t="s">
        <v>416</v>
      </c>
      <c r="I640" s="122"/>
      <c r="J640" s="122"/>
      <c r="K640" s="122"/>
      <c r="L640" s="122"/>
      <c r="M640" s="74">
        <v>1500000000</v>
      </c>
      <c r="N640" s="75" t="s">
        <v>54</v>
      </c>
      <c r="O640" s="75" t="s">
        <v>227</v>
      </c>
      <c r="P640" s="134" t="str">
        <f>IF(AND('331-CT'!$E$7=TH!H640,OR(N640="331",O640="331")),"x","")</f>
        <v/>
      </c>
    </row>
    <row r="641" spans="1:16">
      <c r="A641" s="72">
        <f t="shared" si="25"/>
        <v>2015</v>
      </c>
      <c r="B641" s="72">
        <f t="shared" si="26"/>
        <v>7</v>
      </c>
      <c r="C641" s="73">
        <v>42198</v>
      </c>
      <c r="D641" s="73" t="s">
        <v>17</v>
      </c>
      <c r="E641" s="73">
        <v>42198</v>
      </c>
      <c r="F641" s="76" t="s">
        <v>300</v>
      </c>
      <c r="G641" s="265"/>
      <c r="H641" s="9" t="s">
        <v>268</v>
      </c>
      <c r="I641" s="9"/>
      <c r="J641" s="9"/>
      <c r="K641" s="9"/>
      <c r="L641" s="9"/>
      <c r="M641" s="74">
        <v>500000000</v>
      </c>
      <c r="N641" s="75" t="s">
        <v>18</v>
      </c>
      <c r="O641" s="75" t="s">
        <v>54</v>
      </c>
      <c r="P641" s="134" t="str">
        <f>IF(AND('331-CT'!$E$7=TH!H641,OR(N641="331",O641="331")),"x","")</f>
        <v/>
      </c>
    </row>
    <row r="642" spans="1:16">
      <c r="A642" s="72">
        <f t="shared" si="25"/>
        <v>2015</v>
      </c>
      <c r="B642" s="72">
        <f t="shared" si="26"/>
        <v>7</v>
      </c>
      <c r="C642" s="73">
        <v>42198</v>
      </c>
      <c r="D642" s="73" t="s">
        <v>17</v>
      </c>
      <c r="E642" s="73">
        <v>42198</v>
      </c>
      <c r="F642" s="76" t="s">
        <v>34</v>
      </c>
      <c r="G642" s="265"/>
      <c r="H642" s="122"/>
      <c r="I642" s="122"/>
      <c r="J642" s="122"/>
      <c r="K642" s="122"/>
      <c r="L642" s="122"/>
      <c r="M642" s="74">
        <v>250000</v>
      </c>
      <c r="N642" s="75" t="s">
        <v>241</v>
      </c>
      <c r="O642" s="75" t="s">
        <v>54</v>
      </c>
      <c r="P642" s="134" t="str">
        <f>IF(AND('331-CT'!$E$7=TH!H642,OR(N642="331",O642="331")),"x","")</f>
        <v/>
      </c>
    </row>
    <row r="643" spans="1:16">
      <c r="A643" s="72">
        <f t="shared" si="25"/>
        <v>2015</v>
      </c>
      <c r="B643" s="72">
        <f t="shared" si="26"/>
        <v>7</v>
      </c>
      <c r="C643" s="73">
        <v>42198</v>
      </c>
      <c r="D643" s="73" t="s">
        <v>17</v>
      </c>
      <c r="E643" s="73">
        <v>42198</v>
      </c>
      <c r="F643" s="76" t="s">
        <v>35</v>
      </c>
      <c r="G643" s="265"/>
      <c r="H643" s="122"/>
      <c r="I643" s="122"/>
      <c r="J643" s="122"/>
      <c r="K643" s="122"/>
      <c r="L643" s="122"/>
      <c r="M643" s="74">
        <v>25000</v>
      </c>
      <c r="N643" s="75" t="s">
        <v>19</v>
      </c>
      <c r="O643" s="75" t="s">
        <v>54</v>
      </c>
      <c r="P643" s="134" t="str">
        <f>IF(AND('331-CT'!$E$7=TH!H643,OR(N643="331",O643="331")),"x","")</f>
        <v/>
      </c>
    </row>
    <row r="644" spans="1:16">
      <c r="A644" s="72">
        <f t="shared" si="25"/>
        <v>2015</v>
      </c>
      <c r="B644" s="72">
        <f t="shared" si="26"/>
        <v>7</v>
      </c>
      <c r="C644" s="73">
        <v>42198</v>
      </c>
      <c r="D644" s="73" t="s">
        <v>17</v>
      </c>
      <c r="E644" s="73">
        <v>42198</v>
      </c>
      <c r="F644" s="76" t="s">
        <v>300</v>
      </c>
      <c r="G644" s="265"/>
      <c r="H644" s="9" t="s">
        <v>172</v>
      </c>
      <c r="I644" s="9"/>
      <c r="J644" s="9"/>
      <c r="K644" s="9"/>
      <c r="L644" s="9"/>
      <c r="M644" s="74">
        <v>100000000</v>
      </c>
      <c r="N644" s="75" t="s">
        <v>18</v>
      </c>
      <c r="O644" s="75" t="s">
        <v>54</v>
      </c>
      <c r="P644" s="134" t="str">
        <f>IF(AND('331-CT'!$E$7=TH!H644,OR(N644="331",O644="331")),"x","")</f>
        <v/>
      </c>
    </row>
    <row r="645" spans="1:16">
      <c r="A645" s="72">
        <f t="shared" si="25"/>
        <v>2015</v>
      </c>
      <c r="B645" s="72">
        <f t="shared" si="26"/>
        <v>7</v>
      </c>
      <c r="C645" s="73">
        <v>42198</v>
      </c>
      <c r="D645" s="73" t="s">
        <v>17</v>
      </c>
      <c r="E645" s="73">
        <v>42198</v>
      </c>
      <c r="F645" s="76" t="s">
        <v>34</v>
      </c>
      <c r="G645" s="265"/>
      <c r="H645" s="122"/>
      <c r="I645" s="122"/>
      <c r="J645" s="122"/>
      <c r="K645" s="122"/>
      <c r="L645" s="122"/>
      <c r="M645" s="74">
        <v>50000</v>
      </c>
      <c r="N645" s="75" t="s">
        <v>241</v>
      </c>
      <c r="O645" s="75" t="s">
        <v>54</v>
      </c>
      <c r="P645" s="134" t="str">
        <f>IF(AND('331-CT'!$E$7=TH!H645,OR(N645="331",O645="331")),"x","")</f>
        <v/>
      </c>
    </row>
    <row r="646" spans="1:16">
      <c r="A646" s="72">
        <f t="shared" si="25"/>
        <v>2015</v>
      </c>
      <c r="B646" s="72">
        <f t="shared" si="26"/>
        <v>7</v>
      </c>
      <c r="C646" s="73">
        <v>42198</v>
      </c>
      <c r="D646" s="73" t="s">
        <v>17</v>
      </c>
      <c r="E646" s="73">
        <v>42198</v>
      </c>
      <c r="F646" s="76" t="s">
        <v>35</v>
      </c>
      <c r="G646" s="265"/>
      <c r="H646" s="122"/>
      <c r="I646" s="122"/>
      <c r="J646" s="122"/>
      <c r="K646" s="122"/>
      <c r="L646" s="122"/>
      <c r="M646" s="74">
        <v>5000</v>
      </c>
      <c r="N646" s="75" t="s">
        <v>19</v>
      </c>
      <c r="O646" s="75" t="s">
        <v>54</v>
      </c>
      <c r="P646" s="134" t="str">
        <f>IF(AND('331-CT'!$E$7=TH!H646,OR(N646="331",O646="331")),"x","")</f>
        <v/>
      </c>
    </row>
    <row r="647" spans="1:16">
      <c r="A647" s="72">
        <f t="shared" si="25"/>
        <v>2015</v>
      </c>
      <c r="B647" s="72">
        <f t="shared" si="26"/>
        <v>7</v>
      </c>
      <c r="C647" s="73">
        <v>42199</v>
      </c>
      <c r="D647" s="73" t="s">
        <v>17</v>
      </c>
      <c r="E647" s="73">
        <v>42199</v>
      </c>
      <c r="F647" s="76" t="s">
        <v>300</v>
      </c>
      <c r="G647" s="265"/>
      <c r="H647" s="9" t="s">
        <v>138</v>
      </c>
      <c r="I647" s="9"/>
      <c r="J647" s="9"/>
      <c r="K647" s="9"/>
      <c r="L647" s="9"/>
      <c r="M647" s="74">
        <v>500000000</v>
      </c>
      <c r="N647" s="75" t="s">
        <v>18</v>
      </c>
      <c r="O647" s="75" t="s">
        <v>54</v>
      </c>
      <c r="P647" s="134" t="str">
        <f>IF(AND('331-CT'!$E$7=TH!H647,OR(N647="331",O647="331")),"x","")</f>
        <v/>
      </c>
    </row>
    <row r="648" spans="1:16">
      <c r="A648" s="72">
        <f t="shared" si="25"/>
        <v>2015</v>
      </c>
      <c r="B648" s="72">
        <f t="shared" si="26"/>
        <v>7</v>
      </c>
      <c r="C648" s="73">
        <v>42199</v>
      </c>
      <c r="D648" s="73" t="s">
        <v>17</v>
      </c>
      <c r="E648" s="73">
        <v>42199</v>
      </c>
      <c r="F648" s="76" t="s">
        <v>34</v>
      </c>
      <c r="G648" s="265"/>
      <c r="H648" s="122"/>
      <c r="I648" s="122"/>
      <c r="J648" s="122"/>
      <c r="K648" s="122"/>
      <c r="L648" s="122"/>
      <c r="M648" s="74">
        <v>150000</v>
      </c>
      <c r="N648" s="75" t="s">
        <v>241</v>
      </c>
      <c r="O648" s="75" t="s">
        <v>54</v>
      </c>
      <c r="P648" s="134" t="str">
        <f>IF(AND('331-CT'!$E$7=TH!H648,OR(N648="331",O648="331")),"x","")</f>
        <v/>
      </c>
    </row>
    <row r="649" spans="1:16">
      <c r="A649" s="72">
        <f t="shared" si="25"/>
        <v>2015</v>
      </c>
      <c r="B649" s="72">
        <f t="shared" si="26"/>
        <v>7</v>
      </c>
      <c r="C649" s="73">
        <v>42199</v>
      </c>
      <c r="D649" s="73" t="s">
        <v>17</v>
      </c>
      <c r="E649" s="73">
        <v>42199</v>
      </c>
      <c r="F649" s="76" t="s">
        <v>35</v>
      </c>
      <c r="G649" s="265"/>
      <c r="H649" s="122"/>
      <c r="I649" s="122"/>
      <c r="J649" s="122"/>
      <c r="K649" s="122"/>
      <c r="L649" s="122"/>
      <c r="M649" s="74">
        <v>15000</v>
      </c>
      <c r="N649" s="75" t="s">
        <v>19</v>
      </c>
      <c r="O649" s="75" t="s">
        <v>54</v>
      </c>
      <c r="P649" s="134" t="str">
        <f>IF(AND('331-CT'!$E$7=TH!H649,OR(N649="331",O649="331")),"x","")</f>
        <v/>
      </c>
    </row>
    <row r="650" spans="1:16">
      <c r="A650" s="72">
        <f t="shared" si="25"/>
        <v>2015</v>
      </c>
      <c r="B650" s="72">
        <f t="shared" si="26"/>
        <v>7</v>
      </c>
      <c r="C650" s="73">
        <v>42199</v>
      </c>
      <c r="D650" s="73" t="s">
        <v>17</v>
      </c>
      <c r="E650" s="73">
        <v>42199</v>
      </c>
      <c r="F650" s="76" t="s">
        <v>300</v>
      </c>
      <c r="G650" s="265"/>
      <c r="H650" s="9" t="s">
        <v>111</v>
      </c>
      <c r="I650" s="9"/>
      <c r="J650" s="9"/>
      <c r="K650" s="9"/>
      <c r="L650" s="9"/>
      <c r="M650" s="74">
        <v>400000000</v>
      </c>
      <c r="N650" s="75" t="s">
        <v>18</v>
      </c>
      <c r="O650" s="75" t="s">
        <v>54</v>
      </c>
      <c r="P650" s="134" t="str">
        <f>IF(AND('331-CT'!$E$7=TH!H650,OR(N650="331",O650="331")),"x","")</f>
        <v/>
      </c>
    </row>
    <row r="651" spans="1:16">
      <c r="A651" s="72">
        <f t="shared" si="25"/>
        <v>2015</v>
      </c>
      <c r="B651" s="72">
        <f t="shared" si="26"/>
        <v>7</v>
      </c>
      <c r="C651" s="73">
        <v>42199</v>
      </c>
      <c r="D651" s="73" t="s">
        <v>17</v>
      </c>
      <c r="E651" s="73">
        <v>42199</v>
      </c>
      <c r="F651" s="76" t="s">
        <v>34</v>
      </c>
      <c r="G651" s="265"/>
      <c r="H651" s="122"/>
      <c r="I651" s="122"/>
      <c r="J651" s="122"/>
      <c r="K651" s="122"/>
      <c r="L651" s="122"/>
      <c r="M651" s="74">
        <v>120000</v>
      </c>
      <c r="N651" s="75" t="s">
        <v>241</v>
      </c>
      <c r="O651" s="75" t="s">
        <v>54</v>
      </c>
      <c r="P651" s="134" t="str">
        <f>IF(AND('331-CT'!$E$7=TH!H651,OR(N651="331",O651="331")),"x","")</f>
        <v/>
      </c>
    </row>
    <row r="652" spans="1:16">
      <c r="A652" s="72">
        <f t="shared" si="25"/>
        <v>2015</v>
      </c>
      <c r="B652" s="72">
        <f t="shared" si="26"/>
        <v>7</v>
      </c>
      <c r="C652" s="73">
        <v>42199</v>
      </c>
      <c r="D652" s="73" t="s">
        <v>17</v>
      </c>
      <c r="E652" s="73">
        <v>42199</v>
      </c>
      <c r="F652" s="76" t="s">
        <v>35</v>
      </c>
      <c r="G652" s="265"/>
      <c r="H652" s="122"/>
      <c r="I652" s="122"/>
      <c r="J652" s="122"/>
      <c r="K652" s="122"/>
      <c r="L652" s="122"/>
      <c r="M652" s="74">
        <v>12000</v>
      </c>
      <c r="N652" s="75" t="s">
        <v>19</v>
      </c>
      <c r="O652" s="75" t="s">
        <v>54</v>
      </c>
      <c r="P652" s="134" t="str">
        <f>IF(AND('331-CT'!$E$7=TH!H652,OR(N652="331",O652="331")),"x","")</f>
        <v/>
      </c>
    </row>
    <row r="653" spans="1:16">
      <c r="A653" s="72">
        <f t="shared" si="25"/>
        <v>2015</v>
      </c>
      <c r="B653" s="72">
        <f t="shared" si="26"/>
        <v>7</v>
      </c>
      <c r="C653" s="73">
        <v>42201</v>
      </c>
      <c r="D653" s="73" t="s">
        <v>154</v>
      </c>
      <c r="E653" s="73">
        <v>42201</v>
      </c>
      <c r="F653" s="76" t="s">
        <v>337</v>
      </c>
      <c r="G653" s="270" t="s">
        <v>542</v>
      </c>
      <c r="H653" s="122" t="s">
        <v>338</v>
      </c>
      <c r="I653" s="122"/>
      <c r="J653" s="122"/>
      <c r="K653" s="122"/>
      <c r="L653" s="122"/>
      <c r="M653" s="74">
        <v>1200000</v>
      </c>
      <c r="N653" s="75" t="s">
        <v>654</v>
      </c>
      <c r="O653" s="75" t="s">
        <v>203</v>
      </c>
      <c r="P653" s="134" t="str">
        <f>IF(AND('331-CT'!$E$7=TH!H653,OR(N653="331",O653="331")),"x","")</f>
        <v/>
      </c>
    </row>
    <row r="654" spans="1:16">
      <c r="A654" s="72">
        <f t="shared" si="25"/>
        <v>2015</v>
      </c>
      <c r="B654" s="72">
        <f t="shared" si="26"/>
        <v>7</v>
      </c>
      <c r="C654" s="73">
        <v>42203</v>
      </c>
      <c r="D654" s="73" t="s">
        <v>78</v>
      </c>
      <c r="E654" s="73">
        <v>42203</v>
      </c>
      <c r="F654" s="76" t="s">
        <v>352</v>
      </c>
      <c r="G654" s="265" t="s">
        <v>351</v>
      </c>
      <c r="H654" s="122" t="s">
        <v>299</v>
      </c>
      <c r="I654" s="122"/>
      <c r="J654" s="122"/>
      <c r="K654" s="122"/>
      <c r="L654" s="122"/>
      <c r="M654" s="74">
        <v>93590909</v>
      </c>
      <c r="N654" s="75" t="s">
        <v>654</v>
      </c>
      <c r="O654" s="75" t="s">
        <v>18</v>
      </c>
      <c r="P654" s="134" t="str">
        <f>IF(AND('331-CT'!$E$7=TH!H654,OR(N654="331",O654="331")),"x","")</f>
        <v/>
      </c>
    </row>
    <row r="655" spans="1:16">
      <c r="A655" s="72">
        <f t="shared" si="25"/>
        <v>2015</v>
      </c>
      <c r="B655" s="72">
        <f t="shared" si="26"/>
        <v>7</v>
      </c>
      <c r="C655" s="73">
        <v>42203</v>
      </c>
      <c r="D655" s="73" t="s">
        <v>78</v>
      </c>
      <c r="E655" s="73">
        <v>42203</v>
      </c>
      <c r="F655" s="76" t="s">
        <v>353</v>
      </c>
      <c r="G655" s="265" t="s">
        <v>351</v>
      </c>
      <c r="H655" s="122" t="s">
        <v>299</v>
      </c>
      <c r="I655" s="122"/>
      <c r="J655" s="122"/>
      <c r="K655" s="122"/>
      <c r="L655" s="122"/>
      <c r="M655" s="74">
        <v>9359091</v>
      </c>
      <c r="N655" s="75" t="s">
        <v>19</v>
      </c>
      <c r="O655" s="75" t="s">
        <v>18</v>
      </c>
      <c r="P655" s="134" t="str">
        <f>IF(AND('331-CT'!$E$7=TH!H655,OR(N655="331",O655="331")),"x","")</f>
        <v/>
      </c>
    </row>
    <row r="656" spans="1:16">
      <c r="A656" s="72">
        <f t="shared" si="25"/>
        <v>2015</v>
      </c>
      <c r="B656" s="72">
        <f t="shared" si="26"/>
        <v>7</v>
      </c>
      <c r="C656" s="73">
        <v>42203</v>
      </c>
      <c r="D656" s="73" t="s">
        <v>78</v>
      </c>
      <c r="E656" s="73">
        <v>42203</v>
      </c>
      <c r="F656" s="76" t="s">
        <v>349</v>
      </c>
      <c r="G656" s="265" t="s">
        <v>348</v>
      </c>
      <c r="H656" s="122" t="s">
        <v>299</v>
      </c>
      <c r="I656" s="122"/>
      <c r="J656" s="122"/>
      <c r="K656" s="122"/>
      <c r="L656" s="122"/>
      <c r="M656" s="74">
        <v>171163636</v>
      </c>
      <c r="N656" s="75" t="s">
        <v>654</v>
      </c>
      <c r="O656" s="75" t="s">
        <v>18</v>
      </c>
      <c r="P656" s="134" t="str">
        <f>IF(AND('331-CT'!$E$7=TH!H656,OR(N656="331",O656="331")),"x","")</f>
        <v/>
      </c>
    </row>
    <row r="657" spans="1:16">
      <c r="A657" s="72">
        <f t="shared" si="25"/>
        <v>2015</v>
      </c>
      <c r="B657" s="72">
        <f t="shared" si="26"/>
        <v>7</v>
      </c>
      <c r="C657" s="73">
        <v>42203</v>
      </c>
      <c r="D657" s="73" t="s">
        <v>78</v>
      </c>
      <c r="E657" s="73">
        <v>42203</v>
      </c>
      <c r="F657" s="76" t="s">
        <v>350</v>
      </c>
      <c r="G657" s="265" t="s">
        <v>348</v>
      </c>
      <c r="H657" s="122" t="s">
        <v>299</v>
      </c>
      <c r="I657" s="122"/>
      <c r="J657" s="122"/>
      <c r="K657" s="122"/>
      <c r="L657" s="122"/>
      <c r="M657" s="74">
        <v>17116364</v>
      </c>
      <c r="N657" s="75" t="s">
        <v>19</v>
      </c>
      <c r="O657" s="75" t="s">
        <v>18</v>
      </c>
      <c r="P657" s="134" t="str">
        <f>IF(AND('331-CT'!$E$7=TH!H657,OR(N657="331",O657="331")),"x","")</f>
        <v/>
      </c>
    </row>
    <row r="658" spans="1:16">
      <c r="A658" s="72">
        <f t="shared" si="25"/>
        <v>2015</v>
      </c>
      <c r="B658" s="72">
        <f t="shared" si="26"/>
        <v>7</v>
      </c>
      <c r="C658" s="73">
        <v>42205</v>
      </c>
      <c r="D658" s="73" t="s">
        <v>17</v>
      </c>
      <c r="E658" s="73">
        <v>42205</v>
      </c>
      <c r="F658" s="76" t="s">
        <v>119</v>
      </c>
      <c r="G658" s="265"/>
      <c r="H658" s="122" t="s">
        <v>313</v>
      </c>
      <c r="I658" s="122"/>
      <c r="J658" s="122"/>
      <c r="K658" s="122"/>
      <c r="L658" s="122"/>
      <c r="M658" s="74">
        <v>7916667</v>
      </c>
      <c r="N658" s="75" t="s">
        <v>239</v>
      </c>
      <c r="O658" s="75" t="s">
        <v>54</v>
      </c>
      <c r="P658" s="134" t="str">
        <f>IF(AND('331-CT'!$E$7=TH!H658,OR(N658="331",O658="331")),"x","")</f>
        <v/>
      </c>
    </row>
    <row r="659" spans="1:16">
      <c r="A659" s="72">
        <f t="shared" si="25"/>
        <v>2015</v>
      </c>
      <c r="B659" s="72">
        <f t="shared" si="26"/>
        <v>7</v>
      </c>
      <c r="C659" s="73">
        <v>42205</v>
      </c>
      <c r="D659" s="73" t="s">
        <v>17</v>
      </c>
      <c r="E659" s="73">
        <v>42205</v>
      </c>
      <c r="F659" s="76" t="s">
        <v>141</v>
      </c>
      <c r="G659" s="265"/>
      <c r="H659" s="122" t="s">
        <v>314</v>
      </c>
      <c r="I659" s="122"/>
      <c r="J659" s="122"/>
      <c r="K659" s="122"/>
      <c r="L659" s="122"/>
      <c r="M659" s="74">
        <v>15833333</v>
      </c>
      <c r="N659" s="75" t="s">
        <v>239</v>
      </c>
      <c r="O659" s="75" t="s">
        <v>54</v>
      </c>
      <c r="P659" s="134" t="str">
        <f>IF(AND('331-CT'!$E$7=TH!H659,OR(N659="331",O659="331")),"x","")</f>
        <v/>
      </c>
    </row>
    <row r="660" spans="1:16">
      <c r="A660" s="72">
        <f t="shared" si="25"/>
        <v>2015</v>
      </c>
      <c r="B660" s="72">
        <f t="shared" si="26"/>
        <v>7</v>
      </c>
      <c r="C660" s="73">
        <v>42205</v>
      </c>
      <c r="D660" s="73" t="s">
        <v>17</v>
      </c>
      <c r="E660" s="73">
        <v>42205</v>
      </c>
      <c r="F660" s="76" t="s">
        <v>143</v>
      </c>
      <c r="G660" s="265"/>
      <c r="H660" s="122" t="s">
        <v>316</v>
      </c>
      <c r="I660" s="122"/>
      <c r="J660" s="122"/>
      <c r="K660" s="122"/>
      <c r="L660" s="122"/>
      <c r="M660" s="74">
        <v>12666667</v>
      </c>
      <c r="N660" s="75" t="s">
        <v>239</v>
      </c>
      <c r="O660" s="75" t="s">
        <v>54</v>
      </c>
      <c r="P660" s="134" t="str">
        <f>IF(AND('331-CT'!$E$7=TH!H660,OR(N660="331",O660="331")),"x","")</f>
        <v/>
      </c>
    </row>
    <row r="661" spans="1:16">
      <c r="A661" s="72">
        <f t="shared" ref="A661:A724" si="27">IF(C661&lt;&gt;"",YEAR(C661),"")</f>
        <v>2015</v>
      </c>
      <c r="B661" s="72">
        <f t="shared" ref="B661:B724" si="28">IF(C661&lt;&gt;"",MONTH(C661),"")</f>
        <v>7</v>
      </c>
      <c r="C661" s="73">
        <v>42205</v>
      </c>
      <c r="D661" s="73" t="s">
        <v>17</v>
      </c>
      <c r="E661" s="73">
        <v>42205</v>
      </c>
      <c r="F661" s="76" t="s">
        <v>144</v>
      </c>
      <c r="G661" s="265"/>
      <c r="H661" s="122" t="s">
        <v>315</v>
      </c>
      <c r="I661" s="122"/>
      <c r="J661" s="122"/>
      <c r="K661" s="122"/>
      <c r="L661" s="122"/>
      <c r="M661" s="74">
        <v>11875000</v>
      </c>
      <c r="N661" s="75" t="s">
        <v>239</v>
      </c>
      <c r="O661" s="75" t="s">
        <v>54</v>
      </c>
      <c r="P661" s="134" t="str">
        <f>IF(AND('331-CT'!$E$7=TH!H661,OR(N661="331",O661="331")),"x","")</f>
        <v/>
      </c>
    </row>
    <row r="662" spans="1:16">
      <c r="A662" s="72">
        <f t="shared" si="27"/>
        <v>2015</v>
      </c>
      <c r="B662" s="72">
        <f t="shared" si="28"/>
        <v>7</v>
      </c>
      <c r="C662" s="73">
        <v>42205</v>
      </c>
      <c r="D662" s="73" t="s">
        <v>17</v>
      </c>
      <c r="E662" s="73">
        <v>42205</v>
      </c>
      <c r="F662" s="76" t="s">
        <v>145</v>
      </c>
      <c r="G662" s="265"/>
      <c r="H662" s="122" t="s">
        <v>317</v>
      </c>
      <c r="I662" s="122"/>
      <c r="J662" s="122"/>
      <c r="K662" s="122"/>
      <c r="L662" s="122"/>
      <c r="M662" s="74">
        <v>7916667</v>
      </c>
      <c r="N662" s="75" t="s">
        <v>239</v>
      </c>
      <c r="O662" s="75" t="s">
        <v>54</v>
      </c>
      <c r="P662" s="134" t="str">
        <f>IF(AND('331-CT'!$E$7=TH!H662,OR(N662="331",O662="331")),"x","")</f>
        <v/>
      </c>
    </row>
    <row r="663" spans="1:16">
      <c r="A663" s="72">
        <f t="shared" si="27"/>
        <v>2015</v>
      </c>
      <c r="B663" s="72">
        <f t="shared" si="28"/>
        <v>7</v>
      </c>
      <c r="C663" s="73">
        <v>42205</v>
      </c>
      <c r="D663" s="73" t="s">
        <v>17</v>
      </c>
      <c r="E663" s="73">
        <v>42205</v>
      </c>
      <c r="F663" s="76" t="s">
        <v>147</v>
      </c>
      <c r="G663" s="265"/>
      <c r="H663" s="123" t="s">
        <v>318</v>
      </c>
      <c r="I663" s="123"/>
      <c r="J663" s="123"/>
      <c r="K663" s="123"/>
      <c r="L663" s="123"/>
      <c r="M663" s="74">
        <v>11875000</v>
      </c>
      <c r="N663" s="75" t="s">
        <v>239</v>
      </c>
      <c r="O663" s="75" t="s">
        <v>54</v>
      </c>
      <c r="P663" s="134" t="str">
        <f>IF(AND('331-CT'!$E$7=TH!H663,OR(N663="331",O663="331")),"x","")</f>
        <v/>
      </c>
    </row>
    <row r="664" spans="1:16">
      <c r="A664" s="72">
        <f t="shared" si="27"/>
        <v>2015</v>
      </c>
      <c r="B664" s="72">
        <f t="shared" si="28"/>
        <v>7</v>
      </c>
      <c r="C664" s="73">
        <v>42205</v>
      </c>
      <c r="D664" s="73" t="s">
        <v>17</v>
      </c>
      <c r="E664" s="73">
        <v>42205</v>
      </c>
      <c r="F664" s="76" t="s">
        <v>272</v>
      </c>
      <c r="G664" s="265"/>
      <c r="H664" s="122" t="s">
        <v>319</v>
      </c>
      <c r="I664" s="122"/>
      <c r="J664" s="122"/>
      <c r="K664" s="122"/>
      <c r="L664" s="122"/>
      <c r="M664" s="74">
        <v>15833333</v>
      </c>
      <c r="N664" s="75" t="s">
        <v>239</v>
      </c>
      <c r="O664" s="75" t="s">
        <v>54</v>
      </c>
      <c r="P664" s="134" t="str">
        <f>IF(AND('331-CT'!$E$7=TH!H664,OR(N664="331",O664="331")),"x","")</f>
        <v/>
      </c>
    </row>
    <row r="665" spans="1:16">
      <c r="A665" s="72">
        <f t="shared" si="27"/>
        <v>2015</v>
      </c>
      <c r="B665" s="72">
        <f t="shared" si="28"/>
        <v>7</v>
      </c>
      <c r="C665" s="73">
        <v>42205</v>
      </c>
      <c r="D665" s="73" t="s">
        <v>17</v>
      </c>
      <c r="E665" s="73">
        <v>42205</v>
      </c>
      <c r="F665" s="76" t="s">
        <v>302</v>
      </c>
      <c r="G665" s="265"/>
      <c r="H665" s="122" t="s">
        <v>320</v>
      </c>
      <c r="I665" s="122"/>
      <c r="J665" s="122"/>
      <c r="K665" s="122"/>
      <c r="L665" s="122"/>
      <c r="M665" s="74">
        <v>11083333</v>
      </c>
      <c r="N665" s="75" t="s">
        <v>239</v>
      </c>
      <c r="O665" s="75" t="s">
        <v>54</v>
      </c>
      <c r="P665" s="134" t="str">
        <f>IF(AND('331-CT'!$E$7=TH!H665,OR(N665="331",O665="331")),"x","")</f>
        <v/>
      </c>
    </row>
    <row r="666" spans="1:16">
      <c r="A666" s="72">
        <f t="shared" si="27"/>
        <v>2015</v>
      </c>
      <c r="B666" s="72">
        <f t="shared" si="28"/>
        <v>7</v>
      </c>
      <c r="C666" s="73">
        <v>42205</v>
      </c>
      <c r="D666" s="73" t="s">
        <v>17</v>
      </c>
      <c r="E666" s="73">
        <v>42205</v>
      </c>
      <c r="F666" s="76" t="s">
        <v>303</v>
      </c>
      <c r="G666" s="265"/>
      <c r="H666" s="122" t="s">
        <v>321</v>
      </c>
      <c r="I666" s="122"/>
      <c r="J666" s="122"/>
      <c r="K666" s="122"/>
      <c r="L666" s="122"/>
      <c r="M666" s="74">
        <v>11875000</v>
      </c>
      <c r="N666" s="75" t="s">
        <v>239</v>
      </c>
      <c r="O666" s="75" t="s">
        <v>54</v>
      </c>
      <c r="P666" s="134" t="str">
        <f>IF(AND('331-CT'!$E$7=TH!H666,OR(N666="331",O666="331")),"x","")</f>
        <v/>
      </c>
    </row>
    <row r="667" spans="1:16">
      <c r="A667" s="72">
        <f t="shared" si="27"/>
        <v>2015</v>
      </c>
      <c r="B667" s="72">
        <f t="shared" si="28"/>
        <v>7</v>
      </c>
      <c r="C667" s="73">
        <v>42205</v>
      </c>
      <c r="D667" s="73" t="s">
        <v>17</v>
      </c>
      <c r="E667" s="73">
        <v>42205</v>
      </c>
      <c r="F667" s="76" t="s">
        <v>417</v>
      </c>
      <c r="G667" s="265"/>
      <c r="H667" s="122" t="s">
        <v>323</v>
      </c>
      <c r="I667" s="122"/>
      <c r="J667" s="122"/>
      <c r="K667" s="122"/>
      <c r="L667" s="122"/>
      <c r="M667" s="74">
        <v>15833333</v>
      </c>
      <c r="N667" s="75" t="s">
        <v>239</v>
      </c>
      <c r="O667" s="75" t="s">
        <v>54</v>
      </c>
      <c r="P667" s="134" t="str">
        <f>IF(AND('331-CT'!$E$7=TH!H667,OR(N667="331",O667="331")),"x","")</f>
        <v/>
      </c>
    </row>
    <row r="668" spans="1:16">
      <c r="A668" s="72">
        <f t="shared" si="27"/>
        <v>2015</v>
      </c>
      <c r="B668" s="72">
        <f t="shared" si="28"/>
        <v>7</v>
      </c>
      <c r="C668" s="73">
        <v>42205</v>
      </c>
      <c r="D668" s="73" t="s">
        <v>157</v>
      </c>
      <c r="E668" s="73">
        <v>42205</v>
      </c>
      <c r="F668" s="93" t="s">
        <v>575</v>
      </c>
      <c r="G668" s="265"/>
      <c r="H668" s="122" t="s">
        <v>271</v>
      </c>
      <c r="I668" s="122"/>
      <c r="J668" s="122"/>
      <c r="K668" s="122"/>
      <c r="L668" s="122"/>
      <c r="M668" s="74">
        <v>500000000</v>
      </c>
      <c r="N668" s="75" t="s">
        <v>54</v>
      </c>
      <c r="O668" s="75" t="s">
        <v>203</v>
      </c>
      <c r="P668" s="134" t="str">
        <f>IF(AND('331-CT'!$E$7=TH!H668,OR(N668="331",O668="331")),"x","")</f>
        <v/>
      </c>
    </row>
    <row r="669" spans="1:16">
      <c r="A669" s="72">
        <f t="shared" si="27"/>
        <v>2015</v>
      </c>
      <c r="B669" s="72">
        <f t="shared" si="28"/>
        <v>7</v>
      </c>
      <c r="C669" s="73">
        <v>42206</v>
      </c>
      <c r="D669" s="73" t="s">
        <v>78</v>
      </c>
      <c r="E669" s="73">
        <v>42206</v>
      </c>
      <c r="F669" s="76" t="s">
        <v>349</v>
      </c>
      <c r="G669" s="265" t="s">
        <v>354</v>
      </c>
      <c r="H669" s="122" t="s">
        <v>299</v>
      </c>
      <c r="I669" s="122"/>
      <c r="J669" s="122"/>
      <c r="K669" s="122"/>
      <c r="L669" s="122"/>
      <c r="M669" s="74">
        <v>136384091</v>
      </c>
      <c r="N669" s="75" t="s">
        <v>654</v>
      </c>
      <c r="O669" s="75" t="s">
        <v>18</v>
      </c>
      <c r="P669" s="134" t="str">
        <f>IF(AND('331-CT'!$E$7=TH!H669,OR(N669="331",O669="331")),"x","")</f>
        <v/>
      </c>
    </row>
    <row r="670" spans="1:16">
      <c r="A670" s="72">
        <f t="shared" si="27"/>
        <v>2015</v>
      </c>
      <c r="B670" s="72">
        <f t="shared" si="28"/>
        <v>7</v>
      </c>
      <c r="C670" s="73">
        <v>42206</v>
      </c>
      <c r="D670" s="73" t="s">
        <v>78</v>
      </c>
      <c r="E670" s="73">
        <v>42206</v>
      </c>
      <c r="F670" s="76" t="s">
        <v>350</v>
      </c>
      <c r="G670" s="265" t="s">
        <v>354</v>
      </c>
      <c r="H670" s="122" t="s">
        <v>299</v>
      </c>
      <c r="I670" s="122"/>
      <c r="J670" s="122"/>
      <c r="K670" s="122"/>
      <c r="L670" s="122"/>
      <c r="M670" s="74">
        <v>13638409</v>
      </c>
      <c r="N670" s="75" t="s">
        <v>19</v>
      </c>
      <c r="O670" s="75" t="s">
        <v>18</v>
      </c>
      <c r="P670" s="134" t="str">
        <f>IF(AND('331-CT'!$E$7=TH!H670,OR(N670="331",O670="331")),"x","")</f>
        <v/>
      </c>
    </row>
    <row r="671" spans="1:16">
      <c r="A671" s="72">
        <f t="shared" si="27"/>
        <v>2015</v>
      </c>
      <c r="B671" s="72">
        <f t="shared" si="28"/>
        <v>7</v>
      </c>
      <c r="C671" s="73">
        <v>42206</v>
      </c>
      <c r="D671" s="73" t="s">
        <v>78</v>
      </c>
      <c r="E671" s="73">
        <v>42206</v>
      </c>
      <c r="F671" s="76" t="s">
        <v>357</v>
      </c>
      <c r="G671" s="265" t="s">
        <v>355</v>
      </c>
      <c r="H671" s="122" t="s">
        <v>356</v>
      </c>
      <c r="I671" s="122"/>
      <c r="J671" s="122"/>
      <c r="K671" s="122"/>
      <c r="L671" s="122"/>
      <c r="M671" s="74">
        <v>48236364</v>
      </c>
      <c r="N671" s="75" t="s">
        <v>654</v>
      </c>
      <c r="O671" s="75" t="s">
        <v>18</v>
      </c>
      <c r="P671" s="134" t="str">
        <f>IF(AND('331-CT'!$E$7=TH!H671,OR(N671="331",O671="331")),"x","")</f>
        <v/>
      </c>
    </row>
    <row r="672" spans="1:16">
      <c r="A672" s="72">
        <f t="shared" si="27"/>
        <v>2015</v>
      </c>
      <c r="B672" s="72">
        <f t="shared" si="28"/>
        <v>7</v>
      </c>
      <c r="C672" s="73">
        <v>42206</v>
      </c>
      <c r="D672" s="73" t="s">
        <v>78</v>
      </c>
      <c r="E672" s="73">
        <v>42206</v>
      </c>
      <c r="F672" s="76" t="s">
        <v>358</v>
      </c>
      <c r="G672" s="265" t="s">
        <v>355</v>
      </c>
      <c r="H672" s="122" t="s">
        <v>356</v>
      </c>
      <c r="I672" s="122"/>
      <c r="J672" s="122"/>
      <c r="K672" s="122"/>
      <c r="L672" s="122"/>
      <c r="M672" s="74">
        <v>4823636</v>
      </c>
      <c r="N672" s="75" t="s">
        <v>19</v>
      </c>
      <c r="O672" s="75" t="s">
        <v>18</v>
      </c>
      <c r="P672" s="134" t="str">
        <f>IF(AND('331-CT'!$E$7=TH!H672,OR(N672="331",O672="331")),"x","")</f>
        <v/>
      </c>
    </row>
    <row r="673" spans="1:16">
      <c r="A673" s="72">
        <f t="shared" si="27"/>
        <v>2015</v>
      </c>
      <c r="B673" s="72">
        <f t="shared" si="28"/>
        <v>7</v>
      </c>
      <c r="C673" s="73">
        <v>42207</v>
      </c>
      <c r="D673" s="73" t="s">
        <v>158</v>
      </c>
      <c r="E673" s="73">
        <v>42207</v>
      </c>
      <c r="F673" s="76" t="s">
        <v>346</v>
      </c>
      <c r="G673" s="270" t="s">
        <v>543</v>
      </c>
      <c r="H673" s="122" t="s">
        <v>347</v>
      </c>
      <c r="I673" s="122"/>
      <c r="J673" s="122"/>
      <c r="K673" s="122"/>
      <c r="L673" s="122"/>
      <c r="M673" s="74">
        <v>1275000</v>
      </c>
      <c r="N673" s="75" t="s">
        <v>19</v>
      </c>
      <c r="O673" s="75" t="s">
        <v>203</v>
      </c>
      <c r="P673" s="134" t="str">
        <f>IF(AND('331-CT'!$E$7=TH!H673,OR(N673="331",O673="331")),"x","")</f>
        <v/>
      </c>
    </row>
    <row r="674" spans="1:16">
      <c r="A674" s="72">
        <f t="shared" si="27"/>
        <v>2015</v>
      </c>
      <c r="B674" s="72">
        <f t="shared" si="28"/>
        <v>7</v>
      </c>
      <c r="C674" s="73">
        <v>42207</v>
      </c>
      <c r="D674" s="73" t="s">
        <v>158</v>
      </c>
      <c r="E674" s="73">
        <v>42207</v>
      </c>
      <c r="F674" s="76" t="s">
        <v>345</v>
      </c>
      <c r="G674" s="270" t="s">
        <v>543</v>
      </c>
      <c r="H674" s="122" t="s">
        <v>347</v>
      </c>
      <c r="I674" s="122"/>
      <c r="J674" s="122"/>
      <c r="K674" s="122"/>
      <c r="L674" s="122"/>
      <c r="M674" s="74">
        <v>12750000</v>
      </c>
      <c r="N674" s="75" t="s">
        <v>654</v>
      </c>
      <c r="O674" s="75" t="s">
        <v>203</v>
      </c>
      <c r="P674" s="134" t="str">
        <f>IF(AND('331-CT'!$E$7=TH!H674,OR(N674="331",O674="331")),"x","")</f>
        <v/>
      </c>
    </row>
    <row r="675" spans="1:16">
      <c r="A675" s="72">
        <f t="shared" si="27"/>
        <v>2015</v>
      </c>
      <c r="B675" s="72">
        <f t="shared" si="28"/>
        <v>7</v>
      </c>
      <c r="C675" s="73">
        <v>42209</v>
      </c>
      <c r="D675" s="73" t="s">
        <v>78</v>
      </c>
      <c r="E675" s="73">
        <v>42209</v>
      </c>
      <c r="F675" s="76" t="s">
        <v>462</v>
      </c>
      <c r="G675" s="265" t="s">
        <v>409</v>
      </c>
      <c r="H675" s="122" t="s">
        <v>190</v>
      </c>
      <c r="I675" s="122"/>
      <c r="J675" s="122"/>
      <c r="K675" s="122"/>
      <c r="L675" s="122"/>
      <c r="M675" s="74">
        <v>90286944</v>
      </c>
      <c r="N675" s="75" t="s">
        <v>654</v>
      </c>
      <c r="O675" s="75" t="s">
        <v>18</v>
      </c>
      <c r="P675" s="134" t="str">
        <f>IF(AND('331-CT'!$E$7=TH!H675,OR(N675="331",O675="331")),"x","")</f>
        <v/>
      </c>
    </row>
    <row r="676" spans="1:16">
      <c r="A676" s="72">
        <f t="shared" si="27"/>
        <v>2015</v>
      </c>
      <c r="B676" s="72">
        <f t="shared" si="28"/>
        <v>7</v>
      </c>
      <c r="C676" s="73">
        <v>42209</v>
      </c>
      <c r="D676" s="73" t="s">
        <v>78</v>
      </c>
      <c r="E676" s="73">
        <v>42209</v>
      </c>
      <c r="F676" s="76" t="s">
        <v>410</v>
      </c>
      <c r="G676" s="265" t="s">
        <v>409</v>
      </c>
      <c r="H676" s="122" t="s">
        <v>190</v>
      </c>
      <c r="I676" s="122"/>
      <c r="J676" s="122"/>
      <c r="K676" s="122"/>
      <c r="L676" s="122"/>
      <c r="M676" s="74">
        <v>9028694</v>
      </c>
      <c r="N676" s="75" t="s">
        <v>19</v>
      </c>
      <c r="O676" s="75" t="s">
        <v>18</v>
      </c>
      <c r="P676" s="134" t="str">
        <f>IF(AND('331-CT'!$E$7=TH!H676,OR(N676="331",O676="331")),"x","")</f>
        <v/>
      </c>
    </row>
    <row r="677" spans="1:16">
      <c r="A677" s="72">
        <f t="shared" si="27"/>
        <v>2015</v>
      </c>
      <c r="B677" s="72">
        <f t="shared" si="28"/>
        <v>7</v>
      </c>
      <c r="C677" s="73">
        <v>42209</v>
      </c>
      <c r="D677" s="73" t="s">
        <v>21</v>
      </c>
      <c r="E677" s="73">
        <v>42209</v>
      </c>
      <c r="F677" s="76" t="s">
        <v>98</v>
      </c>
      <c r="G677" s="265"/>
      <c r="H677" s="122"/>
      <c r="I677" s="122"/>
      <c r="J677" s="122"/>
      <c r="K677" s="122"/>
      <c r="L677" s="122"/>
      <c r="M677" s="74">
        <v>141171</v>
      </c>
      <c r="N677" s="75" t="s">
        <v>54</v>
      </c>
      <c r="O677" s="75" t="s">
        <v>99</v>
      </c>
      <c r="P677" s="134" t="str">
        <f>IF(AND('331-CT'!$E$7=TH!H677,OR(N677="331",O677="331")),"x","")</f>
        <v/>
      </c>
    </row>
    <row r="678" spans="1:16">
      <c r="A678" s="72">
        <f t="shared" si="27"/>
        <v>2015</v>
      </c>
      <c r="B678" s="72">
        <f t="shared" si="28"/>
        <v>7</v>
      </c>
      <c r="C678" s="73">
        <v>42209</v>
      </c>
      <c r="D678" s="73" t="s">
        <v>17</v>
      </c>
      <c r="E678" s="73">
        <v>42209</v>
      </c>
      <c r="F678" s="76" t="s">
        <v>300</v>
      </c>
      <c r="G678" s="265"/>
      <c r="H678" s="122" t="s">
        <v>85</v>
      </c>
      <c r="I678" s="122"/>
      <c r="J678" s="122"/>
      <c r="K678" s="122"/>
      <c r="L678" s="122"/>
      <c r="M678" s="74">
        <v>300000000</v>
      </c>
      <c r="N678" s="75" t="s">
        <v>18</v>
      </c>
      <c r="O678" s="75" t="s">
        <v>54</v>
      </c>
      <c r="P678" s="134" t="str">
        <f>IF(AND('331-CT'!$E$7=TH!H678,OR(N678="331",O678="331")),"x","")</f>
        <v/>
      </c>
    </row>
    <row r="679" spans="1:16">
      <c r="A679" s="72">
        <f t="shared" si="27"/>
        <v>2015</v>
      </c>
      <c r="B679" s="72">
        <f t="shared" si="28"/>
        <v>7</v>
      </c>
      <c r="C679" s="73">
        <v>42209</v>
      </c>
      <c r="D679" s="73" t="s">
        <v>17</v>
      </c>
      <c r="E679" s="73">
        <v>42209</v>
      </c>
      <c r="F679" s="76" t="s">
        <v>34</v>
      </c>
      <c r="G679" s="265"/>
      <c r="H679" s="122"/>
      <c r="I679" s="122"/>
      <c r="J679" s="122"/>
      <c r="K679" s="122"/>
      <c r="L679" s="122"/>
      <c r="M679" s="74">
        <v>150000</v>
      </c>
      <c r="N679" s="75" t="s">
        <v>241</v>
      </c>
      <c r="O679" s="75" t="s">
        <v>54</v>
      </c>
      <c r="P679" s="134" t="str">
        <f>IF(AND('331-CT'!$E$7=TH!H679,OR(N679="331",O679="331")),"x","")</f>
        <v/>
      </c>
    </row>
    <row r="680" spans="1:16">
      <c r="A680" s="72">
        <f t="shared" si="27"/>
        <v>2015</v>
      </c>
      <c r="B680" s="72">
        <f t="shared" si="28"/>
        <v>7</v>
      </c>
      <c r="C680" s="73">
        <v>42209</v>
      </c>
      <c r="D680" s="73" t="s">
        <v>17</v>
      </c>
      <c r="E680" s="73">
        <v>42209</v>
      </c>
      <c r="F680" s="76" t="s">
        <v>35</v>
      </c>
      <c r="G680" s="265"/>
      <c r="H680" s="122"/>
      <c r="I680" s="122"/>
      <c r="J680" s="122"/>
      <c r="K680" s="122"/>
      <c r="L680" s="122"/>
      <c r="M680" s="74">
        <v>15000</v>
      </c>
      <c r="N680" s="75" t="s">
        <v>19</v>
      </c>
      <c r="O680" s="75" t="s">
        <v>54</v>
      </c>
      <c r="P680" s="134" t="str">
        <f>IF(AND('331-CT'!$E$7=TH!H680,OR(N680="331",O680="331")),"x","")</f>
        <v/>
      </c>
    </row>
    <row r="681" spans="1:16">
      <c r="A681" s="72">
        <f t="shared" si="27"/>
        <v>2015</v>
      </c>
      <c r="B681" s="72">
        <f t="shared" si="28"/>
        <v>7</v>
      </c>
      <c r="C681" s="73">
        <v>42210</v>
      </c>
      <c r="D681" s="73" t="s">
        <v>78</v>
      </c>
      <c r="E681" s="73">
        <v>42210</v>
      </c>
      <c r="F681" s="76" t="s">
        <v>462</v>
      </c>
      <c r="G681" s="265" t="s">
        <v>411</v>
      </c>
      <c r="H681" s="122" t="s">
        <v>190</v>
      </c>
      <c r="I681" s="122"/>
      <c r="J681" s="122"/>
      <c r="K681" s="122"/>
      <c r="L681" s="122"/>
      <c r="M681" s="74">
        <v>477767318</v>
      </c>
      <c r="N681" s="75" t="s">
        <v>654</v>
      </c>
      <c r="O681" s="75" t="s">
        <v>18</v>
      </c>
      <c r="P681" s="134" t="str">
        <f>IF(AND('331-CT'!$E$7=TH!H681,OR(N681="331",O681="331")),"x","")</f>
        <v/>
      </c>
    </row>
    <row r="682" spans="1:16">
      <c r="A682" s="72">
        <f t="shared" si="27"/>
        <v>2015</v>
      </c>
      <c r="B682" s="72">
        <f t="shared" si="28"/>
        <v>7</v>
      </c>
      <c r="C682" s="73">
        <v>42210</v>
      </c>
      <c r="D682" s="73" t="s">
        <v>78</v>
      </c>
      <c r="E682" s="73">
        <v>42210</v>
      </c>
      <c r="F682" s="76" t="s">
        <v>410</v>
      </c>
      <c r="G682" s="265" t="s">
        <v>411</v>
      </c>
      <c r="H682" s="122" t="s">
        <v>190</v>
      </c>
      <c r="I682" s="122"/>
      <c r="J682" s="122"/>
      <c r="K682" s="122"/>
      <c r="L682" s="122"/>
      <c r="M682" s="74">
        <v>47776731</v>
      </c>
      <c r="N682" s="75" t="s">
        <v>19</v>
      </c>
      <c r="O682" s="75" t="s">
        <v>18</v>
      </c>
      <c r="P682" s="134" t="str">
        <f>IF(AND('331-CT'!$E$7=TH!H682,OR(N682="331",O682="331")),"x","")</f>
        <v/>
      </c>
    </row>
    <row r="683" spans="1:16">
      <c r="A683" s="72">
        <f t="shared" si="27"/>
        <v>2015</v>
      </c>
      <c r="B683" s="72">
        <f t="shared" si="28"/>
        <v>7</v>
      </c>
      <c r="C683" s="73">
        <v>42211</v>
      </c>
      <c r="D683" s="73" t="s">
        <v>78</v>
      </c>
      <c r="E683" s="73">
        <v>42211</v>
      </c>
      <c r="F683" s="76" t="s">
        <v>462</v>
      </c>
      <c r="G683" s="265" t="s">
        <v>412</v>
      </c>
      <c r="H683" s="122" t="s">
        <v>190</v>
      </c>
      <c r="I683" s="122"/>
      <c r="J683" s="122"/>
      <c r="K683" s="122"/>
      <c r="L683" s="122"/>
      <c r="M683" s="74">
        <v>54892744</v>
      </c>
      <c r="N683" s="75" t="s">
        <v>654</v>
      </c>
      <c r="O683" s="75" t="s">
        <v>18</v>
      </c>
      <c r="P683" s="134" t="str">
        <f>IF(AND('331-CT'!$E$7=TH!H683,OR(N683="331",O683="331")),"x","")</f>
        <v/>
      </c>
    </row>
    <row r="684" spans="1:16">
      <c r="A684" s="72">
        <f t="shared" si="27"/>
        <v>2015</v>
      </c>
      <c r="B684" s="72">
        <f t="shared" si="28"/>
        <v>7</v>
      </c>
      <c r="C684" s="73">
        <v>42211</v>
      </c>
      <c r="D684" s="73" t="s">
        <v>78</v>
      </c>
      <c r="E684" s="73">
        <v>42211</v>
      </c>
      <c r="F684" s="76" t="s">
        <v>410</v>
      </c>
      <c r="G684" s="265" t="s">
        <v>412</v>
      </c>
      <c r="H684" s="9" t="s">
        <v>190</v>
      </c>
      <c r="I684" s="9"/>
      <c r="J684" s="9"/>
      <c r="K684" s="9"/>
      <c r="L684" s="9"/>
      <c r="M684" s="74">
        <v>5489274</v>
      </c>
      <c r="N684" s="75" t="s">
        <v>19</v>
      </c>
      <c r="O684" s="75" t="s">
        <v>18</v>
      </c>
      <c r="P684" s="134" t="str">
        <f>IF(AND('331-CT'!$E$7=TH!H684,OR(N684="331",O684="331")),"x","")</f>
        <v/>
      </c>
    </row>
    <row r="685" spans="1:16">
      <c r="A685" s="72">
        <f t="shared" si="27"/>
        <v>2015</v>
      </c>
      <c r="B685" s="72">
        <f t="shared" si="28"/>
        <v>7</v>
      </c>
      <c r="C685" s="73">
        <v>42212</v>
      </c>
      <c r="D685" s="73" t="s">
        <v>17</v>
      </c>
      <c r="E685" s="73">
        <v>42212</v>
      </c>
      <c r="F685" s="76" t="s">
        <v>418</v>
      </c>
      <c r="G685" s="265"/>
      <c r="H685" s="122" t="s">
        <v>356</v>
      </c>
      <c r="I685" s="122"/>
      <c r="J685" s="122"/>
      <c r="K685" s="122"/>
      <c r="L685" s="122"/>
      <c r="M685" s="74">
        <v>53060000</v>
      </c>
      <c r="N685" s="75" t="s">
        <v>18</v>
      </c>
      <c r="O685" s="75" t="s">
        <v>54</v>
      </c>
      <c r="P685" s="134" t="str">
        <f>IF(AND('331-CT'!$E$7=TH!H685,OR(N685="331",O685="331")),"x","")</f>
        <v/>
      </c>
    </row>
    <row r="686" spans="1:16">
      <c r="A686" s="72">
        <f t="shared" si="27"/>
        <v>2015</v>
      </c>
      <c r="B686" s="72">
        <f t="shared" si="28"/>
        <v>7</v>
      </c>
      <c r="C686" s="73">
        <v>42212</v>
      </c>
      <c r="D686" s="73" t="s">
        <v>17</v>
      </c>
      <c r="E686" s="73">
        <v>42212</v>
      </c>
      <c r="F686" s="76" t="s">
        <v>34</v>
      </c>
      <c r="G686" s="265"/>
      <c r="H686" s="122"/>
      <c r="I686" s="122"/>
      <c r="J686" s="122"/>
      <c r="K686" s="122"/>
      <c r="L686" s="122"/>
      <c r="M686" s="74">
        <v>20000</v>
      </c>
      <c r="N686" s="75" t="s">
        <v>241</v>
      </c>
      <c r="O686" s="75" t="s">
        <v>54</v>
      </c>
      <c r="P686" s="134" t="str">
        <f>IF(AND('331-CT'!$E$7=TH!H686,OR(N686="331",O686="331")),"x","")</f>
        <v/>
      </c>
    </row>
    <row r="687" spans="1:16">
      <c r="A687" s="72">
        <f t="shared" si="27"/>
        <v>2015</v>
      </c>
      <c r="B687" s="72">
        <f t="shared" si="28"/>
        <v>7</v>
      </c>
      <c r="C687" s="73">
        <v>42212</v>
      </c>
      <c r="D687" s="73" t="s">
        <v>17</v>
      </c>
      <c r="E687" s="73">
        <v>42212</v>
      </c>
      <c r="F687" s="76" t="s">
        <v>35</v>
      </c>
      <c r="G687" s="265"/>
      <c r="H687" s="122"/>
      <c r="I687" s="122"/>
      <c r="J687" s="122"/>
      <c r="K687" s="122"/>
      <c r="L687" s="122"/>
      <c r="M687" s="74">
        <v>2000</v>
      </c>
      <c r="N687" s="75" t="s">
        <v>19</v>
      </c>
      <c r="O687" s="75" t="s">
        <v>54</v>
      </c>
      <c r="P687" s="134" t="str">
        <f>IF(AND('331-CT'!$E$7=TH!H687,OR(N687="331",O687="331")),"x","")</f>
        <v/>
      </c>
    </row>
    <row r="688" spans="1:16">
      <c r="A688" s="72">
        <f t="shared" si="27"/>
        <v>2015</v>
      </c>
      <c r="B688" s="72">
        <f t="shared" si="28"/>
        <v>7</v>
      </c>
      <c r="C688" s="73">
        <v>42212</v>
      </c>
      <c r="D688" s="73" t="s">
        <v>17</v>
      </c>
      <c r="E688" s="73">
        <v>42212</v>
      </c>
      <c r="F688" s="76" t="s">
        <v>300</v>
      </c>
      <c r="G688" s="265"/>
      <c r="H688" s="122" t="s">
        <v>406</v>
      </c>
      <c r="I688" s="122"/>
      <c r="J688" s="122"/>
      <c r="K688" s="122"/>
      <c r="L688" s="122"/>
      <c r="M688" s="74">
        <v>90000000</v>
      </c>
      <c r="N688" s="75" t="s">
        <v>18</v>
      </c>
      <c r="O688" s="75" t="s">
        <v>54</v>
      </c>
      <c r="P688" s="134" t="str">
        <f>IF(AND('331-CT'!$E$7=TH!H688,OR(N688="331",O688="331")),"x","")</f>
        <v/>
      </c>
    </row>
    <row r="689" spans="1:16">
      <c r="A689" s="72">
        <f t="shared" si="27"/>
        <v>2015</v>
      </c>
      <c r="B689" s="72">
        <f t="shared" si="28"/>
        <v>7</v>
      </c>
      <c r="C689" s="73">
        <v>42212</v>
      </c>
      <c r="D689" s="73" t="s">
        <v>17</v>
      </c>
      <c r="E689" s="73">
        <v>42212</v>
      </c>
      <c r="F689" s="76" t="s">
        <v>34</v>
      </c>
      <c r="G689" s="265"/>
      <c r="H689" s="122"/>
      <c r="I689" s="122"/>
      <c r="J689" s="122"/>
      <c r="K689" s="122"/>
      <c r="L689" s="122"/>
      <c r="M689" s="74">
        <v>45000</v>
      </c>
      <c r="N689" s="75" t="s">
        <v>241</v>
      </c>
      <c r="O689" s="75" t="s">
        <v>54</v>
      </c>
      <c r="P689" s="134" t="str">
        <f>IF(AND('331-CT'!$E$7=TH!H689,OR(N689="331",O689="331")),"x","")</f>
        <v/>
      </c>
    </row>
    <row r="690" spans="1:16">
      <c r="A690" s="72">
        <f t="shared" si="27"/>
        <v>2015</v>
      </c>
      <c r="B690" s="72">
        <f t="shared" si="28"/>
        <v>7</v>
      </c>
      <c r="C690" s="73">
        <v>42212</v>
      </c>
      <c r="D690" s="73" t="s">
        <v>17</v>
      </c>
      <c r="E690" s="73">
        <v>42212</v>
      </c>
      <c r="F690" s="76" t="s">
        <v>35</v>
      </c>
      <c r="G690" s="265"/>
      <c r="H690" s="122"/>
      <c r="I690" s="122"/>
      <c r="J690" s="122"/>
      <c r="K690" s="122"/>
      <c r="L690" s="122"/>
      <c r="M690" s="74">
        <v>4500</v>
      </c>
      <c r="N690" s="75" t="s">
        <v>19</v>
      </c>
      <c r="O690" s="75" t="s">
        <v>54</v>
      </c>
      <c r="P690" s="134" t="str">
        <f>IF(AND('331-CT'!$E$7=TH!H690,OR(N690="331",O690="331")),"x","")</f>
        <v/>
      </c>
    </row>
    <row r="691" spans="1:16">
      <c r="A691" s="72">
        <f t="shared" si="27"/>
        <v>2015</v>
      </c>
      <c r="B691" s="72">
        <f t="shared" si="28"/>
        <v>7</v>
      </c>
      <c r="C691" s="73">
        <v>42212</v>
      </c>
      <c r="D691" s="73" t="s">
        <v>17</v>
      </c>
      <c r="E691" s="73">
        <v>42212</v>
      </c>
      <c r="F691" s="76" t="s">
        <v>300</v>
      </c>
      <c r="G691" s="265"/>
      <c r="H691" s="122" t="s">
        <v>299</v>
      </c>
      <c r="I691" s="122"/>
      <c r="J691" s="122"/>
      <c r="K691" s="122"/>
      <c r="L691" s="122"/>
      <c r="M691" s="74">
        <v>200000000</v>
      </c>
      <c r="N691" s="75" t="s">
        <v>18</v>
      </c>
      <c r="O691" s="75" t="s">
        <v>54</v>
      </c>
      <c r="P691" s="134" t="str">
        <f>IF(AND('331-CT'!$E$7=TH!H691,OR(N691="331",O691="331")),"x","")</f>
        <v/>
      </c>
    </row>
    <row r="692" spans="1:16">
      <c r="A692" s="72">
        <f t="shared" si="27"/>
        <v>2015</v>
      </c>
      <c r="B692" s="72">
        <f t="shared" si="28"/>
        <v>7</v>
      </c>
      <c r="C692" s="73">
        <v>42212</v>
      </c>
      <c r="D692" s="73" t="s">
        <v>17</v>
      </c>
      <c r="E692" s="73">
        <v>42212</v>
      </c>
      <c r="F692" s="76" t="s">
        <v>34</v>
      </c>
      <c r="G692" s="265"/>
      <c r="H692" s="122"/>
      <c r="I692" s="122"/>
      <c r="J692" s="122"/>
      <c r="K692" s="122"/>
      <c r="L692" s="122"/>
      <c r="M692" s="74">
        <v>100000</v>
      </c>
      <c r="N692" s="75" t="s">
        <v>241</v>
      </c>
      <c r="O692" s="75" t="s">
        <v>54</v>
      </c>
      <c r="P692" s="134" t="str">
        <f>IF(AND('331-CT'!$E$7=TH!H692,OR(N692="331",O692="331")),"x","")</f>
        <v/>
      </c>
    </row>
    <row r="693" spans="1:16">
      <c r="A693" s="72">
        <f t="shared" si="27"/>
        <v>2015</v>
      </c>
      <c r="B693" s="72">
        <f t="shared" si="28"/>
        <v>7</v>
      </c>
      <c r="C693" s="73">
        <v>42212</v>
      </c>
      <c r="D693" s="73" t="s">
        <v>17</v>
      </c>
      <c r="E693" s="73">
        <v>42212</v>
      </c>
      <c r="F693" s="76" t="s">
        <v>35</v>
      </c>
      <c r="G693" s="265"/>
      <c r="H693" s="122"/>
      <c r="I693" s="122"/>
      <c r="J693" s="122"/>
      <c r="K693" s="122"/>
      <c r="L693" s="122"/>
      <c r="M693" s="74">
        <v>10000</v>
      </c>
      <c r="N693" s="75" t="s">
        <v>19</v>
      </c>
      <c r="O693" s="75" t="s">
        <v>54</v>
      </c>
      <c r="P693" s="134" t="str">
        <f>IF(AND('331-CT'!$E$7=TH!H693,OR(N693="331",O693="331")),"x","")</f>
        <v/>
      </c>
    </row>
    <row r="694" spans="1:16">
      <c r="A694" s="72">
        <f t="shared" si="27"/>
        <v>2015</v>
      </c>
      <c r="B694" s="72">
        <f t="shared" si="28"/>
        <v>7</v>
      </c>
      <c r="C694" s="73">
        <v>42214</v>
      </c>
      <c r="D694" s="73" t="s">
        <v>21</v>
      </c>
      <c r="E694" s="73">
        <v>42214</v>
      </c>
      <c r="F694" s="76" t="s">
        <v>419</v>
      </c>
      <c r="G694" s="265"/>
      <c r="H694" s="122"/>
      <c r="I694" s="122"/>
      <c r="J694" s="122"/>
      <c r="K694" s="122"/>
      <c r="L694" s="122"/>
      <c r="M694" s="74">
        <v>500000</v>
      </c>
      <c r="N694" s="75" t="s">
        <v>54</v>
      </c>
      <c r="O694" s="75" t="s">
        <v>243</v>
      </c>
      <c r="P694" s="134" t="str">
        <f>IF(AND('331-CT'!$E$7=TH!H694,OR(N694="331",O694="331")),"x","")</f>
        <v/>
      </c>
    </row>
    <row r="695" spans="1:16">
      <c r="A695" s="72">
        <f t="shared" si="27"/>
        <v>2015</v>
      </c>
      <c r="B695" s="72">
        <f t="shared" si="28"/>
        <v>7</v>
      </c>
      <c r="C695" s="73">
        <v>42215</v>
      </c>
      <c r="D695" s="73" t="s">
        <v>21</v>
      </c>
      <c r="E695" s="73">
        <v>42215</v>
      </c>
      <c r="F695" s="76" t="s">
        <v>420</v>
      </c>
      <c r="G695" s="265"/>
      <c r="H695" s="122" t="s">
        <v>421</v>
      </c>
      <c r="I695" s="122"/>
      <c r="J695" s="122"/>
      <c r="K695" s="122"/>
      <c r="L695" s="122"/>
      <c r="M695" s="74">
        <v>1000000000</v>
      </c>
      <c r="N695" s="75" t="s">
        <v>54</v>
      </c>
      <c r="O695" s="75" t="s">
        <v>227</v>
      </c>
      <c r="P695" s="134" t="str">
        <f>IF(AND('331-CT'!$E$7=TH!H695,OR(N695="331",O695="331")),"x","")</f>
        <v/>
      </c>
    </row>
    <row r="696" spans="1:16">
      <c r="A696" s="72">
        <f t="shared" si="27"/>
        <v>2015</v>
      </c>
      <c r="B696" s="72">
        <f t="shared" si="28"/>
        <v>8</v>
      </c>
      <c r="C696" s="73">
        <v>42217</v>
      </c>
      <c r="D696" s="73" t="s">
        <v>20</v>
      </c>
      <c r="E696" s="73">
        <v>42217</v>
      </c>
      <c r="F696" s="76" t="s">
        <v>578</v>
      </c>
      <c r="G696" s="265"/>
      <c r="H696" s="122" t="s">
        <v>430</v>
      </c>
      <c r="I696" s="122"/>
      <c r="J696" s="122"/>
      <c r="K696" s="122"/>
      <c r="L696" s="122"/>
      <c r="M696" s="74">
        <v>1000000000</v>
      </c>
      <c r="N696" s="75" t="s">
        <v>203</v>
      </c>
      <c r="O696" s="75" t="s">
        <v>39</v>
      </c>
      <c r="P696" s="134" t="str">
        <f>IF(AND('331-CT'!$E$7=TH!H696,OR(N696="331",O696="331")),"x","")</f>
        <v/>
      </c>
    </row>
    <row r="697" spans="1:16">
      <c r="A697" s="72">
        <f t="shared" si="27"/>
        <v>2015</v>
      </c>
      <c r="B697" s="72">
        <f t="shared" si="28"/>
        <v>8</v>
      </c>
      <c r="C697" s="73">
        <v>42219</v>
      </c>
      <c r="D697" s="73" t="s">
        <v>21</v>
      </c>
      <c r="E697" s="73">
        <v>42219</v>
      </c>
      <c r="F697" s="76" t="s">
        <v>423</v>
      </c>
      <c r="G697" s="265"/>
      <c r="H697" s="122" t="s">
        <v>750</v>
      </c>
      <c r="I697" s="122"/>
      <c r="J697" s="122"/>
      <c r="K697" s="122"/>
      <c r="L697" s="122"/>
      <c r="M697" s="74">
        <v>105126466</v>
      </c>
      <c r="N697" s="75" t="s">
        <v>54</v>
      </c>
      <c r="O697" s="75" t="s">
        <v>212</v>
      </c>
      <c r="P697" s="134" t="str">
        <f>IF(AND('331-CT'!$E$7=TH!H697,OR(N697="331",O697="331")),"x","")</f>
        <v/>
      </c>
    </row>
    <row r="698" spans="1:16">
      <c r="A698" s="72">
        <f t="shared" si="27"/>
        <v>2015</v>
      </c>
      <c r="B698" s="72">
        <f t="shared" si="28"/>
        <v>8</v>
      </c>
      <c r="C698" s="73">
        <v>42219</v>
      </c>
      <c r="D698" s="73" t="s">
        <v>17</v>
      </c>
      <c r="E698" s="73">
        <v>42219</v>
      </c>
      <c r="F698" s="76" t="s">
        <v>300</v>
      </c>
      <c r="G698" s="265"/>
      <c r="H698" s="122" t="s">
        <v>172</v>
      </c>
      <c r="I698" s="122"/>
      <c r="J698" s="122"/>
      <c r="K698" s="122"/>
      <c r="L698" s="122"/>
      <c r="M698" s="74">
        <v>400000000</v>
      </c>
      <c r="N698" s="75" t="s">
        <v>18</v>
      </c>
      <c r="O698" s="75" t="s">
        <v>54</v>
      </c>
      <c r="P698" s="134" t="str">
        <f>IF(AND('331-CT'!$E$7=TH!H698,OR(N698="331",O698="331")),"x","")</f>
        <v/>
      </c>
    </row>
    <row r="699" spans="1:16">
      <c r="A699" s="72">
        <f t="shared" si="27"/>
        <v>2015</v>
      </c>
      <c r="B699" s="72">
        <f t="shared" si="28"/>
        <v>8</v>
      </c>
      <c r="C699" s="73">
        <v>42219</v>
      </c>
      <c r="D699" s="73" t="s">
        <v>17</v>
      </c>
      <c r="E699" s="73">
        <v>42219</v>
      </c>
      <c r="F699" s="76" t="s">
        <v>34</v>
      </c>
      <c r="G699" s="265"/>
      <c r="H699" s="122"/>
      <c r="I699" s="122"/>
      <c r="J699" s="122"/>
      <c r="K699" s="122"/>
      <c r="L699" s="122"/>
      <c r="M699" s="74">
        <v>150000</v>
      </c>
      <c r="N699" s="75" t="s">
        <v>241</v>
      </c>
      <c r="O699" s="75" t="s">
        <v>54</v>
      </c>
      <c r="P699" s="134" t="str">
        <f>IF(AND('331-CT'!$E$7=TH!H699,OR(N699="331",O699="331")),"x","")</f>
        <v/>
      </c>
    </row>
    <row r="700" spans="1:16">
      <c r="A700" s="72">
        <f t="shared" si="27"/>
        <v>2015</v>
      </c>
      <c r="B700" s="72">
        <f t="shared" si="28"/>
        <v>8</v>
      </c>
      <c r="C700" s="73">
        <v>42219</v>
      </c>
      <c r="D700" s="73" t="s">
        <v>17</v>
      </c>
      <c r="E700" s="73">
        <v>42219</v>
      </c>
      <c r="F700" s="76" t="s">
        <v>35</v>
      </c>
      <c r="G700" s="265"/>
      <c r="H700" s="122"/>
      <c r="I700" s="122"/>
      <c r="J700" s="122"/>
      <c r="K700" s="122"/>
      <c r="L700" s="122"/>
      <c r="M700" s="74">
        <v>15000</v>
      </c>
      <c r="N700" s="75" t="s">
        <v>19</v>
      </c>
      <c r="O700" s="75" t="s">
        <v>54</v>
      </c>
      <c r="P700" s="134" t="str">
        <f>IF(AND('331-CT'!$E$7=TH!H700,OR(N700="331",O700="331")),"x","")</f>
        <v/>
      </c>
    </row>
    <row r="701" spans="1:16">
      <c r="A701" s="72">
        <f t="shared" si="27"/>
        <v>2015</v>
      </c>
      <c r="B701" s="72">
        <f t="shared" si="28"/>
        <v>8</v>
      </c>
      <c r="C701" s="73">
        <v>42219</v>
      </c>
      <c r="D701" s="73" t="s">
        <v>17</v>
      </c>
      <c r="E701" s="73">
        <v>42219</v>
      </c>
      <c r="F701" s="76" t="s">
        <v>300</v>
      </c>
      <c r="G701" s="265"/>
      <c r="H701" s="122" t="s">
        <v>190</v>
      </c>
      <c r="I701" s="122"/>
      <c r="J701" s="122"/>
      <c r="K701" s="122"/>
      <c r="L701" s="122"/>
      <c r="M701" s="74">
        <v>300000000</v>
      </c>
      <c r="N701" s="75" t="s">
        <v>18</v>
      </c>
      <c r="O701" s="75" t="s">
        <v>54</v>
      </c>
      <c r="P701" s="134" t="str">
        <f>IF(AND('331-CT'!$E$7=TH!H701,OR(N701="331",O701="331")),"x","")</f>
        <v/>
      </c>
    </row>
    <row r="702" spans="1:16">
      <c r="A702" s="72">
        <f t="shared" si="27"/>
        <v>2015</v>
      </c>
      <c r="B702" s="72">
        <f t="shared" si="28"/>
        <v>8</v>
      </c>
      <c r="C702" s="73">
        <v>42219</v>
      </c>
      <c r="D702" s="73" t="s">
        <v>17</v>
      </c>
      <c r="E702" s="73">
        <v>42219</v>
      </c>
      <c r="F702" s="76" t="s">
        <v>34</v>
      </c>
      <c r="G702" s="265"/>
      <c r="H702" s="122"/>
      <c r="I702" s="122"/>
      <c r="J702" s="122"/>
      <c r="K702" s="122"/>
      <c r="L702" s="122"/>
      <c r="M702" s="74">
        <v>120000</v>
      </c>
      <c r="N702" s="75" t="s">
        <v>241</v>
      </c>
      <c r="O702" s="75" t="s">
        <v>54</v>
      </c>
      <c r="P702" s="134" t="str">
        <f>IF(AND('331-CT'!$E$7=TH!H702,OR(N702="331",O702="331")),"x","")</f>
        <v/>
      </c>
    </row>
    <row r="703" spans="1:16">
      <c r="A703" s="72">
        <f t="shared" si="27"/>
        <v>2015</v>
      </c>
      <c r="B703" s="72">
        <f t="shared" si="28"/>
        <v>8</v>
      </c>
      <c r="C703" s="73">
        <v>42219</v>
      </c>
      <c r="D703" s="73" t="s">
        <v>17</v>
      </c>
      <c r="E703" s="73">
        <v>42219</v>
      </c>
      <c r="F703" s="76" t="s">
        <v>35</v>
      </c>
      <c r="G703" s="265"/>
      <c r="H703" s="122"/>
      <c r="I703" s="122"/>
      <c r="J703" s="122"/>
      <c r="K703" s="122"/>
      <c r="L703" s="122"/>
      <c r="M703" s="74">
        <v>12000</v>
      </c>
      <c r="N703" s="75" t="s">
        <v>19</v>
      </c>
      <c r="O703" s="75" t="s">
        <v>54</v>
      </c>
      <c r="P703" s="134" t="str">
        <f>IF(AND('331-CT'!$E$7=TH!H703,OR(N703="331",O703="331")),"x","")</f>
        <v/>
      </c>
    </row>
    <row r="704" spans="1:16">
      <c r="A704" s="72">
        <f t="shared" si="27"/>
        <v>2015</v>
      </c>
      <c r="B704" s="72">
        <f t="shared" si="28"/>
        <v>8</v>
      </c>
      <c r="C704" s="73">
        <v>42223</v>
      </c>
      <c r="D704" s="73" t="s">
        <v>163</v>
      </c>
      <c r="E704" s="73">
        <v>42223</v>
      </c>
      <c r="F704" s="76" t="s">
        <v>434</v>
      </c>
      <c r="G704" s="265" t="s">
        <v>545</v>
      </c>
      <c r="H704" s="122" t="s">
        <v>435</v>
      </c>
      <c r="I704" s="122"/>
      <c r="J704" s="122"/>
      <c r="K704" s="122"/>
      <c r="L704" s="122"/>
      <c r="M704" s="74">
        <v>15450000</v>
      </c>
      <c r="N704" s="75" t="s">
        <v>654</v>
      </c>
      <c r="O704" s="75" t="s">
        <v>203</v>
      </c>
      <c r="P704" s="134" t="str">
        <f>IF(AND('331-CT'!$E$7=TH!H704,OR(N704="331",O704="331")),"x","")</f>
        <v/>
      </c>
    </row>
    <row r="705" spans="1:16">
      <c r="A705" s="72">
        <f t="shared" si="27"/>
        <v>2015</v>
      </c>
      <c r="B705" s="72">
        <f t="shared" si="28"/>
        <v>8</v>
      </c>
      <c r="C705" s="73">
        <v>42223</v>
      </c>
      <c r="D705" s="73" t="s">
        <v>163</v>
      </c>
      <c r="E705" s="73">
        <v>42223</v>
      </c>
      <c r="F705" s="76" t="s">
        <v>436</v>
      </c>
      <c r="G705" s="265" t="s">
        <v>545</v>
      </c>
      <c r="H705" s="122" t="s">
        <v>435</v>
      </c>
      <c r="I705" s="122"/>
      <c r="J705" s="122"/>
      <c r="K705" s="122"/>
      <c r="L705" s="122"/>
      <c r="M705" s="74">
        <v>1545000</v>
      </c>
      <c r="N705" s="75" t="s">
        <v>19</v>
      </c>
      <c r="O705" s="75" t="s">
        <v>203</v>
      </c>
      <c r="P705" s="134" t="str">
        <f>IF(AND('331-CT'!$E$7=TH!H705,OR(N705="331",O705="331")),"x","")</f>
        <v/>
      </c>
    </row>
    <row r="706" spans="1:16">
      <c r="A706" s="72">
        <f t="shared" si="27"/>
        <v>2015</v>
      </c>
      <c r="B706" s="72">
        <f t="shared" si="28"/>
        <v>8</v>
      </c>
      <c r="C706" s="73">
        <v>42224</v>
      </c>
      <c r="D706" s="73" t="s">
        <v>164</v>
      </c>
      <c r="E706" s="73">
        <v>42224</v>
      </c>
      <c r="F706" s="76" t="s">
        <v>431</v>
      </c>
      <c r="G706" s="265" t="s">
        <v>544</v>
      </c>
      <c r="H706" s="122" t="s">
        <v>433</v>
      </c>
      <c r="I706" s="122"/>
      <c r="J706" s="122"/>
      <c r="K706" s="122"/>
      <c r="L706" s="122"/>
      <c r="M706" s="74">
        <v>13500000</v>
      </c>
      <c r="N706" s="75" t="s">
        <v>654</v>
      </c>
      <c r="O706" s="75" t="s">
        <v>203</v>
      </c>
      <c r="P706" s="134" t="str">
        <f>IF(AND('331-CT'!$E$7=TH!H706,OR(N706="331",O706="331")),"x","")</f>
        <v/>
      </c>
    </row>
    <row r="707" spans="1:16">
      <c r="A707" s="72">
        <f t="shared" si="27"/>
        <v>2015</v>
      </c>
      <c r="B707" s="72">
        <f t="shared" si="28"/>
        <v>8</v>
      </c>
      <c r="C707" s="73">
        <v>42224</v>
      </c>
      <c r="D707" s="73" t="s">
        <v>164</v>
      </c>
      <c r="E707" s="73">
        <v>42224</v>
      </c>
      <c r="F707" s="76" t="s">
        <v>432</v>
      </c>
      <c r="G707" s="265" t="s">
        <v>544</v>
      </c>
      <c r="H707" s="9" t="s">
        <v>433</v>
      </c>
      <c r="I707" s="9"/>
      <c r="J707" s="9"/>
      <c r="K707" s="9"/>
      <c r="L707" s="9"/>
      <c r="M707" s="74">
        <v>1350000</v>
      </c>
      <c r="N707" s="75" t="s">
        <v>19</v>
      </c>
      <c r="O707" s="75" t="s">
        <v>203</v>
      </c>
      <c r="P707" s="134" t="str">
        <f>IF(AND('331-CT'!$E$7=TH!H707,OR(N707="331",O707="331")),"x","")</f>
        <v/>
      </c>
    </row>
    <row r="708" spans="1:16">
      <c r="A708" s="72">
        <f t="shared" si="27"/>
        <v>2015</v>
      </c>
      <c r="B708" s="72">
        <f t="shared" si="28"/>
        <v>8</v>
      </c>
      <c r="C708" s="73">
        <v>42224</v>
      </c>
      <c r="D708" s="73" t="s">
        <v>165</v>
      </c>
      <c r="E708" s="73">
        <v>42224</v>
      </c>
      <c r="F708" s="76" t="s">
        <v>434</v>
      </c>
      <c r="G708" s="265" t="s">
        <v>546</v>
      </c>
      <c r="H708" s="122" t="s">
        <v>435</v>
      </c>
      <c r="I708" s="122"/>
      <c r="J708" s="122"/>
      <c r="K708" s="122"/>
      <c r="L708" s="122"/>
      <c r="M708" s="74">
        <v>15450000</v>
      </c>
      <c r="N708" s="75" t="s">
        <v>654</v>
      </c>
      <c r="O708" s="75" t="s">
        <v>203</v>
      </c>
      <c r="P708" s="134" t="str">
        <f>IF(AND('331-CT'!$E$7=TH!H708,OR(N708="331",O708="331")),"x","")</f>
        <v/>
      </c>
    </row>
    <row r="709" spans="1:16">
      <c r="A709" s="72">
        <f t="shared" si="27"/>
        <v>2015</v>
      </c>
      <c r="B709" s="72">
        <f t="shared" si="28"/>
        <v>8</v>
      </c>
      <c r="C709" s="73">
        <v>42224</v>
      </c>
      <c r="D709" s="73" t="s">
        <v>165</v>
      </c>
      <c r="E709" s="73">
        <v>42224</v>
      </c>
      <c r="F709" s="76" t="s">
        <v>436</v>
      </c>
      <c r="G709" s="265" t="s">
        <v>546</v>
      </c>
      <c r="H709" s="122" t="s">
        <v>435</v>
      </c>
      <c r="I709" s="122"/>
      <c r="J709" s="122"/>
      <c r="K709" s="122"/>
      <c r="L709" s="122"/>
      <c r="M709" s="74">
        <v>1545000</v>
      </c>
      <c r="N709" s="75" t="s">
        <v>19</v>
      </c>
      <c r="O709" s="75" t="s">
        <v>203</v>
      </c>
      <c r="P709" s="134" t="str">
        <f>IF(AND('331-CT'!$E$7=TH!H709,OR(N709="331",O709="331")),"x","")</f>
        <v/>
      </c>
    </row>
    <row r="710" spans="1:16">
      <c r="A710" s="72">
        <f t="shared" si="27"/>
        <v>2015</v>
      </c>
      <c r="B710" s="72">
        <f t="shared" si="28"/>
        <v>8</v>
      </c>
      <c r="C710" s="73">
        <v>42225</v>
      </c>
      <c r="D710" s="73" t="s">
        <v>166</v>
      </c>
      <c r="E710" s="73">
        <v>42225</v>
      </c>
      <c r="F710" s="76" t="s">
        <v>434</v>
      </c>
      <c r="G710" s="265" t="s">
        <v>547</v>
      </c>
      <c r="H710" s="9" t="s">
        <v>435</v>
      </c>
      <c r="I710" s="9"/>
      <c r="J710" s="9"/>
      <c r="K710" s="9"/>
      <c r="L710" s="9"/>
      <c r="M710" s="74">
        <v>15450000</v>
      </c>
      <c r="N710" s="75" t="s">
        <v>654</v>
      </c>
      <c r="O710" s="75" t="s">
        <v>203</v>
      </c>
      <c r="P710" s="134" t="str">
        <f>IF(AND('331-CT'!$E$7=TH!H710,OR(N710="331",O710="331")),"x","")</f>
        <v/>
      </c>
    </row>
    <row r="711" spans="1:16">
      <c r="A711" s="72">
        <f t="shared" si="27"/>
        <v>2015</v>
      </c>
      <c r="B711" s="72">
        <f t="shared" si="28"/>
        <v>8</v>
      </c>
      <c r="C711" s="73">
        <v>42225</v>
      </c>
      <c r="D711" s="73" t="s">
        <v>166</v>
      </c>
      <c r="E711" s="73">
        <v>42225</v>
      </c>
      <c r="F711" s="76" t="s">
        <v>436</v>
      </c>
      <c r="G711" s="265" t="s">
        <v>547</v>
      </c>
      <c r="H711" s="122" t="s">
        <v>435</v>
      </c>
      <c r="I711" s="122"/>
      <c r="J711" s="122"/>
      <c r="K711" s="122"/>
      <c r="L711" s="122"/>
      <c r="M711" s="74">
        <v>1545000</v>
      </c>
      <c r="N711" s="75" t="s">
        <v>19</v>
      </c>
      <c r="O711" s="75" t="s">
        <v>203</v>
      </c>
      <c r="P711" s="134" t="str">
        <f>IF(AND('331-CT'!$E$7=TH!H711,OR(N711="331",O711="331")),"x","")</f>
        <v/>
      </c>
    </row>
    <row r="712" spans="1:16">
      <c r="A712" s="72">
        <f t="shared" si="27"/>
        <v>2015</v>
      </c>
      <c r="B712" s="72">
        <f t="shared" si="28"/>
        <v>8</v>
      </c>
      <c r="C712" s="73">
        <v>42226</v>
      </c>
      <c r="D712" s="73" t="s">
        <v>167</v>
      </c>
      <c r="E712" s="73">
        <v>42226</v>
      </c>
      <c r="F712" s="76" t="s">
        <v>434</v>
      </c>
      <c r="G712" s="265" t="s">
        <v>548</v>
      </c>
      <c r="H712" s="122" t="s">
        <v>435</v>
      </c>
      <c r="I712" s="122"/>
      <c r="J712" s="122"/>
      <c r="K712" s="122"/>
      <c r="L712" s="122"/>
      <c r="M712" s="74">
        <v>5150000</v>
      </c>
      <c r="N712" s="75" t="s">
        <v>654</v>
      </c>
      <c r="O712" s="75" t="s">
        <v>203</v>
      </c>
      <c r="P712" s="134" t="str">
        <f>IF(AND('331-CT'!$E$7=TH!H712,OR(N712="331",O712="331")),"x","")</f>
        <v/>
      </c>
    </row>
    <row r="713" spans="1:16">
      <c r="A713" s="72">
        <f t="shared" si="27"/>
        <v>2015</v>
      </c>
      <c r="B713" s="72">
        <f t="shared" si="28"/>
        <v>8</v>
      </c>
      <c r="C713" s="73">
        <v>42226</v>
      </c>
      <c r="D713" s="73" t="s">
        <v>167</v>
      </c>
      <c r="E713" s="73">
        <v>42226</v>
      </c>
      <c r="F713" s="76" t="s">
        <v>436</v>
      </c>
      <c r="G713" s="265" t="s">
        <v>548</v>
      </c>
      <c r="H713" s="9" t="s">
        <v>435</v>
      </c>
      <c r="I713" s="9"/>
      <c r="J713" s="9"/>
      <c r="K713" s="9"/>
      <c r="L713" s="9"/>
      <c r="M713" s="74">
        <v>515000</v>
      </c>
      <c r="N713" s="75" t="s">
        <v>19</v>
      </c>
      <c r="O713" s="75" t="s">
        <v>203</v>
      </c>
      <c r="P713" s="134" t="str">
        <f>IF(AND('331-CT'!$E$7=TH!H713,OR(N713="331",O713="331")),"x","")</f>
        <v/>
      </c>
    </row>
    <row r="714" spans="1:16">
      <c r="A714" s="72">
        <f t="shared" si="27"/>
        <v>2015</v>
      </c>
      <c r="B714" s="72">
        <f t="shared" si="28"/>
        <v>8</v>
      </c>
      <c r="C714" s="73">
        <v>42229</v>
      </c>
      <c r="D714" s="73" t="s">
        <v>17</v>
      </c>
      <c r="E714" s="73">
        <v>42229</v>
      </c>
      <c r="F714" s="76" t="s">
        <v>300</v>
      </c>
      <c r="G714" s="265"/>
      <c r="H714" s="122" t="s">
        <v>406</v>
      </c>
      <c r="I714" s="122"/>
      <c r="J714" s="122"/>
      <c r="K714" s="122"/>
      <c r="L714" s="122"/>
      <c r="M714" s="74">
        <v>50000000</v>
      </c>
      <c r="N714" s="75" t="s">
        <v>18</v>
      </c>
      <c r="O714" s="75" t="s">
        <v>54</v>
      </c>
      <c r="P714" s="134" t="str">
        <f>IF(AND('331-CT'!$E$7=TH!H714,OR(N714="331",O714="331")),"x","")</f>
        <v/>
      </c>
    </row>
    <row r="715" spans="1:16">
      <c r="A715" s="72">
        <f t="shared" si="27"/>
        <v>2015</v>
      </c>
      <c r="B715" s="72">
        <f t="shared" si="28"/>
        <v>8</v>
      </c>
      <c r="C715" s="73">
        <v>42229</v>
      </c>
      <c r="D715" s="73" t="s">
        <v>17</v>
      </c>
      <c r="E715" s="73">
        <v>42229</v>
      </c>
      <c r="F715" s="76" t="s">
        <v>34</v>
      </c>
      <c r="G715" s="265"/>
      <c r="H715" s="122"/>
      <c r="I715" s="122"/>
      <c r="J715" s="122"/>
      <c r="K715" s="122"/>
      <c r="L715" s="122"/>
      <c r="M715" s="74">
        <v>25000</v>
      </c>
      <c r="N715" s="75" t="s">
        <v>241</v>
      </c>
      <c r="O715" s="75" t="s">
        <v>54</v>
      </c>
      <c r="P715" s="134" t="str">
        <f>IF(AND('331-CT'!$E$7=TH!H715,OR(N715="331",O715="331")),"x","")</f>
        <v/>
      </c>
    </row>
    <row r="716" spans="1:16">
      <c r="A716" s="72">
        <f t="shared" si="27"/>
        <v>2015</v>
      </c>
      <c r="B716" s="72">
        <f t="shared" si="28"/>
        <v>8</v>
      </c>
      <c r="C716" s="73">
        <v>42229</v>
      </c>
      <c r="D716" s="73" t="s">
        <v>17</v>
      </c>
      <c r="E716" s="73">
        <v>42229</v>
      </c>
      <c r="F716" s="76" t="s">
        <v>35</v>
      </c>
      <c r="G716" s="265"/>
      <c r="H716" s="122"/>
      <c r="I716" s="122"/>
      <c r="J716" s="122"/>
      <c r="K716" s="122"/>
      <c r="L716" s="122"/>
      <c r="M716" s="74">
        <v>2500</v>
      </c>
      <c r="N716" s="75" t="s">
        <v>19</v>
      </c>
      <c r="O716" s="75" t="s">
        <v>54</v>
      </c>
      <c r="P716" s="134" t="str">
        <f>IF(AND('331-CT'!$E$7=TH!H716,OR(N716="331",O716="331")),"x","")</f>
        <v/>
      </c>
    </row>
    <row r="717" spans="1:16">
      <c r="A717" s="72">
        <f t="shared" si="27"/>
        <v>2015</v>
      </c>
      <c r="B717" s="72">
        <f t="shared" si="28"/>
        <v>8</v>
      </c>
      <c r="C717" s="73">
        <v>42229</v>
      </c>
      <c r="D717" s="73" t="s">
        <v>78</v>
      </c>
      <c r="E717" s="73">
        <v>42229</v>
      </c>
      <c r="F717" s="76" t="s">
        <v>445</v>
      </c>
      <c r="G717" s="265" t="s">
        <v>444</v>
      </c>
      <c r="H717" s="122" t="s">
        <v>111</v>
      </c>
      <c r="I717" s="122"/>
      <c r="J717" s="122"/>
      <c r="K717" s="122"/>
      <c r="L717" s="122"/>
      <c r="M717" s="74">
        <v>2000000000</v>
      </c>
      <c r="N717" s="75" t="s">
        <v>654</v>
      </c>
      <c r="O717" s="75" t="s">
        <v>18</v>
      </c>
      <c r="P717" s="134" t="str">
        <f>IF(AND('331-CT'!$E$7=TH!H717,OR(N717="331",O717="331")),"x","")</f>
        <v/>
      </c>
    </row>
    <row r="718" spans="1:16">
      <c r="A718" s="129">
        <f t="shared" si="27"/>
        <v>2015</v>
      </c>
      <c r="B718" s="129">
        <f t="shared" si="28"/>
        <v>8</v>
      </c>
      <c r="C718" s="130">
        <v>42229</v>
      </c>
      <c r="D718" s="130" t="s">
        <v>78</v>
      </c>
      <c r="E718" s="130">
        <v>42229</v>
      </c>
      <c r="F718" s="131" t="s">
        <v>446</v>
      </c>
      <c r="G718" s="266" t="s">
        <v>444</v>
      </c>
      <c r="H718" s="132" t="s">
        <v>111</v>
      </c>
      <c r="I718" s="132"/>
      <c r="J718" s="132"/>
      <c r="K718" s="132"/>
      <c r="L718" s="132"/>
      <c r="M718" s="133">
        <v>200000000</v>
      </c>
      <c r="N718" s="134" t="s">
        <v>19</v>
      </c>
      <c r="O718" s="134" t="s">
        <v>18</v>
      </c>
      <c r="P718" s="134" t="str">
        <f>IF(AND('331-CT'!$E$7=TH!H718,OR(N718="331",O718="331")),"x","")</f>
        <v/>
      </c>
    </row>
    <row r="719" spans="1:16" ht="13.5" customHeight="1">
      <c r="A719" s="72">
        <f t="shared" si="27"/>
        <v>2015</v>
      </c>
      <c r="B719" s="72">
        <f t="shared" si="28"/>
        <v>8</v>
      </c>
      <c r="C719" s="73">
        <v>42229</v>
      </c>
      <c r="D719" s="73" t="s">
        <v>21</v>
      </c>
      <c r="E719" s="73">
        <v>42229</v>
      </c>
      <c r="F719" s="76" t="s">
        <v>454</v>
      </c>
      <c r="G719" s="265"/>
      <c r="H719" s="122" t="s">
        <v>455</v>
      </c>
      <c r="I719" s="122"/>
      <c r="J719" s="122"/>
      <c r="K719" s="122"/>
      <c r="L719" s="122"/>
      <c r="M719" s="74">
        <v>1000000000</v>
      </c>
      <c r="N719" s="75" t="s">
        <v>54</v>
      </c>
      <c r="O719" s="75" t="s">
        <v>227</v>
      </c>
      <c r="P719" s="134" t="str">
        <f>IF(AND('331-CT'!$E$7=TH!H719,OR(N719="331",O719="331")),"x","")</f>
        <v/>
      </c>
    </row>
    <row r="720" spans="1:16" ht="13.5" customHeight="1">
      <c r="A720" s="72">
        <f t="shared" si="27"/>
        <v>2015</v>
      </c>
      <c r="B720" s="72">
        <f t="shared" si="28"/>
        <v>8</v>
      </c>
      <c r="C720" s="73">
        <v>42230</v>
      </c>
      <c r="D720" s="73" t="s">
        <v>78</v>
      </c>
      <c r="E720" s="73">
        <v>42230</v>
      </c>
      <c r="F720" s="76" t="s">
        <v>438</v>
      </c>
      <c r="G720" s="265" t="s">
        <v>437</v>
      </c>
      <c r="H720" s="9" t="s">
        <v>440</v>
      </c>
      <c r="I720" s="9"/>
      <c r="J720" s="9"/>
      <c r="K720" s="9"/>
      <c r="L720" s="9"/>
      <c r="M720" s="74">
        <v>30000000</v>
      </c>
      <c r="N720" s="75" t="s">
        <v>654</v>
      </c>
      <c r="O720" s="75" t="s">
        <v>18</v>
      </c>
      <c r="P720" s="134" t="str">
        <f>IF(AND('331-CT'!$E$7=TH!H720,OR(N720="331",O720="331")),"x","")</f>
        <v/>
      </c>
    </row>
    <row r="721" spans="1:16" ht="13.5" customHeight="1">
      <c r="A721" s="72">
        <f t="shared" si="27"/>
        <v>2015</v>
      </c>
      <c r="B721" s="72">
        <f t="shared" si="28"/>
        <v>8</v>
      </c>
      <c r="C721" s="73">
        <v>42230</v>
      </c>
      <c r="D721" s="73" t="s">
        <v>78</v>
      </c>
      <c r="E721" s="73">
        <v>42230</v>
      </c>
      <c r="F721" s="76" t="s">
        <v>439</v>
      </c>
      <c r="G721" s="265" t="s">
        <v>437</v>
      </c>
      <c r="H721" s="122" t="s">
        <v>440</v>
      </c>
      <c r="I721" s="122"/>
      <c r="J721" s="122"/>
      <c r="K721" s="122"/>
      <c r="L721" s="122"/>
      <c r="M721" s="74">
        <v>3000000</v>
      </c>
      <c r="N721" s="75" t="s">
        <v>19</v>
      </c>
      <c r="O721" s="75" t="s">
        <v>18</v>
      </c>
      <c r="P721" s="134" t="str">
        <f>IF(AND('331-CT'!$E$7=TH!H721,OR(N721="331",O721="331")),"x","")</f>
        <v/>
      </c>
    </row>
    <row r="722" spans="1:16" ht="13.5" customHeight="1">
      <c r="A722" s="72">
        <f t="shared" si="27"/>
        <v>2015</v>
      </c>
      <c r="B722" s="72">
        <f t="shared" si="28"/>
        <v>8</v>
      </c>
      <c r="C722" s="73">
        <v>42230</v>
      </c>
      <c r="D722" s="73" t="s">
        <v>78</v>
      </c>
      <c r="E722" s="73">
        <v>42230</v>
      </c>
      <c r="F722" s="76" t="s">
        <v>442</v>
      </c>
      <c r="G722" s="265" t="s">
        <v>441</v>
      </c>
      <c r="H722" s="122" t="s">
        <v>480</v>
      </c>
      <c r="I722" s="122"/>
      <c r="J722" s="122"/>
      <c r="K722" s="122"/>
      <c r="L722" s="122"/>
      <c r="M722" s="74">
        <v>545120000</v>
      </c>
      <c r="N722" s="75" t="s">
        <v>654</v>
      </c>
      <c r="O722" s="75" t="s">
        <v>18</v>
      </c>
      <c r="P722" s="134" t="str">
        <f>IF(AND('331-CT'!$E$7=TH!H722,OR(N722="331",O722="331")),"x","")</f>
        <v/>
      </c>
    </row>
    <row r="723" spans="1:16" ht="13.5" customHeight="1">
      <c r="A723" s="72">
        <f t="shared" si="27"/>
        <v>2015</v>
      </c>
      <c r="B723" s="72">
        <f t="shared" si="28"/>
        <v>8</v>
      </c>
      <c r="C723" s="73">
        <v>42230</v>
      </c>
      <c r="D723" s="73" t="s">
        <v>78</v>
      </c>
      <c r="E723" s="73">
        <v>42230</v>
      </c>
      <c r="F723" s="76" t="s">
        <v>443</v>
      </c>
      <c r="G723" s="265" t="s">
        <v>441</v>
      </c>
      <c r="H723" s="9" t="s">
        <v>480</v>
      </c>
      <c r="I723" s="9"/>
      <c r="J723" s="9"/>
      <c r="K723" s="9"/>
      <c r="L723" s="9"/>
      <c r="M723" s="74">
        <v>54512000</v>
      </c>
      <c r="N723" s="75" t="s">
        <v>19</v>
      </c>
      <c r="O723" s="75" t="s">
        <v>18</v>
      </c>
      <c r="P723" s="134" t="str">
        <f>IF(AND('331-CT'!$E$7=TH!H723,OR(N723="331",O723="331")),"x","")</f>
        <v/>
      </c>
    </row>
    <row r="724" spans="1:16" ht="13.5" customHeight="1">
      <c r="A724" s="72">
        <f t="shared" si="27"/>
        <v>2015</v>
      </c>
      <c r="B724" s="72">
        <f t="shared" si="28"/>
        <v>8</v>
      </c>
      <c r="C724" s="73">
        <v>42230</v>
      </c>
      <c r="D724" s="73" t="s">
        <v>17</v>
      </c>
      <c r="E724" s="73">
        <v>42230</v>
      </c>
      <c r="F724" s="76" t="s">
        <v>300</v>
      </c>
      <c r="G724" s="265"/>
      <c r="H724" s="122" t="s">
        <v>305</v>
      </c>
      <c r="I724" s="122"/>
      <c r="J724" s="122"/>
      <c r="K724" s="122"/>
      <c r="L724" s="122"/>
      <c r="M724" s="74">
        <v>500000000</v>
      </c>
      <c r="N724" s="75" t="s">
        <v>18</v>
      </c>
      <c r="O724" s="75" t="s">
        <v>54</v>
      </c>
      <c r="P724" s="134" t="str">
        <f>IF(AND('331-CT'!$E$7=TH!H724,OR(N724="331",O724="331")),"x","")</f>
        <v/>
      </c>
    </row>
    <row r="725" spans="1:16" s="224" customFormat="1" ht="13.5" customHeight="1">
      <c r="A725" s="72">
        <f t="shared" ref="A725:A788" si="29">IF(C725&lt;&gt;"",YEAR(C725),"")</f>
        <v>2015</v>
      </c>
      <c r="B725" s="72">
        <f t="shared" ref="B725:B788" si="30">IF(C725&lt;&gt;"",MONTH(C725),"")</f>
        <v>8</v>
      </c>
      <c r="C725" s="73">
        <v>42230</v>
      </c>
      <c r="D725" s="73" t="s">
        <v>17</v>
      </c>
      <c r="E725" s="73">
        <v>42230</v>
      </c>
      <c r="F725" s="76" t="s">
        <v>34</v>
      </c>
      <c r="G725" s="265"/>
      <c r="H725" s="122"/>
      <c r="I725" s="122"/>
      <c r="J725" s="122"/>
      <c r="K725" s="122"/>
      <c r="L725" s="122"/>
      <c r="M725" s="74">
        <v>150000</v>
      </c>
      <c r="N725" s="75" t="s">
        <v>241</v>
      </c>
      <c r="O725" s="75" t="s">
        <v>54</v>
      </c>
      <c r="P725" s="134" t="str">
        <f>IF(AND('331-CT'!$E$7=TH!H725,OR(N725="331",O725="331")),"x","")</f>
        <v/>
      </c>
    </row>
    <row r="726" spans="1:16" ht="13.5" customHeight="1">
      <c r="A726" s="72">
        <f t="shared" si="29"/>
        <v>2015</v>
      </c>
      <c r="B726" s="72">
        <f t="shared" si="30"/>
        <v>8</v>
      </c>
      <c r="C726" s="73">
        <v>42230</v>
      </c>
      <c r="D726" s="73" t="s">
        <v>17</v>
      </c>
      <c r="E726" s="73">
        <v>42230</v>
      </c>
      <c r="F726" s="76" t="s">
        <v>35</v>
      </c>
      <c r="G726" s="270"/>
      <c r="H726" s="122"/>
      <c r="I726" s="122"/>
      <c r="J726" s="122"/>
      <c r="K726" s="122"/>
      <c r="L726" s="122"/>
      <c r="M726" s="74">
        <v>15000</v>
      </c>
      <c r="N726" s="75" t="s">
        <v>19</v>
      </c>
      <c r="O726" s="75" t="s">
        <v>54</v>
      </c>
      <c r="P726" s="134" t="str">
        <f>IF(AND('331-CT'!$E$7=TH!H726,OR(N726="331",O726="331")),"x","")</f>
        <v/>
      </c>
    </row>
    <row r="727" spans="1:16" ht="13.5" customHeight="1">
      <c r="A727" s="72">
        <f t="shared" si="29"/>
        <v>2015</v>
      </c>
      <c r="B727" s="72">
        <f t="shared" si="30"/>
        <v>8</v>
      </c>
      <c r="C727" s="73">
        <v>42234</v>
      </c>
      <c r="D727" s="73" t="s">
        <v>168</v>
      </c>
      <c r="E727" s="73">
        <v>42234</v>
      </c>
      <c r="F727" s="76" t="s">
        <v>575</v>
      </c>
      <c r="G727" s="270"/>
      <c r="H727" s="122" t="s">
        <v>271</v>
      </c>
      <c r="I727" s="122"/>
      <c r="J727" s="122"/>
      <c r="K727" s="122"/>
      <c r="L727" s="122"/>
      <c r="M727" s="74">
        <v>500000000</v>
      </c>
      <c r="N727" s="75" t="s">
        <v>54</v>
      </c>
      <c r="O727" s="75" t="s">
        <v>203</v>
      </c>
      <c r="P727" s="134" t="str">
        <f>IF(AND('331-CT'!$E$7=TH!H727,OR(N727="331",O727="331")),"x","")</f>
        <v/>
      </c>
    </row>
    <row r="728" spans="1:16" ht="13.5" customHeight="1">
      <c r="A728" s="72">
        <f t="shared" si="29"/>
        <v>2015</v>
      </c>
      <c r="B728" s="72">
        <f t="shared" si="30"/>
        <v>8</v>
      </c>
      <c r="C728" s="73">
        <v>42235</v>
      </c>
      <c r="D728" s="73" t="s">
        <v>169</v>
      </c>
      <c r="E728" s="73">
        <v>42235</v>
      </c>
      <c r="F728" s="76" t="s">
        <v>456</v>
      </c>
      <c r="G728" s="270" t="s">
        <v>549</v>
      </c>
      <c r="H728" s="122" t="s">
        <v>457</v>
      </c>
      <c r="I728" s="122"/>
      <c r="J728" s="122"/>
      <c r="K728" s="122"/>
      <c r="L728" s="122"/>
      <c r="M728" s="74">
        <v>3660000</v>
      </c>
      <c r="N728" s="75" t="s">
        <v>654</v>
      </c>
      <c r="O728" s="75" t="s">
        <v>203</v>
      </c>
      <c r="P728" s="134" t="str">
        <f>IF(AND('331-CT'!$E$7=TH!H728,OR(N728="331",O728="331")),"x","")</f>
        <v/>
      </c>
    </row>
    <row r="729" spans="1:16" ht="13.5" customHeight="1">
      <c r="A729" s="72">
        <f t="shared" si="29"/>
        <v>2015</v>
      </c>
      <c r="B729" s="72">
        <f t="shared" si="30"/>
        <v>8</v>
      </c>
      <c r="C729" s="73">
        <v>42235</v>
      </c>
      <c r="D729" s="73" t="s">
        <v>170</v>
      </c>
      <c r="E729" s="73">
        <v>42235</v>
      </c>
      <c r="F729" s="76" t="s">
        <v>447</v>
      </c>
      <c r="G729" s="270" t="s">
        <v>550</v>
      </c>
      <c r="H729" s="122" t="s">
        <v>450</v>
      </c>
      <c r="I729" s="122"/>
      <c r="J729" s="122"/>
      <c r="K729" s="122"/>
      <c r="L729" s="122"/>
      <c r="M729" s="74">
        <v>6636364</v>
      </c>
      <c r="N729" s="75" t="s">
        <v>654</v>
      </c>
      <c r="O729" s="75" t="s">
        <v>203</v>
      </c>
      <c r="P729" s="134" t="str">
        <f>IF(AND('331-CT'!$E$7=TH!H729,OR(N729="331",O729="331")),"x","")</f>
        <v/>
      </c>
    </row>
    <row r="730" spans="1:16" ht="13.5" customHeight="1">
      <c r="A730" s="72">
        <f t="shared" si="29"/>
        <v>2015</v>
      </c>
      <c r="B730" s="72">
        <f t="shared" si="30"/>
        <v>8</v>
      </c>
      <c r="C730" s="73">
        <v>42235</v>
      </c>
      <c r="D730" s="73" t="s">
        <v>170</v>
      </c>
      <c r="E730" s="73">
        <v>42235</v>
      </c>
      <c r="F730" s="76" t="s">
        <v>448</v>
      </c>
      <c r="G730" s="270" t="s">
        <v>550</v>
      </c>
      <c r="H730" s="122" t="s">
        <v>450</v>
      </c>
      <c r="I730" s="122"/>
      <c r="J730" s="122"/>
      <c r="K730" s="122"/>
      <c r="L730" s="122"/>
      <c r="M730" s="74">
        <v>663636</v>
      </c>
      <c r="N730" s="75" t="s">
        <v>19</v>
      </c>
      <c r="O730" s="75" t="s">
        <v>203</v>
      </c>
      <c r="P730" s="134" t="str">
        <f>IF(AND('331-CT'!$E$7=TH!H730,OR(N730="331",O730="331")),"x","")</f>
        <v/>
      </c>
    </row>
    <row r="731" spans="1:16" ht="13.5" customHeight="1">
      <c r="A731" s="72">
        <f t="shared" si="29"/>
        <v>2015</v>
      </c>
      <c r="B731" s="72">
        <f t="shared" si="30"/>
        <v>8</v>
      </c>
      <c r="C731" s="73">
        <v>42235</v>
      </c>
      <c r="D731" s="73" t="s">
        <v>171</v>
      </c>
      <c r="E731" s="73">
        <v>42235</v>
      </c>
      <c r="F731" s="76" t="s">
        <v>449</v>
      </c>
      <c r="G731" s="270" t="s">
        <v>551</v>
      </c>
      <c r="H731" s="122" t="s">
        <v>451</v>
      </c>
      <c r="I731" s="122"/>
      <c r="J731" s="122"/>
      <c r="K731" s="122"/>
      <c r="L731" s="122"/>
      <c r="M731" s="74">
        <v>4700000</v>
      </c>
      <c r="N731" s="75" t="s">
        <v>654</v>
      </c>
      <c r="O731" s="75" t="s">
        <v>203</v>
      </c>
      <c r="P731" s="134" t="str">
        <f>IF(AND('331-CT'!$E$7=TH!H731,OR(N731="331",O731="331")),"x","")</f>
        <v/>
      </c>
    </row>
    <row r="732" spans="1:16" ht="13.5" customHeight="1">
      <c r="A732" s="72">
        <f t="shared" si="29"/>
        <v>2015</v>
      </c>
      <c r="B732" s="72">
        <f t="shared" si="30"/>
        <v>8</v>
      </c>
      <c r="C732" s="73">
        <v>42235</v>
      </c>
      <c r="D732" s="73" t="s">
        <v>17</v>
      </c>
      <c r="E732" s="73">
        <v>42235</v>
      </c>
      <c r="F732" s="76" t="s">
        <v>119</v>
      </c>
      <c r="G732" s="270"/>
      <c r="H732" s="122" t="s">
        <v>313</v>
      </c>
      <c r="I732" s="122"/>
      <c r="J732" s="122"/>
      <c r="K732" s="122"/>
      <c r="L732" s="122"/>
      <c r="M732" s="74">
        <v>8180556</v>
      </c>
      <c r="N732" s="75" t="s">
        <v>239</v>
      </c>
      <c r="O732" s="75" t="s">
        <v>54</v>
      </c>
      <c r="P732" s="134" t="str">
        <f>IF(AND('331-CT'!$E$7=TH!H732,OR(N732="331",O732="331")),"x","")</f>
        <v/>
      </c>
    </row>
    <row r="733" spans="1:16" ht="13.5" customHeight="1">
      <c r="A733" s="72">
        <f t="shared" si="29"/>
        <v>2015</v>
      </c>
      <c r="B733" s="72">
        <f t="shared" si="30"/>
        <v>8</v>
      </c>
      <c r="C733" s="73">
        <v>42235</v>
      </c>
      <c r="D733" s="73" t="s">
        <v>17</v>
      </c>
      <c r="E733" s="73">
        <v>42235</v>
      </c>
      <c r="F733" s="76" t="s">
        <v>141</v>
      </c>
      <c r="G733" s="270"/>
      <c r="H733" s="122" t="s">
        <v>314</v>
      </c>
      <c r="I733" s="122"/>
      <c r="J733" s="122"/>
      <c r="K733" s="122"/>
      <c r="L733" s="122"/>
      <c r="M733" s="74">
        <v>16361111</v>
      </c>
      <c r="N733" s="75" t="s">
        <v>239</v>
      </c>
      <c r="O733" s="75" t="s">
        <v>54</v>
      </c>
      <c r="P733" s="134" t="str">
        <f>IF(AND('331-CT'!$E$7=TH!H733,OR(N733="331",O733="331")),"x","")</f>
        <v/>
      </c>
    </row>
    <row r="734" spans="1:16" ht="13.5" customHeight="1">
      <c r="A734" s="72">
        <f t="shared" si="29"/>
        <v>2015</v>
      </c>
      <c r="B734" s="72">
        <f t="shared" si="30"/>
        <v>8</v>
      </c>
      <c r="C734" s="73">
        <v>42235</v>
      </c>
      <c r="D734" s="73" t="s">
        <v>17</v>
      </c>
      <c r="E734" s="73">
        <v>42235</v>
      </c>
      <c r="F734" s="76" t="s">
        <v>143</v>
      </c>
      <c r="G734" s="270"/>
      <c r="H734" s="122" t="s">
        <v>316</v>
      </c>
      <c r="I734" s="122"/>
      <c r="J734" s="122"/>
      <c r="K734" s="122"/>
      <c r="L734" s="122"/>
      <c r="M734" s="74">
        <v>13088889</v>
      </c>
      <c r="N734" s="75" t="s">
        <v>239</v>
      </c>
      <c r="O734" s="75" t="s">
        <v>54</v>
      </c>
      <c r="P734" s="134" t="str">
        <f>IF(AND('331-CT'!$E$7=TH!H734,OR(N734="331",O734="331")),"x","")</f>
        <v/>
      </c>
    </row>
    <row r="735" spans="1:16" ht="13.5" customHeight="1">
      <c r="A735" s="72">
        <f t="shared" si="29"/>
        <v>2015</v>
      </c>
      <c r="B735" s="72">
        <f t="shared" si="30"/>
        <v>8</v>
      </c>
      <c r="C735" s="73">
        <v>42235</v>
      </c>
      <c r="D735" s="73" t="s">
        <v>17</v>
      </c>
      <c r="E735" s="73">
        <v>42235</v>
      </c>
      <c r="F735" s="76" t="s">
        <v>144</v>
      </c>
      <c r="G735" s="270"/>
      <c r="H735" s="122" t="s">
        <v>315</v>
      </c>
      <c r="I735" s="122"/>
      <c r="J735" s="122"/>
      <c r="K735" s="122"/>
      <c r="L735" s="122"/>
      <c r="M735" s="74">
        <v>12270833</v>
      </c>
      <c r="N735" s="75" t="s">
        <v>239</v>
      </c>
      <c r="O735" s="75" t="s">
        <v>54</v>
      </c>
      <c r="P735" s="134" t="str">
        <f>IF(AND('331-CT'!$E$7=TH!H735,OR(N735="331",O735="331")),"x","")</f>
        <v/>
      </c>
    </row>
    <row r="736" spans="1:16" ht="13.5" customHeight="1">
      <c r="A736" s="72">
        <f t="shared" si="29"/>
        <v>2015</v>
      </c>
      <c r="B736" s="72">
        <f t="shared" si="30"/>
        <v>8</v>
      </c>
      <c r="C736" s="73">
        <v>42235</v>
      </c>
      <c r="D736" s="73" t="s">
        <v>17</v>
      </c>
      <c r="E736" s="73">
        <v>42235</v>
      </c>
      <c r="F736" s="76" t="s">
        <v>145</v>
      </c>
      <c r="G736" s="265"/>
      <c r="H736" s="9" t="s">
        <v>317</v>
      </c>
      <c r="I736" s="9"/>
      <c r="J736" s="9"/>
      <c r="K736" s="9"/>
      <c r="L736" s="9"/>
      <c r="M736" s="74">
        <v>8180556</v>
      </c>
      <c r="N736" s="75" t="s">
        <v>239</v>
      </c>
      <c r="O736" s="75" t="s">
        <v>54</v>
      </c>
      <c r="P736" s="134" t="str">
        <f>IF(AND('331-CT'!$E$7=TH!H736,OR(N736="331",O736="331")),"x","")</f>
        <v/>
      </c>
    </row>
    <row r="737" spans="1:16" ht="13.5" customHeight="1">
      <c r="A737" s="72">
        <f t="shared" si="29"/>
        <v>2015</v>
      </c>
      <c r="B737" s="72">
        <f t="shared" si="30"/>
        <v>8</v>
      </c>
      <c r="C737" s="73">
        <v>42235</v>
      </c>
      <c r="D737" s="73" t="s">
        <v>17</v>
      </c>
      <c r="E737" s="73">
        <v>42235</v>
      </c>
      <c r="F737" s="76" t="s">
        <v>147</v>
      </c>
      <c r="G737" s="265"/>
      <c r="H737" s="122" t="s">
        <v>318</v>
      </c>
      <c r="I737" s="122"/>
      <c r="J737" s="122"/>
      <c r="K737" s="122"/>
      <c r="L737" s="122"/>
      <c r="M737" s="74">
        <v>12270833</v>
      </c>
      <c r="N737" s="75" t="s">
        <v>239</v>
      </c>
      <c r="O737" s="75" t="s">
        <v>54</v>
      </c>
      <c r="P737" s="134" t="str">
        <f>IF(AND('331-CT'!$E$7=TH!H737,OR(N737="331",O737="331")),"x","")</f>
        <v/>
      </c>
    </row>
    <row r="738" spans="1:16">
      <c r="A738" s="72">
        <f t="shared" si="29"/>
        <v>2015</v>
      </c>
      <c r="B738" s="72">
        <f t="shared" si="30"/>
        <v>8</v>
      </c>
      <c r="C738" s="73">
        <v>42235</v>
      </c>
      <c r="D738" s="73" t="s">
        <v>17</v>
      </c>
      <c r="E738" s="73">
        <v>42235</v>
      </c>
      <c r="F738" s="76" t="s">
        <v>272</v>
      </c>
      <c r="G738" s="265"/>
      <c r="H738" s="122" t="s">
        <v>319</v>
      </c>
      <c r="I738" s="122"/>
      <c r="J738" s="122"/>
      <c r="K738" s="122"/>
      <c r="L738" s="122"/>
      <c r="M738" s="74">
        <v>16361111</v>
      </c>
      <c r="N738" s="75" t="s">
        <v>239</v>
      </c>
      <c r="O738" s="75" t="s">
        <v>54</v>
      </c>
      <c r="P738" s="134" t="str">
        <f>IF(AND('331-CT'!$E$7=TH!H738,OR(N738="331",O738="331")),"x","")</f>
        <v/>
      </c>
    </row>
    <row r="739" spans="1:16">
      <c r="A739" s="72">
        <f t="shared" si="29"/>
        <v>2015</v>
      </c>
      <c r="B739" s="72">
        <f t="shared" si="30"/>
        <v>8</v>
      </c>
      <c r="C739" s="73">
        <v>42235</v>
      </c>
      <c r="D739" s="73" t="s">
        <v>17</v>
      </c>
      <c r="E739" s="73">
        <v>42235</v>
      </c>
      <c r="F739" s="76" t="s">
        <v>302</v>
      </c>
      <c r="G739" s="265"/>
      <c r="H739" s="122" t="s">
        <v>320</v>
      </c>
      <c r="I739" s="122"/>
      <c r="J739" s="122"/>
      <c r="K739" s="122"/>
      <c r="L739" s="122"/>
      <c r="M739" s="74">
        <v>11452778</v>
      </c>
      <c r="N739" s="75" t="s">
        <v>239</v>
      </c>
      <c r="O739" s="75" t="s">
        <v>54</v>
      </c>
      <c r="P739" s="134" t="str">
        <f>IF(AND('331-CT'!$E$7=TH!H739,OR(N739="331",O739="331")),"x","")</f>
        <v/>
      </c>
    </row>
    <row r="740" spans="1:16" ht="13.5" customHeight="1">
      <c r="A740" s="72">
        <f t="shared" si="29"/>
        <v>2015</v>
      </c>
      <c r="B740" s="72">
        <f t="shared" si="30"/>
        <v>8</v>
      </c>
      <c r="C740" s="73">
        <v>42235</v>
      </c>
      <c r="D740" s="73" t="s">
        <v>17</v>
      </c>
      <c r="E740" s="73">
        <v>42235</v>
      </c>
      <c r="F740" s="76" t="s">
        <v>303</v>
      </c>
      <c r="G740" s="265"/>
      <c r="H740" s="122" t="s">
        <v>321</v>
      </c>
      <c r="I740" s="122"/>
      <c r="J740" s="122"/>
      <c r="K740" s="122"/>
      <c r="L740" s="122"/>
      <c r="M740" s="74">
        <v>12270833</v>
      </c>
      <c r="N740" s="75" t="s">
        <v>239</v>
      </c>
      <c r="O740" s="75" t="s">
        <v>54</v>
      </c>
      <c r="P740" s="134" t="str">
        <f>IF(AND('331-CT'!$E$7=TH!H740,OR(N740="331",O740="331")),"x","")</f>
        <v/>
      </c>
    </row>
    <row r="741" spans="1:16" ht="13.5" customHeight="1">
      <c r="A741" s="72">
        <f t="shared" si="29"/>
        <v>2015</v>
      </c>
      <c r="B741" s="72">
        <f t="shared" si="30"/>
        <v>8</v>
      </c>
      <c r="C741" s="73">
        <v>42235</v>
      </c>
      <c r="D741" s="73" t="s">
        <v>17</v>
      </c>
      <c r="E741" s="73">
        <v>42235</v>
      </c>
      <c r="F741" s="76" t="s">
        <v>417</v>
      </c>
      <c r="G741" s="265"/>
      <c r="H741" s="122" t="s">
        <v>323</v>
      </c>
      <c r="I741" s="122"/>
      <c r="J741" s="122"/>
      <c r="K741" s="122"/>
      <c r="L741" s="122"/>
      <c r="M741" s="74">
        <v>12270833</v>
      </c>
      <c r="N741" s="75" t="s">
        <v>239</v>
      </c>
      <c r="O741" s="75" t="s">
        <v>54</v>
      </c>
      <c r="P741" s="134" t="str">
        <f>IF(AND('331-CT'!$E$7=TH!H741,OR(N741="331",O741="331")),"x","")</f>
        <v/>
      </c>
    </row>
    <row r="742" spans="1:16" ht="13.5" customHeight="1">
      <c r="A742" s="72">
        <f t="shared" si="29"/>
        <v>2015</v>
      </c>
      <c r="B742" s="72">
        <f t="shared" si="30"/>
        <v>8</v>
      </c>
      <c r="C742" s="73">
        <v>42235</v>
      </c>
      <c r="D742" s="73" t="s">
        <v>17</v>
      </c>
      <c r="E742" s="73">
        <v>42235</v>
      </c>
      <c r="F742" s="76" t="s">
        <v>464</v>
      </c>
      <c r="G742" s="265"/>
      <c r="H742" s="122" t="s">
        <v>325</v>
      </c>
      <c r="I742" s="122"/>
      <c r="J742" s="122"/>
      <c r="K742" s="122"/>
      <c r="L742" s="122"/>
      <c r="M742" s="74">
        <v>19000000</v>
      </c>
      <c r="N742" s="75" t="s">
        <v>239</v>
      </c>
      <c r="O742" s="75" t="s">
        <v>54</v>
      </c>
      <c r="P742" s="134" t="str">
        <f>IF(AND('331-CT'!$E$7=TH!H742,OR(N742="331",O742="331")),"x","")</f>
        <v/>
      </c>
    </row>
    <row r="743" spans="1:16" ht="13.5" customHeight="1">
      <c r="A743" s="72">
        <f t="shared" si="29"/>
        <v>2015</v>
      </c>
      <c r="B743" s="72">
        <f t="shared" si="30"/>
        <v>8</v>
      </c>
      <c r="C743" s="73">
        <v>42235</v>
      </c>
      <c r="D743" s="73" t="s">
        <v>17</v>
      </c>
      <c r="E743" s="73">
        <v>42235</v>
      </c>
      <c r="F743" s="76" t="s">
        <v>465</v>
      </c>
      <c r="G743" s="265"/>
      <c r="H743" s="122" t="s">
        <v>416</v>
      </c>
      <c r="I743" s="122"/>
      <c r="J743" s="122"/>
      <c r="K743" s="122"/>
      <c r="L743" s="122"/>
      <c r="M743" s="74">
        <v>15833333</v>
      </c>
      <c r="N743" s="75" t="s">
        <v>239</v>
      </c>
      <c r="O743" s="75" t="s">
        <v>54</v>
      </c>
      <c r="P743" s="134" t="str">
        <f>IF(AND('331-CT'!$E$7=TH!H743,OR(N743="331",O743="331")),"x","")</f>
        <v/>
      </c>
    </row>
    <row r="744" spans="1:16" ht="13.5" customHeight="1">
      <c r="A744" s="72">
        <f t="shared" si="29"/>
        <v>2015</v>
      </c>
      <c r="B744" s="72">
        <f t="shared" si="30"/>
        <v>8</v>
      </c>
      <c r="C744" s="73">
        <v>42235</v>
      </c>
      <c r="D744" s="73" t="s">
        <v>17</v>
      </c>
      <c r="E744" s="73">
        <v>42235</v>
      </c>
      <c r="F744" s="76" t="s">
        <v>466</v>
      </c>
      <c r="G744" s="265"/>
      <c r="H744" s="125" t="s">
        <v>440</v>
      </c>
      <c r="I744" s="125"/>
      <c r="J744" s="125"/>
      <c r="K744" s="125"/>
      <c r="L744" s="125"/>
      <c r="M744" s="74">
        <v>33000000</v>
      </c>
      <c r="N744" s="75" t="s">
        <v>18</v>
      </c>
      <c r="O744" s="75" t="s">
        <v>54</v>
      </c>
      <c r="P744" s="134" t="str">
        <f>IF(AND('331-CT'!$E$7=TH!H744,OR(N744="331",O744="331")),"x","")</f>
        <v/>
      </c>
    </row>
    <row r="745" spans="1:16" ht="13.5" customHeight="1">
      <c r="A745" s="72">
        <f t="shared" si="29"/>
        <v>2015</v>
      </c>
      <c r="B745" s="72">
        <f t="shared" si="30"/>
        <v>8</v>
      </c>
      <c r="C745" s="73">
        <v>42235</v>
      </c>
      <c r="D745" s="73" t="s">
        <v>17</v>
      </c>
      <c r="E745" s="73">
        <v>42235</v>
      </c>
      <c r="F745" s="76" t="s">
        <v>34</v>
      </c>
      <c r="G745" s="265"/>
      <c r="H745" s="125"/>
      <c r="I745" s="125"/>
      <c r="J745" s="125"/>
      <c r="K745" s="125"/>
      <c r="L745" s="125"/>
      <c r="M745" s="74">
        <v>20000</v>
      </c>
      <c r="N745" s="75" t="s">
        <v>241</v>
      </c>
      <c r="O745" s="75" t="s">
        <v>54</v>
      </c>
      <c r="P745" s="134" t="str">
        <f>IF(AND('331-CT'!$E$7=TH!H745,OR(N745="331",O745="331")),"x","")</f>
        <v/>
      </c>
    </row>
    <row r="746" spans="1:16" ht="13.5" customHeight="1">
      <c r="A746" s="72">
        <f t="shared" si="29"/>
        <v>2015</v>
      </c>
      <c r="B746" s="72">
        <f t="shared" si="30"/>
        <v>8</v>
      </c>
      <c r="C746" s="73">
        <v>42235</v>
      </c>
      <c r="D746" s="73" t="s">
        <v>17</v>
      </c>
      <c r="E746" s="73">
        <v>42235</v>
      </c>
      <c r="F746" s="76" t="s">
        <v>35</v>
      </c>
      <c r="G746" s="265"/>
      <c r="H746" s="9"/>
      <c r="I746" s="9"/>
      <c r="J746" s="9"/>
      <c r="K746" s="9"/>
      <c r="L746" s="9"/>
      <c r="M746" s="74">
        <v>2000</v>
      </c>
      <c r="N746" s="75" t="s">
        <v>19</v>
      </c>
      <c r="O746" s="75" t="s">
        <v>54</v>
      </c>
      <c r="P746" s="134" t="str">
        <f>IF(AND('331-CT'!$E$7=TH!H746,OR(N746="331",O746="331")),"x","")</f>
        <v/>
      </c>
    </row>
    <row r="747" spans="1:16" ht="13.5" customHeight="1">
      <c r="A747" s="72">
        <f t="shared" si="29"/>
        <v>2015</v>
      </c>
      <c r="B747" s="72">
        <f t="shared" si="30"/>
        <v>8</v>
      </c>
      <c r="C747" s="73">
        <v>42235</v>
      </c>
      <c r="D747" s="73" t="s">
        <v>78</v>
      </c>
      <c r="E747" s="73">
        <v>42235</v>
      </c>
      <c r="F747" s="76" t="s">
        <v>462</v>
      </c>
      <c r="G747" s="265" t="s">
        <v>461</v>
      </c>
      <c r="H747" s="122" t="s">
        <v>190</v>
      </c>
      <c r="I747" s="122"/>
      <c r="J747" s="122"/>
      <c r="K747" s="122"/>
      <c r="L747" s="122"/>
      <c r="M747" s="74">
        <v>268648390</v>
      </c>
      <c r="N747" s="75" t="s">
        <v>654</v>
      </c>
      <c r="O747" s="75" t="s">
        <v>18</v>
      </c>
      <c r="P747" s="134" t="str">
        <f>IF(AND('331-CT'!$E$7=TH!H747,OR(N747="331",O747="331")),"x","")</f>
        <v/>
      </c>
    </row>
    <row r="748" spans="1:16" ht="13.5" customHeight="1">
      <c r="A748" s="72">
        <f t="shared" si="29"/>
        <v>2015</v>
      </c>
      <c r="B748" s="72">
        <f t="shared" si="30"/>
        <v>8</v>
      </c>
      <c r="C748" s="73">
        <v>42235</v>
      </c>
      <c r="D748" s="73" t="s">
        <v>78</v>
      </c>
      <c r="E748" s="73">
        <v>42235</v>
      </c>
      <c r="F748" s="76" t="s">
        <v>463</v>
      </c>
      <c r="G748" s="265" t="s">
        <v>461</v>
      </c>
      <c r="H748" s="122" t="s">
        <v>190</v>
      </c>
      <c r="I748" s="122"/>
      <c r="J748" s="122"/>
      <c r="K748" s="122"/>
      <c r="L748" s="122"/>
      <c r="M748" s="74">
        <v>26864839</v>
      </c>
      <c r="N748" s="75" t="s">
        <v>19</v>
      </c>
      <c r="O748" s="75" t="s">
        <v>18</v>
      </c>
      <c r="P748" s="134" t="str">
        <f>IF(AND('331-CT'!$E$7=TH!H748,OR(N748="331",O748="331")),"x","")</f>
        <v/>
      </c>
    </row>
    <row r="749" spans="1:16" ht="13.5" customHeight="1">
      <c r="A749" s="72">
        <f t="shared" si="29"/>
        <v>2015</v>
      </c>
      <c r="B749" s="72">
        <f t="shared" si="30"/>
        <v>8</v>
      </c>
      <c r="C749" s="73">
        <v>42236</v>
      </c>
      <c r="D749" s="73" t="s">
        <v>78</v>
      </c>
      <c r="E749" s="73">
        <v>42236</v>
      </c>
      <c r="F749" s="93" t="s">
        <v>471</v>
      </c>
      <c r="G749" s="265" t="s">
        <v>470</v>
      </c>
      <c r="H749" s="122" t="s">
        <v>299</v>
      </c>
      <c r="I749" s="122"/>
      <c r="J749" s="122"/>
      <c r="K749" s="122"/>
      <c r="L749" s="122"/>
      <c r="M749" s="74">
        <v>54327273</v>
      </c>
      <c r="N749" s="75" t="s">
        <v>654</v>
      </c>
      <c r="O749" s="75" t="s">
        <v>18</v>
      </c>
      <c r="P749" s="134" t="str">
        <f>IF(AND('331-CT'!$E$7=TH!H749,OR(N749="331",O749="331")),"x","")</f>
        <v/>
      </c>
    </row>
    <row r="750" spans="1:16" ht="13.5" customHeight="1">
      <c r="A750" s="72">
        <f t="shared" si="29"/>
        <v>2015</v>
      </c>
      <c r="B750" s="72">
        <f t="shared" si="30"/>
        <v>8</v>
      </c>
      <c r="C750" s="73">
        <v>42236</v>
      </c>
      <c r="D750" s="73" t="s">
        <v>78</v>
      </c>
      <c r="E750" s="73">
        <v>42236</v>
      </c>
      <c r="F750" s="76" t="s">
        <v>472</v>
      </c>
      <c r="G750" s="270" t="s">
        <v>470</v>
      </c>
      <c r="H750" s="122" t="s">
        <v>299</v>
      </c>
      <c r="I750" s="122"/>
      <c r="J750" s="122"/>
      <c r="K750" s="122"/>
      <c r="L750" s="122"/>
      <c r="M750" s="74">
        <v>5432727</v>
      </c>
      <c r="N750" s="75" t="s">
        <v>19</v>
      </c>
      <c r="O750" s="75" t="s">
        <v>18</v>
      </c>
      <c r="P750" s="134" t="str">
        <f>IF(AND('331-CT'!$E$7=TH!H750,OR(N750="331",O750="331")),"x","")</f>
        <v/>
      </c>
    </row>
    <row r="751" spans="1:16" ht="14.25" customHeight="1">
      <c r="A751" s="72">
        <f t="shared" si="29"/>
        <v>2015</v>
      </c>
      <c r="B751" s="72">
        <f t="shared" si="30"/>
        <v>8</v>
      </c>
      <c r="C751" s="73">
        <v>42236</v>
      </c>
      <c r="D751" s="73" t="s">
        <v>494</v>
      </c>
      <c r="E751" s="73">
        <v>42236</v>
      </c>
      <c r="F751" s="76" t="s">
        <v>458</v>
      </c>
      <c r="G751" s="270" t="s">
        <v>552</v>
      </c>
      <c r="H751" s="122" t="s">
        <v>459</v>
      </c>
      <c r="I751" s="122"/>
      <c r="J751" s="122"/>
      <c r="K751" s="122"/>
      <c r="L751" s="122"/>
      <c r="M751" s="74">
        <v>15500000</v>
      </c>
      <c r="N751" s="75" t="s">
        <v>654</v>
      </c>
      <c r="O751" s="75" t="s">
        <v>203</v>
      </c>
      <c r="P751" s="134" t="str">
        <f>IF(AND('331-CT'!$E$7=TH!H751,OR(N751="331",O751="331")),"x","")</f>
        <v/>
      </c>
    </row>
    <row r="752" spans="1:16" ht="14.25" customHeight="1">
      <c r="A752" s="72">
        <f t="shared" si="29"/>
        <v>2015</v>
      </c>
      <c r="B752" s="72">
        <f t="shared" si="30"/>
        <v>8</v>
      </c>
      <c r="C752" s="73">
        <v>42236</v>
      </c>
      <c r="D752" s="73" t="s">
        <v>495</v>
      </c>
      <c r="E752" s="73">
        <v>42236</v>
      </c>
      <c r="F752" s="76" t="s">
        <v>458</v>
      </c>
      <c r="G752" s="270" t="s">
        <v>553</v>
      </c>
      <c r="H752" s="122" t="s">
        <v>460</v>
      </c>
      <c r="I752" s="122"/>
      <c r="J752" s="122"/>
      <c r="K752" s="122"/>
      <c r="L752" s="122"/>
      <c r="M752" s="74">
        <v>3300000</v>
      </c>
      <c r="N752" s="75" t="s">
        <v>654</v>
      </c>
      <c r="O752" s="75" t="s">
        <v>203</v>
      </c>
      <c r="P752" s="134" t="str">
        <f>IF(AND('331-CT'!$E$7=TH!H752,OR(N752="331",O752="331")),"x","")</f>
        <v/>
      </c>
    </row>
    <row r="753" spans="1:16" ht="14.25" customHeight="1">
      <c r="A753" s="72">
        <f t="shared" si="29"/>
        <v>2015</v>
      </c>
      <c r="B753" s="72">
        <f t="shared" si="30"/>
        <v>8</v>
      </c>
      <c r="C753" s="73">
        <v>42236</v>
      </c>
      <c r="D753" s="73" t="s">
        <v>17</v>
      </c>
      <c r="E753" s="73">
        <v>42236</v>
      </c>
      <c r="F753" s="76" t="s">
        <v>300</v>
      </c>
      <c r="G753" s="270"/>
      <c r="H753" s="122" t="s">
        <v>86</v>
      </c>
      <c r="I753" s="122"/>
      <c r="J753" s="122"/>
      <c r="K753" s="122"/>
      <c r="L753" s="122"/>
      <c r="M753" s="74">
        <v>128400000</v>
      </c>
      <c r="N753" s="75" t="s">
        <v>18</v>
      </c>
      <c r="O753" s="75" t="s">
        <v>54</v>
      </c>
      <c r="P753" s="134" t="str">
        <f>IF(AND('331-CT'!$E$7=TH!H753,OR(N753="331",O753="331")),"x","")</f>
        <v/>
      </c>
    </row>
    <row r="754" spans="1:16" ht="14.25" customHeight="1">
      <c r="A754" s="72">
        <f t="shared" si="29"/>
        <v>2015</v>
      </c>
      <c r="B754" s="72">
        <f t="shared" si="30"/>
        <v>8</v>
      </c>
      <c r="C754" s="73">
        <v>42236</v>
      </c>
      <c r="D754" s="73" t="s">
        <v>17</v>
      </c>
      <c r="E754" s="73">
        <v>42236</v>
      </c>
      <c r="F754" s="76" t="s">
        <v>34</v>
      </c>
      <c r="G754" s="265"/>
      <c r="H754" s="122"/>
      <c r="I754" s="122"/>
      <c r="J754" s="122"/>
      <c r="K754" s="122"/>
      <c r="L754" s="122"/>
      <c r="M754" s="74">
        <v>60000</v>
      </c>
      <c r="N754" s="75" t="s">
        <v>241</v>
      </c>
      <c r="O754" s="75" t="s">
        <v>54</v>
      </c>
      <c r="P754" s="134" t="str">
        <f>IF(AND('331-CT'!$E$7=TH!H754,OR(N754="331",O754="331")),"x","")</f>
        <v/>
      </c>
    </row>
    <row r="755" spans="1:16" ht="14.25" customHeight="1">
      <c r="A755" s="72">
        <f t="shared" si="29"/>
        <v>2015</v>
      </c>
      <c r="B755" s="72">
        <f t="shared" si="30"/>
        <v>8</v>
      </c>
      <c r="C755" s="73">
        <v>42236</v>
      </c>
      <c r="D755" s="73" t="s">
        <v>17</v>
      </c>
      <c r="E755" s="73">
        <v>42236</v>
      </c>
      <c r="F755" s="76" t="s">
        <v>35</v>
      </c>
      <c r="G755" s="265"/>
      <c r="H755" s="122"/>
      <c r="I755" s="122"/>
      <c r="J755" s="122"/>
      <c r="K755" s="122"/>
      <c r="L755" s="122"/>
      <c r="M755" s="74">
        <v>6000</v>
      </c>
      <c r="N755" s="75" t="s">
        <v>19</v>
      </c>
      <c r="O755" s="75" t="s">
        <v>54</v>
      </c>
      <c r="P755" s="134" t="str">
        <f>IF(AND('331-CT'!$E$7=TH!H755,OR(N755="331",O755="331")),"x","")</f>
        <v/>
      </c>
    </row>
    <row r="756" spans="1:16" ht="14.25" customHeight="1">
      <c r="A756" s="72">
        <f t="shared" si="29"/>
        <v>2015</v>
      </c>
      <c r="B756" s="72">
        <f t="shared" si="30"/>
        <v>8</v>
      </c>
      <c r="C756" s="73">
        <v>42236</v>
      </c>
      <c r="D756" s="73" t="s">
        <v>17</v>
      </c>
      <c r="E756" s="73">
        <v>42236</v>
      </c>
      <c r="F756" s="76" t="s">
        <v>467</v>
      </c>
      <c r="G756" s="265"/>
      <c r="H756" s="122" t="s">
        <v>480</v>
      </c>
      <c r="I756" s="122"/>
      <c r="J756" s="122"/>
      <c r="K756" s="122"/>
      <c r="L756" s="122"/>
      <c r="M756" s="74">
        <v>200000000</v>
      </c>
      <c r="N756" s="75" t="s">
        <v>18</v>
      </c>
      <c r="O756" s="75" t="s">
        <v>54</v>
      </c>
      <c r="P756" s="134" t="str">
        <f>IF(AND('331-CT'!$E$7=TH!H756,OR(N756="331",O756="331")),"x","")</f>
        <v/>
      </c>
    </row>
    <row r="757" spans="1:16" ht="14.25" customHeight="1">
      <c r="A757" s="72">
        <f t="shared" si="29"/>
        <v>2015</v>
      </c>
      <c r="B757" s="72">
        <f t="shared" si="30"/>
        <v>8</v>
      </c>
      <c r="C757" s="73">
        <v>42236</v>
      </c>
      <c r="D757" s="73" t="s">
        <v>17</v>
      </c>
      <c r="E757" s="73">
        <v>42236</v>
      </c>
      <c r="F757" s="76" t="s">
        <v>34</v>
      </c>
      <c r="G757" s="265"/>
      <c r="H757" s="122"/>
      <c r="I757" s="122"/>
      <c r="J757" s="122"/>
      <c r="K757" s="122"/>
      <c r="L757" s="122"/>
      <c r="M757" s="74">
        <v>64200</v>
      </c>
      <c r="N757" s="75" t="s">
        <v>241</v>
      </c>
      <c r="O757" s="75" t="s">
        <v>54</v>
      </c>
      <c r="P757" s="134" t="str">
        <f>IF(AND('331-CT'!$E$7=TH!H757,OR(N757="331",O757="331")),"x","")</f>
        <v/>
      </c>
    </row>
    <row r="758" spans="1:16" ht="14.25" customHeight="1">
      <c r="A758" s="72">
        <f t="shared" si="29"/>
        <v>2015</v>
      </c>
      <c r="B758" s="72">
        <f t="shared" si="30"/>
        <v>8</v>
      </c>
      <c r="C758" s="73">
        <v>42236</v>
      </c>
      <c r="D758" s="73" t="s">
        <v>17</v>
      </c>
      <c r="E758" s="73">
        <v>42236</v>
      </c>
      <c r="F758" s="76" t="s">
        <v>35</v>
      </c>
      <c r="G758" s="265"/>
      <c r="H758" s="122"/>
      <c r="I758" s="122"/>
      <c r="J758" s="122"/>
      <c r="K758" s="122"/>
      <c r="L758" s="122"/>
      <c r="M758" s="74">
        <v>6420</v>
      </c>
      <c r="N758" s="75" t="s">
        <v>19</v>
      </c>
      <c r="O758" s="75" t="s">
        <v>54</v>
      </c>
      <c r="P758" s="134" t="str">
        <f>IF(AND('331-CT'!$E$7=TH!H758,OR(N758="331",O758="331")),"x","")</f>
        <v/>
      </c>
    </row>
    <row r="759" spans="1:16" ht="14.25" customHeight="1">
      <c r="A759" s="72">
        <f t="shared" si="29"/>
        <v>2015</v>
      </c>
      <c r="B759" s="72">
        <f t="shared" si="30"/>
        <v>8</v>
      </c>
      <c r="C759" s="73">
        <v>42237</v>
      </c>
      <c r="D759" s="73" t="s">
        <v>496</v>
      </c>
      <c r="E759" s="73">
        <v>42237</v>
      </c>
      <c r="F759" s="76" t="s">
        <v>481</v>
      </c>
      <c r="G759" s="265" t="s">
        <v>554</v>
      </c>
      <c r="H759" s="122" t="s">
        <v>188</v>
      </c>
      <c r="I759" s="122"/>
      <c r="J759" s="122"/>
      <c r="K759" s="122"/>
      <c r="L759" s="122"/>
      <c r="M759" s="74">
        <v>3922000</v>
      </c>
      <c r="N759" s="75" t="s">
        <v>241</v>
      </c>
      <c r="O759" s="75" t="s">
        <v>203</v>
      </c>
      <c r="P759" s="134" t="str">
        <f>IF(AND('331-CT'!$E$7=TH!H759,OR(N759="331",O759="331")),"x","")</f>
        <v/>
      </c>
    </row>
    <row r="760" spans="1:16" ht="14.25" customHeight="1">
      <c r="A760" s="72">
        <f t="shared" si="29"/>
        <v>2015</v>
      </c>
      <c r="B760" s="72">
        <f t="shared" si="30"/>
        <v>8</v>
      </c>
      <c r="C760" s="73">
        <v>42237</v>
      </c>
      <c r="D760" s="73" t="s">
        <v>496</v>
      </c>
      <c r="E760" s="73">
        <v>42237</v>
      </c>
      <c r="F760" s="76" t="s">
        <v>482</v>
      </c>
      <c r="G760" s="265" t="s">
        <v>554</v>
      </c>
      <c r="H760" s="122" t="s">
        <v>188</v>
      </c>
      <c r="I760" s="122"/>
      <c r="J760" s="122"/>
      <c r="K760" s="122"/>
      <c r="L760" s="122"/>
      <c r="M760" s="74">
        <v>196100</v>
      </c>
      <c r="N760" s="75" t="s">
        <v>19</v>
      </c>
      <c r="O760" s="75" t="s">
        <v>203</v>
      </c>
      <c r="P760" s="134" t="str">
        <f>IF(AND('331-CT'!$E$7=TH!H760,OR(N760="331",O760="331")),"x","")</f>
        <v/>
      </c>
    </row>
    <row r="761" spans="1:16" ht="14.25" customHeight="1">
      <c r="A761" s="72">
        <f t="shared" si="29"/>
        <v>2015</v>
      </c>
      <c r="B761" s="72">
        <f t="shared" si="30"/>
        <v>8</v>
      </c>
      <c r="C761" s="73">
        <v>42240</v>
      </c>
      <c r="D761" s="73" t="s">
        <v>21</v>
      </c>
      <c r="E761" s="73">
        <v>42240</v>
      </c>
      <c r="F761" s="76" t="s">
        <v>98</v>
      </c>
      <c r="G761" s="265"/>
      <c r="H761" s="122"/>
      <c r="I761" s="122"/>
      <c r="J761" s="122"/>
      <c r="K761" s="122"/>
      <c r="L761" s="122"/>
      <c r="M761" s="74">
        <v>186494</v>
      </c>
      <c r="N761" s="75" t="s">
        <v>54</v>
      </c>
      <c r="O761" s="75" t="s">
        <v>99</v>
      </c>
      <c r="P761" s="134" t="str">
        <f>IF(AND('331-CT'!$E$7=TH!H761,OR(N761="331",O761="331")),"x","")</f>
        <v/>
      </c>
    </row>
    <row r="762" spans="1:16" ht="14.25" customHeight="1">
      <c r="A762" s="72">
        <f t="shared" si="29"/>
        <v>2015</v>
      </c>
      <c r="B762" s="72">
        <f t="shared" si="30"/>
        <v>8</v>
      </c>
      <c r="C762" s="73">
        <v>42241</v>
      </c>
      <c r="D762" s="73" t="s">
        <v>497</v>
      </c>
      <c r="E762" s="73">
        <v>42241</v>
      </c>
      <c r="F762" s="76" t="s">
        <v>468</v>
      </c>
      <c r="G762" s="265" t="s">
        <v>555</v>
      </c>
      <c r="H762" s="122" t="s">
        <v>469</v>
      </c>
      <c r="I762" s="122"/>
      <c r="J762" s="122"/>
      <c r="K762" s="122"/>
      <c r="L762" s="122"/>
      <c r="M762" s="74">
        <v>2990000</v>
      </c>
      <c r="N762" s="75" t="s">
        <v>654</v>
      </c>
      <c r="O762" s="75" t="s">
        <v>203</v>
      </c>
      <c r="P762" s="134" t="str">
        <f>IF(AND('331-CT'!$E$7=TH!H762,OR(N762="331",O762="331")),"x","")</f>
        <v/>
      </c>
    </row>
    <row r="763" spans="1:16" ht="14.25" customHeight="1">
      <c r="A763" s="72">
        <f t="shared" si="29"/>
        <v>2015</v>
      </c>
      <c r="B763" s="72">
        <f t="shared" si="30"/>
        <v>8</v>
      </c>
      <c r="C763" s="73">
        <v>42241</v>
      </c>
      <c r="D763" s="73" t="s">
        <v>17</v>
      </c>
      <c r="E763" s="73">
        <v>42241</v>
      </c>
      <c r="F763" s="76" t="s">
        <v>300</v>
      </c>
      <c r="G763" s="265"/>
      <c r="H763" s="122" t="s">
        <v>406</v>
      </c>
      <c r="I763" s="122"/>
      <c r="J763" s="122"/>
      <c r="K763" s="122"/>
      <c r="L763" s="122"/>
      <c r="M763" s="74">
        <v>50000000</v>
      </c>
      <c r="N763" s="75" t="s">
        <v>18</v>
      </c>
      <c r="O763" s="75" t="s">
        <v>54</v>
      </c>
      <c r="P763" s="134" t="str">
        <f>IF(AND('331-CT'!$E$7=TH!H763,OR(N763="331",O763="331")),"x","")</f>
        <v/>
      </c>
    </row>
    <row r="764" spans="1:16" ht="14.25" customHeight="1">
      <c r="A764" s="72">
        <f t="shared" si="29"/>
        <v>2015</v>
      </c>
      <c r="B764" s="72">
        <f t="shared" si="30"/>
        <v>8</v>
      </c>
      <c r="C764" s="73">
        <v>42241</v>
      </c>
      <c r="D764" s="73" t="s">
        <v>17</v>
      </c>
      <c r="E764" s="73">
        <v>42241</v>
      </c>
      <c r="F764" s="76" t="s">
        <v>34</v>
      </c>
      <c r="G764" s="265"/>
      <c r="H764" s="122"/>
      <c r="I764" s="122"/>
      <c r="J764" s="122"/>
      <c r="K764" s="122"/>
      <c r="L764" s="122"/>
      <c r="M764" s="74">
        <v>25000</v>
      </c>
      <c r="N764" s="75" t="s">
        <v>241</v>
      </c>
      <c r="O764" s="75" t="s">
        <v>54</v>
      </c>
      <c r="P764" s="134" t="str">
        <f>IF(AND('331-CT'!$E$7=TH!H764,OR(N764="331",O764="331")),"x","")</f>
        <v/>
      </c>
    </row>
    <row r="765" spans="1:16" ht="14.25" customHeight="1">
      <c r="A765" s="72">
        <f t="shared" si="29"/>
        <v>2015</v>
      </c>
      <c r="B765" s="72">
        <f t="shared" si="30"/>
        <v>8</v>
      </c>
      <c r="C765" s="73">
        <v>42241</v>
      </c>
      <c r="D765" s="73" t="s">
        <v>17</v>
      </c>
      <c r="E765" s="73">
        <v>42241</v>
      </c>
      <c r="F765" s="76" t="s">
        <v>35</v>
      </c>
      <c r="G765" s="265"/>
      <c r="H765" s="122"/>
      <c r="I765" s="122"/>
      <c r="J765" s="122"/>
      <c r="K765" s="122"/>
      <c r="L765" s="122"/>
      <c r="M765" s="74">
        <v>2500</v>
      </c>
      <c r="N765" s="75" t="s">
        <v>19</v>
      </c>
      <c r="O765" s="75" t="s">
        <v>54</v>
      </c>
      <c r="P765" s="134" t="str">
        <f>IF(AND('331-CT'!$E$7=TH!H765,OR(N765="331",O765="331")),"x","")</f>
        <v/>
      </c>
    </row>
    <row r="766" spans="1:16" ht="14.25" customHeight="1">
      <c r="A766" s="72">
        <f t="shared" si="29"/>
        <v>2015</v>
      </c>
      <c r="B766" s="72">
        <f t="shared" si="30"/>
        <v>8</v>
      </c>
      <c r="C766" s="73">
        <v>42241</v>
      </c>
      <c r="D766" s="73" t="s">
        <v>17</v>
      </c>
      <c r="E766" s="73">
        <v>42241</v>
      </c>
      <c r="F766" s="76" t="s">
        <v>300</v>
      </c>
      <c r="G766" s="265"/>
      <c r="H766" s="9" t="s">
        <v>268</v>
      </c>
      <c r="I766" s="9"/>
      <c r="J766" s="9"/>
      <c r="K766" s="9"/>
      <c r="L766" s="9"/>
      <c r="M766" s="74">
        <v>500000000</v>
      </c>
      <c r="N766" s="75" t="s">
        <v>18</v>
      </c>
      <c r="O766" s="75" t="s">
        <v>54</v>
      </c>
      <c r="P766" s="134" t="str">
        <f>IF(AND('331-CT'!$E$7=TH!H766,OR(N766="331",O766="331")),"x","")</f>
        <v/>
      </c>
    </row>
    <row r="767" spans="1:16" ht="14.25" customHeight="1">
      <c r="A767" s="72">
        <f t="shared" si="29"/>
        <v>2015</v>
      </c>
      <c r="B767" s="72">
        <f t="shared" si="30"/>
        <v>8</v>
      </c>
      <c r="C767" s="73">
        <v>42241</v>
      </c>
      <c r="D767" s="73" t="s">
        <v>17</v>
      </c>
      <c r="E767" s="73">
        <v>42241</v>
      </c>
      <c r="F767" s="76" t="s">
        <v>34</v>
      </c>
      <c r="G767" s="265"/>
      <c r="H767" s="122"/>
      <c r="I767" s="122"/>
      <c r="J767" s="122"/>
      <c r="K767" s="122"/>
      <c r="L767" s="122"/>
      <c r="M767" s="74">
        <v>250000</v>
      </c>
      <c r="N767" s="75" t="s">
        <v>241</v>
      </c>
      <c r="O767" s="75" t="s">
        <v>54</v>
      </c>
      <c r="P767" s="134" t="str">
        <f>IF(AND('331-CT'!$E$7=TH!H767,OR(N767="331",O767="331")),"x","")</f>
        <v/>
      </c>
    </row>
    <row r="768" spans="1:16" ht="14.25" customHeight="1">
      <c r="A768" s="72">
        <f t="shared" si="29"/>
        <v>2015</v>
      </c>
      <c r="B768" s="72">
        <f t="shared" si="30"/>
        <v>8</v>
      </c>
      <c r="C768" s="73">
        <v>42241</v>
      </c>
      <c r="D768" s="73" t="s">
        <v>17</v>
      </c>
      <c r="E768" s="73">
        <v>42241</v>
      </c>
      <c r="F768" s="76" t="s">
        <v>35</v>
      </c>
      <c r="G768" s="265"/>
      <c r="H768" s="122"/>
      <c r="I768" s="122"/>
      <c r="J768" s="122"/>
      <c r="K768" s="122"/>
      <c r="L768" s="122"/>
      <c r="M768" s="74">
        <v>25000</v>
      </c>
      <c r="N768" s="75" t="s">
        <v>19</v>
      </c>
      <c r="O768" s="75" t="s">
        <v>54</v>
      </c>
      <c r="P768" s="134" t="str">
        <f>IF(AND('331-CT'!$E$7=TH!H768,OR(N768="331",O768="331")),"x","")</f>
        <v/>
      </c>
    </row>
    <row r="769" spans="1:16" ht="14.25" customHeight="1">
      <c r="A769" s="72">
        <f t="shared" si="29"/>
        <v>2015</v>
      </c>
      <c r="B769" s="72">
        <f t="shared" si="30"/>
        <v>8</v>
      </c>
      <c r="C769" s="73">
        <v>42244</v>
      </c>
      <c r="D769" s="73" t="s">
        <v>78</v>
      </c>
      <c r="E769" s="73">
        <v>42244</v>
      </c>
      <c r="F769" s="76" t="s">
        <v>474</v>
      </c>
      <c r="G769" s="265" t="s">
        <v>473</v>
      </c>
      <c r="H769" s="122" t="s">
        <v>138</v>
      </c>
      <c r="I769" s="122"/>
      <c r="J769" s="122"/>
      <c r="K769" s="122"/>
      <c r="L769" s="122"/>
      <c r="M769" s="74">
        <v>2000000000</v>
      </c>
      <c r="N769" s="75" t="s">
        <v>654</v>
      </c>
      <c r="O769" s="75" t="s">
        <v>18</v>
      </c>
      <c r="P769" s="134" t="str">
        <f>IF(AND('331-CT'!$E$7=TH!H769,OR(N769="331",O769="331")),"x","")</f>
        <v/>
      </c>
    </row>
    <row r="770" spans="1:16">
      <c r="A770" s="72">
        <f t="shared" si="29"/>
        <v>2015</v>
      </c>
      <c r="B770" s="72">
        <f t="shared" si="30"/>
        <v>8</v>
      </c>
      <c r="C770" s="73">
        <v>42244</v>
      </c>
      <c r="D770" s="73" t="s">
        <v>78</v>
      </c>
      <c r="E770" s="73">
        <v>42244</v>
      </c>
      <c r="F770" s="76" t="s">
        <v>475</v>
      </c>
      <c r="G770" s="265" t="s">
        <v>473</v>
      </c>
      <c r="H770" s="122" t="s">
        <v>138</v>
      </c>
      <c r="I770" s="122"/>
      <c r="J770" s="122"/>
      <c r="K770" s="122"/>
      <c r="L770" s="122"/>
      <c r="M770" s="74">
        <v>200000000</v>
      </c>
      <c r="N770" s="75" t="s">
        <v>19</v>
      </c>
      <c r="O770" s="75" t="s">
        <v>18</v>
      </c>
      <c r="P770" s="134" t="str">
        <f>IF(AND('331-CT'!$E$7=TH!H770,OR(N770="331",O770="331")),"x","")</f>
        <v/>
      </c>
    </row>
    <row r="771" spans="1:16">
      <c r="A771" s="72">
        <f t="shared" si="29"/>
        <v>2015</v>
      </c>
      <c r="B771" s="72">
        <f t="shared" si="30"/>
        <v>9</v>
      </c>
      <c r="C771" s="73">
        <v>42248</v>
      </c>
      <c r="D771" s="73" t="s">
        <v>22</v>
      </c>
      <c r="E771" s="73">
        <v>42248</v>
      </c>
      <c r="F771" s="76" t="s">
        <v>578</v>
      </c>
      <c r="G771" s="265"/>
      <c r="H771" s="122" t="s">
        <v>430</v>
      </c>
      <c r="I771" s="122"/>
      <c r="J771" s="122"/>
      <c r="K771" s="122"/>
      <c r="L771" s="122"/>
      <c r="M771" s="74">
        <v>2000000000</v>
      </c>
      <c r="N771" s="75" t="s">
        <v>203</v>
      </c>
      <c r="O771" s="75" t="s">
        <v>39</v>
      </c>
      <c r="P771" s="134" t="str">
        <f>IF(AND('331-CT'!$E$7=TH!H771,OR(N771="331",O771="331")),"x","")</f>
        <v/>
      </c>
    </row>
    <row r="772" spans="1:16">
      <c r="A772" s="72">
        <f t="shared" si="29"/>
        <v>2015</v>
      </c>
      <c r="B772" s="72">
        <f t="shared" si="30"/>
        <v>9</v>
      </c>
      <c r="C772" s="73">
        <v>42248</v>
      </c>
      <c r="D772" s="73" t="s">
        <v>78</v>
      </c>
      <c r="E772" s="73">
        <v>42248</v>
      </c>
      <c r="F772" s="76" t="s">
        <v>477</v>
      </c>
      <c r="G772" s="265" t="s">
        <v>476</v>
      </c>
      <c r="H772" s="122" t="s">
        <v>301</v>
      </c>
      <c r="I772" s="122"/>
      <c r="J772" s="122"/>
      <c r="K772" s="122"/>
      <c r="L772" s="122"/>
      <c r="M772" s="74">
        <v>362727273</v>
      </c>
      <c r="N772" s="75" t="s">
        <v>654</v>
      </c>
      <c r="O772" s="75" t="s">
        <v>18</v>
      </c>
      <c r="P772" s="134" t="str">
        <f>IF(AND('331-CT'!$E$7=TH!H772,OR(N772="331",O772="331")),"x","")</f>
        <v/>
      </c>
    </row>
    <row r="773" spans="1:16">
      <c r="A773" s="72">
        <f t="shared" si="29"/>
        <v>2015</v>
      </c>
      <c r="B773" s="72">
        <f t="shared" si="30"/>
        <v>9</v>
      </c>
      <c r="C773" s="73">
        <v>42248</v>
      </c>
      <c r="D773" s="73" t="s">
        <v>78</v>
      </c>
      <c r="E773" s="73">
        <v>42248</v>
      </c>
      <c r="F773" s="76" t="s">
        <v>477</v>
      </c>
      <c r="G773" s="270" t="s">
        <v>476</v>
      </c>
      <c r="H773" s="122" t="s">
        <v>301</v>
      </c>
      <c r="I773" s="122"/>
      <c r="J773" s="122"/>
      <c r="K773" s="122"/>
      <c r="L773" s="122"/>
      <c r="M773" s="74">
        <v>36272727</v>
      </c>
      <c r="N773" s="75" t="s">
        <v>19</v>
      </c>
      <c r="O773" s="75" t="s">
        <v>18</v>
      </c>
      <c r="P773" s="134" t="str">
        <f>IF(AND('331-CT'!$E$7=TH!H773,OR(N773="331",O773="331")),"x","")</f>
        <v/>
      </c>
    </row>
    <row r="774" spans="1:16">
      <c r="A774" s="72">
        <f t="shared" si="29"/>
        <v>2015</v>
      </c>
      <c r="B774" s="72">
        <f t="shared" si="30"/>
        <v>9</v>
      </c>
      <c r="C774" s="73">
        <v>42251</v>
      </c>
      <c r="D774" s="73" t="s">
        <v>498</v>
      </c>
      <c r="E774" s="73">
        <v>42251</v>
      </c>
      <c r="F774" s="76" t="s">
        <v>575</v>
      </c>
      <c r="G774" s="270"/>
      <c r="H774" s="122" t="s">
        <v>271</v>
      </c>
      <c r="I774" s="122"/>
      <c r="J774" s="122"/>
      <c r="K774" s="122"/>
      <c r="L774" s="122"/>
      <c r="M774" s="74">
        <v>300000000</v>
      </c>
      <c r="N774" s="75" t="s">
        <v>54</v>
      </c>
      <c r="O774" s="75" t="s">
        <v>203</v>
      </c>
      <c r="P774" s="134" t="str">
        <f>IF(AND('331-CT'!$E$7=TH!H774,OR(N774="331",O774="331")),"x","")</f>
        <v/>
      </c>
    </row>
    <row r="775" spans="1:16">
      <c r="A775" s="72">
        <f t="shared" si="29"/>
        <v>2015</v>
      </c>
      <c r="B775" s="72">
        <f t="shared" si="30"/>
        <v>9</v>
      </c>
      <c r="C775" s="73">
        <v>42251</v>
      </c>
      <c r="D775" s="73" t="s">
        <v>17</v>
      </c>
      <c r="E775" s="73">
        <v>42251</v>
      </c>
      <c r="F775" s="76" t="s">
        <v>300</v>
      </c>
      <c r="G775" s="265"/>
      <c r="H775" s="122" t="s">
        <v>301</v>
      </c>
      <c r="I775" s="122"/>
      <c r="J775" s="122"/>
      <c r="K775" s="122"/>
      <c r="L775" s="122"/>
      <c r="M775" s="74">
        <v>228000000</v>
      </c>
      <c r="N775" s="75" t="s">
        <v>18</v>
      </c>
      <c r="O775" s="75" t="s">
        <v>54</v>
      </c>
      <c r="P775" s="134" t="str">
        <f>IF(AND('331-CT'!$E$7=TH!H775,OR(N775="331",O775="331")),"x","")</f>
        <v/>
      </c>
    </row>
    <row r="776" spans="1:16">
      <c r="A776" s="72">
        <f t="shared" si="29"/>
        <v>2015</v>
      </c>
      <c r="B776" s="72">
        <f t="shared" si="30"/>
        <v>9</v>
      </c>
      <c r="C776" s="73">
        <v>42251</v>
      </c>
      <c r="D776" s="73" t="s">
        <v>17</v>
      </c>
      <c r="E776" s="73">
        <v>42251</v>
      </c>
      <c r="F776" s="76" t="s">
        <v>34</v>
      </c>
      <c r="G776" s="265"/>
      <c r="H776" s="122"/>
      <c r="I776" s="122"/>
      <c r="J776" s="122"/>
      <c r="K776" s="122"/>
      <c r="L776" s="122"/>
      <c r="M776" s="74">
        <v>114000</v>
      </c>
      <c r="N776" s="75" t="s">
        <v>241</v>
      </c>
      <c r="O776" s="75" t="s">
        <v>54</v>
      </c>
      <c r="P776" s="134" t="str">
        <f>IF(AND('331-CT'!$E$7=TH!H776,OR(N776="331",O776="331")),"x","")</f>
        <v/>
      </c>
    </row>
    <row r="777" spans="1:16">
      <c r="A777" s="72">
        <f t="shared" si="29"/>
        <v>2015</v>
      </c>
      <c r="B777" s="72">
        <f t="shared" si="30"/>
        <v>9</v>
      </c>
      <c r="C777" s="73">
        <v>42251</v>
      </c>
      <c r="D777" s="73" t="s">
        <v>17</v>
      </c>
      <c r="E777" s="73">
        <v>42251</v>
      </c>
      <c r="F777" s="76" t="s">
        <v>35</v>
      </c>
      <c r="G777" s="265"/>
      <c r="H777" s="122"/>
      <c r="I777" s="122"/>
      <c r="J777" s="122"/>
      <c r="K777" s="122"/>
      <c r="L777" s="122"/>
      <c r="M777" s="74">
        <v>11400</v>
      </c>
      <c r="N777" s="75" t="s">
        <v>19</v>
      </c>
      <c r="O777" s="75" t="s">
        <v>54</v>
      </c>
      <c r="P777" s="134" t="str">
        <f>IF(AND('331-CT'!$E$7=TH!H777,OR(N777="331",O777="331")),"x","")</f>
        <v/>
      </c>
    </row>
    <row r="778" spans="1:16" s="109" customFormat="1">
      <c r="A778" s="72">
        <f t="shared" si="29"/>
        <v>2015</v>
      </c>
      <c r="B778" s="72">
        <f t="shared" si="30"/>
        <v>9</v>
      </c>
      <c r="C778" s="257">
        <v>42251</v>
      </c>
      <c r="D778" s="257" t="s">
        <v>17</v>
      </c>
      <c r="E778" s="257">
        <v>42251</v>
      </c>
      <c r="F778" s="244" t="s">
        <v>300</v>
      </c>
      <c r="G778" s="310"/>
      <c r="H778" s="125" t="s">
        <v>190</v>
      </c>
      <c r="I778" s="125"/>
      <c r="J778" s="125"/>
      <c r="K778" s="125"/>
      <c r="L778" s="125"/>
      <c r="M778" s="258">
        <v>150000000</v>
      </c>
      <c r="N778" s="259" t="s">
        <v>18</v>
      </c>
      <c r="O778" s="259" t="s">
        <v>54</v>
      </c>
      <c r="P778" s="134" t="str">
        <f>IF(AND('331-CT'!$E$7=TH!H778,OR(N778="331",O778="331")),"x","")</f>
        <v/>
      </c>
    </row>
    <row r="779" spans="1:16">
      <c r="A779" s="72">
        <f t="shared" si="29"/>
        <v>2015</v>
      </c>
      <c r="B779" s="72">
        <f t="shared" si="30"/>
        <v>9</v>
      </c>
      <c r="C779" s="73">
        <v>42251</v>
      </c>
      <c r="D779" s="73" t="s">
        <v>17</v>
      </c>
      <c r="E779" s="73">
        <v>42251</v>
      </c>
      <c r="F779" s="76" t="s">
        <v>34</v>
      </c>
      <c r="G779" s="265"/>
      <c r="H779" s="122"/>
      <c r="I779" s="122"/>
      <c r="J779" s="122"/>
      <c r="K779" s="122"/>
      <c r="L779" s="122"/>
      <c r="M779" s="74">
        <v>95000</v>
      </c>
      <c r="N779" s="75" t="s">
        <v>241</v>
      </c>
      <c r="O779" s="75" t="s">
        <v>54</v>
      </c>
      <c r="P779" s="134" t="str">
        <f>IF(AND('331-CT'!$E$7=TH!H779,OR(N779="331",O779="331")),"x","")</f>
        <v/>
      </c>
    </row>
    <row r="780" spans="1:16">
      <c r="A780" s="72">
        <f t="shared" si="29"/>
        <v>2015</v>
      </c>
      <c r="B780" s="72">
        <f t="shared" si="30"/>
        <v>9</v>
      </c>
      <c r="C780" s="73">
        <v>42251</v>
      </c>
      <c r="D780" s="73" t="s">
        <v>17</v>
      </c>
      <c r="E780" s="73">
        <v>42251</v>
      </c>
      <c r="F780" s="76" t="s">
        <v>35</v>
      </c>
      <c r="G780" s="265"/>
      <c r="H780" s="122"/>
      <c r="I780" s="122"/>
      <c r="J780" s="122"/>
      <c r="K780" s="122"/>
      <c r="L780" s="122"/>
      <c r="M780" s="74">
        <v>9500</v>
      </c>
      <c r="N780" s="75" t="s">
        <v>19</v>
      </c>
      <c r="O780" s="75" t="s">
        <v>54</v>
      </c>
      <c r="P780" s="134" t="str">
        <f>IF(AND('331-CT'!$E$7=TH!H780,OR(N780="331",O780="331")),"x","")</f>
        <v/>
      </c>
    </row>
    <row r="781" spans="1:16">
      <c r="A781" s="72">
        <f t="shared" si="29"/>
        <v>2015</v>
      </c>
      <c r="B781" s="72">
        <f t="shared" si="30"/>
        <v>9</v>
      </c>
      <c r="C781" s="130">
        <v>42251</v>
      </c>
      <c r="D781" s="130" t="s">
        <v>17</v>
      </c>
      <c r="E781" s="130">
        <v>42251</v>
      </c>
      <c r="F781" s="131" t="s">
        <v>300</v>
      </c>
      <c r="G781" s="271"/>
      <c r="H781" s="132" t="s">
        <v>406</v>
      </c>
      <c r="I781" s="132"/>
      <c r="J781" s="132"/>
      <c r="K781" s="132"/>
      <c r="L781" s="132"/>
      <c r="M781" s="133">
        <v>50000000</v>
      </c>
      <c r="N781" s="134" t="s">
        <v>18</v>
      </c>
      <c r="O781" s="134" t="s">
        <v>54</v>
      </c>
      <c r="P781" s="134" t="str">
        <f>IF(AND('331-CT'!$E$7=TH!H781,OR(N781="331",O781="331")),"x","")</f>
        <v/>
      </c>
    </row>
    <row r="782" spans="1:16">
      <c r="A782" s="72">
        <f t="shared" si="29"/>
        <v>2015</v>
      </c>
      <c r="B782" s="72">
        <f t="shared" si="30"/>
        <v>9</v>
      </c>
      <c r="C782" s="73">
        <v>42251</v>
      </c>
      <c r="D782" s="130" t="s">
        <v>17</v>
      </c>
      <c r="E782" s="73">
        <v>42251</v>
      </c>
      <c r="F782" s="76" t="s">
        <v>34</v>
      </c>
      <c r="G782" s="270"/>
      <c r="H782" s="122"/>
      <c r="I782" s="122"/>
      <c r="J782" s="122"/>
      <c r="K782" s="122"/>
      <c r="L782" s="122"/>
      <c r="M782" s="74">
        <v>25000</v>
      </c>
      <c r="N782" s="75" t="s">
        <v>241</v>
      </c>
      <c r="O782" s="75" t="s">
        <v>54</v>
      </c>
      <c r="P782" s="134" t="str">
        <f>IF(AND('331-CT'!$E$7=TH!H782,OR(N782="331",O782="331")),"x","")</f>
        <v/>
      </c>
    </row>
    <row r="783" spans="1:16">
      <c r="A783" s="72">
        <f t="shared" si="29"/>
        <v>2015</v>
      </c>
      <c r="B783" s="72">
        <f t="shared" si="30"/>
        <v>9</v>
      </c>
      <c r="C783" s="73">
        <v>42251</v>
      </c>
      <c r="D783" s="73" t="s">
        <v>17</v>
      </c>
      <c r="E783" s="73">
        <v>42251</v>
      </c>
      <c r="F783" s="76" t="s">
        <v>35</v>
      </c>
      <c r="G783" s="265"/>
      <c r="H783" s="122"/>
      <c r="I783" s="122"/>
      <c r="J783" s="122"/>
      <c r="K783" s="122"/>
      <c r="L783" s="122"/>
      <c r="M783" s="74">
        <v>2500</v>
      </c>
      <c r="N783" s="75" t="s">
        <v>19</v>
      </c>
      <c r="O783" s="75" t="s">
        <v>54</v>
      </c>
      <c r="P783" s="134" t="str">
        <f>IF(AND('331-CT'!$E$7=TH!H783,OR(N783="331",O783="331")),"x","")</f>
        <v/>
      </c>
    </row>
    <row r="784" spans="1:16">
      <c r="A784" s="72">
        <f t="shared" si="29"/>
        <v>2015</v>
      </c>
      <c r="B784" s="72">
        <f t="shared" si="30"/>
        <v>9</v>
      </c>
      <c r="C784" s="73">
        <v>42254</v>
      </c>
      <c r="D784" s="73" t="s">
        <v>499</v>
      </c>
      <c r="E784" s="73">
        <v>42254</v>
      </c>
      <c r="F784" s="76" t="s">
        <v>478</v>
      </c>
      <c r="G784" s="270"/>
      <c r="H784" s="122" t="s">
        <v>430</v>
      </c>
      <c r="I784" s="122"/>
      <c r="J784" s="122"/>
      <c r="K784" s="122"/>
      <c r="L784" s="122"/>
      <c r="M784" s="74">
        <v>1591000</v>
      </c>
      <c r="N784" s="75" t="s">
        <v>241</v>
      </c>
      <c r="O784" s="75" t="s">
        <v>203</v>
      </c>
      <c r="P784" s="134" t="str">
        <f>IF(AND('331-CT'!$E$7=TH!H784,OR(N784="331",O784="331")),"x","")</f>
        <v/>
      </c>
    </row>
    <row r="785" spans="1:16">
      <c r="A785" s="72">
        <f t="shared" si="29"/>
        <v>2015</v>
      </c>
      <c r="B785" s="72">
        <f t="shared" si="30"/>
        <v>9</v>
      </c>
      <c r="C785" s="73">
        <v>42254</v>
      </c>
      <c r="D785" s="73" t="s">
        <v>499</v>
      </c>
      <c r="E785" s="73">
        <v>42254</v>
      </c>
      <c r="F785" s="76" t="s">
        <v>479</v>
      </c>
      <c r="G785" s="265"/>
      <c r="H785" s="122" t="s">
        <v>430</v>
      </c>
      <c r="I785" s="122"/>
      <c r="J785" s="122"/>
      <c r="K785" s="122"/>
      <c r="L785" s="122"/>
      <c r="M785" s="74">
        <v>159000</v>
      </c>
      <c r="N785" s="75" t="s">
        <v>19</v>
      </c>
      <c r="O785" s="75" t="s">
        <v>203</v>
      </c>
      <c r="P785" s="134" t="str">
        <f>IF(AND('331-CT'!$E$7=TH!H785,OR(N785="331",O785="331")),"x","")</f>
        <v/>
      </c>
    </row>
    <row r="786" spans="1:16">
      <c r="A786" s="72">
        <f t="shared" si="29"/>
        <v>2015</v>
      </c>
      <c r="B786" s="72">
        <f t="shared" si="30"/>
        <v>9</v>
      </c>
      <c r="C786" s="73">
        <v>42261</v>
      </c>
      <c r="D786" s="73" t="s">
        <v>78</v>
      </c>
      <c r="E786" s="73">
        <v>42261</v>
      </c>
      <c r="F786" s="76" t="s">
        <v>491</v>
      </c>
      <c r="G786" s="265" t="s">
        <v>490</v>
      </c>
      <c r="H786" s="122" t="s">
        <v>299</v>
      </c>
      <c r="I786" s="122"/>
      <c r="J786" s="122"/>
      <c r="K786" s="122"/>
      <c r="L786" s="122"/>
      <c r="M786" s="74">
        <v>104460564</v>
      </c>
      <c r="N786" s="75" t="s">
        <v>654</v>
      </c>
      <c r="O786" s="75" t="s">
        <v>18</v>
      </c>
      <c r="P786" s="134" t="str">
        <f>IF(AND('331-CT'!$E$7=TH!H786,OR(N786="331",O786="331")),"x","")</f>
        <v/>
      </c>
    </row>
    <row r="787" spans="1:16">
      <c r="A787" s="72">
        <f t="shared" si="29"/>
        <v>2015</v>
      </c>
      <c r="B787" s="72">
        <f t="shared" si="30"/>
        <v>9</v>
      </c>
      <c r="C787" s="73">
        <v>42261</v>
      </c>
      <c r="D787" s="73" t="s">
        <v>78</v>
      </c>
      <c r="E787" s="73">
        <v>42261</v>
      </c>
      <c r="F787" s="76" t="s">
        <v>492</v>
      </c>
      <c r="G787" s="265" t="s">
        <v>490</v>
      </c>
      <c r="H787" s="122" t="s">
        <v>299</v>
      </c>
      <c r="I787" s="122"/>
      <c r="J787" s="122"/>
      <c r="K787" s="122"/>
      <c r="L787" s="122"/>
      <c r="M787" s="74">
        <v>10446056</v>
      </c>
      <c r="N787" s="75" t="s">
        <v>19</v>
      </c>
      <c r="O787" s="75" t="s">
        <v>18</v>
      </c>
      <c r="P787" s="134" t="str">
        <f>IF(AND('331-CT'!$E$7=TH!H787,OR(N787="331",O787="331")),"x","")</f>
        <v/>
      </c>
    </row>
    <row r="788" spans="1:16">
      <c r="A788" s="72">
        <f t="shared" si="29"/>
        <v>2015</v>
      </c>
      <c r="B788" s="72">
        <f t="shared" si="30"/>
        <v>9</v>
      </c>
      <c r="C788" s="73">
        <v>42263</v>
      </c>
      <c r="D788" s="73" t="s">
        <v>500</v>
      </c>
      <c r="E788" s="73">
        <v>42263</v>
      </c>
      <c r="F788" s="76" t="s">
        <v>484</v>
      </c>
      <c r="G788" s="265" t="s">
        <v>556</v>
      </c>
      <c r="H788" s="122" t="s">
        <v>483</v>
      </c>
      <c r="I788" s="122"/>
      <c r="J788" s="122"/>
      <c r="K788" s="122"/>
      <c r="L788" s="122"/>
      <c r="M788" s="74">
        <v>16600000</v>
      </c>
      <c r="N788" s="75" t="s">
        <v>654</v>
      </c>
      <c r="O788" s="75" t="s">
        <v>203</v>
      </c>
      <c r="P788" s="134" t="str">
        <f>IF(AND('331-CT'!$E$7=TH!H788,OR(N788="331",O788="331")),"x","")</f>
        <v/>
      </c>
    </row>
    <row r="789" spans="1:16">
      <c r="A789" s="72">
        <f t="shared" ref="A789:A841" si="31">IF(C789&lt;&gt;"",YEAR(C789),"")</f>
        <v>2015</v>
      </c>
      <c r="B789" s="72">
        <f t="shared" ref="B789:B841" si="32">IF(C789&lt;&gt;"",MONTH(C789),"")</f>
        <v>9</v>
      </c>
      <c r="C789" s="73">
        <v>42263</v>
      </c>
      <c r="D789" s="73" t="s">
        <v>500</v>
      </c>
      <c r="E789" s="73">
        <v>42263</v>
      </c>
      <c r="F789" s="76" t="s">
        <v>485</v>
      </c>
      <c r="G789" s="265" t="s">
        <v>556</v>
      </c>
      <c r="H789" s="122" t="s">
        <v>483</v>
      </c>
      <c r="I789" s="122"/>
      <c r="J789" s="122"/>
      <c r="K789" s="122"/>
      <c r="L789" s="122"/>
      <c r="M789" s="74">
        <v>1660000</v>
      </c>
      <c r="N789" s="75" t="s">
        <v>19</v>
      </c>
      <c r="O789" s="75" t="s">
        <v>203</v>
      </c>
      <c r="P789" s="134" t="str">
        <f>IF(AND('331-CT'!$E$7=TH!H789,OR(N789="331",O789="331")),"x","")</f>
        <v/>
      </c>
    </row>
    <row r="790" spans="1:16">
      <c r="A790" s="72">
        <f t="shared" si="31"/>
        <v>2015</v>
      </c>
      <c r="B790" s="72">
        <f t="shared" si="32"/>
        <v>9</v>
      </c>
      <c r="C790" s="73">
        <v>42264</v>
      </c>
      <c r="D790" s="73" t="s">
        <v>501</v>
      </c>
      <c r="E790" s="73">
        <v>42264</v>
      </c>
      <c r="F790" s="76" t="s">
        <v>486</v>
      </c>
      <c r="G790" s="265" t="s">
        <v>557</v>
      </c>
      <c r="H790" s="122" t="s">
        <v>483</v>
      </c>
      <c r="I790" s="122"/>
      <c r="J790" s="122"/>
      <c r="K790" s="122"/>
      <c r="L790" s="122"/>
      <c r="M790" s="74">
        <v>18032000</v>
      </c>
      <c r="N790" s="75" t="s">
        <v>654</v>
      </c>
      <c r="O790" s="75" t="s">
        <v>203</v>
      </c>
      <c r="P790" s="134" t="str">
        <f>IF(AND('331-CT'!$E$7=TH!H790,OR(N790="331",O790="331")),"x","")</f>
        <v/>
      </c>
    </row>
    <row r="791" spans="1:16" s="260" customFormat="1" ht="15" customHeight="1">
      <c r="A791" s="256">
        <f t="shared" si="31"/>
        <v>2015</v>
      </c>
      <c r="B791" s="256">
        <f t="shared" si="32"/>
        <v>9</v>
      </c>
      <c r="C791" s="257">
        <v>42264</v>
      </c>
      <c r="D791" s="73" t="s">
        <v>501</v>
      </c>
      <c r="E791" s="257">
        <v>42264</v>
      </c>
      <c r="F791" s="244" t="s">
        <v>487</v>
      </c>
      <c r="G791" s="265" t="s">
        <v>557</v>
      </c>
      <c r="H791" s="125" t="s">
        <v>483</v>
      </c>
      <c r="I791" s="125"/>
      <c r="J791" s="125"/>
      <c r="K791" s="125"/>
      <c r="L791" s="125"/>
      <c r="M791" s="258">
        <v>1803200</v>
      </c>
      <c r="N791" s="259" t="s">
        <v>19</v>
      </c>
      <c r="O791" s="259" t="s">
        <v>203</v>
      </c>
      <c r="P791" s="134" t="str">
        <f>IF(AND('331-CT'!$E$7=TH!H791,OR(N791="331",O791="331")),"x","")</f>
        <v/>
      </c>
    </row>
    <row r="792" spans="1:16" s="260" customFormat="1" ht="15" customHeight="1">
      <c r="A792" s="256">
        <f t="shared" si="31"/>
        <v>2015</v>
      </c>
      <c r="B792" s="256">
        <f t="shared" si="32"/>
        <v>9</v>
      </c>
      <c r="C792" s="257">
        <v>42265</v>
      </c>
      <c r="D792" s="73" t="s">
        <v>502</v>
      </c>
      <c r="E792" s="257">
        <v>42265</v>
      </c>
      <c r="F792" s="244" t="s">
        <v>488</v>
      </c>
      <c r="G792" s="265" t="s">
        <v>558</v>
      </c>
      <c r="H792" s="125" t="s">
        <v>483</v>
      </c>
      <c r="I792" s="125"/>
      <c r="J792" s="125"/>
      <c r="K792" s="125"/>
      <c r="L792" s="125"/>
      <c r="M792" s="258">
        <v>11650000</v>
      </c>
      <c r="N792" s="259" t="s">
        <v>654</v>
      </c>
      <c r="O792" s="259" t="s">
        <v>203</v>
      </c>
      <c r="P792" s="134" t="str">
        <f>IF(AND('331-CT'!$E$7=TH!H792,OR(N792="331",O792="331")),"x","")</f>
        <v/>
      </c>
    </row>
    <row r="793" spans="1:16" s="291" customFormat="1" ht="15" customHeight="1">
      <c r="A793" s="286">
        <f t="shared" si="31"/>
        <v>2015</v>
      </c>
      <c r="B793" s="286">
        <f t="shared" si="32"/>
        <v>9</v>
      </c>
      <c r="C793" s="287">
        <v>42265</v>
      </c>
      <c r="D793" s="130" t="s">
        <v>502</v>
      </c>
      <c r="E793" s="287">
        <v>42265</v>
      </c>
      <c r="F793" s="288" t="s">
        <v>489</v>
      </c>
      <c r="G793" s="266" t="s">
        <v>558</v>
      </c>
      <c r="H793" s="132" t="s">
        <v>483</v>
      </c>
      <c r="I793" s="132"/>
      <c r="J793" s="132"/>
      <c r="K793" s="132"/>
      <c r="L793" s="132"/>
      <c r="M793" s="289">
        <v>1165000</v>
      </c>
      <c r="N793" s="290" t="s">
        <v>19</v>
      </c>
      <c r="O793" s="290" t="s">
        <v>203</v>
      </c>
      <c r="P793" s="134" t="str">
        <f>IF(AND('331-CT'!$E$7=TH!H793,OR(N793="331",O793="331")),"x","")</f>
        <v/>
      </c>
    </row>
    <row r="794" spans="1:16">
      <c r="A794" s="72">
        <f t="shared" si="31"/>
        <v>2015</v>
      </c>
      <c r="B794" s="72">
        <f t="shared" si="32"/>
        <v>9</v>
      </c>
      <c r="C794" s="73">
        <v>42266</v>
      </c>
      <c r="D794" s="73" t="s">
        <v>503</v>
      </c>
      <c r="E794" s="73">
        <v>42266</v>
      </c>
      <c r="F794" s="76" t="s">
        <v>586</v>
      </c>
      <c r="G794" s="137" t="s">
        <v>582</v>
      </c>
      <c r="H794" s="9" t="s">
        <v>584</v>
      </c>
      <c r="I794" s="9"/>
      <c r="J794" s="9"/>
      <c r="K794" s="9"/>
      <c r="L794" s="9"/>
      <c r="M794" s="74">
        <v>1682000</v>
      </c>
      <c r="N794" s="259" t="s">
        <v>654</v>
      </c>
      <c r="O794" s="75" t="s">
        <v>203</v>
      </c>
      <c r="P794" s="134" t="str">
        <f>IF(AND('331-CT'!$E$7=TH!H794,OR(N794="331",O794="331")),"x","")</f>
        <v/>
      </c>
    </row>
    <row r="795" spans="1:16">
      <c r="A795" s="72">
        <f t="shared" si="31"/>
        <v>2015</v>
      </c>
      <c r="B795" s="72">
        <f t="shared" si="32"/>
        <v>9</v>
      </c>
      <c r="C795" s="73">
        <v>42266</v>
      </c>
      <c r="D795" s="73" t="s">
        <v>503</v>
      </c>
      <c r="E795" s="73">
        <v>42266</v>
      </c>
      <c r="F795" s="76" t="s">
        <v>581</v>
      </c>
      <c r="G795" s="137" t="s">
        <v>583</v>
      </c>
      <c r="H795" s="9" t="s">
        <v>585</v>
      </c>
      <c r="I795" s="9"/>
      <c r="J795" s="9"/>
      <c r="K795" s="9"/>
      <c r="L795" s="9"/>
      <c r="M795" s="74">
        <v>8200000</v>
      </c>
      <c r="N795" s="75" t="s">
        <v>654</v>
      </c>
      <c r="O795" s="75" t="s">
        <v>203</v>
      </c>
      <c r="P795" s="134" t="str">
        <f>IF(AND('331-CT'!$E$7=TH!H795,OR(N795="331",O795="331")),"x","")</f>
        <v/>
      </c>
    </row>
    <row r="796" spans="1:16" s="250" customFormat="1">
      <c r="A796" s="72">
        <f t="shared" si="31"/>
        <v>2015</v>
      </c>
      <c r="B796" s="72">
        <f t="shared" si="32"/>
        <v>9</v>
      </c>
      <c r="C796" s="73">
        <v>42266</v>
      </c>
      <c r="D796" s="73" t="s">
        <v>504</v>
      </c>
      <c r="E796" s="73">
        <v>42266</v>
      </c>
      <c r="F796" s="76" t="s">
        <v>575</v>
      </c>
      <c r="G796" s="265"/>
      <c r="H796" s="122" t="s">
        <v>271</v>
      </c>
      <c r="I796" s="122"/>
      <c r="J796" s="122"/>
      <c r="K796" s="122"/>
      <c r="L796" s="122"/>
      <c r="M796" s="74">
        <v>200000000</v>
      </c>
      <c r="N796" s="75" t="s">
        <v>54</v>
      </c>
      <c r="O796" s="75" t="s">
        <v>203</v>
      </c>
      <c r="P796" s="134" t="str">
        <f>IF(AND('331-CT'!$E$7=TH!H796,OR(N796="331",O796="331")),"x","")</f>
        <v/>
      </c>
    </row>
    <row r="797" spans="1:16" s="250" customFormat="1">
      <c r="A797" s="72">
        <f t="shared" si="31"/>
        <v>2015</v>
      </c>
      <c r="B797" s="72">
        <f t="shared" si="32"/>
        <v>9</v>
      </c>
      <c r="C797" s="73">
        <v>42266</v>
      </c>
      <c r="D797" s="73" t="s">
        <v>17</v>
      </c>
      <c r="E797" s="73">
        <v>42266</v>
      </c>
      <c r="F797" s="76" t="s">
        <v>300</v>
      </c>
      <c r="G797" s="265"/>
      <c r="H797" s="9" t="s">
        <v>299</v>
      </c>
      <c r="I797" s="9"/>
      <c r="J797" s="9"/>
      <c r="K797" s="9"/>
      <c r="L797" s="9"/>
      <c r="M797" s="74">
        <v>201012500</v>
      </c>
      <c r="N797" s="75" t="s">
        <v>18</v>
      </c>
      <c r="O797" s="75" t="s">
        <v>54</v>
      </c>
      <c r="P797" s="134" t="str">
        <f>IF(AND('331-CT'!$E$7=TH!H797,OR(N797="331",O797="331")),"x","")</f>
        <v/>
      </c>
    </row>
    <row r="798" spans="1:16">
      <c r="A798" s="72">
        <f t="shared" si="31"/>
        <v>2015</v>
      </c>
      <c r="B798" s="72">
        <f t="shared" si="32"/>
        <v>9</v>
      </c>
      <c r="C798" s="73">
        <v>42266</v>
      </c>
      <c r="D798" s="73" t="s">
        <v>17</v>
      </c>
      <c r="E798" s="73">
        <v>42266</v>
      </c>
      <c r="F798" s="76" t="s">
        <v>34</v>
      </c>
      <c r="G798" s="265"/>
      <c r="H798" s="122"/>
      <c r="I798" s="122"/>
      <c r="J798" s="122"/>
      <c r="K798" s="122"/>
      <c r="L798" s="122"/>
      <c r="M798" s="74">
        <v>120506</v>
      </c>
      <c r="N798" s="75" t="s">
        <v>241</v>
      </c>
      <c r="O798" s="75" t="s">
        <v>54</v>
      </c>
      <c r="P798" s="134" t="str">
        <f>IF(AND('331-CT'!$E$7=TH!H798,OR(N798="331",O798="331")),"x","")</f>
        <v/>
      </c>
    </row>
    <row r="799" spans="1:16">
      <c r="A799" s="72">
        <f t="shared" si="31"/>
        <v>2015</v>
      </c>
      <c r="B799" s="72">
        <f t="shared" si="32"/>
        <v>9</v>
      </c>
      <c r="C799" s="73">
        <v>42266</v>
      </c>
      <c r="D799" s="73" t="s">
        <v>17</v>
      </c>
      <c r="E799" s="73">
        <v>42266</v>
      </c>
      <c r="F799" s="76" t="s">
        <v>35</v>
      </c>
      <c r="G799" s="265"/>
      <c r="H799" s="122"/>
      <c r="I799" s="122"/>
      <c r="J799" s="122"/>
      <c r="K799" s="122"/>
      <c r="L799" s="122"/>
      <c r="M799" s="74">
        <v>12051</v>
      </c>
      <c r="N799" s="75" t="s">
        <v>19</v>
      </c>
      <c r="O799" s="75" t="s">
        <v>54</v>
      </c>
      <c r="P799" s="134" t="str">
        <f>IF(AND('331-CT'!$E$7=TH!H799,OR(N799="331",O799="331")),"x","")</f>
        <v/>
      </c>
    </row>
    <row r="800" spans="1:16">
      <c r="A800" s="72">
        <f t="shared" si="31"/>
        <v>2015</v>
      </c>
      <c r="B800" s="72">
        <f t="shared" si="32"/>
        <v>9</v>
      </c>
      <c r="C800" s="73">
        <v>42266</v>
      </c>
      <c r="D800" s="73" t="s">
        <v>17</v>
      </c>
      <c r="E800" s="73">
        <v>42266</v>
      </c>
      <c r="F800" s="76" t="s">
        <v>119</v>
      </c>
      <c r="G800" s="265"/>
      <c r="H800" s="122" t="s">
        <v>313</v>
      </c>
      <c r="I800" s="122"/>
      <c r="J800" s="122"/>
      <c r="K800" s="122"/>
      <c r="L800" s="122"/>
      <c r="M800" s="74">
        <v>8180556</v>
      </c>
      <c r="N800" s="75" t="s">
        <v>239</v>
      </c>
      <c r="O800" s="75" t="s">
        <v>54</v>
      </c>
      <c r="P800" s="134" t="str">
        <f>IF(AND('331-CT'!$E$7=TH!H800,OR(N800="331",O800="331")),"x","")</f>
        <v/>
      </c>
    </row>
    <row r="801" spans="1:16">
      <c r="A801" s="72">
        <f t="shared" si="31"/>
        <v>2015</v>
      </c>
      <c r="B801" s="72">
        <f t="shared" si="32"/>
        <v>9</v>
      </c>
      <c r="C801" s="73">
        <v>42266</v>
      </c>
      <c r="D801" s="73" t="s">
        <v>17</v>
      </c>
      <c r="E801" s="73">
        <v>42266</v>
      </c>
      <c r="F801" s="76" t="s">
        <v>141</v>
      </c>
      <c r="G801" s="265"/>
      <c r="H801" s="122" t="s">
        <v>314</v>
      </c>
      <c r="I801" s="122"/>
      <c r="J801" s="122"/>
      <c r="K801" s="122"/>
      <c r="L801" s="122"/>
      <c r="M801" s="74">
        <v>16361111</v>
      </c>
      <c r="N801" s="75" t="s">
        <v>239</v>
      </c>
      <c r="O801" s="75" t="s">
        <v>54</v>
      </c>
      <c r="P801" s="134" t="str">
        <f>IF(AND('331-CT'!$E$7=TH!H801,OR(N801="331",O801="331")),"x","")</f>
        <v/>
      </c>
    </row>
    <row r="802" spans="1:16">
      <c r="A802" s="72">
        <f t="shared" si="31"/>
        <v>2015</v>
      </c>
      <c r="B802" s="72">
        <f t="shared" si="32"/>
        <v>9</v>
      </c>
      <c r="C802" s="73">
        <v>42266</v>
      </c>
      <c r="D802" s="73" t="s">
        <v>17</v>
      </c>
      <c r="E802" s="73">
        <v>42266</v>
      </c>
      <c r="F802" s="76" t="s">
        <v>143</v>
      </c>
      <c r="G802" s="265"/>
      <c r="H802" s="122" t="s">
        <v>316</v>
      </c>
      <c r="I802" s="122"/>
      <c r="J802" s="122"/>
      <c r="K802" s="122"/>
      <c r="L802" s="122"/>
      <c r="M802" s="74">
        <v>13088889</v>
      </c>
      <c r="N802" s="75" t="s">
        <v>239</v>
      </c>
      <c r="O802" s="75" t="s">
        <v>54</v>
      </c>
      <c r="P802" s="134" t="str">
        <f>IF(AND('331-CT'!$E$7=TH!H802,OR(N802="331",O802="331")),"x","")</f>
        <v/>
      </c>
    </row>
    <row r="803" spans="1:16">
      <c r="A803" s="72">
        <f t="shared" si="31"/>
        <v>2015</v>
      </c>
      <c r="B803" s="72">
        <f t="shared" si="32"/>
        <v>9</v>
      </c>
      <c r="C803" s="73">
        <v>42266</v>
      </c>
      <c r="D803" s="73" t="s">
        <v>17</v>
      </c>
      <c r="E803" s="73">
        <v>42266</v>
      </c>
      <c r="F803" s="76" t="s">
        <v>144</v>
      </c>
      <c r="G803" s="265"/>
      <c r="H803" s="122" t="s">
        <v>315</v>
      </c>
      <c r="I803" s="122"/>
      <c r="J803" s="122"/>
      <c r="K803" s="122"/>
      <c r="L803" s="122"/>
      <c r="M803" s="74">
        <v>12270833</v>
      </c>
      <c r="N803" s="75" t="s">
        <v>239</v>
      </c>
      <c r="O803" s="75" t="s">
        <v>54</v>
      </c>
      <c r="P803" s="134" t="str">
        <f>IF(AND('331-CT'!$E$7=TH!H803,OR(N803="331",O803="331")),"x","")</f>
        <v/>
      </c>
    </row>
    <row r="804" spans="1:16">
      <c r="A804" s="72">
        <f t="shared" si="31"/>
        <v>2015</v>
      </c>
      <c r="B804" s="72">
        <f t="shared" si="32"/>
        <v>9</v>
      </c>
      <c r="C804" s="73">
        <v>42266</v>
      </c>
      <c r="D804" s="73" t="s">
        <v>17</v>
      </c>
      <c r="E804" s="73">
        <v>42266</v>
      </c>
      <c r="F804" s="76" t="s">
        <v>145</v>
      </c>
      <c r="G804" s="265"/>
      <c r="H804" s="122" t="s">
        <v>317</v>
      </c>
      <c r="I804" s="122"/>
      <c r="J804" s="122"/>
      <c r="K804" s="122"/>
      <c r="L804" s="122"/>
      <c r="M804" s="74">
        <v>8180556</v>
      </c>
      <c r="N804" s="75" t="s">
        <v>239</v>
      </c>
      <c r="O804" s="75" t="s">
        <v>54</v>
      </c>
      <c r="P804" s="134" t="str">
        <f>IF(AND('331-CT'!$E$7=TH!H804,OR(N804="331",O804="331")),"x","")</f>
        <v/>
      </c>
    </row>
    <row r="805" spans="1:16">
      <c r="A805" s="72">
        <f t="shared" si="31"/>
        <v>2015</v>
      </c>
      <c r="B805" s="72">
        <f t="shared" si="32"/>
        <v>9</v>
      </c>
      <c r="C805" s="73">
        <v>42266</v>
      </c>
      <c r="D805" s="73" t="s">
        <v>17</v>
      </c>
      <c r="E805" s="73">
        <v>42266</v>
      </c>
      <c r="F805" s="76" t="s">
        <v>147</v>
      </c>
      <c r="G805" s="265"/>
      <c r="H805" s="122" t="s">
        <v>318</v>
      </c>
      <c r="I805" s="122"/>
      <c r="J805" s="122"/>
      <c r="K805" s="122"/>
      <c r="L805" s="122"/>
      <c r="M805" s="74">
        <v>12270833</v>
      </c>
      <c r="N805" s="75" t="s">
        <v>239</v>
      </c>
      <c r="O805" s="75" t="s">
        <v>54</v>
      </c>
      <c r="P805" s="134" t="str">
        <f>IF(AND('331-CT'!$E$7=TH!H805,OR(N805="331",O805="331")),"x","")</f>
        <v/>
      </c>
    </row>
    <row r="806" spans="1:16">
      <c r="A806" s="245">
        <f t="shared" si="31"/>
        <v>2015</v>
      </c>
      <c r="B806" s="245">
        <f t="shared" si="32"/>
        <v>9</v>
      </c>
      <c r="C806" s="246">
        <v>42266</v>
      </c>
      <c r="D806" s="73" t="s">
        <v>17</v>
      </c>
      <c r="E806" s="246">
        <v>42266</v>
      </c>
      <c r="F806" s="247" t="s">
        <v>272</v>
      </c>
      <c r="G806" s="267"/>
      <c r="H806" s="248" t="s">
        <v>319</v>
      </c>
      <c r="I806" s="248"/>
      <c r="J806" s="248"/>
      <c r="K806" s="248"/>
      <c r="L806" s="248"/>
      <c r="M806" s="249">
        <v>16361111</v>
      </c>
      <c r="N806" s="136" t="s">
        <v>239</v>
      </c>
      <c r="O806" s="136" t="s">
        <v>54</v>
      </c>
      <c r="P806" s="134" t="str">
        <f>IF(AND('331-CT'!$E$7=TH!H806,OR(N806="331",O806="331")),"x","")</f>
        <v/>
      </c>
    </row>
    <row r="807" spans="1:16">
      <c r="A807" s="245">
        <f t="shared" si="31"/>
        <v>2015</v>
      </c>
      <c r="B807" s="245">
        <f t="shared" si="32"/>
        <v>9</v>
      </c>
      <c r="C807" s="246">
        <v>42266</v>
      </c>
      <c r="D807" s="73" t="s">
        <v>17</v>
      </c>
      <c r="E807" s="246">
        <v>42266</v>
      </c>
      <c r="F807" s="247" t="s">
        <v>302</v>
      </c>
      <c r="G807" s="267"/>
      <c r="H807" s="248" t="s">
        <v>320</v>
      </c>
      <c r="I807" s="248"/>
      <c r="J807" s="248"/>
      <c r="K807" s="248"/>
      <c r="L807" s="248"/>
      <c r="M807" s="249">
        <v>11452778</v>
      </c>
      <c r="N807" s="136" t="s">
        <v>239</v>
      </c>
      <c r="O807" s="136" t="s">
        <v>54</v>
      </c>
      <c r="P807" s="134" t="str">
        <f>IF(AND('331-CT'!$E$7=TH!H807,OR(N807="331",O807="331")),"x","")</f>
        <v/>
      </c>
    </row>
    <row r="808" spans="1:16">
      <c r="A808" s="72">
        <f t="shared" si="31"/>
        <v>2015</v>
      </c>
      <c r="B808" s="72">
        <f t="shared" si="32"/>
        <v>9</v>
      </c>
      <c r="C808" s="73">
        <v>42266</v>
      </c>
      <c r="D808" s="73" t="s">
        <v>17</v>
      </c>
      <c r="E808" s="73">
        <v>42266</v>
      </c>
      <c r="F808" s="76" t="s">
        <v>303</v>
      </c>
      <c r="G808" s="137"/>
      <c r="H808" s="122" t="s">
        <v>321</v>
      </c>
      <c r="I808" s="122"/>
      <c r="J808" s="122"/>
      <c r="K808" s="122"/>
      <c r="L808" s="122"/>
      <c r="M808" s="74">
        <v>12270833</v>
      </c>
      <c r="N808" s="75" t="s">
        <v>239</v>
      </c>
      <c r="O808" s="75" t="s">
        <v>54</v>
      </c>
      <c r="P808" s="134" t="str">
        <f>IF(AND('331-CT'!$E$7=TH!H808,OR(N808="331",O808="331")),"x","")</f>
        <v/>
      </c>
    </row>
    <row r="809" spans="1:16">
      <c r="A809" s="72">
        <f t="shared" si="31"/>
        <v>2015</v>
      </c>
      <c r="B809" s="72">
        <f t="shared" si="32"/>
        <v>9</v>
      </c>
      <c r="C809" s="73">
        <v>42266</v>
      </c>
      <c r="D809" s="73" t="s">
        <v>17</v>
      </c>
      <c r="E809" s="73">
        <v>42266</v>
      </c>
      <c r="F809" s="76" t="s">
        <v>417</v>
      </c>
      <c r="G809" s="137"/>
      <c r="H809" s="122" t="s">
        <v>323</v>
      </c>
      <c r="I809" s="122"/>
      <c r="J809" s="122"/>
      <c r="K809" s="122"/>
      <c r="L809" s="122"/>
      <c r="M809" s="74">
        <v>12270833</v>
      </c>
      <c r="N809" s="75" t="s">
        <v>239</v>
      </c>
      <c r="O809" s="75" t="s">
        <v>54</v>
      </c>
      <c r="P809" s="134" t="str">
        <f>IF(AND('331-CT'!$E$7=TH!H809,OR(N809="331",O809="331")),"x","")</f>
        <v/>
      </c>
    </row>
    <row r="810" spans="1:16">
      <c r="A810" s="72">
        <f t="shared" si="31"/>
        <v>2015</v>
      </c>
      <c r="B810" s="72">
        <f t="shared" si="32"/>
        <v>9</v>
      </c>
      <c r="C810" s="73">
        <v>42266</v>
      </c>
      <c r="D810" s="73" t="s">
        <v>17</v>
      </c>
      <c r="E810" s="73">
        <v>42266</v>
      </c>
      <c r="F810" s="76" t="s">
        <v>464</v>
      </c>
      <c r="G810" s="270"/>
      <c r="H810" s="122" t="s">
        <v>325</v>
      </c>
      <c r="I810" s="122"/>
      <c r="J810" s="122"/>
      <c r="K810" s="122"/>
      <c r="L810" s="122"/>
      <c r="M810" s="74">
        <v>12270833</v>
      </c>
      <c r="N810" s="75" t="s">
        <v>239</v>
      </c>
      <c r="O810" s="75" t="s">
        <v>54</v>
      </c>
      <c r="P810" s="134" t="str">
        <f>IF(AND('331-CT'!$E$7=TH!H810,OR(N810="331",O810="331")),"x","")</f>
        <v/>
      </c>
    </row>
    <row r="811" spans="1:16">
      <c r="A811" s="72">
        <f t="shared" si="31"/>
        <v>2015</v>
      </c>
      <c r="B811" s="72">
        <f t="shared" si="32"/>
        <v>9</v>
      </c>
      <c r="C811" s="73">
        <v>42266</v>
      </c>
      <c r="D811" s="73" t="s">
        <v>17</v>
      </c>
      <c r="E811" s="73">
        <v>42266</v>
      </c>
      <c r="F811" s="76" t="s">
        <v>465</v>
      </c>
      <c r="G811" s="270"/>
      <c r="H811" s="122" t="s">
        <v>416</v>
      </c>
      <c r="I811" s="122"/>
      <c r="J811" s="122"/>
      <c r="K811" s="122"/>
      <c r="L811" s="122"/>
      <c r="M811" s="74">
        <v>12270833</v>
      </c>
      <c r="N811" s="75" t="s">
        <v>239</v>
      </c>
      <c r="O811" s="75" t="s">
        <v>54</v>
      </c>
      <c r="P811" s="134" t="str">
        <f>IF(AND('331-CT'!$E$7=TH!H811,OR(N811="331",O811="331")),"x","")</f>
        <v/>
      </c>
    </row>
    <row r="812" spans="1:16">
      <c r="A812" s="72">
        <f t="shared" si="31"/>
        <v>2015</v>
      </c>
      <c r="B812" s="72">
        <f t="shared" si="32"/>
        <v>9</v>
      </c>
      <c r="C812" s="73">
        <v>42266</v>
      </c>
      <c r="D812" s="73" t="s">
        <v>17</v>
      </c>
      <c r="E812" s="73">
        <v>42266</v>
      </c>
      <c r="F812" s="76" t="s">
        <v>579</v>
      </c>
      <c r="G812" s="270"/>
      <c r="H812" s="122" t="s">
        <v>421</v>
      </c>
      <c r="I812" s="122"/>
      <c r="J812" s="122"/>
      <c r="K812" s="122"/>
      <c r="L812" s="122"/>
      <c r="M812" s="74">
        <v>13458333</v>
      </c>
      <c r="N812" s="75" t="s">
        <v>239</v>
      </c>
      <c r="O812" s="75" t="s">
        <v>54</v>
      </c>
      <c r="P812" s="134" t="str">
        <f>IF(AND('331-CT'!$E$7=TH!H812,OR(N812="331",O812="331")),"x","")</f>
        <v/>
      </c>
    </row>
    <row r="813" spans="1:16">
      <c r="A813" s="72">
        <f t="shared" si="31"/>
        <v>2015</v>
      </c>
      <c r="B813" s="72">
        <f t="shared" si="32"/>
        <v>9</v>
      </c>
      <c r="C813" s="73">
        <v>42266</v>
      </c>
      <c r="D813" s="73" t="s">
        <v>17</v>
      </c>
      <c r="E813" s="73">
        <v>42266</v>
      </c>
      <c r="F813" s="76" t="s">
        <v>580</v>
      </c>
      <c r="G813" s="270"/>
      <c r="H813" s="122" t="s">
        <v>455</v>
      </c>
      <c r="I813" s="122"/>
      <c r="J813" s="122"/>
      <c r="K813" s="122"/>
      <c r="L813" s="122"/>
      <c r="M813" s="74">
        <v>9763889</v>
      </c>
      <c r="N813" s="75" t="s">
        <v>239</v>
      </c>
      <c r="O813" s="75" t="s">
        <v>54</v>
      </c>
      <c r="P813" s="134" t="str">
        <f>IF(AND('331-CT'!$E$7=TH!H813,OR(N813="331",O813="331")),"x","")</f>
        <v/>
      </c>
    </row>
    <row r="814" spans="1:16">
      <c r="A814" s="72">
        <f t="shared" si="31"/>
        <v>2015</v>
      </c>
      <c r="B814" s="72">
        <f t="shared" si="32"/>
        <v>9</v>
      </c>
      <c r="C814" s="73">
        <v>42266</v>
      </c>
      <c r="D814" s="73" t="s">
        <v>17</v>
      </c>
      <c r="E814" s="73">
        <v>42266</v>
      </c>
      <c r="F814" s="76" t="s">
        <v>610</v>
      </c>
      <c r="G814" s="270"/>
      <c r="H814" s="122"/>
      <c r="I814" s="122"/>
      <c r="J814" s="122"/>
      <c r="K814" s="122"/>
      <c r="L814" s="122"/>
      <c r="M814" s="74">
        <v>50000</v>
      </c>
      <c r="N814" s="75" t="s">
        <v>241</v>
      </c>
      <c r="O814" s="75" t="s">
        <v>54</v>
      </c>
      <c r="P814" s="134" t="str">
        <f>IF(AND('331-CT'!$E$7=TH!H814,OR(N814="331",O814="331")),"x","")</f>
        <v/>
      </c>
    </row>
    <row r="815" spans="1:16">
      <c r="A815" s="72">
        <f t="shared" si="31"/>
        <v>2015</v>
      </c>
      <c r="B815" s="72">
        <f t="shared" si="32"/>
        <v>9</v>
      </c>
      <c r="C815" s="73">
        <v>42266</v>
      </c>
      <c r="D815" s="73" t="s">
        <v>17</v>
      </c>
      <c r="E815" s="73">
        <v>42266</v>
      </c>
      <c r="F815" s="76" t="s">
        <v>44</v>
      </c>
      <c r="G815" s="270"/>
      <c r="H815" s="122"/>
      <c r="I815" s="122"/>
      <c r="J815" s="122"/>
      <c r="K815" s="122"/>
      <c r="L815" s="122"/>
      <c r="M815" s="74">
        <v>5000</v>
      </c>
      <c r="N815" s="75" t="s">
        <v>19</v>
      </c>
      <c r="O815" s="75" t="s">
        <v>54</v>
      </c>
      <c r="P815" s="134" t="str">
        <f>IF(AND('331-CT'!$E$7=TH!H815,OR(N815="331",O815="331")),"x","")</f>
        <v/>
      </c>
    </row>
    <row r="816" spans="1:16">
      <c r="A816" s="72">
        <f t="shared" si="31"/>
        <v>2015</v>
      </c>
      <c r="B816" s="72">
        <f t="shared" si="32"/>
        <v>9</v>
      </c>
      <c r="C816" s="73">
        <v>42266</v>
      </c>
      <c r="D816" s="73" t="s">
        <v>17</v>
      </c>
      <c r="E816" s="73">
        <v>42266</v>
      </c>
      <c r="F816" s="76" t="s">
        <v>611</v>
      </c>
      <c r="G816" s="270"/>
      <c r="H816" s="122"/>
      <c r="I816" s="122"/>
      <c r="J816" s="122"/>
      <c r="K816" s="122"/>
      <c r="L816" s="122"/>
      <c r="M816" s="74">
        <v>50000</v>
      </c>
      <c r="N816" s="75" t="s">
        <v>241</v>
      </c>
      <c r="O816" s="75" t="s">
        <v>54</v>
      </c>
      <c r="P816" s="134" t="str">
        <f>IF(AND('331-CT'!$E$7=TH!H816,OR(N816="331",O816="331")),"x","")</f>
        <v/>
      </c>
    </row>
    <row r="817" spans="1:16">
      <c r="A817" s="72">
        <f t="shared" si="31"/>
        <v>2015</v>
      </c>
      <c r="B817" s="72">
        <f t="shared" si="32"/>
        <v>9</v>
      </c>
      <c r="C817" s="73">
        <v>42266</v>
      </c>
      <c r="D817" s="73" t="s">
        <v>17</v>
      </c>
      <c r="E817" s="73">
        <v>42266</v>
      </c>
      <c r="F817" s="76" t="s">
        <v>44</v>
      </c>
      <c r="G817" s="270"/>
      <c r="H817" s="122"/>
      <c r="I817" s="122"/>
      <c r="J817" s="122"/>
      <c r="K817" s="122"/>
      <c r="L817" s="122"/>
      <c r="M817" s="74">
        <v>5000</v>
      </c>
      <c r="N817" s="75" t="s">
        <v>19</v>
      </c>
      <c r="O817" s="75" t="s">
        <v>54</v>
      </c>
      <c r="P817" s="134" t="str">
        <f>IF(AND('331-CT'!$E$7=TH!H817,OR(N817="331",O817="331")),"x","")</f>
        <v/>
      </c>
    </row>
    <row r="818" spans="1:16">
      <c r="A818" s="72">
        <f t="shared" si="31"/>
        <v>2015</v>
      </c>
      <c r="B818" s="72">
        <f t="shared" si="32"/>
        <v>9</v>
      </c>
      <c r="C818" s="73">
        <v>42268</v>
      </c>
      <c r="D818" s="73" t="s">
        <v>17</v>
      </c>
      <c r="E818" s="73">
        <v>42268</v>
      </c>
      <c r="F818" s="76" t="s">
        <v>95</v>
      </c>
      <c r="G818" s="265"/>
      <c r="H818" s="122"/>
      <c r="I818" s="122"/>
      <c r="J818" s="122"/>
      <c r="K818" s="122"/>
      <c r="L818" s="122"/>
      <c r="M818" s="74">
        <v>100000</v>
      </c>
      <c r="N818" s="75" t="s">
        <v>241</v>
      </c>
      <c r="O818" s="75" t="s">
        <v>54</v>
      </c>
      <c r="P818" s="134" t="str">
        <f>IF(AND('331-CT'!$E$7=TH!H818,OR(N818="331",O818="331")),"x","")</f>
        <v/>
      </c>
    </row>
    <row r="819" spans="1:16">
      <c r="A819" s="72">
        <f t="shared" si="31"/>
        <v>2015</v>
      </c>
      <c r="B819" s="72">
        <f t="shared" si="32"/>
        <v>9</v>
      </c>
      <c r="C819" s="73">
        <v>42268</v>
      </c>
      <c r="D819" s="73" t="s">
        <v>17</v>
      </c>
      <c r="E819" s="73">
        <v>42268</v>
      </c>
      <c r="F819" s="76" t="s">
        <v>96</v>
      </c>
      <c r="G819" s="265"/>
      <c r="H819" s="122"/>
      <c r="I819" s="122"/>
      <c r="J819" s="122"/>
      <c r="K819" s="122"/>
      <c r="L819" s="122"/>
      <c r="M819" s="74">
        <v>10000</v>
      </c>
      <c r="N819" s="75" t="s">
        <v>19</v>
      </c>
      <c r="O819" s="75" t="s">
        <v>54</v>
      </c>
      <c r="P819" s="134" t="str">
        <f>IF(AND('331-CT'!$E$7=TH!H819,OR(N819="331",O819="331")),"x","")</f>
        <v/>
      </c>
    </row>
    <row r="820" spans="1:16">
      <c r="A820" s="72">
        <f t="shared" si="31"/>
        <v>2015</v>
      </c>
      <c r="B820" s="72">
        <f t="shared" si="32"/>
        <v>9</v>
      </c>
      <c r="C820" s="73">
        <v>42275</v>
      </c>
      <c r="D820" s="73" t="s">
        <v>505</v>
      </c>
      <c r="E820" s="73">
        <v>42275</v>
      </c>
      <c r="F820" s="76" t="s">
        <v>575</v>
      </c>
      <c r="G820" s="265"/>
      <c r="H820" s="122" t="s">
        <v>271</v>
      </c>
      <c r="I820" s="122"/>
      <c r="J820" s="122"/>
      <c r="K820" s="122"/>
      <c r="L820" s="122"/>
      <c r="M820" s="74">
        <v>400000000</v>
      </c>
      <c r="N820" s="75" t="s">
        <v>54</v>
      </c>
      <c r="O820" s="75" t="s">
        <v>203</v>
      </c>
      <c r="P820" s="134" t="str">
        <f>IF(AND('331-CT'!$E$7=TH!H820,OR(N820="331",O820="331")),"x","")</f>
        <v/>
      </c>
    </row>
    <row r="821" spans="1:16">
      <c r="A821" s="72">
        <f t="shared" si="31"/>
        <v>2015</v>
      </c>
      <c r="B821" s="72">
        <f t="shared" si="32"/>
        <v>10</v>
      </c>
      <c r="C821" s="73">
        <v>42278</v>
      </c>
      <c r="D821" s="73" t="s">
        <v>73</v>
      </c>
      <c r="E821" s="73">
        <v>42261</v>
      </c>
      <c r="F821" s="76" t="s">
        <v>594</v>
      </c>
      <c r="G821" s="265" t="s">
        <v>591</v>
      </c>
      <c r="H821" s="122" t="s">
        <v>279</v>
      </c>
      <c r="I821" s="122"/>
      <c r="J821" s="122"/>
      <c r="K821" s="122"/>
      <c r="L821" s="122"/>
      <c r="M821" s="74">
        <v>490600</v>
      </c>
      <c r="N821" s="75" t="s">
        <v>241</v>
      </c>
      <c r="O821" s="75" t="s">
        <v>203</v>
      </c>
      <c r="P821" s="134" t="str">
        <f>IF(AND('331-CT'!$E$7=TH!H821,OR(N821="331",O821="331")),"x","")</f>
        <v/>
      </c>
    </row>
    <row r="822" spans="1:16">
      <c r="A822" s="72">
        <f t="shared" si="31"/>
        <v>2015</v>
      </c>
      <c r="B822" s="72">
        <f t="shared" si="32"/>
        <v>10</v>
      </c>
      <c r="C822" s="73">
        <v>42278</v>
      </c>
      <c r="D822" s="73" t="s">
        <v>73</v>
      </c>
      <c r="E822" s="73">
        <v>42261</v>
      </c>
      <c r="F822" s="76" t="s">
        <v>595</v>
      </c>
      <c r="G822" s="265" t="s">
        <v>591</v>
      </c>
      <c r="H822" s="122" t="s">
        <v>279</v>
      </c>
      <c r="I822" s="122"/>
      <c r="J822" s="122"/>
      <c r="K822" s="122"/>
      <c r="L822" s="122"/>
      <c r="M822" s="74">
        <v>49060</v>
      </c>
      <c r="N822" s="75" t="s">
        <v>19</v>
      </c>
      <c r="O822" s="75" t="s">
        <v>203</v>
      </c>
      <c r="P822" s="134" t="str">
        <f>IF(AND('331-CT'!$E$7=TH!H822,OR(N822="331",O822="331")),"x","")</f>
        <v/>
      </c>
    </row>
    <row r="823" spans="1:16">
      <c r="A823" s="72">
        <f t="shared" si="31"/>
        <v>2015</v>
      </c>
      <c r="B823" s="72">
        <f t="shared" si="32"/>
        <v>10</v>
      </c>
      <c r="C823" s="73">
        <v>42278</v>
      </c>
      <c r="D823" s="73" t="s">
        <v>92</v>
      </c>
      <c r="E823" s="73">
        <v>42273</v>
      </c>
      <c r="F823" s="76" t="s">
        <v>587</v>
      </c>
      <c r="G823" s="265" t="s">
        <v>588</v>
      </c>
      <c r="H823" s="122" t="s">
        <v>589</v>
      </c>
      <c r="I823" s="122"/>
      <c r="J823" s="122"/>
      <c r="K823" s="122"/>
      <c r="L823" s="122"/>
      <c r="M823" s="74">
        <v>12818181</v>
      </c>
      <c r="N823" s="75" t="s">
        <v>654</v>
      </c>
      <c r="O823" s="75" t="s">
        <v>203</v>
      </c>
      <c r="P823" s="134" t="str">
        <f>IF(AND('331-CT'!$E$7=TH!H823,OR(N823="331",O823="331")),"x","")</f>
        <v/>
      </c>
    </row>
    <row r="824" spans="1:16">
      <c r="A824" s="72">
        <f t="shared" si="31"/>
        <v>2015</v>
      </c>
      <c r="B824" s="72">
        <f t="shared" si="32"/>
        <v>10</v>
      </c>
      <c r="C824" s="73">
        <v>42278</v>
      </c>
      <c r="D824" s="73" t="s">
        <v>92</v>
      </c>
      <c r="E824" s="73">
        <v>42273</v>
      </c>
      <c r="F824" s="76" t="s">
        <v>590</v>
      </c>
      <c r="G824" s="265" t="s">
        <v>588</v>
      </c>
      <c r="H824" s="122" t="s">
        <v>589</v>
      </c>
      <c r="I824" s="122"/>
      <c r="J824" s="122"/>
      <c r="K824" s="122"/>
      <c r="L824" s="122"/>
      <c r="M824" s="74">
        <v>1281819</v>
      </c>
      <c r="N824" s="75" t="s">
        <v>19</v>
      </c>
      <c r="O824" s="75" t="s">
        <v>203</v>
      </c>
      <c r="P824" s="134" t="str">
        <f>IF(AND('331-CT'!$E$7=TH!H824,OR(N824="331",O824="331")),"x","")</f>
        <v/>
      </c>
    </row>
    <row r="825" spans="1:16">
      <c r="A825" s="72">
        <f t="shared" si="31"/>
        <v>2015</v>
      </c>
      <c r="B825" s="72">
        <f t="shared" si="32"/>
        <v>10</v>
      </c>
      <c r="C825" s="73">
        <v>42278</v>
      </c>
      <c r="D825" s="73" t="s">
        <v>93</v>
      </c>
      <c r="E825" s="73">
        <v>42278</v>
      </c>
      <c r="F825" s="76" t="s">
        <v>596</v>
      </c>
      <c r="G825" s="265"/>
      <c r="H825" s="122" t="s">
        <v>430</v>
      </c>
      <c r="I825" s="122"/>
      <c r="J825" s="122"/>
      <c r="K825" s="122"/>
      <c r="L825" s="122"/>
      <c r="M825" s="74">
        <v>1336364</v>
      </c>
      <c r="N825" s="75" t="s">
        <v>241</v>
      </c>
      <c r="O825" s="75" t="s">
        <v>203</v>
      </c>
      <c r="P825" s="134" t="str">
        <f>IF(AND('331-CT'!$E$7=TH!H825,OR(N825="331",O825="331")),"x","")</f>
        <v/>
      </c>
    </row>
    <row r="826" spans="1:16">
      <c r="A826" s="72">
        <f t="shared" si="31"/>
        <v>2015</v>
      </c>
      <c r="B826" s="72">
        <f t="shared" si="32"/>
        <v>10</v>
      </c>
      <c r="C826" s="73">
        <v>42278</v>
      </c>
      <c r="D826" s="73" t="s">
        <v>93</v>
      </c>
      <c r="E826" s="73">
        <v>42278</v>
      </c>
      <c r="F826" s="76" t="s">
        <v>597</v>
      </c>
      <c r="G826" s="265"/>
      <c r="H826" s="122" t="s">
        <v>430</v>
      </c>
      <c r="I826" s="122"/>
      <c r="J826" s="122"/>
      <c r="K826" s="122"/>
      <c r="L826" s="122"/>
      <c r="M826" s="74">
        <v>133636</v>
      </c>
      <c r="N826" s="75" t="s">
        <v>19</v>
      </c>
      <c r="O826" s="75" t="s">
        <v>203</v>
      </c>
      <c r="P826" s="134" t="str">
        <f>IF(AND('331-CT'!$E$7=TH!H826,OR(N826="331",O826="331")),"x","")</f>
        <v/>
      </c>
    </row>
    <row r="827" spans="1:16">
      <c r="A827" s="72">
        <f t="shared" si="31"/>
        <v>2015</v>
      </c>
      <c r="B827" s="72">
        <f t="shared" si="32"/>
        <v>10</v>
      </c>
      <c r="C827" s="73">
        <v>42278</v>
      </c>
      <c r="D827" s="73" t="s">
        <v>72</v>
      </c>
      <c r="E827" s="73">
        <v>42278</v>
      </c>
      <c r="F827" s="76" t="s">
        <v>603</v>
      </c>
      <c r="G827" s="265" t="s">
        <v>604</v>
      </c>
      <c r="H827" s="122" t="s">
        <v>435</v>
      </c>
      <c r="I827" s="122"/>
      <c r="J827" s="122"/>
      <c r="K827" s="122"/>
      <c r="L827" s="122"/>
      <c r="M827" s="74">
        <v>18000000</v>
      </c>
      <c r="N827" s="75" t="s">
        <v>654</v>
      </c>
      <c r="O827" s="75" t="s">
        <v>203</v>
      </c>
      <c r="P827" s="134" t="str">
        <f>IF(AND('331-CT'!$E$7=TH!H827,OR(N827="331",O827="331")),"x","")</f>
        <v/>
      </c>
    </row>
    <row r="828" spans="1:16">
      <c r="A828" s="72">
        <f t="shared" si="31"/>
        <v>2015</v>
      </c>
      <c r="B828" s="72">
        <f t="shared" si="32"/>
        <v>10</v>
      </c>
      <c r="C828" s="73">
        <v>42278</v>
      </c>
      <c r="D828" s="73" t="s">
        <v>72</v>
      </c>
      <c r="E828" s="73">
        <v>42278</v>
      </c>
      <c r="F828" s="76" t="s">
        <v>609</v>
      </c>
      <c r="G828" s="265" t="s">
        <v>604</v>
      </c>
      <c r="H828" s="122" t="s">
        <v>435</v>
      </c>
      <c r="I828" s="122"/>
      <c r="J828" s="122"/>
      <c r="K828" s="122"/>
      <c r="L828" s="122"/>
      <c r="M828" s="74">
        <v>1800000</v>
      </c>
      <c r="N828" s="75" t="s">
        <v>19</v>
      </c>
      <c r="O828" s="75" t="s">
        <v>203</v>
      </c>
      <c r="P828" s="134" t="str">
        <f>IF(AND('331-CT'!$E$7=TH!H828,OR(N828="331",O828="331")),"x","")</f>
        <v/>
      </c>
    </row>
    <row r="829" spans="1:16">
      <c r="A829" s="72">
        <f t="shared" si="31"/>
        <v>2015</v>
      </c>
      <c r="B829" s="72">
        <f t="shared" si="32"/>
        <v>10</v>
      </c>
      <c r="C829" s="73">
        <v>42278</v>
      </c>
      <c r="D829" s="73" t="s">
        <v>78</v>
      </c>
      <c r="E829" s="73">
        <v>42267</v>
      </c>
      <c r="F829" s="76" t="s">
        <v>462</v>
      </c>
      <c r="G829" s="265" t="s">
        <v>592</v>
      </c>
      <c r="H829" s="122" t="s">
        <v>190</v>
      </c>
      <c r="I829" s="122"/>
      <c r="J829" s="122"/>
      <c r="K829" s="122"/>
      <c r="L829" s="122"/>
      <c r="M829" s="74">
        <v>90910870</v>
      </c>
      <c r="N829" s="75" t="s">
        <v>654</v>
      </c>
      <c r="O829" s="75" t="s">
        <v>18</v>
      </c>
      <c r="P829" s="134" t="str">
        <f>IF(AND('331-CT'!$E$7=TH!H829,OR(N829="331",O829="331")),"x","")</f>
        <v/>
      </c>
    </row>
    <row r="830" spans="1:16">
      <c r="A830" s="72">
        <f t="shared" si="31"/>
        <v>2015</v>
      </c>
      <c r="B830" s="72">
        <f t="shared" si="32"/>
        <v>10</v>
      </c>
      <c r="C830" s="73">
        <v>42278</v>
      </c>
      <c r="D830" s="73" t="s">
        <v>78</v>
      </c>
      <c r="E830" s="73">
        <v>42267</v>
      </c>
      <c r="F830" s="76" t="s">
        <v>463</v>
      </c>
      <c r="G830" s="265" t="s">
        <v>592</v>
      </c>
      <c r="H830" s="122" t="s">
        <v>190</v>
      </c>
      <c r="I830" s="122"/>
      <c r="J830" s="122"/>
      <c r="K830" s="122"/>
      <c r="L830" s="122"/>
      <c r="M830" s="74">
        <v>9091087</v>
      </c>
      <c r="N830" s="75" t="s">
        <v>19</v>
      </c>
      <c r="O830" s="75" t="s">
        <v>18</v>
      </c>
      <c r="P830" s="134" t="str">
        <f>IF(AND('331-CT'!$E$7=TH!H830,OR(N830="331",O830="331")),"x","")</f>
        <v/>
      </c>
    </row>
    <row r="831" spans="1:16">
      <c r="A831" s="72">
        <f t="shared" si="31"/>
        <v>2015</v>
      </c>
      <c r="B831" s="72">
        <f t="shared" si="32"/>
        <v>10</v>
      </c>
      <c r="C831" s="73">
        <v>42278</v>
      </c>
      <c r="D831" s="73" t="s">
        <v>78</v>
      </c>
      <c r="E831" s="73">
        <v>42271</v>
      </c>
      <c r="F831" s="76" t="s">
        <v>462</v>
      </c>
      <c r="G831" s="265" t="s">
        <v>593</v>
      </c>
      <c r="H831" s="122" t="s">
        <v>190</v>
      </c>
      <c r="I831" s="122"/>
      <c r="J831" s="122"/>
      <c r="K831" s="122"/>
      <c r="L831" s="122"/>
      <c r="M831" s="74">
        <v>73661009</v>
      </c>
      <c r="N831" s="75" t="s">
        <v>654</v>
      </c>
      <c r="O831" s="75" t="s">
        <v>18</v>
      </c>
      <c r="P831" s="134" t="str">
        <f>IF(AND('331-CT'!$E$7=TH!H831,OR(N831="331",O831="331")),"x","")</f>
        <v/>
      </c>
    </row>
    <row r="832" spans="1:16">
      <c r="A832" s="72">
        <f t="shared" si="31"/>
        <v>2015</v>
      </c>
      <c r="B832" s="72">
        <f t="shared" si="32"/>
        <v>10</v>
      </c>
      <c r="C832" s="73">
        <v>42278</v>
      </c>
      <c r="D832" s="73" t="s">
        <v>78</v>
      </c>
      <c r="E832" s="73">
        <v>42271</v>
      </c>
      <c r="F832" s="76" t="s">
        <v>463</v>
      </c>
      <c r="G832" s="265" t="s">
        <v>593</v>
      </c>
      <c r="H832" s="122" t="s">
        <v>190</v>
      </c>
      <c r="I832" s="122"/>
      <c r="J832" s="122"/>
      <c r="K832" s="122"/>
      <c r="L832" s="122"/>
      <c r="M832" s="74">
        <v>7366100</v>
      </c>
      <c r="N832" s="75" t="s">
        <v>19</v>
      </c>
      <c r="O832" s="75" t="s">
        <v>18</v>
      </c>
      <c r="P832" s="134" t="str">
        <f>IF(AND('331-CT'!$E$7=TH!H832,OR(N832="331",O832="331")),"x","")</f>
        <v/>
      </c>
    </row>
    <row r="833" spans="1:16">
      <c r="A833" s="72">
        <f t="shared" si="31"/>
        <v>2015</v>
      </c>
      <c r="B833" s="72">
        <f t="shared" si="32"/>
        <v>10</v>
      </c>
      <c r="C833" s="73">
        <v>42278</v>
      </c>
      <c r="D833" s="73" t="s">
        <v>71</v>
      </c>
      <c r="E833" s="73">
        <v>42276</v>
      </c>
      <c r="F833" s="76" t="s">
        <v>652</v>
      </c>
      <c r="G833" s="265" t="s">
        <v>647</v>
      </c>
      <c r="H833" s="122" t="s">
        <v>648</v>
      </c>
      <c r="I833" s="122"/>
      <c r="J833" s="122"/>
      <c r="K833" s="122"/>
      <c r="L833" s="122"/>
      <c r="M833" s="74">
        <v>10285400</v>
      </c>
      <c r="N833" s="75" t="s">
        <v>241</v>
      </c>
      <c r="O833" s="75" t="s">
        <v>203</v>
      </c>
      <c r="P833" s="134" t="str">
        <f>IF(AND('331-CT'!$E$7=TH!H833,OR(N833="331",O833="331")),"x","")</f>
        <v/>
      </c>
    </row>
    <row r="834" spans="1:16">
      <c r="A834" s="72">
        <f t="shared" si="31"/>
        <v>2015</v>
      </c>
      <c r="B834" s="72">
        <f t="shared" si="32"/>
        <v>10</v>
      </c>
      <c r="C834" s="73">
        <v>42278</v>
      </c>
      <c r="D834" s="73" t="s">
        <v>71</v>
      </c>
      <c r="E834" s="73">
        <v>42276</v>
      </c>
      <c r="F834" s="76" t="s">
        <v>653</v>
      </c>
      <c r="G834" s="265" t="s">
        <v>647</v>
      </c>
      <c r="H834" s="122" t="s">
        <v>648</v>
      </c>
      <c r="I834" s="122"/>
      <c r="J834" s="122"/>
      <c r="K834" s="122"/>
      <c r="L834" s="122"/>
      <c r="M834" s="74">
        <v>1028540</v>
      </c>
      <c r="N834" s="75" t="s">
        <v>19</v>
      </c>
      <c r="O834" s="75" t="s">
        <v>203</v>
      </c>
      <c r="P834" s="134" t="str">
        <f>IF(AND('331-CT'!$E$7=TH!H834,OR(N834="331",O834="331")),"x","")</f>
        <v/>
      </c>
    </row>
    <row r="835" spans="1:16">
      <c r="A835" s="72">
        <f t="shared" si="31"/>
        <v>2015</v>
      </c>
      <c r="B835" s="72">
        <f t="shared" si="32"/>
        <v>10</v>
      </c>
      <c r="C835" s="73">
        <v>42278</v>
      </c>
      <c r="D835" s="73" t="s">
        <v>17</v>
      </c>
      <c r="E835" s="73">
        <v>42271</v>
      </c>
      <c r="F835" s="76" t="s">
        <v>612</v>
      </c>
      <c r="G835" s="265"/>
      <c r="H835" s="122"/>
      <c r="I835" s="122"/>
      <c r="J835" s="122"/>
      <c r="K835" s="122"/>
      <c r="L835" s="122"/>
      <c r="M835" s="74">
        <v>50000</v>
      </c>
      <c r="N835" s="75" t="s">
        <v>241</v>
      </c>
      <c r="O835" s="75" t="s">
        <v>54</v>
      </c>
      <c r="P835" s="134" t="str">
        <f>IF(AND('331-CT'!$E$7=TH!H835,OR(N835="331",O835="331")),"x","")</f>
        <v/>
      </c>
    </row>
    <row r="836" spans="1:16">
      <c r="A836" s="72">
        <f t="shared" si="31"/>
        <v>2015</v>
      </c>
      <c r="B836" s="72">
        <f t="shared" si="32"/>
        <v>10</v>
      </c>
      <c r="C836" s="73">
        <v>42278</v>
      </c>
      <c r="D836" s="73" t="s">
        <v>17</v>
      </c>
      <c r="E836" s="73">
        <v>42271</v>
      </c>
      <c r="F836" s="76" t="s">
        <v>44</v>
      </c>
      <c r="G836" s="265"/>
      <c r="H836" s="122"/>
      <c r="I836" s="122"/>
      <c r="J836" s="122"/>
      <c r="K836" s="122"/>
      <c r="L836" s="122"/>
      <c r="M836" s="74">
        <v>5000</v>
      </c>
      <c r="N836" s="75" t="s">
        <v>19</v>
      </c>
      <c r="O836" s="75" t="s">
        <v>54</v>
      </c>
      <c r="P836" s="134" t="str">
        <f>IF(AND('331-CT'!$E$7=TH!H836,OR(N836="331",O836="331")),"x","")</f>
        <v/>
      </c>
    </row>
    <row r="837" spans="1:16">
      <c r="A837" s="72">
        <f t="shared" si="31"/>
        <v>2015</v>
      </c>
      <c r="B837" s="72">
        <f t="shared" si="32"/>
        <v>10</v>
      </c>
      <c r="C837" s="73">
        <v>42278</v>
      </c>
      <c r="D837" s="73" t="s">
        <v>17</v>
      </c>
      <c r="E837" s="73">
        <v>42271</v>
      </c>
      <c r="F837" s="76" t="s">
        <v>613</v>
      </c>
      <c r="G837" s="265"/>
      <c r="H837" s="122"/>
      <c r="I837" s="122"/>
      <c r="J837" s="122"/>
      <c r="K837" s="122"/>
      <c r="L837" s="122"/>
      <c r="M837" s="74">
        <v>50000</v>
      </c>
      <c r="N837" s="75" t="s">
        <v>241</v>
      </c>
      <c r="O837" s="75" t="s">
        <v>54</v>
      </c>
      <c r="P837" s="134" t="str">
        <f>IF(AND('331-CT'!$E$7=TH!H837,OR(N837="331",O837="331")),"x","")</f>
        <v/>
      </c>
    </row>
    <row r="838" spans="1:16">
      <c r="A838" s="72">
        <f t="shared" si="31"/>
        <v>2015</v>
      </c>
      <c r="B838" s="72">
        <f t="shared" si="32"/>
        <v>10</v>
      </c>
      <c r="C838" s="73">
        <v>42278</v>
      </c>
      <c r="D838" s="73" t="s">
        <v>17</v>
      </c>
      <c r="E838" s="73">
        <v>42271</v>
      </c>
      <c r="F838" s="76" t="s">
        <v>44</v>
      </c>
      <c r="G838" s="265"/>
      <c r="H838" s="122"/>
      <c r="I838" s="122"/>
      <c r="J838" s="122"/>
      <c r="K838" s="122"/>
      <c r="L838" s="122"/>
      <c r="M838" s="74">
        <v>5000</v>
      </c>
      <c r="N838" s="75" t="s">
        <v>19</v>
      </c>
      <c r="O838" s="75" t="s">
        <v>54</v>
      </c>
      <c r="P838" s="134" t="str">
        <f>IF(AND('331-CT'!$E$7=TH!H838,OR(N838="331",O838="331")),"x","")</f>
        <v/>
      </c>
    </row>
    <row r="839" spans="1:16">
      <c r="A839" s="72">
        <f t="shared" si="31"/>
        <v>2015</v>
      </c>
      <c r="B839" s="72">
        <f t="shared" si="32"/>
        <v>10</v>
      </c>
      <c r="C839" s="73">
        <v>42278</v>
      </c>
      <c r="D839" s="73" t="s">
        <v>21</v>
      </c>
      <c r="E839" s="73">
        <v>42271</v>
      </c>
      <c r="F839" s="76" t="s">
        <v>98</v>
      </c>
      <c r="G839" s="265"/>
      <c r="H839" s="122"/>
      <c r="I839" s="122"/>
      <c r="J839" s="122"/>
      <c r="K839" s="122"/>
      <c r="L839" s="122"/>
      <c r="M839" s="74">
        <v>55871</v>
      </c>
      <c r="N839" s="75" t="s">
        <v>54</v>
      </c>
      <c r="O839" s="75" t="s">
        <v>99</v>
      </c>
      <c r="P839" s="134" t="str">
        <f>IF(AND('331-CT'!$E$7=TH!H839,OR(N839="331",O839="331")),"x","")</f>
        <v/>
      </c>
    </row>
    <row r="840" spans="1:16">
      <c r="A840" s="72">
        <f t="shared" si="31"/>
        <v>2015</v>
      </c>
      <c r="B840" s="72">
        <f t="shared" si="32"/>
        <v>10</v>
      </c>
      <c r="C840" s="73">
        <v>42278</v>
      </c>
      <c r="D840" s="73" t="s">
        <v>17</v>
      </c>
      <c r="E840" s="73">
        <v>42275</v>
      </c>
      <c r="F840" s="76" t="s">
        <v>614</v>
      </c>
      <c r="G840" s="265"/>
      <c r="H840" s="122" t="s">
        <v>305</v>
      </c>
      <c r="I840" s="122"/>
      <c r="J840" s="122"/>
      <c r="K840" s="122"/>
      <c r="L840" s="122"/>
      <c r="M840" s="74">
        <v>400000000</v>
      </c>
      <c r="N840" s="75" t="s">
        <v>18</v>
      </c>
      <c r="O840" s="75" t="s">
        <v>54</v>
      </c>
      <c r="P840" s="134" t="str">
        <f>IF(AND('331-CT'!$E$7=TH!H840,OR(N840="331",O840="331")),"x","")</f>
        <v/>
      </c>
    </row>
    <row r="841" spans="1:16">
      <c r="A841" s="72">
        <f t="shared" si="31"/>
        <v>2015</v>
      </c>
      <c r="B841" s="72">
        <f t="shared" si="32"/>
        <v>10</v>
      </c>
      <c r="C841" s="73">
        <v>42278</v>
      </c>
      <c r="D841" s="73" t="s">
        <v>17</v>
      </c>
      <c r="E841" s="73">
        <v>42275</v>
      </c>
      <c r="F841" s="76" t="s">
        <v>34</v>
      </c>
      <c r="G841" s="265"/>
      <c r="H841" s="122"/>
      <c r="I841" s="122"/>
      <c r="J841" s="122"/>
      <c r="K841" s="122"/>
      <c r="L841" s="122"/>
      <c r="M841" s="74">
        <v>232510</v>
      </c>
      <c r="N841" s="75" t="s">
        <v>241</v>
      </c>
      <c r="O841" s="75" t="s">
        <v>54</v>
      </c>
      <c r="P841" s="134" t="str">
        <f>IF(AND('331-CT'!$E$7=TH!H841,OR(N841="331",O841="331")),"x","")</f>
        <v/>
      </c>
    </row>
    <row r="842" spans="1:16">
      <c r="A842" s="72">
        <f t="shared" ref="A842:A905" si="33">IF(C842&lt;&gt;"",YEAR(C842),"")</f>
        <v>2015</v>
      </c>
      <c r="B842" s="72">
        <f t="shared" ref="B842:B905" si="34">IF(C842&lt;&gt;"",MONTH(C842),"")</f>
        <v>10</v>
      </c>
      <c r="C842" s="73">
        <v>42278</v>
      </c>
      <c r="D842" s="73" t="s">
        <v>17</v>
      </c>
      <c r="E842" s="73">
        <v>42275</v>
      </c>
      <c r="F842" s="76" t="s">
        <v>35</v>
      </c>
      <c r="G842" s="265"/>
      <c r="H842" s="122"/>
      <c r="I842" s="122"/>
      <c r="J842" s="122"/>
      <c r="K842" s="122"/>
      <c r="L842" s="122"/>
      <c r="M842" s="74">
        <v>23251</v>
      </c>
      <c r="N842" s="75" t="s">
        <v>19</v>
      </c>
      <c r="O842" s="75" t="s">
        <v>54</v>
      </c>
      <c r="P842" s="134" t="str">
        <f>IF(AND('331-CT'!$E$7=TH!H842,OR(N842="331",O842="331")),"x","")</f>
        <v/>
      </c>
    </row>
    <row r="843" spans="1:16">
      <c r="A843" s="72">
        <f t="shared" si="33"/>
        <v>2015</v>
      </c>
      <c r="B843" s="72">
        <f t="shared" si="34"/>
        <v>10</v>
      </c>
      <c r="C843" s="311">
        <v>42278</v>
      </c>
      <c r="D843" s="311" t="s">
        <v>133</v>
      </c>
      <c r="E843" s="311">
        <v>42278</v>
      </c>
      <c r="F843" s="312" t="s">
        <v>724</v>
      </c>
      <c r="G843" s="313" t="s">
        <v>725</v>
      </c>
      <c r="H843" s="314" t="s">
        <v>726</v>
      </c>
      <c r="I843" s="314"/>
      <c r="J843" s="314"/>
      <c r="K843" s="314"/>
      <c r="L843" s="314"/>
      <c r="M843" s="74">
        <v>15000000</v>
      </c>
      <c r="N843" s="315" t="s">
        <v>654</v>
      </c>
      <c r="O843" s="315" t="s">
        <v>203</v>
      </c>
      <c r="P843" s="134" t="str">
        <f>IF(AND('331-CT'!$E$7=TH!H843,OR(N843="331",O843="331")),"x","")</f>
        <v/>
      </c>
    </row>
    <row r="844" spans="1:16">
      <c r="A844" s="72">
        <f t="shared" si="33"/>
        <v>2015</v>
      </c>
      <c r="B844" s="72">
        <f t="shared" si="34"/>
        <v>10</v>
      </c>
      <c r="C844" s="311">
        <v>42278</v>
      </c>
      <c r="D844" s="311" t="s">
        <v>133</v>
      </c>
      <c r="E844" s="311">
        <v>42278</v>
      </c>
      <c r="F844" s="312" t="s">
        <v>727</v>
      </c>
      <c r="G844" s="313" t="s">
        <v>725</v>
      </c>
      <c r="H844" s="314" t="s">
        <v>726</v>
      </c>
      <c r="I844" s="314"/>
      <c r="J844" s="314"/>
      <c r="K844" s="314"/>
      <c r="L844" s="314"/>
      <c r="M844" s="74">
        <v>1500000</v>
      </c>
      <c r="N844" s="315" t="s">
        <v>19</v>
      </c>
      <c r="O844" s="315" t="s">
        <v>203</v>
      </c>
      <c r="P844" s="134" t="str">
        <f>IF(AND('331-CT'!$E$7=TH!H844,OR(N844="331",O844="331")),"x","")</f>
        <v/>
      </c>
    </row>
    <row r="845" spans="1:16">
      <c r="A845" s="72">
        <f t="shared" si="33"/>
        <v>2015</v>
      </c>
      <c r="B845" s="72">
        <f t="shared" si="34"/>
        <v>10</v>
      </c>
      <c r="C845" s="311">
        <v>42279</v>
      </c>
      <c r="D845" s="311" t="s">
        <v>134</v>
      </c>
      <c r="E845" s="311">
        <v>42279</v>
      </c>
      <c r="F845" s="312" t="s">
        <v>575</v>
      </c>
      <c r="G845" s="313"/>
      <c r="H845" s="314" t="s">
        <v>271</v>
      </c>
      <c r="I845" s="314"/>
      <c r="J845" s="314"/>
      <c r="K845" s="314"/>
      <c r="L845" s="314"/>
      <c r="M845" s="74">
        <v>600000000</v>
      </c>
      <c r="N845" s="315" t="s">
        <v>54</v>
      </c>
      <c r="O845" s="315" t="s">
        <v>203</v>
      </c>
      <c r="P845" s="134" t="str">
        <f>IF(AND('331-CT'!$E$7=TH!H845,OR(N845="331",O845="331")),"x","")</f>
        <v/>
      </c>
    </row>
    <row r="846" spans="1:16">
      <c r="A846" s="72">
        <f t="shared" si="33"/>
        <v>2015</v>
      </c>
      <c r="B846" s="72">
        <f t="shared" si="34"/>
        <v>10</v>
      </c>
      <c r="C846" s="311">
        <v>42279</v>
      </c>
      <c r="D846" s="311" t="s">
        <v>135</v>
      </c>
      <c r="E846" s="311">
        <v>42279</v>
      </c>
      <c r="F846" s="312" t="s">
        <v>603</v>
      </c>
      <c r="G846" s="313" t="s">
        <v>605</v>
      </c>
      <c r="H846" s="314" t="s">
        <v>435</v>
      </c>
      <c r="I846" s="314"/>
      <c r="J846" s="314"/>
      <c r="K846" s="314"/>
      <c r="L846" s="314"/>
      <c r="M846" s="74">
        <v>18000000</v>
      </c>
      <c r="N846" s="315" t="s">
        <v>654</v>
      </c>
      <c r="O846" s="315" t="s">
        <v>203</v>
      </c>
      <c r="P846" s="134" t="str">
        <f>IF(AND('331-CT'!$E$7=TH!H846,OR(N846="331",O846="331")),"x","")</f>
        <v/>
      </c>
    </row>
    <row r="847" spans="1:16">
      <c r="A847" s="72">
        <f t="shared" si="33"/>
        <v>2015</v>
      </c>
      <c r="B847" s="72">
        <f t="shared" si="34"/>
        <v>10</v>
      </c>
      <c r="C847" s="311">
        <v>42279</v>
      </c>
      <c r="D847" s="311" t="s">
        <v>135</v>
      </c>
      <c r="E847" s="311">
        <v>42279</v>
      </c>
      <c r="F847" s="312" t="s">
        <v>609</v>
      </c>
      <c r="G847" s="313" t="s">
        <v>605</v>
      </c>
      <c r="H847" s="314" t="s">
        <v>435</v>
      </c>
      <c r="I847" s="314"/>
      <c r="J847" s="314"/>
      <c r="K847" s="314"/>
      <c r="L847" s="314"/>
      <c r="M847" s="74">
        <v>1800000</v>
      </c>
      <c r="N847" s="315" t="s">
        <v>19</v>
      </c>
      <c r="O847" s="315" t="s">
        <v>203</v>
      </c>
      <c r="P847" s="134" t="str">
        <f>IF(AND('331-CT'!$E$7=TH!H847,OR(N847="331",O847="331")),"x","")</f>
        <v/>
      </c>
    </row>
    <row r="848" spans="1:16">
      <c r="A848" s="72">
        <f t="shared" si="33"/>
        <v>2015</v>
      </c>
      <c r="B848" s="72">
        <f t="shared" si="34"/>
        <v>10</v>
      </c>
      <c r="C848" s="311">
        <v>42279</v>
      </c>
      <c r="D848" s="311" t="s">
        <v>78</v>
      </c>
      <c r="E848" s="311">
        <v>42279</v>
      </c>
      <c r="F848" s="312" t="s">
        <v>598</v>
      </c>
      <c r="G848" s="313" t="s">
        <v>600</v>
      </c>
      <c r="H848" s="314" t="s">
        <v>601</v>
      </c>
      <c r="I848" s="314"/>
      <c r="J848" s="314"/>
      <c r="K848" s="314"/>
      <c r="L848" s="314"/>
      <c r="M848" s="74">
        <v>68181818</v>
      </c>
      <c r="N848" s="315" t="s">
        <v>654</v>
      </c>
      <c r="O848" s="315" t="s">
        <v>18</v>
      </c>
      <c r="P848" s="134" t="str">
        <f>IF(AND('331-CT'!$E$7=TH!H848,OR(N848="331",O848="331")),"x","")</f>
        <v/>
      </c>
    </row>
    <row r="849" spans="1:16">
      <c r="A849" s="72">
        <f t="shared" si="33"/>
        <v>2015</v>
      </c>
      <c r="B849" s="72">
        <f t="shared" si="34"/>
        <v>10</v>
      </c>
      <c r="C849" s="311">
        <v>42279</v>
      </c>
      <c r="D849" s="311" t="s">
        <v>78</v>
      </c>
      <c r="E849" s="311">
        <v>42279</v>
      </c>
      <c r="F849" s="312" t="s">
        <v>599</v>
      </c>
      <c r="G849" s="313" t="s">
        <v>600</v>
      </c>
      <c r="H849" s="314" t="s">
        <v>601</v>
      </c>
      <c r="I849" s="314"/>
      <c r="J849" s="314"/>
      <c r="K849" s="314"/>
      <c r="L849" s="314"/>
      <c r="M849" s="74">
        <v>6818182</v>
      </c>
      <c r="N849" s="315" t="s">
        <v>19</v>
      </c>
      <c r="O849" s="315" t="s">
        <v>18</v>
      </c>
      <c r="P849" s="134" t="str">
        <f>IF(AND('331-CT'!$E$7=TH!H849,OR(N849="331",O849="331")),"x","")</f>
        <v/>
      </c>
    </row>
    <row r="850" spans="1:16">
      <c r="A850" s="72">
        <f t="shared" si="33"/>
        <v>2015</v>
      </c>
      <c r="B850" s="72">
        <f t="shared" si="34"/>
        <v>10</v>
      </c>
      <c r="C850" s="311">
        <v>42279</v>
      </c>
      <c r="D850" s="311" t="s">
        <v>17</v>
      </c>
      <c r="E850" s="311">
        <v>42279</v>
      </c>
      <c r="F850" s="312" t="s">
        <v>614</v>
      </c>
      <c r="G850" s="313"/>
      <c r="H850" s="314" t="s">
        <v>190</v>
      </c>
      <c r="I850" s="314"/>
      <c r="J850" s="314"/>
      <c r="K850" s="314"/>
      <c r="L850" s="314"/>
      <c r="M850" s="74">
        <v>150000000</v>
      </c>
      <c r="N850" s="315" t="s">
        <v>18</v>
      </c>
      <c r="O850" s="315" t="s">
        <v>54</v>
      </c>
      <c r="P850" s="134" t="str">
        <f>IF(AND('331-CT'!$E$7=TH!H850,OR(N850="331",O850="331")),"x","")</f>
        <v/>
      </c>
    </row>
    <row r="851" spans="1:16">
      <c r="A851" s="72">
        <f t="shared" si="33"/>
        <v>2015</v>
      </c>
      <c r="B851" s="72">
        <f t="shared" si="34"/>
        <v>10</v>
      </c>
      <c r="C851" s="311">
        <v>42279</v>
      </c>
      <c r="D851" s="311" t="s">
        <v>17</v>
      </c>
      <c r="E851" s="311">
        <v>42279</v>
      </c>
      <c r="F851" s="312" t="s">
        <v>34</v>
      </c>
      <c r="G851" s="313"/>
      <c r="H851" s="314"/>
      <c r="I851" s="314"/>
      <c r="J851" s="314"/>
      <c r="K851" s="314"/>
      <c r="L851" s="314"/>
      <c r="M851" s="74">
        <v>112587</v>
      </c>
      <c r="N851" s="315" t="s">
        <v>241</v>
      </c>
      <c r="O851" s="315" t="s">
        <v>54</v>
      </c>
      <c r="P851" s="134" t="str">
        <f>IF(AND('331-CT'!$E$7=TH!H851,OR(N851="331",O851="331")),"x","")</f>
        <v/>
      </c>
    </row>
    <row r="852" spans="1:16">
      <c r="A852" s="72">
        <f t="shared" si="33"/>
        <v>2015</v>
      </c>
      <c r="B852" s="72">
        <f t="shared" si="34"/>
        <v>10</v>
      </c>
      <c r="C852" s="311">
        <v>42279</v>
      </c>
      <c r="D852" s="311" t="s">
        <v>17</v>
      </c>
      <c r="E852" s="311">
        <v>42279</v>
      </c>
      <c r="F852" s="312" t="s">
        <v>35</v>
      </c>
      <c r="G852" s="313"/>
      <c r="H852" s="314"/>
      <c r="I852" s="314"/>
      <c r="J852" s="314"/>
      <c r="K852" s="314"/>
      <c r="L852" s="314"/>
      <c r="M852" s="74">
        <v>11259</v>
      </c>
      <c r="N852" s="315" t="s">
        <v>19</v>
      </c>
      <c r="O852" s="315" t="s">
        <v>54</v>
      </c>
      <c r="P852" s="134" t="str">
        <f>IF(AND('331-CT'!$E$7=TH!H852,OR(N852="331",O852="331")),"x","")</f>
        <v/>
      </c>
    </row>
    <row r="853" spans="1:16">
      <c r="A853" s="72">
        <f t="shared" si="33"/>
        <v>2015</v>
      </c>
      <c r="B853" s="72">
        <f t="shared" si="34"/>
        <v>10</v>
      </c>
      <c r="C853" s="311">
        <v>42279</v>
      </c>
      <c r="D853" s="311" t="s">
        <v>17</v>
      </c>
      <c r="E853" s="311">
        <v>42279</v>
      </c>
      <c r="F853" s="312" t="s">
        <v>614</v>
      </c>
      <c r="G853" s="313"/>
      <c r="H853" s="314" t="s">
        <v>268</v>
      </c>
      <c r="I853" s="314"/>
      <c r="J853" s="314"/>
      <c r="K853" s="314"/>
      <c r="L853" s="314"/>
      <c r="M853" s="74">
        <v>400000000</v>
      </c>
      <c r="N853" s="315" t="s">
        <v>18</v>
      </c>
      <c r="O853" s="315" t="s">
        <v>54</v>
      </c>
      <c r="P853" s="134" t="str">
        <f>IF(AND('331-CT'!$E$7=TH!H853,OR(N853="331",O853="331")),"x","")</f>
        <v/>
      </c>
    </row>
    <row r="854" spans="1:16">
      <c r="A854" s="72">
        <f t="shared" si="33"/>
        <v>2015</v>
      </c>
      <c r="B854" s="72">
        <f t="shared" si="34"/>
        <v>10</v>
      </c>
      <c r="C854" s="311">
        <v>42279</v>
      </c>
      <c r="D854" s="311" t="s">
        <v>17</v>
      </c>
      <c r="E854" s="311">
        <v>42279</v>
      </c>
      <c r="F854" s="312" t="s">
        <v>34</v>
      </c>
      <c r="G854" s="313"/>
      <c r="H854" s="314"/>
      <c r="I854" s="314"/>
      <c r="J854" s="314"/>
      <c r="K854" s="314"/>
      <c r="L854" s="314"/>
      <c r="M854" s="74">
        <v>320000</v>
      </c>
      <c r="N854" s="315" t="s">
        <v>241</v>
      </c>
      <c r="O854" s="315" t="s">
        <v>54</v>
      </c>
      <c r="P854" s="134" t="str">
        <f>IF(AND('331-CT'!$E$7=TH!H854,OR(N854="331",O854="331")),"x","")</f>
        <v/>
      </c>
    </row>
    <row r="855" spans="1:16">
      <c r="A855" s="72">
        <f t="shared" si="33"/>
        <v>2015</v>
      </c>
      <c r="B855" s="72">
        <f t="shared" si="34"/>
        <v>10</v>
      </c>
      <c r="C855" s="311">
        <v>42279</v>
      </c>
      <c r="D855" s="311" t="s">
        <v>17</v>
      </c>
      <c r="E855" s="311">
        <v>42279</v>
      </c>
      <c r="F855" s="312" t="s">
        <v>35</v>
      </c>
      <c r="G855" s="313"/>
      <c r="H855" s="314"/>
      <c r="I855" s="314"/>
      <c r="J855" s="314"/>
      <c r="K855" s="314"/>
      <c r="L855" s="314"/>
      <c r="M855" s="74">
        <v>32000</v>
      </c>
      <c r="N855" s="315" t="s">
        <v>19</v>
      </c>
      <c r="O855" s="315" t="s">
        <v>54</v>
      </c>
      <c r="P855" s="134" t="str">
        <f>IF(AND('331-CT'!$E$7=TH!H855,OR(N855="331",O855="331")),"x","")</f>
        <v/>
      </c>
    </row>
    <row r="856" spans="1:16">
      <c r="A856" s="72">
        <f t="shared" si="33"/>
        <v>2015</v>
      </c>
      <c r="B856" s="72">
        <f t="shared" si="34"/>
        <v>10</v>
      </c>
      <c r="C856" s="311">
        <v>42280</v>
      </c>
      <c r="D856" s="311" t="s">
        <v>154</v>
      </c>
      <c r="E856" s="311">
        <v>42280</v>
      </c>
      <c r="F856" s="312" t="s">
        <v>603</v>
      </c>
      <c r="G856" s="313" t="s">
        <v>606</v>
      </c>
      <c r="H856" s="314" t="s">
        <v>435</v>
      </c>
      <c r="I856" s="314"/>
      <c r="J856" s="314"/>
      <c r="K856" s="314"/>
      <c r="L856" s="314"/>
      <c r="M856" s="74">
        <v>18000000</v>
      </c>
      <c r="N856" s="315" t="s">
        <v>654</v>
      </c>
      <c r="O856" s="315" t="s">
        <v>203</v>
      </c>
      <c r="P856" s="134" t="str">
        <f>IF(AND('331-CT'!$E$7=TH!H856,OR(N856="331",O856="331")),"x","")</f>
        <v/>
      </c>
    </row>
    <row r="857" spans="1:16">
      <c r="A857" s="72">
        <f t="shared" si="33"/>
        <v>2015</v>
      </c>
      <c r="B857" s="72">
        <f t="shared" si="34"/>
        <v>10</v>
      </c>
      <c r="C857" s="311">
        <v>42280</v>
      </c>
      <c r="D857" s="311" t="s">
        <v>154</v>
      </c>
      <c r="E857" s="311">
        <v>42280</v>
      </c>
      <c r="F857" s="312" t="s">
        <v>609</v>
      </c>
      <c r="G857" s="316" t="s">
        <v>606</v>
      </c>
      <c r="H857" s="314" t="s">
        <v>435</v>
      </c>
      <c r="I857" s="314"/>
      <c r="J857" s="314"/>
      <c r="K857" s="314"/>
      <c r="L857" s="314"/>
      <c r="M857" s="74">
        <v>1800000</v>
      </c>
      <c r="N857" s="315" t="s">
        <v>19</v>
      </c>
      <c r="O857" s="315" t="s">
        <v>203</v>
      </c>
      <c r="P857" s="134" t="str">
        <f>IF(AND('331-CT'!$E$7=TH!H857,OR(N857="331",O857="331")),"x","")</f>
        <v/>
      </c>
    </row>
    <row r="858" spans="1:16">
      <c r="A858" s="72">
        <f t="shared" si="33"/>
        <v>2015</v>
      </c>
      <c r="B858" s="72">
        <f t="shared" si="34"/>
        <v>10</v>
      </c>
      <c r="C858" s="311">
        <v>42281</v>
      </c>
      <c r="D858" s="311" t="s">
        <v>157</v>
      </c>
      <c r="E858" s="311">
        <v>42281</v>
      </c>
      <c r="F858" s="312" t="s">
        <v>603</v>
      </c>
      <c r="G858" s="316" t="s">
        <v>607</v>
      </c>
      <c r="H858" s="314" t="s">
        <v>435</v>
      </c>
      <c r="I858" s="314"/>
      <c r="J858" s="314"/>
      <c r="K858" s="314"/>
      <c r="L858" s="314"/>
      <c r="M858" s="74">
        <v>18000000</v>
      </c>
      <c r="N858" s="315" t="s">
        <v>654</v>
      </c>
      <c r="O858" s="315" t="s">
        <v>203</v>
      </c>
      <c r="P858" s="134" t="str">
        <f>IF(AND('331-CT'!$E$7=TH!H858,OR(N858="331",O858="331")),"x","")</f>
        <v/>
      </c>
    </row>
    <row r="859" spans="1:16">
      <c r="A859" s="72">
        <f t="shared" si="33"/>
        <v>2015</v>
      </c>
      <c r="B859" s="72">
        <f t="shared" si="34"/>
        <v>10</v>
      </c>
      <c r="C859" s="311">
        <v>42281</v>
      </c>
      <c r="D859" s="311" t="s">
        <v>157</v>
      </c>
      <c r="E859" s="311">
        <v>42281</v>
      </c>
      <c r="F859" s="312" t="s">
        <v>609</v>
      </c>
      <c r="G859" s="316" t="s">
        <v>607</v>
      </c>
      <c r="H859" s="314" t="s">
        <v>435</v>
      </c>
      <c r="I859" s="314"/>
      <c r="J859" s="314"/>
      <c r="K859" s="314"/>
      <c r="L859" s="314"/>
      <c r="M859" s="74">
        <v>1800000</v>
      </c>
      <c r="N859" s="315" t="s">
        <v>19</v>
      </c>
      <c r="O859" s="315" t="s">
        <v>203</v>
      </c>
      <c r="P859" s="134" t="str">
        <f>IF(AND('331-CT'!$E$7=TH!H859,OR(N859="331",O859="331")),"x","")</f>
        <v/>
      </c>
    </row>
    <row r="860" spans="1:16">
      <c r="A860" s="72">
        <f t="shared" si="33"/>
        <v>2015</v>
      </c>
      <c r="B860" s="72">
        <f t="shared" si="34"/>
        <v>10</v>
      </c>
      <c r="C860" s="311">
        <v>42281</v>
      </c>
      <c r="D860" s="311" t="s">
        <v>158</v>
      </c>
      <c r="E860" s="311">
        <v>42281</v>
      </c>
      <c r="F860" s="312" t="s">
        <v>615</v>
      </c>
      <c r="G860" s="316" t="s">
        <v>616</v>
      </c>
      <c r="H860" s="314" t="s">
        <v>619</v>
      </c>
      <c r="I860" s="314"/>
      <c r="J860" s="314"/>
      <c r="K860" s="314"/>
      <c r="L860" s="314"/>
      <c r="M860" s="74">
        <v>7848182</v>
      </c>
      <c r="N860" s="315" t="s">
        <v>654</v>
      </c>
      <c r="O860" s="315" t="s">
        <v>203</v>
      </c>
      <c r="P860" s="134" t="str">
        <f>IF(AND('331-CT'!$E$7=TH!H860,OR(N860="331",O860="331")),"x","")</f>
        <v/>
      </c>
    </row>
    <row r="861" spans="1:16">
      <c r="A861" s="72">
        <f t="shared" si="33"/>
        <v>2015</v>
      </c>
      <c r="B861" s="72">
        <f t="shared" si="34"/>
        <v>10</v>
      </c>
      <c r="C861" s="311">
        <v>42281</v>
      </c>
      <c r="D861" s="311" t="s">
        <v>158</v>
      </c>
      <c r="E861" s="311">
        <v>42281</v>
      </c>
      <c r="F861" s="312" t="s">
        <v>618</v>
      </c>
      <c r="G861" s="316" t="s">
        <v>616</v>
      </c>
      <c r="H861" s="314" t="s">
        <v>619</v>
      </c>
      <c r="I861" s="314"/>
      <c r="J861" s="314"/>
      <c r="K861" s="314"/>
      <c r="L861" s="314"/>
      <c r="M861" s="74">
        <v>784818</v>
      </c>
      <c r="N861" s="315" t="s">
        <v>19</v>
      </c>
      <c r="O861" s="315" t="s">
        <v>203</v>
      </c>
      <c r="P861" s="134" t="str">
        <f>IF(AND('331-CT'!$E$7=TH!H861,OR(N861="331",O861="331")),"x","")</f>
        <v/>
      </c>
    </row>
    <row r="862" spans="1:16">
      <c r="A862" s="72">
        <f t="shared" si="33"/>
        <v>2015</v>
      </c>
      <c r="B862" s="72">
        <f t="shared" si="34"/>
        <v>10</v>
      </c>
      <c r="C862" s="311">
        <v>42281</v>
      </c>
      <c r="D862" s="311" t="s">
        <v>158</v>
      </c>
      <c r="E862" s="311">
        <v>42281</v>
      </c>
      <c r="F862" s="312" t="s">
        <v>620</v>
      </c>
      <c r="G862" s="316" t="s">
        <v>617</v>
      </c>
      <c r="H862" s="9" t="s">
        <v>619</v>
      </c>
      <c r="I862" s="9"/>
      <c r="J862" s="9"/>
      <c r="K862" s="9"/>
      <c r="L862" s="9"/>
      <c r="M862" s="74">
        <v>6666364</v>
      </c>
      <c r="N862" s="315" t="s">
        <v>654</v>
      </c>
      <c r="O862" s="315" t="s">
        <v>203</v>
      </c>
      <c r="P862" s="134" t="str">
        <f>IF(AND('331-CT'!$E$7=TH!H862,OR(N862="331",O862="331")),"x","")</f>
        <v/>
      </c>
    </row>
    <row r="863" spans="1:16">
      <c r="A863" s="72">
        <f t="shared" si="33"/>
        <v>2015</v>
      </c>
      <c r="B863" s="72">
        <f t="shared" si="34"/>
        <v>10</v>
      </c>
      <c r="C863" s="311">
        <v>42281</v>
      </c>
      <c r="D863" s="311" t="s">
        <v>158</v>
      </c>
      <c r="E863" s="311">
        <v>42281</v>
      </c>
      <c r="F863" s="312" t="s">
        <v>621</v>
      </c>
      <c r="G863" s="316" t="s">
        <v>617</v>
      </c>
      <c r="H863" s="314" t="s">
        <v>619</v>
      </c>
      <c r="I863" s="314"/>
      <c r="J863" s="314"/>
      <c r="K863" s="314"/>
      <c r="L863" s="314"/>
      <c r="M863" s="74">
        <v>666636</v>
      </c>
      <c r="N863" s="315" t="s">
        <v>19</v>
      </c>
      <c r="O863" s="315" t="s">
        <v>203</v>
      </c>
      <c r="P863" s="134" t="str">
        <f>IF(AND('331-CT'!$E$7=TH!H863,OR(N863="331",O863="331")),"x","")</f>
        <v/>
      </c>
    </row>
    <row r="864" spans="1:16">
      <c r="A864" s="72">
        <f t="shared" si="33"/>
        <v>2015</v>
      </c>
      <c r="B864" s="72">
        <f t="shared" si="34"/>
        <v>10</v>
      </c>
      <c r="C864" s="311">
        <v>42282</v>
      </c>
      <c r="D864" s="311" t="s">
        <v>163</v>
      </c>
      <c r="E864" s="311">
        <v>42282</v>
      </c>
      <c r="F864" s="312" t="s">
        <v>603</v>
      </c>
      <c r="G864" s="316" t="s">
        <v>608</v>
      </c>
      <c r="H864" s="314" t="s">
        <v>435</v>
      </c>
      <c r="I864" s="314"/>
      <c r="J864" s="314"/>
      <c r="K864" s="314"/>
      <c r="L864" s="314"/>
      <c r="M864" s="74">
        <v>18000000</v>
      </c>
      <c r="N864" s="315" t="s">
        <v>654</v>
      </c>
      <c r="O864" s="315" t="s">
        <v>203</v>
      </c>
      <c r="P864" s="134" t="str">
        <f>IF(AND('331-CT'!$E$7=TH!H864,OR(N864="331",O864="331")),"x","")</f>
        <v/>
      </c>
    </row>
    <row r="865" spans="1:16">
      <c r="A865" s="72">
        <f t="shared" si="33"/>
        <v>2015</v>
      </c>
      <c r="B865" s="72">
        <f t="shared" si="34"/>
        <v>10</v>
      </c>
      <c r="C865" s="73">
        <v>42282</v>
      </c>
      <c r="D865" s="311" t="s">
        <v>163</v>
      </c>
      <c r="E865" s="73">
        <v>42282</v>
      </c>
      <c r="F865" s="76" t="s">
        <v>609</v>
      </c>
      <c r="G865" s="270" t="s">
        <v>608</v>
      </c>
      <c r="H865" s="122" t="s">
        <v>435</v>
      </c>
      <c r="I865" s="122"/>
      <c r="J865" s="122"/>
      <c r="K865" s="122"/>
      <c r="L865" s="122"/>
      <c r="M865" s="74">
        <v>1800000</v>
      </c>
      <c r="N865" s="75" t="s">
        <v>19</v>
      </c>
      <c r="O865" s="75" t="s">
        <v>203</v>
      </c>
      <c r="P865" s="134" t="str">
        <f>IF(AND('331-CT'!$E$7=TH!H865,OR(N865="331",O865="331")),"x","")</f>
        <v/>
      </c>
    </row>
    <row r="866" spans="1:16">
      <c r="A866" s="72">
        <f t="shared" si="33"/>
        <v>2015</v>
      </c>
      <c r="B866" s="72">
        <f t="shared" si="34"/>
        <v>10</v>
      </c>
      <c r="C866" s="73">
        <v>42282</v>
      </c>
      <c r="D866" s="311" t="s">
        <v>164</v>
      </c>
      <c r="E866" s="73">
        <v>42282</v>
      </c>
      <c r="F866" s="76" t="s">
        <v>658</v>
      </c>
      <c r="G866" s="270" t="s">
        <v>660</v>
      </c>
      <c r="H866" s="122" t="s">
        <v>356</v>
      </c>
      <c r="I866" s="122"/>
      <c r="J866" s="122"/>
      <c r="K866" s="122"/>
      <c r="L866" s="122"/>
      <c r="M866" s="74">
        <v>5181818</v>
      </c>
      <c r="N866" s="75" t="s">
        <v>654</v>
      </c>
      <c r="O866" s="75" t="s">
        <v>203</v>
      </c>
      <c r="P866" s="134" t="str">
        <f>IF(AND('331-CT'!$E$7=TH!H866,OR(N866="331",O866="331")),"x","")</f>
        <v/>
      </c>
    </row>
    <row r="867" spans="1:16">
      <c r="A867" s="72">
        <f t="shared" si="33"/>
        <v>2015</v>
      </c>
      <c r="B867" s="72">
        <f t="shared" si="34"/>
        <v>10</v>
      </c>
      <c r="C867" s="311">
        <v>42282</v>
      </c>
      <c r="D867" s="311" t="s">
        <v>164</v>
      </c>
      <c r="E867" s="311">
        <v>42282</v>
      </c>
      <c r="F867" s="312" t="s">
        <v>659</v>
      </c>
      <c r="G867" s="316" t="s">
        <v>660</v>
      </c>
      <c r="H867" s="314" t="s">
        <v>356</v>
      </c>
      <c r="I867" s="314"/>
      <c r="J867" s="314"/>
      <c r="K867" s="314"/>
      <c r="L867" s="314"/>
      <c r="M867" s="74">
        <v>518182</v>
      </c>
      <c r="N867" s="315" t="s">
        <v>19</v>
      </c>
      <c r="O867" s="315" t="s">
        <v>203</v>
      </c>
      <c r="P867" s="134" t="str">
        <f>IF(AND('331-CT'!$E$7=TH!H867,OR(N867="331",O867="331")),"x","")</f>
        <v/>
      </c>
    </row>
    <row r="868" spans="1:16">
      <c r="A868" s="72">
        <f t="shared" si="33"/>
        <v>2015</v>
      </c>
      <c r="B868" s="72">
        <f t="shared" si="34"/>
        <v>10</v>
      </c>
      <c r="C868" s="311">
        <v>42283</v>
      </c>
      <c r="D868" s="311" t="s">
        <v>78</v>
      </c>
      <c r="E868" s="311">
        <v>42283</v>
      </c>
      <c r="F868" s="312" t="s">
        <v>629</v>
      </c>
      <c r="G868" s="313" t="s">
        <v>630</v>
      </c>
      <c r="H868" s="314" t="s">
        <v>631</v>
      </c>
      <c r="I868" s="314"/>
      <c r="J868" s="314"/>
      <c r="K868" s="314"/>
      <c r="L868" s="314"/>
      <c r="M868" s="74">
        <v>20382000</v>
      </c>
      <c r="N868" s="315" t="s">
        <v>654</v>
      </c>
      <c r="O868" s="315" t="s">
        <v>18</v>
      </c>
      <c r="P868" s="134" t="str">
        <f>IF(AND('331-CT'!$E$7=TH!H868,OR(N868="331",O868="331")),"x","")</f>
        <v/>
      </c>
    </row>
    <row r="869" spans="1:16">
      <c r="A869" s="72">
        <f t="shared" si="33"/>
        <v>2015</v>
      </c>
      <c r="B869" s="72">
        <f t="shared" si="34"/>
        <v>10</v>
      </c>
      <c r="C869" s="311">
        <v>42283</v>
      </c>
      <c r="D869" s="311" t="s">
        <v>165</v>
      </c>
      <c r="E869" s="311">
        <v>42283</v>
      </c>
      <c r="F869" s="312" t="s">
        <v>724</v>
      </c>
      <c r="G869" s="313" t="s">
        <v>728</v>
      </c>
      <c r="H869" s="314" t="s">
        <v>726</v>
      </c>
      <c r="I869" s="314"/>
      <c r="J869" s="314"/>
      <c r="K869" s="314"/>
      <c r="L869" s="314"/>
      <c r="M869" s="74">
        <v>15000000</v>
      </c>
      <c r="N869" s="315" t="s">
        <v>654</v>
      </c>
      <c r="O869" s="315" t="s">
        <v>203</v>
      </c>
      <c r="P869" s="134" t="str">
        <f>IF(AND('331-CT'!$E$7=TH!H869,OR(N869="331",O869="331")),"x","")</f>
        <v/>
      </c>
    </row>
    <row r="870" spans="1:16">
      <c r="A870" s="72">
        <f t="shared" si="33"/>
        <v>2015</v>
      </c>
      <c r="B870" s="72">
        <f t="shared" si="34"/>
        <v>10</v>
      </c>
      <c r="C870" s="311">
        <v>42283</v>
      </c>
      <c r="D870" s="311" t="s">
        <v>165</v>
      </c>
      <c r="E870" s="311">
        <v>42283</v>
      </c>
      <c r="F870" s="312" t="s">
        <v>727</v>
      </c>
      <c r="G870" s="313" t="s">
        <v>728</v>
      </c>
      <c r="H870" s="314" t="s">
        <v>726</v>
      </c>
      <c r="I870" s="314"/>
      <c r="J870" s="314"/>
      <c r="K870" s="314"/>
      <c r="L870" s="314"/>
      <c r="M870" s="74">
        <v>1500000</v>
      </c>
      <c r="N870" s="315" t="s">
        <v>19</v>
      </c>
      <c r="O870" s="315" t="s">
        <v>203</v>
      </c>
      <c r="P870" s="134" t="str">
        <f>IF(AND('331-CT'!$E$7=TH!H870,OR(N870="331",O870="331")),"x","")</f>
        <v/>
      </c>
    </row>
    <row r="871" spans="1:16">
      <c r="A871" s="72">
        <f t="shared" si="33"/>
        <v>2015</v>
      </c>
      <c r="B871" s="72">
        <f t="shared" si="34"/>
        <v>10</v>
      </c>
      <c r="C871" s="311">
        <v>42284</v>
      </c>
      <c r="D871" s="311" t="s">
        <v>166</v>
      </c>
      <c r="E871" s="311">
        <v>42284</v>
      </c>
      <c r="F871" s="312" t="s">
        <v>622</v>
      </c>
      <c r="G871" s="313" t="s">
        <v>623</v>
      </c>
      <c r="H871" s="314" t="s">
        <v>624</v>
      </c>
      <c r="I871" s="314"/>
      <c r="J871" s="314"/>
      <c r="K871" s="314"/>
      <c r="L871" s="314"/>
      <c r="M871" s="74">
        <v>400000</v>
      </c>
      <c r="N871" s="315" t="s">
        <v>654</v>
      </c>
      <c r="O871" s="315" t="s">
        <v>203</v>
      </c>
      <c r="P871" s="134" t="str">
        <f>IF(AND('331-CT'!$E$7=TH!H871,OR(N871="331",O871="331")),"x","")</f>
        <v/>
      </c>
    </row>
    <row r="872" spans="1:16">
      <c r="A872" s="72">
        <f t="shared" si="33"/>
        <v>2015</v>
      </c>
      <c r="B872" s="72">
        <f t="shared" si="34"/>
        <v>10</v>
      </c>
      <c r="C872" s="311">
        <v>42285</v>
      </c>
      <c r="D872" s="311" t="s">
        <v>167</v>
      </c>
      <c r="E872" s="311">
        <v>42285</v>
      </c>
      <c r="F872" s="312" t="s">
        <v>625</v>
      </c>
      <c r="G872" s="316" t="s">
        <v>627</v>
      </c>
      <c r="H872" s="9" t="s">
        <v>628</v>
      </c>
      <c r="I872" s="9"/>
      <c r="J872" s="9"/>
      <c r="K872" s="9"/>
      <c r="L872" s="9"/>
      <c r="M872" s="74">
        <v>2650000</v>
      </c>
      <c r="N872" s="315" t="s">
        <v>654</v>
      </c>
      <c r="O872" s="315" t="s">
        <v>203</v>
      </c>
      <c r="P872" s="134" t="str">
        <f>IF(AND('331-CT'!$E$7=TH!H872,OR(N872="331",O872="331")),"x","")</f>
        <v/>
      </c>
    </row>
    <row r="873" spans="1:16">
      <c r="A873" s="72">
        <f t="shared" si="33"/>
        <v>2015</v>
      </c>
      <c r="B873" s="72">
        <f t="shared" si="34"/>
        <v>10</v>
      </c>
      <c r="C873" s="311">
        <v>42285</v>
      </c>
      <c r="D873" s="311" t="s">
        <v>167</v>
      </c>
      <c r="E873" s="311">
        <v>42285</v>
      </c>
      <c r="F873" s="312" t="s">
        <v>626</v>
      </c>
      <c r="G873" s="316" t="s">
        <v>627</v>
      </c>
      <c r="H873" s="314" t="s">
        <v>628</v>
      </c>
      <c r="I873" s="314"/>
      <c r="J873" s="314"/>
      <c r="K873" s="314"/>
      <c r="L873" s="314"/>
      <c r="M873" s="74">
        <v>265000</v>
      </c>
      <c r="N873" s="315" t="s">
        <v>19</v>
      </c>
      <c r="O873" s="315" t="s">
        <v>203</v>
      </c>
      <c r="P873" s="134" t="str">
        <f>IF(AND('331-CT'!$E$7=TH!H873,OR(N873="331",O873="331")),"x","")</f>
        <v/>
      </c>
    </row>
    <row r="874" spans="1:16">
      <c r="A874" s="72">
        <f t="shared" si="33"/>
        <v>2015</v>
      </c>
      <c r="B874" s="72">
        <f t="shared" si="34"/>
        <v>10</v>
      </c>
      <c r="C874" s="311">
        <v>42285</v>
      </c>
      <c r="D874" s="311" t="s">
        <v>168</v>
      </c>
      <c r="E874" s="311">
        <v>42285</v>
      </c>
      <c r="F874" s="312" t="s">
        <v>636</v>
      </c>
      <c r="G874" s="316" t="s">
        <v>638</v>
      </c>
      <c r="H874" s="314" t="s">
        <v>639</v>
      </c>
      <c r="I874" s="314"/>
      <c r="J874" s="314"/>
      <c r="K874" s="314"/>
      <c r="L874" s="314"/>
      <c r="M874" s="74">
        <v>1338182</v>
      </c>
      <c r="N874" s="315" t="s">
        <v>654</v>
      </c>
      <c r="O874" s="315" t="s">
        <v>203</v>
      </c>
      <c r="P874" s="134" t="str">
        <f>IF(AND('331-CT'!$E$7=TH!H874,OR(N874="331",O874="331")),"x","")</f>
        <v/>
      </c>
    </row>
    <row r="875" spans="1:16">
      <c r="A875" s="72">
        <f t="shared" si="33"/>
        <v>2015</v>
      </c>
      <c r="B875" s="72">
        <f t="shared" si="34"/>
        <v>10</v>
      </c>
      <c r="C875" s="311">
        <v>42285</v>
      </c>
      <c r="D875" s="311" t="s">
        <v>168</v>
      </c>
      <c r="E875" s="311">
        <v>42285</v>
      </c>
      <c r="F875" s="312" t="s">
        <v>637</v>
      </c>
      <c r="G875" s="316" t="s">
        <v>638</v>
      </c>
      <c r="H875" s="9" t="s">
        <v>639</v>
      </c>
      <c r="I875" s="9"/>
      <c r="J875" s="9"/>
      <c r="K875" s="9"/>
      <c r="L875" s="9"/>
      <c r="M875" s="74">
        <v>133818</v>
      </c>
      <c r="N875" s="315" t="s">
        <v>19</v>
      </c>
      <c r="O875" s="315" t="s">
        <v>203</v>
      </c>
      <c r="P875" s="134" t="str">
        <f>IF(AND('331-CT'!$E$7=TH!H875,OR(N875="331",O875="331")),"x","")</f>
        <v/>
      </c>
    </row>
    <row r="876" spans="1:16">
      <c r="A876" s="72">
        <f t="shared" si="33"/>
        <v>2015</v>
      </c>
      <c r="B876" s="72">
        <f t="shared" si="34"/>
        <v>10</v>
      </c>
      <c r="C876" s="311">
        <v>42285</v>
      </c>
      <c r="D876" s="311" t="s">
        <v>17</v>
      </c>
      <c r="E876" s="311">
        <v>42285</v>
      </c>
      <c r="F876" s="312" t="s">
        <v>300</v>
      </c>
      <c r="G876" s="316"/>
      <c r="H876" s="314" t="s">
        <v>406</v>
      </c>
      <c r="I876" s="314"/>
      <c r="J876" s="314"/>
      <c r="K876" s="314"/>
      <c r="L876" s="314"/>
      <c r="M876" s="74">
        <v>30000000</v>
      </c>
      <c r="N876" s="315" t="s">
        <v>18</v>
      </c>
      <c r="O876" s="315" t="s">
        <v>54</v>
      </c>
      <c r="P876" s="134" t="str">
        <f>IF(AND('331-CT'!$E$7=TH!H876,OR(N876="331",O876="331")),"x","")</f>
        <v/>
      </c>
    </row>
    <row r="877" spans="1:16">
      <c r="A877" s="72">
        <f t="shared" si="33"/>
        <v>2015</v>
      </c>
      <c r="B877" s="72">
        <f t="shared" si="34"/>
        <v>10</v>
      </c>
      <c r="C877" s="311">
        <v>42285</v>
      </c>
      <c r="D877" s="311" t="s">
        <v>17</v>
      </c>
      <c r="E877" s="311">
        <v>42285</v>
      </c>
      <c r="F877" s="312" t="s">
        <v>34</v>
      </c>
      <c r="G877" s="316"/>
      <c r="H877" s="314"/>
      <c r="I877" s="314"/>
      <c r="J877" s="314"/>
      <c r="K877" s="314"/>
      <c r="L877" s="314"/>
      <c r="M877" s="74">
        <v>25000</v>
      </c>
      <c r="N877" s="315" t="s">
        <v>241</v>
      </c>
      <c r="O877" s="315" t="s">
        <v>54</v>
      </c>
      <c r="P877" s="134" t="str">
        <f>IF(AND('331-CT'!$E$7=TH!H877,OR(N877="331",O877="331")),"x","")</f>
        <v/>
      </c>
    </row>
    <row r="878" spans="1:16">
      <c r="A878" s="72">
        <f t="shared" si="33"/>
        <v>2015</v>
      </c>
      <c r="B878" s="72">
        <f t="shared" si="34"/>
        <v>10</v>
      </c>
      <c r="C878" s="311">
        <v>42285</v>
      </c>
      <c r="D878" s="311" t="s">
        <v>17</v>
      </c>
      <c r="E878" s="311">
        <v>42285</v>
      </c>
      <c r="F878" s="312" t="s">
        <v>35</v>
      </c>
      <c r="G878" s="313"/>
      <c r="H878" s="314"/>
      <c r="I878" s="314"/>
      <c r="J878" s="314"/>
      <c r="K878" s="314"/>
      <c r="L878" s="314"/>
      <c r="M878" s="74">
        <v>2500</v>
      </c>
      <c r="N878" s="315" t="s">
        <v>19</v>
      </c>
      <c r="O878" s="315" t="s">
        <v>54</v>
      </c>
      <c r="P878" s="134" t="str">
        <f>IF(AND('331-CT'!$E$7=TH!H878,OR(N878="331",O878="331")),"x","")</f>
        <v/>
      </c>
    </row>
    <row r="879" spans="1:16">
      <c r="A879" s="72">
        <f t="shared" si="33"/>
        <v>2015</v>
      </c>
      <c r="B879" s="72">
        <f t="shared" si="34"/>
        <v>10</v>
      </c>
      <c r="C879" s="311">
        <v>42286</v>
      </c>
      <c r="D879" s="311" t="s">
        <v>169</v>
      </c>
      <c r="E879" s="311">
        <v>42286</v>
      </c>
      <c r="F879" s="312" t="s">
        <v>662</v>
      </c>
      <c r="G879" s="313" t="s">
        <v>661</v>
      </c>
      <c r="H879" s="314" t="s">
        <v>584</v>
      </c>
      <c r="I879" s="314"/>
      <c r="J879" s="314"/>
      <c r="K879" s="314"/>
      <c r="L879" s="314"/>
      <c r="M879" s="74">
        <v>1882000</v>
      </c>
      <c r="N879" s="315" t="s">
        <v>654</v>
      </c>
      <c r="O879" s="315" t="s">
        <v>203</v>
      </c>
      <c r="P879" s="134" t="str">
        <f>IF(AND('331-CT'!$E$7=TH!H879,OR(N879="331",O879="331")),"x","")</f>
        <v/>
      </c>
    </row>
    <row r="880" spans="1:16">
      <c r="A880" s="72">
        <f t="shared" si="33"/>
        <v>2015</v>
      </c>
      <c r="B880" s="72">
        <f t="shared" si="34"/>
        <v>10</v>
      </c>
      <c r="C880" s="311">
        <v>42286</v>
      </c>
      <c r="D880" s="311" t="s">
        <v>170</v>
      </c>
      <c r="E880" s="311">
        <v>42286</v>
      </c>
      <c r="F880" s="312" t="s">
        <v>724</v>
      </c>
      <c r="G880" s="313" t="s">
        <v>729</v>
      </c>
      <c r="H880" s="314" t="s">
        <v>726</v>
      </c>
      <c r="I880" s="314"/>
      <c r="J880" s="314"/>
      <c r="K880" s="314"/>
      <c r="L880" s="314"/>
      <c r="M880" s="74">
        <v>15000000</v>
      </c>
      <c r="N880" s="315" t="s">
        <v>654</v>
      </c>
      <c r="O880" s="315" t="s">
        <v>203</v>
      </c>
      <c r="P880" s="134" t="str">
        <f>IF(AND('331-CT'!$E$7=TH!H880,OR(N880="331",O880="331")),"x","")</f>
        <v/>
      </c>
    </row>
    <row r="881" spans="1:16">
      <c r="A881" s="72">
        <f t="shared" si="33"/>
        <v>2015</v>
      </c>
      <c r="B881" s="72">
        <f t="shared" si="34"/>
        <v>10</v>
      </c>
      <c r="C881" s="311">
        <v>42286</v>
      </c>
      <c r="D881" s="311" t="s">
        <v>170</v>
      </c>
      <c r="E881" s="311">
        <v>42286</v>
      </c>
      <c r="F881" s="312" t="s">
        <v>727</v>
      </c>
      <c r="G881" s="313" t="s">
        <v>729</v>
      </c>
      <c r="H881" s="314" t="s">
        <v>726</v>
      </c>
      <c r="I881" s="314"/>
      <c r="J881" s="314"/>
      <c r="K881" s="314"/>
      <c r="L881" s="314"/>
      <c r="M881" s="74">
        <v>1500000</v>
      </c>
      <c r="N881" s="315" t="s">
        <v>19</v>
      </c>
      <c r="O881" s="315" t="s">
        <v>203</v>
      </c>
      <c r="P881" s="134" t="str">
        <f>IF(AND('331-CT'!$E$7=TH!H881,OR(N881="331",O881="331")),"x","")</f>
        <v/>
      </c>
    </row>
    <row r="882" spans="1:16">
      <c r="A882" s="72">
        <f t="shared" si="33"/>
        <v>2015</v>
      </c>
      <c r="B882" s="72">
        <f t="shared" si="34"/>
        <v>10</v>
      </c>
      <c r="C882" s="311">
        <v>42287</v>
      </c>
      <c r="D882" s="311" t="s">
        <v>171</v>
      </c>
      <c r="E882" s="311">
        <v>42287</v>
      </c>
      <c r="F882" s="312" t="s">
        <v>632</v>
      </c>
      <c r="G882" s="313" t="s">
        <v>633</v>
      </c>
      <c r="H882" s="314" t="s">
        <v>634</v>
      </c>
      <c r="I882" s="314"/>
      <c r="J882" s="314"/>
      <c r="K882" s="314"/>
      <c r="L882" s="314"/>
      <c r="M882" s="74">
        <v>19200000</v>
      </c>
      <c r="N882" s="315" t="s">
        <v>654</v>
      </c>
      <c r="O882" s="315" t="s">
        <v>203</v>
      </c>
      <c r="P882" s="134" t="str">
        <f>IF(AND('331-CT'!$E$7=TH!H882,OR(N882="331",O882="331")),"x","")</f>
        <v/>
      </c>
    </row>
    <row r="883" spans="1:16">
      <c r="A883" s="72">
        <f t="shared" si="33"/>
        <v>2015</v>
      </c>
      <c r="B883" s="72">
        <f t="shared" si="34"/>
        <v>10</v>
      </c>
      <c r="C883" s="311">
        <v>42287</v>
      </c>
      <c r="D883" s="311" t="s">
        <v>494</v>
      </c>
      <c r="E883" s="311">
        <v>42287</v>
      </c>
      <c r="F883" s="312" t="s">
        <v>1123</v>
      </c>
      <c r="G883" s="313" t="s">
        <v>1124</v>
      </c>
      <c r="H883" s="314" t="s">
        <v>1125</v>
      </c>
      <c r="I883" s="314"/>
      <c r="J883" s="314"/>
      <c r="K883" s="314"/>
      <c r="L883" s="314"/>
      <c r="M883" s="74">
        <v>17478660</v>
      </c>
      <c r="N883" s="315" t="s">
        <v>654</v>
      </c>
      <c r="O883" s="315" t="s">
        <v>203</v>
      </c>
      <c r="P883" s="134" t="str">
        <f>IF(AND('331-CT'!$E$7=TH!H883,OR(N883="331",O883="331")),"x","")</f>
        <v/>
      </c>
    </row>
    <row r="884" spans="1:16">
      <c r="A884" s="72">
        <f t="shared" si="33"/>
        <v>2015</v>
      </c>
      <c r="B884" s="72">
        <f t="shared" si="34"/>
        <v>10</v>
      </c>
      <c r="C884" s="311">
        <v>42287</v>
      </c>
      <c r="D884" s="311" t="s">
        <v>494</v>
      </c>
      <c r="E884" s="311">
        <v>42287</v>
      </c>
      <c r="F884" s="312" t="s">
        <v>1126</v>
      </c>
      <c r="G884" s="313" t="s">
        <v>1124</v>
      </c>
      <c r="H884" s="314" t="s">
        <v>1125</v>
      </c>
      <c r="I884" s="314"/>
      <c r="J884" s="314"/>
      <c r="K884" s="314"/>
      <c r="L884" s="314"/>
      <c r="M884" s="74">
        <v>1747866</v>
      </c>
      <c r="N884" s="315" t="s">
        <v>19</v>
      </c>
      <c r="O884" s="315" t="s">
        <v>203</v>
      </c>
      <c r="P884" s="134" t="str">
        <f>IF(AND('331-CT'!$E$7=TH!H884,OR(N884="331",O884="331")),"x","")</f>
        <v/>
      </c>
    </row>
    <row r="885" spans="1:16">
      <c r="A885" s="72">
        <f t="shared" si="33"/>
        <v>2015</v>
      </c>
      <c r="B885" s="72">
        <f t="shared" si="34"/>
        <v>10</v>
      </c>
      <c r="C885" s="311">
        <v>42288</v>
      </c>
      <c r="D885" s="311" t="s">
        <v>495</v>
      </c>
      <c r="E885" s="311">
        <v>42288</v>
      </c>
      <c r="F885" s="312" t="s">
        <v>632</v>
      </c>
      <c r="G885" s="313" t="s">
        <v>635</v>
      </c>
      <c r="H885" s="314" t="s">
        <v>634</v>
      </c>
      <c r="I885" s="314"/>
      <c r="J885" s="314"/>
      <c r="K885" s="314"/>
      <c r="L885" s="314"/>
      <c r="M885" s="74">
        <v>18000000</v>
      </c>
      <c r="N885" s="315" t="s">
        <v>654</v>
      </c>
      <c r="O885" s="315" t="s">
        <v>203</v>
      </c>
      <c r="P885" s="134" t="str">
        <f>IF(AND('331-CT'!$E$7=TH!H885,OR(N885="331",O885="331")),"x","")</f>
        <v/>
      </c>
    </row>
    <row r="886" spans="1:16">
      <c r="A886" s="72">
        <f t="shared" si="33"/>
        <v>2015</v>
      </c>
      <c r="B886" s="72">
        <f t="shared" si="34"/>
        <v>10</v>
      </c>
      <c r="C886" s="311">
        <v>42288</v>
      </c>
      <c r="D886" s="311" t="s">
        <v>78</v>
      </c>
      <c r="E886" s="311">
        <v>42288</v>
      </c>
      <c r="F886" s="312" t="s">
        <v>714</v>
      </c>
      <c r="G886" s="313" t="s">
        <v>715</v>
      </c>
      <c r="H886" s="314" t="s">
        <v>648</v>
      </c>
      <c r="I886" s="314"/>
      <c r="J886" s="314"/>
      <c r="K886" s="314"/>
      <c r="L886" s="314"/>
      <c r="M886" s="74">
        <v>14553800</v>
      </c>
      <c r="N886" s="315" t="s">
        <v>241</v>
      </c>
      <c r="O886" s="315" t="s">
        <v>18</v>
      </c>
      <c r="P886" s="134" t="str">
        <f>IF(AND('331-CT'!$E$7=TH!H886,OR(N886="331",O886="331")),"x","")</f>
        <v/>
      </c>
    </row>
    <row r="887" spans="1:16">
      <c r="A887" s="72">
        <f t="shared" si="33"/>
        <v>2015</v>
      </c>
      <c r="B887" s="72">
        <f t="shared" si="34"/>
        <v>10</v>
      </c>
      <c r="C887" s="311">
        <v>42288</v>
      </c>
      <c r="D887" s="311" t="s">
        <v>78</v>
      </c>
      <c r="E887" s="311">
        <v>42288</v>
      </c>
      <c r="F887" s="312" t="s">
        <v>716</v>
      </c>
      <c r="G887" s="313" t="s">
        <v>715</v>
      </c>
      <c r="H887" s="314" t="s">
        <v>648</v>
      </c>
      <c r="I887" s="314"/>
      <c r="J887" s="314"/>
      <c r="K887" s="314"/>
      <c r="L887" s="314"/>
      <c r="M887" s="74">
        <v>1455380</v>
      </c>
      <c r="N887" s="315" t="s">
        <v>19</v>
      </c>
      <c r="O887" s="315" t="s">
        <v>18</v>
      </c>
      <c r="P887" s="134" t="str">
        <f>IF(AND('331-CT'!$E$7=TH!H887,OR(N887="331",O887="331")),"x","")</f>
        <v/>
      </c>
    </row>
    <row r="888" spans="1:16">
      <c r="A888" s="72">
        <f t="shared" si="33"/>
        <v>2015</v>
      </c>
      <c r="B888" s="72">
        <f t="shared" si="34"/>
        <v>10</v>
      </c>
      <c r="C888" s="311">
        <v>42288</v>
      </c>
      <c r="D888" s="311" t="s">
        <v>78</v>
      </c>
      <c r="E888" s="311">
        <v>42288</v>
      </c>
      <c r="F888" s="312" t="s">
        <v>717</v>
      </c>
      <c r="G888" s="313" t="s">
        <v>718</v>
      </c>
      <c r="H888" s="314" t="s">
        <v>648</v>
      </c>
      <c r="I888" s="314"/>
      <c r="J888" s="314"/>
      <c r="K888" s="314"/>
      <c r="L888" s="314"/>
      <c r="M888" s="74">
        <v>855763</v>
      </c>
      <c r="N888" s="315" t="s">
        <v>241</v>
      </c>
      <c r="O888" s="315" t="s">
        <v>18</v>
      </c>
      <c r="P888" s="134" t="str">
        <f>IF(AND('331-CT'!$E$7=TH!H888,OR(N888="331",O888="331")),"x","")</f>
        <v/>
      </c>
    </row>
    <row r="889" spans="1:16">
      <c r="A889" s="72">
        <f t="shared" si="33"/>
        <v>2015</v>
      </c>
      <c r="B889" s="72">
        <f t="shared" si="34"/>
        <v>10</v>
      </c>
      <c r="C889" s="311">
        <v>42288</v>
      </c>
      <c r="D889" s="311" t="s">
        <v>78</v>
      </c>
      <c r="E889" s="311">
        <v>42288</v>
      </c>
      <c r="F889" s="312" t="s">
        <v>719</v>
      </c>
      <c r="G889" s="313" t="s">
        <v>718</v>
      </c>
      <c r="H889" s="314" t="s">
        <v>648</v>
      </c>
      <c r="I889" s="314"/>
      <c r="J889" s="314"/>
      <c r="K889" s="314"/>
      <c r="L889" s="314"/>
      <c r="M889" s="74">
        <v>85576</v>
      </c>
      <c r="N889" s="315" t="s">
        <v>19</v>
      </c>
      <c r="O889" s="315" t="s">
        <v>18</v>
      </c>
      <c r="P889" s="134" t="str">
        <f>IF(AND('331-CT'!$E$7=TH!H889,OR(N889="331",O889="331")),"x","")</f>
        <v/>
      </c>
    </row>
    <row r="890" spans="1:16">
      <c r="A890" s="72">
        <f t="shared" si="33"/>
        <v>2015</v>
      </c>
      <c r="B890" s="72">
        <f t="shared" si="34"/>
        <v>10</v>
      </c>
      <c r="C890" s="311">
        <v>42289</v>
      </c>
      <c r="D890" s="311" t="s">
        <v>496</v>
      </c>
      <c r="E890" s="311">
        <v>42289</v>
      </c>
      <c r="F890" s="312" t="s">
        <v>640</v>
      </c>
      <c r="G890" s="313" t="s">
        <v>642</v>
      </c>
      <c r="H890" s="314" t="s">
        <v>643</v>
      </c>
      <c r="I890" s="314"/>
      <c r="J890" s="314"/>
      <c r="K890" s="314"/>
      <c r="L890" s="314"/>
      <c r="M890" s="74">
        <v>10000000</v>
      </c>
      <c r="N890" s="315" t="s">
        <v>654</v>
      </c>
      <c r="O890" s="315" t="s">
        <v>203</v>
      </c>
      <c r="P890" s="134" t="str">
        <f>IF(AND('331-CT'!$E$7=TH!H890,OR(N890="331",O890="331")),"x","")</f>
        <v/>
      </c>
    </row>
    <row r="891" spans="1:16">
      <c r="A891" s="72">
        <f t="shared" si="33"/>
        <v>2015</v>
      </c>
      <c r="B891" s="72">
        <f t="shared" si="34"/>
        <v>10</v>
      </c>
      <c r="C891" s="73">
        <v>42289</v>
      </c>
      <c r="D891" s="311" t="s">
        <v>496</v>
      </c>
      <c r="E891" s="73">
        <v>42289</v>
      </c>
      <c r="F891" s="76" t="s">
        <v>641</v>
      </c>
      <c r="G891" s="270" t="s">
        <v>642</v>
      </c>
      <c r="H891" s="122" t="s">
        <v>643</v>
      </c>
      <c r="I891" s="122"/>
      <c r="J891" s="122"/>
      <c r="K891" s="122"/>
      <c r="L891" s="122"/>
      <c r="M891" s="74">
        <v>1000000</v>
      </c>
      <c r="N891" s="75" t="s">
        <v>19</v>
      </c>
      <c r="O891" s="75" t="s">
        <v>203</v>
      </c>
      <c r="P891" s="134" t="str">
        <f>IF(AND('331-CT'!$E$7=TH!H891,OR(N891="331",O891="331")),"x","")</f>
        <v/>
      </c>
    </row>
    <row r="892" spans="1:16">
      <c r="A892" s="72">
        <f t="shared" si="33"/>
        <v>2015</v>
      </c>
      <c r="B892" s="72">
        <f t="shared" si="34"/>
        <v>10</v>
      </c>
      <c r="C892" s="73">
        <v>42289</v>
      </c>
      <c r="D892" s="311" t="s">
        <v>497</v>
      </c>
      <c r="E892" s="73">
        <v>42289</v>
      </c>
      <c r="F892" s="76" t="s">
        <v>1127</v>
      </c>
      <c r="G892" s="270" t="s">
        <v>1128</v>
      </c>
      <c r="H892" s="122" t="s">
        <v>1125</v>
      </c>
      <c r="I892" s="122"/>
      <c r="J892" s="122"/>
      <c r="K892" s="122"/>
      <c r="L892" s="122"/>
      <c r="M892" s="74">
        <v>15000000</v>
      </c>
      <c r="N892" s="75" t="s">
        <v>654</v>
      </c>
      <c r="O892" s="75" t="s">
        <v>203</v>
      </c>
      <c r="P892" s="134" t="str">
        <f>IF(AND('331-CT'!$E$7=TH!H892,OR(N892="331",O892="331")),"x","")</f>
        <v/>
      </c>
    </row>
    <row r="893" spans="1:16">
      <c r="A893" s="72">
        <f t="shared" si="33"/>
        <v>2015</v>
      </c>
      <c r="B893" s="72">
        <f t="shared" si="34"/>
        <v>10</v>
      </c>
      <c r="C893" s="311">
        <v>42289</v>
      </c>
      <c r="D893" s="311" t="s">
        <v>497</v>
      </c>
      <c r="E893" s="311">
        <v>42289</v>
      </c>
      <c r="F893" s="312" t="s">
        <v>1129</v>
      </c>
      <c r="G893" s="313" t="s">
        <v>1128</v>
      </c>
      <c r="H893" s="314" t="s">
        <v>1125</v>
      </c>
      <c r="I893" s="314"/>
      <c r="J893" s="314"/>
      <c r="K893" s="314"/>
      <c r="L893" s="314"/>
      <c r="M893" s="74">
        <v>1500000</v>
      </c>
      <c r="N893" s="315" t="s">
        <v>19</v>
      </c>
      <c r="O893" s="315" t="s">
        <v>203</v>
      </c>
      <c r="P893" s="134" t="str">
        <f>IF(AND('331-CT'!$E$7=TH!H893,OR(N893="331",O893="331")),"x","")</f>
        <v/>
      </c>
    </row>
    <row r="894" spans="1:16">
      <c r="A894" s="72">
        <f t="shared" si="33"/>
        <v>2015</v>
      </c>
      <c r="B894" s="72">
        <f t="shared" si="34"/>
        <v>10</v>
      </c>
      <c r="C894" s="311">
        <v>42290</v>
      </c>
      <c r="D894" s="311" t="s">
        <v>498</v>
      </c>
      <c r="E894" s="311">
        <v>42290</v>
      </c>
      <c r="F894" s="312" t="s">
        <v>751</v>
      </c>
      <c r="G894" s="313" t="s">
        <v>752</v>
      </c>
      <c r="H894" s="314" t="s">
        <v>753</v>
      </c>
      <c r="I894" s="314"/>
      <c r="J894" s="314"/>
      <c r="K894" s="314"/>
      <c r="L894" s="314"/>
      <c r="M894" s="74">
        <v>17985000</v>
      </c>
      <c r="N894" s="315" t="s">
        <v>654</v>
      </c>
      <c r="O894" s="315" t="s">
        <v>203</v>
      </c>
      <c r="P894" s="134" t="str">
        <f>IF(AND('331-CT'!$E$7=TH!H894,OR(N894="331",O894="331")),"x","")</f>
        <v/>
      </c>
    </row>
    <row r="895" spans="1:16">
      <c r="A895" s="72">
        <f t="shared" si="33"/>
        <v>2015</v>
      </c>
      <c r="B895" s="72">
        <f t="shared" si="34"/>
        <v>10</v>
      </c>
      <c r="C895" s="311">
        <v>42290</v>
      </c>
      <c r="D895" s="311" t="s">
        <v>498</v>
      </c>
      <c r="E895" s="311">
        <v>42290</v>
      </c>
      <c r="F895" s="312" t="s">
        <v>754</v>
      </c>
      <c r="G895" s="313" t="s">
        <v>752</v>
      </c>
      <c r="H895" s="314" t="s">
        <v>753</v>
      </c>
      <c r="I895" s="314"/>
      <c r="J895" s="314"/>
      <c r="K895" s="314"/>
      <c r="L895" s="314"/>
      <c r="M895" s="74">
        <v>1798500</v>
      </c>
      <c r="N895" s="315" t="s">
        <v>19</v>
      </c>
      <c r="O895" s="315" t="s">
        <v>203</v>
      </c>
      <c r="P895" s="134" t="str">
        <f>IF(AND('331-CT'!$E$7=TH!H895,OR(N895="331",O895="331")),"x","")</f>
        <v/>
      </c>
    </row>
    <row r="896" spans="1:16">
      <c r="A896" s="72">
        <f t="shared" si="33"/>
        <v>2015</v>
      </c>
      <c r="B896" s="72">
        <f t="shared" si="34"/>
        <v>10</v>
      </c>
      <c r="C896" s="311">
        <v>42291</v>
      </c>
      <c r="D896" s="311" t="s">
        <v>499</v>
      </c>
      <c r="E896" s="311">
        <v>42291</v>
      </c>
      <c r="F896" s="312" t="s">
        <v>644</v>
      </c>
      <c r="G896" s="313" t="s">
        <v>645</v>
      </c>
      <c r="H896" s="314" t="s">
        <v>643</v>
      </c>
      <c r="I896" s="314"/>
      <c r="J896" s="314"/>
      <c r="K896" s="314"/>
      <c r="L896" s="314"/>
      <c r="M896" s="74">
        <v>11999996</v>
      </c>
      <c r="N896" s="315" t="s">
        <v>654</v>
      </c>
      <c r="O896" s="315" t="s">
        <v>203</v>
      </c>
      <c r="P896" s="134" t="str">
        <f>IF(AND('331-CT'!$E$7=TH!H896,OR(N896="331",O896="331")),"x","")</f>
        <v/>
      </c>
    </row>
    <row r="897" spans="1:16">
      <c r="A897" s="72">
        <f t="shared" si="33"/>
        <v>2015</v>
      </c>
      <c r="B897" s="72">
        <f t="shared" si="34"/>
        <v>10</v>
      </c>
      <c r="C897" s="311">
        <v>42291</v>
      </c>
      <c r="D897" s="311" t="s">
        <v>499</v>
      </c>
      <c r="E897" s="311">
        <v>42291</v>
      </c>
      <c r="F897" s="312" t="s">
        <v>646</v>
      </c>
      <c r="G897" s="313" t="s">
        <v>645</v>
      </c>
      <c r="H897" s="314" t="s">
        <v>643</v>
      </c>
      <c r="I897" s="314"/>
      <c r="J897" s="314"/>
      <c r="K897" s="314"/>
      <c r="L897" s="314"/>
      <c r="M897" s="74">
        <v>1199999</v>
      </c>
      <c r="N897" s="315" t="s">
        <v>19</v>
      </c>
      <c r="O897" s="315" t="s">
        <v>203</v>
      </c>
      <c r="P897" s="134" t="str">
        <f>IF(AND('331-CT'!$E$7=TH!H897,OR(N897="331",O897="331")),"x","")</f>
        <v/>
      </c>
    </row>
    <row r="898" spans="1:16">
      <c r="A898" s="72">
        <f t="shared" si="33"/>
        <v>2015</v>
      </c>
      <c r="B898" s="72">
        <f t="shared" si="34"/>
        <v>10</v>
      </c>
      <c r="C898" s="311">
        <v>42291</v>
      </c>
      <c r="D898" s="311" t="s">
        <v>500</v>
      </c>
      <c r="E898" s="311">
        <v>42291</v>
      </c>
      <c r="F898" s="312" t="s">
        <v>751</v>
      </c>
      <c r="G898" s="313" t="s">
        <v>755</v>
      </c>
      <c r="H898" s="314" t="s">
        <v>753</v>
      </c>
      <c r="I898" s="314"/>
      <c r="J898" s="314"/>
      <c r="K898" s="314"/>
      <c r="L898" s="314"/>
      <c r="M898" s="74">
        <v>17985000</v>
      </c>
      <c r="N898" s="315" t="s">
        <v>654</v>
      </c>
      <c r="O898" s="315" t="s">
        <v>203</v>
      </c>
      <c r="P898" s="134" t="str">
        <f>IF(AND('331-CT'!$E$7=TH!H898,OR(N898="331",O898="331")),"x","")</f>
        <v/>
      </c>
    </row>
    <row r="899" spans="1:16">
      <c r="A899" s="72">
        <f t="shared" si="33"/>
        <v>2015</v>
      </c>
      <c r="B899" s="72">
        <f t="shared" si="34"/>
        <v>10</v>
      </c>
      <c r="C899" s="311">
        <v>42291</v>
      </c>
      <c r="D899" s="311" t="s">
        <v>500</v>
      </c>
      <c r="E899" s="311">
        <v>42291</v>
      </c>
      <c r="F899" s="312" t="s">
        <v>754</v>
      </c>
      <c r="G899" s="313" t="s">
        <v>755</v>
      </c>
      <c r="H899" s="314" t="s">
        <v>753</v>
      </c>
      <c r="I899" s="314"/>
      <c r="J899" s="314"/>
      <c r="K899" s="314"/>
      <c r="L899" s="314"/>
      <c r="M899" s="74">
        <v>1798500</v>
      </c>
      <c r="N899" s="315" t="s">
        <v>19</v>
      </c>
      <c r="O899" s="315" t="s">
        <v>203</v>
      </c>
      <c r="P899" s="134" t="str">
        <f>IF(AND('331-CT'!$E$7=TH!H899,OR(N899="331",O899="331")),"x","")</f>
        <v/>
      </c>
    </row>
    <row r="900" spans="1:16">
      <c r="A900" s="72">
        <f t="shared" si="33"/>
        <v>2015</v>
      </c>
      <c r="B900" s="72">
        <f t="shared" si="34"/>
        <v>10</v>
      </c>
      <c r="C900" s="311">
        <v>42291</v>
      </c>
      <c r="D900" s="311" t="s">
        <v>501</v>
      </c>
      <c r="E900" s="311">
        <v>42268</v>
      </c>
      <c r="F900" s="312" t="s">
        <v>649</v>
      </c>
      <c r="G900" s="313" t="s">
        <v>650</v>
      </c>
      <c r="H900" s="314" t="s">
        <v>188</v>
      </c>
      <c r="I900" s="314"/>
      <c r="J900" s="314"/>
      <c r="K900" s="314"/>
      <c r="L900" s="314"/>
      <c r="M900" s="74">
        <v>2900800</v>
      </c>
      <c r="N900" s="315" t="s">
        <v>241</v>
      </c>
      <c r="O900" s="315" t="s">
        <v>203</v>
      </c>
      <c r="P900" s="134" t="str">
        <f>IF(AND('331-CT'!$E$7=TH!H900,OR(N900="331",O900="331")),"x","")</f>
        <v/>
      </c>
    </row>
    <row r="901" spans="1:16">
      <c r="A901" s="72">
        <f t="shared" si="33"/>
        <v>2015</v>
      </c>
      <c r="B901" s="72">
        <f t="shared" si="34"/>
        <v>10</v>
      </c>
      <c r="C901" s="311">
        <v>42291</v>
      </c>
      <c r="D901" s="311" t="s">
        <v>501</v>
      </c>
      <c r="E901" s="311">
        <v>42268</v>
      </c>
      <c r="F901" s="312" t="s">
        <v>651</v>
      </c>
      <c r="G901" s="313" t="s">
        <v>650</v>
      </c>
      <c r="H901" s="314" t="s">
        <v>188</v>
      </c>
      <c r="I901" s="314"/>
      <c r="J901" s="314"/>
      <c r="K901" s="314"/>
      <c r="L901" s="314"/>
      <c r="M901" s="74">
        <v>145040</v>
      </c>
      <c r="N901" s="315" t="s">
        <v>19</v>
      </c>
      <c r="O901" s="315" t="s">
        <v>203</v>
      </c>
      <c r="P901" s="134" t="str">
        <f>IF(AND('331-CT'!$E$7=TH!H901,OR(N901="331",O901="331")),"x","")</f>
        <v/>
      </c>
    </row>
    <row r="902" spans="1:16">
      <c r="A902" s="72">
        <f t="shared" si="33"/>
        <v>2015</v>
      </c>
      <c r="B902" s="72">
        <f t="shared" si="34"/>
        <v>10</v>
      </c>
      <c r="C902" s="73">
        <v>42291</v>
      </c>
      <c r="D902" s="311" t="s">
        <v>502</v>
      </c>
      <c r="E902" s="73">
        <v>42291</v>
      </c>
      <c r="F902" s="76" t="s">
        <v>575</v>
      </c>
      <c r="G902" s="270"/>
      <c r="H902" s="122" t="s">
        <v>271</v>
      </c>
      <c r="I902" s="122"/>
      <c r="J902" s="122"/>
      <c r="K902" s="122"/>
      <c r="L902" s="122"/>
      <c r="M902" s="74">
        <v>150000000</v>
      </c>
      <c r="N902" s="75" t="s">
        <v>54</v>
      </c>
      <c r="O902" s="75" t="s">
        <v>203</v>
      </c>
      <c r="P902" s="134" t="str">
        <f>IF(AND('331-CT'!$E$7=TH!H902,OR(N902="331",O902="331")),"x","")</f>
        <v/>
      </c>
    </row>
    <row r="903" spans="1:16">
      <c r="A903" s="72">
        <f t="shared" si="33"/>
        <v>2015</v>
      </c>
      <c r="B903" s="72">
        <f t="shared" si="34"/>
        <v>10</v>
      </c>
      <c r="C903" s="73">
        <v>42291</v>
      </c>
      <c r="D903" s="311" t="s">
        <v>17</v>
      </c>
      <c r="E903" s="73">
        <v>42291</v>
      </c>
      <c r="F903" s="76" t="s">
        <v>300</v>
      </c>
      <c r="G903" s="270"/>
      <c r="H903" s="122" t="s">
        <v>305</v>
      </c>
      <c r="I903" s="122"/>
      <c r="J903" s="122"/>
      <c r="K903" s="122"/>
      <c r="L903" s="122"/>
      <c r="M903" s="74">
        <v>150000000</v>
      </c>
      <c r="N903" s="75" t="s">
        <v>18</v>
      </c>
      <c r="O903" s="75" t="s">
        <v>54</v>
      </c>
      <c r="P903" s="134" t="str">
        <f>IF(AND('331-CT'!$E$7=TH!H903,OR(N903="331",O903="331")),"x","")</f>
        <v/>
      </c>
    </row>
    <row r="904" spans="1:16">
      <c r="A904" s="72">
        <f t="shared" si="33"/>
        <v>2015</v>
      </c>
      <c r="B904" s="72">
        <f t="shared" si="34"/>
        <v>10</v>
      </c>
      <c r="C904" s="311">
        <v>42291</v>
      </c>
      <c r="D904" s="311" t="s">
        <v>17</v>
      </c>
      <c r="E904" s="311">
        <v>42291</v>
      </c>
      <c r="F904" s="312" t="s">
        <v>34</v>
      </c>
      <c r="G904" s="313"/>
      <c r="H904" s="314"/>
      <c r="I904" s="314"/>
      <c r="J904" s="314"/>
      <c r="K904" s="314"/>
      <c r="L904" s="314"/>
      <c r="M904" s="74">
        <v>106738</v>
      </c>
      <c r="N904" s="315" t="s">
        <v>241</v>
      </c>
      <c r="O904" s="315" t="s">
        <v>54</v>
      </c>
      <c r="P904" s="134" t="str">
        <f>IF(AND('331-CT'!$E$7=TH!H904,OR(N904="331",O904="331")),"x","")</f>
        <v/>
      </c>
    </row>
    <row r="905" spans="1:16">
      <c r="A905" s="72">
        <f t="shared" si="33"/>
        <v>2015</v>
      </c>
      <c r="B905" s="72">
        <f t="shared" si="34"/>
        <v>10</v>
      </c>
      <c r="C905" s="311">
        <v>42291</v>
      </c>
      <c r="D905" s="311" t="s">
        <v>17</v>
      </c>
      <c r="E905" s="311">
        <v>42291</v>
      </c>
      <c r="F905" s="312" t="s">
        <v>35</v>
      </c>
      <c r="G905" s="313"/>
      <c r="H905" s="314"/>
      <c r="I905" s="314"/>
      <c r="J905" s="314"/>
      <c r="K905" s="314"/>
      <c r="L905" s="314"/>
      <c r="M905" s="74">
        <v>10674</v>
      </c>
      <c r="N905" s="315" t="s">
        <v>19</v>
      </c>
      <c r="O905" s="315" t="s">
        <v>54</v>
      </c>
      <c r="P905" s="134" t="str">
        <f>IF(AND('331-CT'!$E$7=TH!H905,OR(N905="331",O905="331")),"x","")</f>
        <v/>
      </c>
    </row>
    <row r="906" spans="1:16">
      <c r="A906" s="72">
        <f t="shared" ref="A906:A969" si="35">IF(C906&lt;&gt;"",YEAR(C906),"")</f>
        <v>2015</v>
      </c>
      <c r="B906" s="72">
        <f t="shared" ref="B906:B969" si="36">IF(C906&lt;&gt;"",MONTH(C906),"")</f>
        <v>10</v>
      </c>
      <c r="C906" s="311">
        <v>42291</v>
      </c>
      <c r="D906" s="311" t="s">
        <v>503</v>
      </c>
      <c r="E906" s="311">
        <v>42291</v>
      </c>
      <c r="F906" s="312" t="s">
        <v>724</v>
      </c>
      <c r="G906" s="313" t="s">
        <v>730</v>
      </c>
      <c r="H906" s="314" t="s">
        <v>726</v>
      </c>
      <c r="I906" s="314"/>
      <c r="J906" s="314"/>
      <c r="K906" s="314"/>
      <c r="L906" s="314"/>
      <c r="M906" s="74">
        <v>15000000</v>
      </c>
      <c r="N906" s="315" t="s">
        <v>654</v>
      </c>
      <c r="O906" s="315" t="s">
        <v>203</v>
      </c>
      <c r="P906" s="134" t="str">
        <f>IF(AND('331-CT'!$E$7=TH!H906,OR(N906="331",O906="331")),"x","")</f>
        <v/>
      </c>
    </row>
    <row r="907" spans="1:16">
      <c r="A907" s="72">
        <f t="shared" si="35"/>
        <v>2015</v>
      </c>
      <c r="B907" s="72">
        <f t="shared" si="36"/>
        <v>10</v>
      </c>
      <c r="C907" s="311">
        <v>42291</v>
      </c>
      <c r="D907" s="311" t="s">
        <v>503</v>
      </c>
      <c r="E907" s="311">
        <v>42291</v>
      </c>
      <c r="F907" s="312" t="s">
        <v>727</v>
      </c>
      <c r="G907" s="313" t="s">
        <v>730</v>
      </c>
      <c r="H907" s="314" t="s">
        <v>726</v>
      </c>
      <c r="I907" s="314"/>
      <c r="J907" s="314"/>
      <c r="K907" s="314"/>
      <c r="L907" s="314"/>
      <c r="M907" s="74">
        <v>1500000</v>
      </c>
      <c r="N907" s="315" t="s">
        <v>19</v>
      </c>
      <c r="O907" s="315" t="s">
        <v>203</v>
      </c>
      <c r="P907" s="134" t="str">
        <f>IF(AND('331-CT'!$E$7=TH!H907,OR(N907="331",O907="331")),"x","")</f>
        <v/>
      </c>
    </row>
    <row r="908" spans="1:16">
      <c r="A908" s="72">
        <f t="shared" si="35"/>
        <v>2015</v>
      </c>
      <c r="B908" s="72">
        <f t="shared" si="36"/>
        <v>10</v>
      </c>
      <c r="C908" s="311">
        <v>42292</v>
      </c>
      <c r="D908" s="311" t="s">
        <v>504</v>
      </c>
      <c r="E908" s="311">
        <v>42292</v>
      </c>
      <c r="F908" s="312" t="s">
        <v>751</v>
      </c>
      <c r="G908" s="313" t="s">
        <v>756</v>
      </c>
      <c r="H908" s="314" t="s">
        <v>753</v>
      </c>
      <c r="I908" s="314"/>
      <c r="J908" s="314"/>
      <c r="K908" s="314"/>
      <c r="L908" s="314"/>
      <c r="M908" s="74">
        <v>17985000</v>
      </c>
      <c r="N908" s="315" t="s">
        <v>654</v>
      </c>
      <c r="O908" s="315" t="s">
        <v>203</v>
      </c>
      <c r="P908" s="134" t="str">
        <f>IF(AND('331-CT'!$E$7=TH!H908,OR(N908="331",O908="331")),"x","")</f>
        <v/>
      </c>
    </row>
    <row r="909" spans="1:16">
      <c r="A909" s="72">
        <f t="shared" si="35"/>
        <v>2015</v>
      </c>
      <c r="B909" s="72">
        <f t="shared" si="36"/>
        <v>10</v>
      </c>
      <c r="C909" s="311">
        <v>42292</v>
      </c>
      <c r="D909" s="311" t="s">
        <v>504</v>
      </c>
      <c r="E909" s="311">
        <v>42292</v>
      </c>
      <c r="F909" s="312" t="s">
        <v>754</v>
      </c>
      <c r="G909" s="316" t="s">
        <v>756</v>
      </c>
      <c r="H909" s="314" t="s">
        <v>753</v>
      </c>
      <c r="I909" s="314"/>
      <c r="J909" s="314"/>
      <c r="K909" s="314"/>
      <c r="L909" s="314"/>
      <c r="M909" s="74">
        <v>1798500</v>
      </c>
      <c r="N909" s="315" t="s">
        <v>19</v>
      </c>
      <c r="O909" s="315" t="s">
        <v>203</v>
      </c>
      <c r="P909" s="134" t="str">
        <f>IF(AND('331-CT'!$E$7=TH!H909,OR(N909="331",O909="331")),"x","")</f>
        <v/>
      </c>
    </row>
    <row r="910" spans="1:16">
      <c r="A910" s="72">
        <f t="shared" si="35"/>
        <v>2015</v>
      </c>
      <c r="B910" s="72">
        <f t="shared" si="36"/>
        <v>10</v>
      </c>
      <c r="C910" s="311">
        <v>42292</v>
      </c>
      <c r="D910" s="311" t="s">
        <v>20</v>
      </c>
      <c r="E910" s="311">
        <v>42292</v>
      </c>
      <c r="F910" s="312" t="s">
        <v>578</v>
      </c>
      <c r="G910" s="316"/>
      <c r="H910" s="314" t="s">
        <v>430</v>
      </c>
      <c r="I910" s="314"/>
      <c r="J910" s="314"/>
      <c r="K910" s="314"/>
      <c r="L910" s="314"/>
      <c r="M910" s="74">
        <v>1000000000</v>
      </c>
      <c r="N910" s="315" t="s">
        <v>203</v>
      </c>
      <c r="O910" s="315" t="s">
        <v>39</v>
      </c>
      <c r="P910" s="134" t="str">
        <f>IF(AND('331-CT'!$E$7=TH!H910,OR(N910="331",O910="331")),"x","")</f>
        <v/>
      </c>
    </row>
    <row r="911" spans="1:16">
      <c r="A911" s="72">
        <f t="shared" si="35"/>
        <v>2015</v>
      </c>
      <c r="B911" s="72">
        <f t="shared" si="36"/>
        <v>10</v>
      </c>
      <c r="C911" s="311">
        <v>42292</v>
      </c>
      <c r="D911" s="311" t="s">
        <v>17</v>
      </c>
      <c r="E911" s="311">
        <v>42292</v>
      </c>
      <c r="F911" s="312" t="s">
        <v>720</v>
      </c>
      <c r="G911" s="313"/>
      <c r="H911" s="314" t="s">
        <v>750</v>
      </c>
      <c r="I911" s="314"/>
      <c r="J911" s="314"/>
      <c r="K911" s="314"/>
      <c r="L911" s="314"/>
      <c r="M911" s="74">
        <v>16950519</v>
      </c>
      <c r="N911" s="315" t="s">
        <v>212</v>
      </c>
      <c r="O911" s="315" t="s">
        <v>54</v>
      </c>
      <c r="P911" s="134" t="str">
        <f>IF(AND('331-CT'!$E$7=TH!H911,OR(N911="331",O911="331")),"x","")</f>
        <v/>
      </c>
    </row>
    <row r="912" spans="1:16">
      <c r="A912" s="72">
        <f t="shared" si="35"/>
        <v>2015</v>
      </c>
      <c r="B912" s="72">
        <f t="shared" si="36"/>
        <v>10</v>
      </c>
      <c r="C912" s="311">
        <v>42292</v>
      </c>
      <c r="D912" s="311" t="s">
        <v>17</v>
      </c>
      <c r="E912" s="311">
        <v>42292</v>
      </c>
      <c r="F912" s="312" t="s">
        <v>34</v>
      </c>
      <c r="G912" s="313"/>
      <c r="H912" s="314"/>
      <c r="I912" s="314"/>
      <c r="J912" s="314"/>
      <c r="K912" s="314"/>
      <c r="L912" s="314"/>
      <c r="M912" s="74">
        <v>45000</v>
      </c>
      <c r="N912" s="315" t="s">
        <v>241</v>
      </c>
      <c r="O912" s="315" t="s">
        <v>54</v>
      </c>
      <c r="P912" s="134" t="str">
        <f>IF(AND('331-CT'!$E$7=TH!H912,OR(N912="331",O912="331")),"x","")</f>
        <v/>
      </c>
    </row>
    <row r="913" spans="1:16">
      <c r="A913" s="72">
        <f t="shared" si="35"/>
        <v>2015</v>
      </c>
      <c r="B913" s="72">
        <f t="shared" si="36"/>
        <v>10</v>
      </c>
      <c r="C913" s="311">
        <v>42292</v>
      </c>
      <c r="D913" s="311" t="s">
        <v>17</v>
      </c>
      <c r="E913" s="311">
        <v>42292</v>
      </c>
      <c r="F913" s="312" t="s">
        <v>35</v>
      </c>
      <c r="G913" s="313"/>
      <c r="H913" s="314"/>
      <c r="I913" s="314"/>
      <c r="J913" s="314"/>
      <c r="K913" s="314"/>
      <c r="L913" s="314"/>
      <c r="M913" s="74">
        <v>4500</v>
      </c>
      <c r="N913" s="315" t="s">
        <v>19</v>
      </c>
      <c r="O913" s="315" t="s">
        <v>54</v>
      </c>
      <c r="P913" s="134" t="str">
        <f>IF(AND('331-CT'!$E$7=TH!H913,OR(N913="331",O913="331")),"x","")</f>
        <v/>
      </c>
    </row>
    <row r="914" spans="1:16">
      <c r="A914" s="72">
        <f t="shared" si="35"/>
        <v>2015</v>
      </c>
      <c r="B914" s="72">
        <f t="shared" si="36"/>
        <v>10</v>
      </c>
      <c r="C914" s="317">
        <v>42293</v>
      </c>
      <c r="D914" s="317" t="s">
        <v>21</v>
      </c>
      <c r="E914" s="317">
        <v>42293</v>
      </c>
      <c r="F914" s="318" t="s">
        <v>721</v>
      </c>
      <c r="G914" s="319"/>
      <c r="H914" s="320" t="s">
        <v>750</v>
      </c>
      <c r="I914" s="320"/>
      <c r="J914" s="320"/>
      <c r="K914" s="320"/>
      <c r="L914" s="320"/>
      <c r="M914" s="133">
        <v>16950519</v>
      </c>
      <c r="N914" s="321" t="s">
        <v>54</v>
      </c>
      <c r="O914" s="321" t="s">
        <v>212</v>
      </c>
      <c r="P914" s="134" t="str">
        <f>IF(AND('331-CT'!$E$7=TH!H914,OR(N914="331",O914="331")),"x","")</f>
        <v/>
      </c>
    </row>
    <row r="915" spans="1:16">
      <c r="A915" s="72">
        <f t="shared" si="35"/>
        <v>2015</v>
      </c>
      <c r="B915" s="72">
        <f t="shared" si="36"/>
        <v>10</v>
      </c>
      <c r="C915" s="311">
        <v>42293</v>
      </c>
      <c r="D915" s="317" t="s">
        <v>17</v>
      </c>
      <c r="E915" s="311">
        <v>42293</v>
      </c>
      <c r="F915" s="312" t="s">
        <v>720</v>
      </c>
      <c r="G915" s="313"/>
      <c r="H915" s="314" t="s">
        <v>648</v>
      </c>
      <c r="I915" s="314"/>
      <c r="J915" s="314"/>
      <c r="K915" s="314"/>
      <c r="L915" s="314"/>
      <c r="M915" s="74">
        <v>16950519</v>
      </c>
      <c r="N915" s="315" t="s">
        <v>18</v>
      </c>
      <c r="O915" s="315" t="s">
        <v>54</v>
      </c>
      <c r="P915" s="134" t="str">
        <f>IF(AND('331-CT'!$E$7=TH!H915,OR(N915="331",O915="331")),"x","")</f>
        <v/>
      </c>
    </row>
    <row r="916" spans="1:16">
      <c r="A916" s="72">
        <f t="shared" si="35"/>
        <v>2015</v>
      </c>
      <c r="B916" s="72">
        <f t="shared" si="36"/>
        <v>10</v>
      </c>
      <c r="C916" s="73">
        <v>42293</v>
      </c>
      <c r="D916" s="73" t="s">
        <v>17</v>
      </c>
      <c r="E916" s="73">
        <v>42293</v>
      </c>
      <c r="F916" s="76" t="s">
        <v>34</v>
      </c>
      <c r="G916" s="270"/>
      <c r="H916" s="314"/>
      <c r="I916" s="314"/>
      <c r="J916" s="314"/>
      <c r="K916" s="314"/>
      <c r="L916" s="314"/>
      <c r="M916" s="74">
        <v>25000</v>
      </c>
      <c r="N916" s="75" t="s">
        <v>241</v>
      </c>
      <c r="O916" s="75" t="s">
        <v>54</v>
      </c>
      <c r="P916" s="134" t="str">
        <f>IF(AND('331-CT'!$E$7=TH!H916,OR(N916="331",O916="331")),"x","")</f>
        <v/>
      </c>
    </row>
    <row r="917" spans="1:16">
      <c r="A917" s="72">
        <f t="shared" si="35"/>
        <v>2015</v>
      </c>
      <c r="B917" s="72">
        <f t="shared" si="36"/>
        <v>10</v>
      </c>
      <c r="C917" s="73">
        <v>42293</v>
      </c>
      <c r="D917" s="73" t="s">
        <v>17</v>
      </c>
      <c r="E917" s="73">
        <v>42293</v>
      </c>
      <c r="F917" s="76" t="s">
        <v>35</v>
      </c>
      <c r="G917" s="270"/>
      <c r="H917" s="314"/>
      <c r="I917" s="314"/>
      <c r="J917" s="314"/>
      <c r="K917" s="314"/>
      <c r="L917" s="314"/>
      <c r="M917" s="74">
        <v>2500</v>
      </c>
      <c r="N917" s="75" t="s">
        <v>19</v>
      </c>
      <c r="O917" s="75" t="s">
        <v>54</v>
      </c>
      <c r="P917" s="134" t="str">
        <f>IF(AND('331-CT'!$E$7=TH!H917,OR(N917="331",O917="331")),"x","")</f>
        <v/>
      </c>
    </row>
    <row r="918" spans="1:16">
      <c r="A918" s="72">
        <f t="shared" si="35"/>
        <v>2015</v>
      </c>
      <c r="B918" s="72">
        <f t="shared" si="36"/>
        <v>10</v>
      </c>
      <c r="C918" s="73">
        <v>42297</v>
      </c>
      <c r="D918" s="73" t="s">
        <v>17</v>
      </c>
      <c r="E918" s="73">
        <v>42297</v>
      </c>
      <c r="F918" s="76" t="s">
        <v>119</v>
      </c>
      <c r="G918" s="270"/>
      <c r="H918" s="314" t="s">
        <v>313</v>
      </c>
      <c r="I918" s="314"/>
      <c r="J918" s="314"/>
      <c r="K918" s="314"/>
      <c r="L918" s="314"/>
      <c r="M918" s="74">
        <v>7919801</v>
      </c>
      <c r="N918" s="75" t="s">
        <v>239</v>
      </c>
      <c r="O918" s="75" t="s">
        <v>54</v>
      </c>
      <c r="P918" s="134" t="str">
        <f>IF(AND('331-CT'!$E$7=TH!H918,OR(N918="331",O918="331")),"x","")</f>
        <v/>
      </c>
    </row>
    <row r="919" spans="1:16">
      <c r="A919" s="72">
        <f t="shared" si="35"/>
        <v>2015</v>
      </c>
      <c r="B919" s="72">
        <f t="shared" si="36"/>
        <v>10</v>
      </c>
      <c r="C919" s="130">
        <v>42297</v>
      </c>
      <c r="D919" s="130" t="s">
        <v>17</v>
      </c>
      <c r="E919" s="130">
        <v>42297</v>
      </c>
      <c r="F919" s="131" t="s">
        <v>145</v>
      </c>
      <c r="G919" s="271"/>
      <c r="H919" s="320" t="s">
        <v>317</v>
      </c>
      <c r="I919" s="320"/>
      <c r="J919" s="320"/>
      <c r="K919" s="320"/>
      <c r="L919" s="320"/>
      <c r="M919" s="133">
        <v>7919801</v>
      </c>
      <c r="N919" s="134" t="s">
        <v>239</v>
      </c>
      <c r="O919" s="134" t="s">
        <v>54</v>
      </c>
      <c r="P919" s="134" t="str">
        <f>IF(AND('331-CT'!$E$7=TH!H919,OR(N919="331",O919="331")),"x","")</f>
        <v/>
      </c>
    </row>
    <row r="920" spans="1:16">
      <c r="A920" s="72">
        <f t="shared" si="35"/>
        <v>2015</v>
      </c>
      <c r="B920" s="72">
        <f t="shared" si="36"/>
        <v>10</v>
      </c>
      <c r="C920" s="73">
        <v>42297</v>
      </c>
      <c r="D920" s="73" t="s">
        <v>17</v>
      </c>
      <c r="E920" s="73">
        <v>42297</v>
      </c>
      <c r="F920" s="76" t="s">
        <v>302</v>
      </c>
      <c r="G920" s="270"/>
      <c r="H920" s="122" t="s">
        <v>320</v>
      </c>
      <c r="I920" s="122"/>
      <c r="J920" s="122"/>
      <c r="K920" s="122"/>
      <c r="L920" s="122"/>
      <c r="M920" s="74">
        <v>11087720</v>
      </c>
      <c r="N920" s="75" t="s">
        <v>239</v>
      </c>
      <c r="O920" s="75" t="s">
        <v>54</v>
      </c>
      <c r="P920" s="134" t="str">
        <f>IF(AND('331-CT'!$E$7=TH!H920,OR(N920="331",O920="331")),"x","")</f>
        <v/>
      </c>
    </row>
    <row r="921" spans="1:16">
      <c r="A921" s="72">
        <f t="shared" si="35"/>
        <v>2015</v>
      </c>
      <c r="B921" s="72">
        <f t="shared" si="36"/>
        <v>10</v>
      </c>
      <c r="C921" s="73">
        <v>42297</v>
      </c>
      <c r="D921" s="73" t="s">
        <v>505</v>
      </c>
      <c r="E921" s="73">
        <v>42297</v>
      </c>
      <c r="F921" s="76" t="s">
        <v>724</v>
      </c>
      <c r="G921" s="270" t="s">
        <v>731</v>
      </c>
      <c r="H921" s="122" t="s">
        <v>726</v>
      </c>
      <c r="I921" s="122"/>
      <c r="J921" s="122"/>
      <c r="K921" s="122"/>
      <c r="L921" s="122"/>
      <c r="M921" s="74">
        <v>15000000</v>
      </c>
      <c r="N921" s="75" t="s">
        <v>654</v>
      </c>
      <c r="O921" s="75" t="s">
        <v>203</v>
      </c>
      <c r="P921" s="134" t="str">
        <f>IF(AND('331-CT'!$E$7=TH!H921,OR(N921="331",O921="331")),"x","")</f>
        <v/>
      </c>
    </row>
    <row r="922" spans="1:16">
      <c r="A922" s="72">
        <f t="shared" si="35"/>
        <v>2015</v>
      </c>
      <c r="B922" s="72">
        <f t="shared" si="36"/>
        <v>10</v>
      </c>
      <c r="C922" s="130">
        <v>42297</v>
      </c>
      <c r="D922" s="130" t="s">
        <v>505</v>
      </c>
      <c r="E922" s="130">
        <v>42297</v>
      </c>
      <c r="F922" s="131" t="s">
        <v>727</v>
      </c>
      <c r="G922" s="271" t="s">
        <v>731</v>
      </c>
      <c r="H922" s="320" t="s">
        <v>726</v>
      </c>
      <c r="I922" s="320"/>
      <c r="J922" s="320"/>
      <c r="K922" s="320"/>
      <c r="L922" s="320"/>
      <c r="M922" s="133">
        <v>1500000</v>
      </c>
      <c r="N922" s="134" t="s">
        <v>19</v>
      </c>
      <c r="O922" s="134" t="s">
        <v>203</v>
      </c>
      <c r="P922" s="134" t="str">
        <f>IF(AND('331-CT'!$E$7=TH!H922,OR(N922="331",O922="331")),"x","")</f>
        <v/>
      </c>
    </row>
    <row r="923" spans="1:16">
      <c r="A923" s="72">
        <f t="shared" si="35"/>
        <v>2015</v>
      </c>
      <c r="B923" s="72">
        <f t="shared" si="36"/>
        <v>10</v>
      </c>
      <c r="C923" s="73">
        <v>42298</v>
      </c>
      <c r="D923" s="73" t="s">
        <v>506</v>
      </c>
      <c r="E923" s="73">
        <v>42298</v>
      </c>
      <c r="F923" s="76" t="s">
        <v>732</v>
      </c>
      <c r="G923" s="265" t="s">
        <v>733</v>
      </c>
      <c r="H923" s="122" t="s">
        <v>726</v>
      </c>
      <c r="I923" s="122"/>
      <c r="J923" s="122"/>
      <c r="K923" s="122"/>
      <c r="L923" s="122"/>
      <c r="M923" s="74">
        <v>13390000</v>
      </c>
      <c r="N923" s="75" t="s">
        <v>654</v>
      </c>
      <c r="O923" s="75" t="s">
        <v>203</v>
      </c>
      <c r="P923" s="134" t="str">
        <f>IF(AND('331-CT'!$E$7=TH!H923,OR(N923="331",O923="331")),"x","")</f>
        <v/>
      </c>
    </row>
    <row r="924" spans="1:16">
      <c r="A924" s="72">
        <f t="shared" si="35"/>
        <v>2015</v>
      </c>
      <c r="B924" s="72">
        <f t="shared" si="36"/>
        <v>10</v>
      </c>
      <c r="C924" s="73">
        <v>42298</v>
      </c>
      <c r="D924" s="73" t="s">
        <v>506</v>
      </c>
      <c r="E924" s="73">
        <v>42298</v>
      </c>
      <c r="F924" s="76" t="s">
        <v>734</v>
      </c>
      <c r="G924" s="265" t="s">
        <v>733</v>
      </c>
      <c r="H924" s="122" t="s">
        <v>726</v>
      </c>
      <c r="I924" s="122"/>
      <c r="J924" s="122"/>
      <c r="K924" s="122"/>
      <c r="L924" s="122"/>
      <c r="M924" s="74">
        <v>1339000</v>
      </c>
      <c r="N924" s="75" t="s">
        <v>19</v>
      </c>
      <c r="O924" s="75" t="s">
        <v>203</v>
      </c>
      <c r="P924" s="134" t="str">
        <f>IF(AND('331-CT'!$E$7=TH!H924,OR(N924="331",O924="331")),"x","")</f>
        <v/>
      </c>
    </row>
    <row r="925" spans="1:16">
      <c r="A925" s="72">
        <f t="shared" si="35"/>
        <v>2015</v>
      </c>
      <c r="B925" s="72">
        <f t="shared" si="36"/>
        <v>10</v>
      </c>
      <c r="C925" s="73">
        <v>42298</v>
      </c>
      <c r="D925" s="73" t="s">
        <v>507</v>
      </c>
      <c r="E925" s="73">
        <v>42298</v>
      </c>
      <c r="F925" s="76" t="s">
        <v>757</v>
      </c>
      <c r="G925" s="265" t="s">
        <v>758</v>
      </c>
      <c r="H925" s="122" t="s">
        <v>188</v>
      </c>
      <c r="I925" s="122"/>
      <c r="J925" s="122"/>
      <c r="K925" s="122"/>
      <c r="L925" s="122"/>
      <c r="M925" s="74">
        <v>4773000</v>
      </c>
      <c r="N925" s="75" t="s">
        <v>241</v>
      </c>
      <c r="O925" s="75" t="s">
        <v>203</v>
      </c>
      <c r="P925" s="134" t="str">
        <f>IF(AND('331-CT'!$E$7=TH!H925,OR(N925="331",O925="331")),"x","")</f>
        <v/>
      </c>
    </row>
    <row r="926" spans="1:16">
      <c r="A926" s="72">
        <f t="shared" si="35"/>
        <v>2015</v>
      </c>
      <c r="B926" s="72">
        <f t="shared" si="36"/>
        <v>10</v>
      </c>
      <c r="C926" s="73">
        <v>42298</v>
      </c>
      <c r="D926" s="73" t="s">
        <v>507</v>
      </c>
      <c r="E926" s="73">
        <v>42298</v>
      </c>
      <c r="F926" s="76" t="s">
        <v>759</v>
      </c>
      <c r="G926" s="265" t="s">
        <v>758</v>
      </c>
      <c r="H926" s="122" t="s">
        <v>188</v>
      </c>
      <c r="I926" s="122"/>
      <c r="J926" s="122"/>
      <c r="K926" s="122"/>
      <c r="L926" s="122"/>
      <c r="M926" s="74">
        <v>238650</v>
      </c>
      <c r="N926" s="75" t="s">
        <v>19</v>
      </c>
      <c r="O926" s="75" t="s">
        <v>203</v>
      </c>
      <c r="P926" s="134" t="str">
        <f>IF(AND('331-CT'!$E$7=TH!H926,OR(N926="331",O926="331")),"x","")</f>
        <v/>
      </c>
    </row>
    <row r="927" spans="1:16">
      <c r="A927" s="72">
        <f t="shared" si="35"/>
        <v>2015</v>
      </c>
      <c r="B927" s="72">
        <f t="shared" si="36"/>
        <v>10</v>
      </c>
      <c r="C927" s="73">
        <v>42299</v>
      </c>
      <c r="D927" s="73" t="s">
        <v>508</v>
      </c>
      <c r="E927" s="73">
        <v>42299</v>
      </c>
      <c r="F927" s="76" t="s">
        <v>575</v>
      </c>
      <c r="G927" s="265"/>
      <c r="H927" s="122" t="s">
        <v>271</v>
      </c>
      <c r="I927" s="122"/>
      <c r="J927" s="122"/>
      <c r="K927" s="122"/>
      <c r="L927" s="122"/>
      <c r="M927" s="74">
        <v>140000000</v>
      </c>
      <c r="N927" s="75" t="s">
        <v>54</v>
      </c>
      <c r="O927" s="75" t="s">
        <v>203</v>
      </c>
      <c r="P927" s="134" t="str">
        <f>IF(AND('331-CT'!$E$7=TH!H927,OR(N927="331",O927="331")),"x","")</f>
        <v/>
      </c>
    </row>
    <row r="928" spans="1:16">
      <c r="A928" s="72">
        <f t="shared" si="35"/>
        <v>2015</v>
      </c>
      <c r="B928" s="72">
        <f t="shared" si="36"/>
        <v>10</v>
      </c>
      <c r="C928" s="73">
        <v>42299</v>
      </c>
      <c r="D928" s="73" t="s">
        <v>17</v>
      </c>
      <c r="E928" s="73">
        <v>42299</v>
      </c>
      <c r="F928" s="76" t="s">
        <v>141</v>
      </c>
      <c r="G928" s="265"/>
      <c r="H928" s="122" t="s">
        <v>314</v>
      </c>
      <c r="I928" s="122"/>
      <c r="J928" s="122"/>
      <c r="K928" s="122"/>
      <c r="L928" s="122"/>
      <c r="M928" s="74">
        <v>15852135</v>
      </c>
      <c r="N928" s="75" t="s">
        <v>239</v>
      </c>
      <c r="O928" s="75" t="s">
        <v>54</v>
      </c>
      <c r="P928" s="134" t="str">
        <f>IF(AND('331-CT'!$E$7=TH!H928,OR(N928="331",O928="331")),"x","")</f>
        <v/>
      </c>
    </row>
    <row r="929" spans="1:16">
      <c r="A929" s="72">
        <f t="shared" si="35"/>
        <v>2015</v>
      </c>
      <c r="B929" s="72">
        <f t="shared" si="36"/>
        <v>10</v>
      </c>
      <c r="C929" s="73">
        <v>42299</v>
      </c>
      <c r="D929" s="73" t="s">
        <v>17</v>
      </c>
      <c r="E929" s="73">
        <v>42299</v>
      </c>
      <c r="F929" s="76" t="s">
        <v>143</v>
      </c>
      <c r="G929" s="265"/>
      <c r="H929" s="122" t="s">
        <v>316</v>
      </c>
      <c r="I929" s="122"/>
      <c r="J929" s="122"/>
      <c r="K929" s="122"/>
      <c r="L929" s="122"/>
      <c r="M929" s="74">
        <v>12681709</v>
      </c>
      <c r="N929" s="75" t="s">
        <v>239</v>
      </c>
      <c r="O929" s="75" t="s">
        <v>54</v>
      </c>
      <c r="P929" s="134" t="str">
        <f>IF(AND('331-CT'!$E$7=TH!H929,OR(N929="331",O929="331")),"x","")</f>
        <v/>
      </c>
    </row>
    <row r="930" spans="1:16">
      <c r="A930" s="72">
        <f t="shared" si="35"/>
        <v>2015</v>
      </c>
      <c r="B930" s="72">
        <f t="shared" si="36"/>
        <v>10</v>
      </c>
      <c r="C930" s="73">
        <v>42299</v>
      </c>
      <c r="D930" s="73" t="s">
        <v>17</v>
      </c>
      <c r="E930" s="73">
        <v>42299</v>
      </c>
      <c r="F930" s="76" t="s">
        <v>144</v>
      </c>
      <c r="G930" s="265"/>
      <c r="H930" s="122" t="s">
        <v>315</v>
      </c>
      <c r="I930" s="122"/>
      <c r="J930" s="122"/>
      <c r="K930" s="122"/>
      <c r="L930" s="122"/>
      <c r="M930" s="74">
        <v>11889102</v>
      </c>
      <c r="N930" s="75" t="s">
        <v>239</v>
      </c>
      <c r="O930" s="75" t="s">
        <v>54</v>
      </c>
      <c r="P930" s="134" t="str">
        <f>IF(AND('331-CT'!$E$7=TH!H930,OR(N930="331",O930="331")),"x","")</f>
        <v/>
      </c>
    </row>
    <row r="931" spans="1:16">
      <c r="A931" s="72">
        <f t="shared" si="35"/>
        <v>2015</v>
      </c>
      <c r="B931" s="72">
        <f t="shared" si="36"/>
        <v>10</v>
      </c>
      <c r="C931" s="73">
        <v>42299</v>
      </c>
      <c r="D931" s="73" t="s">
        <v>17</v>
      </c>
      <c r="E931" s="73">
        <v>42299</v>
      </c>
      <c r="F931" s="76" t="s">
        <v>147</v>
      </c>
      <c r="G931" s="265"/>
      <c r="H931" s="122" t="s">
        <v>318</v>
      </c>
      <c r="I931" s="122"/>
      <c r="J931" s="122"/>
      <c r="K931" s="122"/>
      <c r="L931" s="122"/>
      <c r="M931" s="74">
        <v>11889102</v>
      </c>
      <c r="N931" s="75" t="s">
        <v>239</v>
      </c>
      <c r="O931" s="75" t="s">
        <v>54</v>
      </c>
      <c r="P931" s="134" t="str">
        <f>IF(AND('331-CT'!$E$7=TH!H931,OR(N931="331",O931="331")),"x","")</f>
        <v/>
      </c>
    </row>
    <row r="932" spans="1:16">
      <c r="A932" s="72">
        <f t="shared" si="35"/>
        <v>2015</v>
      </c>
      <c r="B932" s="72">
        <f t="shared" si="36"/>
        <v>10</v>
      </c>
      <c r="C932" s="73">
        <v>42299</v>
      </c>
      <c r="D932" s="73" t="s">
        <v>17</v>
      </c>
      <c r="E932" s="73">
        <v>42299</v>
      </c>
      <c r="F932" s="76" t="s">
        <v>272</v>
      </c>
      <c r="G932" s="265"/>
      <c r="H932" s="122" t="s">
        <v>319</v>
      </c>
      <c r="I932" s="122"/>
      <c r="J932" s="122"/>
      <c r="K932" s="122"/>
      <c r="L932" s="122"/>
      <c r="M932" s="74">
        <v>15852135</v>
      </c>
      <c r="N932" s="75" t="s">
        <v>239</v>
      </c>
      <c r="O932" s="75" t="s">
        <v>54</v>
      </c>
      <c r="P932" s="134" t="str">
        <f>IF(AND('331-CT'!$E$7=TH!H932,OR(N932="331",O932="331")),"x","")</f>
        <v/>
      </c>
    </row>
    <row r="933" spans="1:16">
      <c r="A933" s="72">
        <f t="shared" si="35"/>
        <v>2015</v>
      </c>
      <c r="B933" s="72">
        <f t="shared" si="36"/>
        <v>10</v>
      </c>
      <c r="C933" s="73">
        <v>42299</v>
      </c>
      <c r="D933" s="73" t="s">
        <v>17</v>
      </c>
      <c r="E933" s="73">
        <v>42299</v>
      </c>
      <c r="F933" s="76" t="s">
        <v>303</v>
      </c>
      <c r="G933" s="270"/>
      <c r="H933" s="122" t="s">
        <v>321</v>
      </c>
      <c r="I933" s="122"/>
      <c r="J933" s="122"/>
      <c r="K933" s="122"/>
      <c r="L933" s="122"/>
      <c r="M933" s="74">
        <v>11889102</v>
      </c>
      <c r="N933" s="75" t="s">
        <v>239</v>
      </c>
      <c r="O933" s="75" t="s">
        <v>54</v>
      </c>
      <c r="P933" s="134" t="str">
        <f>IF(AND('331-CT'!$E$7=TH!H933,OR(N933="331",O933="331")),"x","")</f>
        <v/>
      </c>
    </row>
    <row r="934" spans="1:16">
      <c r="A934" s="72">
        <f t="shared" si="35"/>
        <v>2015</v>
      </c>
      <c r="B934" s="72">
        <f t="shared" si="36"/>
        <v>10</v>
      </c>
      <c r="C934" s="73">
        <v>42299</v>
      </c>
      <c r="D934" s="73" t="s">
        <v>17</v>
      </c>
      <c r="E934" s="73">
        <v>42299</v>
      </c>
      <c r="F934" s="76" t="s">
        <v>464</v>
      </c>
      <c r="G934" s="270"/>
      <c r="H934" s="122" t="s">
        <v>325</v>
      </c>
      <c r="I934" s="122"/>
      <c r="J934" s="122"/>
      <c r="K934" s="122"/>
      <c r="L934" s="122"/>
      <c r="M934" s="74">
        <v>11889102</v>
      </c>
      <c r="N934" s="75" t="s">
        <v>239</v>
      </c>
      <c r="O934" s="75" t="s">
        <v>54</v>
      </c>
      <c r="P934" s="134" t="str">
        <f>IF(AND('331-CT'!$E$7=TH!H934,OR(N934="331",O934="331")),"x","")</f>
        <v/>
      </c>
    </row>
    <row r="935" spans="1:16">
      <c r="A935" s="72">
        <f t="shared" si="35"/>
        <v>2015</v>
      </c>
      <c r="B935" s="72">
        <f t="shared" si="36"/>
        <v>10</v>
      </c>
      <c r="C935" s="73">
        <v>42299</v>
      </c>
      <c r="D935" s="73" t="s">
        <v>17</v>
      </c>
      <c r="E935" s="73">
        <v>42299</v>
      </c>
      <c r="F935" s="76" t="s">
        <v>465</v>
      </c>
      <c r="G935" s="270"/>
      <c r="H935" s="122" t="s">
        <v>416</v>
      </c>
      <c r="I935" s="122"/>
      <c r="J935" s="122"/>
      <c r="K935" s="122"/>
      <c r="L935" s="122"/>
      <c r="M935" s="74">
        <v>11889102</v>
      </c>
      <c r="N935" s="75" t="s">
        <v>239</v>
      </c>
      <c r="O935" s="75" t="s">
        <v>54</v>
      </c>
      <c r="P935" s="134" t="str">
        <f>IF(AND('331-CT'!$E$7=TH!H935,OR(N935="331",O935="331")),"x","")</f>
        <v/>
      </c>
    </row>
    <row r="936" spans="1:16">
      <c r="A936" s="72">
        <f t="shared" si="35"/>
        <v>2015</v>
      </c>
      <c r="B936" s="72">
        <f t="shared" si="36"/>
        <v>10</v>
      </c>
      <c r="C936" s="73">
        <v>42299</v>
      </c>
      <c r="D936" s="73" t="s">
        <v>17</v>
      </c>
      <c r="E936" s="73">
        <v>42299</v>
      </c>
      <c r="F936" s="76" t="s">
        <v>579</v>
      </c>
      <c r="G936" s="270"/>
      <c r="H936" s="122" t="s">
        <v>421</v>
      </c>
      <c r="I936" s="122"/>
      <c r="J936" s="122"/>
      <c r="K936" s="122"/>
      <c r="L936" s="122"/>
      <c r="M936" s="74">
        <v>7926068</v>
      </c>
      <c r="N936" s="75" t="s">
        <v>239</v>
      </c>
      <c r="O936" s="75" t="s">
        <v>54</v>
      </c>
      <c r="P936" s="134" t="str">
        <f>IF(AND('331-CT'!$E$7=TH!H936,OR(N936="331",O936="331")),"x","")</f>
        <v/>
      </c>
    </row>
    <row r="937" spans="1:16">
      <c r="A937" s="72">
        <f t="shared" si="35"/>
        <v>2015</v>
      </c>
      <c r="B937" s="72">
        <f t="shared" si="36"/>
        <v>10</v>
      </c>
      <c r="C937" s="73">
        <v>42299</v>
      </c>
      <c r="D937" s="73" t="s">
        <v>17</v>
      </c>
      <c r="E937" s="73">
        <v>42299</v>
      </c>
      <c r="F937" s="76" t="s">
        <v>580</v>
      </c>
      <c r="G937" s="265"/>
      <c r="H937" s="122" t="s">
        <v>455</v>
      </c>
      <c r="I937" s="122"/>
      <c r="J937" s="122"/>
      <c r="K937" s="122"/>
      <c r="L937" s="122"/>
      <c r="M937" s="74">
        <v>7926068</v>
      </c>
      <c r="N937" s="75" t="s">
        <v>239</v>
      </c>
      <c r="O937" s="75" t="s">
        <v>54</v>
      </c>
      <c r="P937" s="134" t="str">
        <f>IF(AND('331-CT'!$E$7=TH!H937,OR(N937="331",O937="331")),"x","")</f>
        <v/>
      </c>
    </row>
    <row r="938" spans="1:16">
      <c r="A938" s="72">
        <f t="shared" si="35"/>
        <v>2015</v>
      </c>
      <c r="B938" s="72">
        <f t="shared" si="36"/>
        <v>10</v>
      </c>
      <c r="C938" s="73">
        <v>42299</v>
      </c>
      <c r="D938" s="73" t="s">
        <v>17</v>
      </c>
      <c r="E938" s="73">
        <v>42299</v>
      </c>
      <c r="F938" s="76" t="s">
        <v>417</v>
      </c>
      <c r="G938" s="265"/>
      <c r="H938" s="122" t="s">
        <v>323</v>
      </c>
      <c r="I938" s="122"/>
      <c r="J938" s="122"/>
      <c r="K938" s="122"/>
      <c r="L938" s="122"/>
      <c r="M938" s="74">
        <v>11889102</v>
      </c>
      <c r="N938" s="75" t="s">
        <v>239</v>
      </c>
      <c r="O938" s="75" t="s">
        <v>54</v>
      </c>
      <c r="P938" s="134" t="str">
        <f>IF(AND('331-CT'!$E$7=TH!H938,OR(N938="331",O938="331")),"x","")</f>
        <v/>
      </c>
    </row>
    <row r="939" spans="1:16">
      <c r="A939" s="72">
        <f t="shared" si="35"/>
        <v>2015</v>
      </c>
      <c r="B939" s="72">
        <f t="shared" si="36"/>
        <v>10</v>
      </c>
      <c r="C939" s="73">
        <v>42301</v>
      </c>
      <c r="D939" s="73" t="s">
        <v>21</v>
      </c>
      <c r="E939" s="73">
        <v>42301</v>
      </c>
      <c r="F939" s="76" t="s">
        <v>419</v>
      </c>
      <c r="G939" s="265"/>
      <c r="H939" s="122"/>
      <c r="I939" s="122"/>
      <c r="J939" s="122"/>
      <c r="K939" s="122"/>
      <c r="L939" s="122"/>
      <c r="M939" s="74">
        <v>400000</v>
      </c>
      <c r="N939" s="75" t="s">
        <v>54</v>
      </c>
      <c r="O939" s="75" t="s">
        <v>243</v>
      </c>
      <c r="P939" s="134" t="str">
        <f>IF(AND('331-CT'!$E$7=TH!H939,OR(N939="331",O939="331")),"x","")</f>
        <v/>
      </c>
    </row>
    <row r="940" spans="1:16">
      <c r="A940" s="72">
        <f t="shared" si="35"/>
        <v>2015</v>
      </c>
      <c r="B940" s="72">
        <f t="shared" si="36"/>
        <v>10</v>
      </c>
      <c r="C940" s="73">
        <v>42301</v>
      </c>
      <c r="D940" s="73" t="s">
        <v>21</v>
      </c>
      <c r="E940" s="73">
        <v>42301</v>
      </c>
      <c r="F940" s="76" t="s">
        <v>98</v>
      </c>
      <c r="G940" s="265"/>
      <c r="H940" s="122"/>
      <c r="I940" s="122"/>
      <c r="J940" s="122"/>
      <c r="K940" s="122"/>
      <c r="L940" s="122"/>
      <c r="M940" s="74">
        <v>9085</v>
      </c>
      <c r="N940" s="75" t="s">
        <v>54</v>
      </c>
      <c r="O940" s="75" t="s">
        <v>99</v>
      </c>
      <c r="P940" s="134" t="str">
        <f>IF(AND('331-CT'!$E$7=TH!H940,OR(N940="331",O940="331")),"x","")</f>
        <v/>
      </c>
    </row>
    <row r="941" spans="1:16">
      <c r="A941" s="72">
        <f t="shared" si="35"/>
        <v>2015</v>
      </c>
      <c r="B941" s="72">
        <f t="shared" si="36"/>
        <v>10</v>
      </c>
      <c r="C941" s="73">
        <v>42301</v>
      </c>
      <c r="D941" s="73" t="s">
        <v>509</v>
      </c>
      <c r="E941" s="73">
        <v>42301</v>
      </c>
      <c r="F941" s="76" t="s">
        <v>735</v>
      </c>
      <c r="G941" s="265" t="s">
        <v>736</v>
      </c>
      <c r="H941" s="122" t="s">
        <v>726</v>
      </c>
      <c r="I941" s="122"/>
      <c r="J941" s="122"/>
      <c r="K941" s="122"/>
      <c r="L941" s="122"/>
      <c r="M941" s="74">
        <v>18000000</v>
      </c>
      <c r="N941" s="75" t="s">
        <v>654</v>
      </c>
      <c r="O941" s="75" t="s">
        <v>203</v>
      </c>
      <c r="P941" s="134" t="str">
        <f>IF(AND('331-CT'!$E$7=TH!H941,OR(N941="331",O941="331")),"x","")</f>
        <v/>
      </c>
    </row>
    <row r="942" spans="1:16">
      <c r="A942" s="72">
        <f t="shared" si="35"/>
        <v>2015</v>
      </c>
      <c r="B942" s="72">
        <f t="shared" si="36"/>
        <v>10</v>
      </c>
      <c r="C942" s="73">
        <v>42301</v>
      </c>
      <c r="D942" s="73" t="s">
        <v>509</v>
      </c>
      <c r="E942" s="73">
        <v>42301</v>
      </c>
      <c r="F942" s="76" t="s">
        <v>737</v>
      </c>
      <c r="G942" s="265" t="s">
        <v>736</v>
      </c>
      <c r="H942" s="122" t="s">
        <v>726</v>
      </c>
      <c r="I942" s="122"/>
      <c r="J942" s="122"/>
      <c r="K942" s="122"/>
      <c r="L942" s="122"/>
      <c r="M942" s="74">
        <v>1800000</v>
      </c>
      <c r="N942" s="75" t="s">
        <v>19</v>
      </c>
      <c r="O942" s="75" t="s">
        <v>203</v>
      </c>
      <c r="P942" s="134" t="str">
        <f>IF(AND('331-CT'!$E$7=TH!H942,OR(N942="331",O942="331")),"x","")</f>
        <v/>
      </c>
    </row>
    <row r="943" spans="1:16">
      <c r="A943" s="72">
        <f t="shared" si="35"/>
        <v>2015</v>
      </c>
      <c r="B943" s="72">
        <f t="shared" si="36"/>
        <v>10</v>
      </c>
      <c r="C943" s="73">
        <v>42303</v>
      </c>
      <c r="D943" s="73" t="s">
        <v>510</v>
      </c>
      <c r="E943" s="73">
        <v>42303</v>
      </c>
      <c r="F943" s="76" t="s">
        <v>663</v>
      </c>
      <c r="G943" s="265" t="s">
        <v>665</v>
      </c>
      <c r="H943" s="122" t="s">
        <v>666</v>
      </c>
      <c r="I943" s="122"/>
      <c r="J943" s="122"/>
      <c r="K943" s="122"/>
      <c r="L943" s="122"/>
      <c r="M943" s="74">
        <v>16000000</v>
      </c>
      <c r="N943" s="75" t="s">
        <v>654</v>
      </c>
      <c r="O943" s="75" t="s">
        <v>203</v>
      </c>
      <c r="P943" s="134" t="str">
        <f>IF(AND('331-CT'!$E$7=TH!H943,OR(N943="331",O943="331")),"x","")</f>
        <v/>
      </c>
    </row>
    <row r="944" spans="1:16">
      <c r="A944" s="72">
        <f t="shared" si="35"/>
        <v>2015</v>
      </c>
      <c r="B944" s="72">
        <f t="shared" si="36"/>
        <v>10</v>
      </c>
      <c r="C944" s="73">
        <v>42303</v>
      </c>
      <c r="D944" s="73" t="s">
        <v>510</v>
      </c>
      <c r="E944" s="73">
        <v>42303</v>
      </c>
      <c r="F944" s="76" t="s">
        <v>664</v>
      </c>
      <c r="G944" s="265" t="s">
        <v>665</v>
      </c>
      <c r="H944" s="122" t="s">
        <v>666</v>
      </c>
      <c r="I944" s="122"/>
      <c r="J944" s="122"/>
      <c r="K944" s="122"/>
      <c r="L944" s="122"/>
      <c r="M944" s="74">
        <v>1600000</v>
      </c>
      <c r="N944" s="75" t="s">
        <v>19</v>
      </c>
      <c r="O944" s="75" t="s">
        <v>203</v>
      </c>
      <c r="P944" s="134" t="str">
        <f>IF(AND('331-CT'!$E$7=TH!H944,OR(N944="331",O944="331")),"x","")</f>
        <v/>
      </c>
    </row>
    <row r="945" spans="1:16">
      <c r="A945" s="72">
        <f t="shared" si="35"/>
        <v>2015</v>
      </c>
      <c r="B945" s="72">
        <f t="shared" si="36"/>
        <v>10</v>
      </c>
      <c r="C945" s="73">
        <v>42303</v>
      </c>
      <c r="D945" s="73" t="s">
        <v>761</v>
      </c>
      <c r="E945" s="73">
        <v>42303</v>
      </c>
      <c r="F945" s="76" t="s">
        <v>575</v>
      </c>
      <c r="G945" s="265"/>
      <c r="H945" s="122" t="s">
        <v>271</v>
      </c>
      <c r="I945" s="122"/>
      <c r="J945" s="122"/>
      <c r="K945" s="122"/>
      <c r="L945" s="122"/>
      <c r="M945" s="74">
        <v>20000000</v>
      </c>
      <c r="N945" s="75" t="s">
        <v>54</v>
      </c>
      <c r="O945" s="75" t="s">
        <v>203</v>
      </c>
      <c r="P945" s="134" t="str">
        <f>IF(AND('331-CT'!$E$7=TH!H945,OR(N945="331",O945="331")),"x","")</f>
        <v/>
      </c>
    </row>
    <row r="946" spans="1:16">
      <c r="A946" s="72">
        <f t="shared" si="35"/>
        <v>2015</v>
      </c>
      <c r="B946" s="72">
        <f t="shared" si="36"/>
        <v>10</v>
      </c>
      <c r="C946" s="73">
        <v>42303</v>
      </c>
      <c r="D946" s="73" t="s">
        <v>762</v>
      </c>
      <c r="E946" s="73">
        <v>42303</v>
      </c>
      <c r="F946" s="76" t="s">
        <v>724</v>
      </c>
      <c r="G946" s="265" t="s">
        <v>738</v>
      </c>
      <c r="H946" s="122" t="s">
        <v>726</v>
      </c>
      <c r="I946" s="122"/>
      <c r="J946" s="122"/>
      <c r="K946" s="122"/>
      <c r="L946" s="122"/>
      <c r="M946" s="74">
        <v>15000000</v>
      </c>
      <c r="N946" s="75" t="s">
        <v>654</v>
      </c>
      <c r="O946" s="75" t="s">
        <v>203</v>
      </c>
      <c r="P946" s="134" t="str">
        <f>IF(AND('331-CT'!$E$7=TH!H946,OR(N946="331",O946="331")),"x","")</f>
        <v/>
      </c>
    </row>
    <row r="947" spans="1:16">
      <c r="A947" s="72">
        <f t="shared" si="35"/>
        <v>2015</v>
      </c>
      <c r="B947" s="72">
        <f t="shared" si="36"/>
        <v>10</v>
      </c>
      <c r="C947" s="73">
        <v>42303</v>
      </c>
      <c r="D947" s="73" t="s">
        <v>762</v>
      </c>
      <c r="E947" s="73">
        <v>42303</v>
      </c>
      <c r="F947" s="76" t="s">
        <v>727</v>
      </c>
      <c r="G947" s="265" t="s">
        <v>738</v>
      </c>
      <c r="H947" s="122" t="s">
        <v>726</v>
      </c>
      <c r="I947" s="122"/>
      <c r="J947" s="122"/>
      <c r="K947" s="122"/>
      <c r="L947" s="122"/>
      <c r="M947" s="74">
        <v>1500000</v>
      </c>
      <c r="N947" s="75" t="s">
        <v>19</v>
      </c>
      <c r="O947" s="75" t="s">
        <v>203</v>
      </c>
      <c r="P947" s="134" t="str">
        <f>IF(AND('331-CT'!$E$7=TH!H947,OR(N947="331",O947="331")),"x","")</f>
        <v/>
      </c>
    </row>
    <row r="948" spans="1:16">
      <c r="A948" s="72">
        <f t="shared" si="35"/>
        <v>2015</v>
      </c>
      <c r="B948" s="72">
        <f t="shared" si="36"/>
        <v>10</v>
      </c>
      <c r="C948" s="73">
        <v>42303</v>
      </c>
      <c r="D948" s="73" t="s">
        <v>78</v>
      </c>
      <c r="E948" s="73">
        <v>42303</v>
      </c>
      <c r="F948" s="76" t="s">
        <v>1049</v>
      </c>
      <c r="G948" s="265" t="s">
        <v>1050</v>
      </c>
      <c r="H948" s="122" t="s">
        <v>648</v>
      </c>
      <c r="I948" s="122"/>
      <c r="J948" s="122"/>
      <c r="K948" s="122"/>
      <c r="L948" s="122"/>
      <c r="M948" s="74">
        <v>27858600</v>
      </c>
      <c r="N948" s="75" t="s">
        <v>241</v>
      </c>
      <c r="O948" s="75" t="s">
        <v>18</v>
      </c>
      <c r="P948" s="134" t="str">
        <f>IF(AND('331-CT'!$E$7=TH!H948,OR(N948="331",O948="331")),"x","")</f>
        <v/>
      </c>
    </row>
    <row r="949" spans="1:16">
      <c r="A949" s="72">
        <f t="shared" si="35"/>
        <v>2015</v>
      </c>
      <c r="B949" s="72">
        <f t="shared" si="36"/>
        <v>10</v>
      </c>
      <c r="C949" s="73">
        <v>42303</v>
      </c>
      <c r="D949" s="73" t="s">
        <v>78</v>
      </c>
      <c r="E949" s="73">
        <v>42303</v>
      </c>
      <c r="F949" s="76" t="s">
        <v>1051</v>
      </c>
      <c r="G949" s="265" t="s">
        <v>1050</v>
      </c>
      <c r="H949" s="122" t="s">
        <v>648</v>
      </c>
      <c r="I949" s="122"/>
      <c r="J949" s="122"/>
      <c r="K949" s="122"/>
      <c r="L949" s="122"/>
      <c r="M949" s="74">
        <v>2785860</v>
      </c>
      <c r="N949" s="75" t="s">
        <v>19</v>
      </c>
      <c r="O949" s="75" t="s">
        <v>18</v>
      </c>
      <c r="P949" s="134" t="str">
        <f>IF(AND('331-CT'!$E$7=TH!H949,OR(N949="331",O949="331")),"x","")</f>
        <v/>
      </c>
    </row>
    <row r="950" spans="1:16">
      <c r="A950" s="72">
        <f t="shared" si="35"/>
        <v>2015</v>
      </c>
      <c r="B950" s="72">
        <f t="shared" si="36"/>
        <v>10</v>
      </c>
      <c r="C950" s="73">
        <v>42304</v>
      </c>
      <c r="D950" s="73" t="s">
        <v>17</v>
      </c>
      <c r="E950" s="73">
        <v>42304</v>
      </c>
      <c r="F950" s="76" t="s">
        <v>722</v>
      </c>
      <c r="G950" s="265"/>
      <c r="H950" s="122" t="s">
        <v>631</v>
      </c>
      <c r="I950" s="122"/>
      <c r="J950" s="122"/>
      <c r="K950" s="122"/>
      <c r="L950" s="122"/>
      <c r="M950" s="74">
        <v>20382000</v>
      </c>
      <c r="N950" s="75" t="s">
        <v>18</v>
      </c>
      <c r="O950" s="75" t="s">
        <v>54</v>
      </c>
      <c r="P950" s="134" t="str">
        <f>IF(AND('331-CT'!$E$7=TH!H950,OR(N950="331",O950="331")),"x","")</f>
        <v/>
      </c>
    </row>
    <row r="951" spans="1:16">
      <c r="A951" s="72">
        <f t="shared" si="35"/>
        <v>2015</v>
      </c>
      <c r="B951" s="72">
        <f t="shared" si="36"/>
        <v>10</v>
      </c>
      <c r="C951" s="73">
        <v>42304</v>
      </c>
      <c r="D951" s="73" t="s">
        <v>17</v>
      </c>
      <c r="E951" s="73">
        <v>42304</v>
      </c>
      <c r="F951" s="76" t="s">
        <v>34</v>
      </c>
      <c r="G951" s="270"/>
      <c r="H951" s="122"/>
      <c r="I951" s="122"/>
      <c r="J951" s="122"/>
      <c r="K951" s="122"/>
      <c r="L951" s="122"/>
      <c r="M951" s="74">
        <v>45000</v>
      </c>
      <c r="N951" s="75" t="s">
        <v>241</v>
      </c>
      <c r="O951" s="75" t="s">
        <v>54</v>
      </c>
      <c r="P951" s="134" t="str">
        <f>IF(AND('331-CT'!$E$7=TH!H951,OR(N951="331",O951="331")),"x","")</f>
        <v/>
      </c>
    </row>
    <row r="952" spans="1:16">
      <c r="A952" s="72">
        <f t="shared" si="35"/>
        <v>2015</v>
      </c>
      <c r="B952" s="72">
        <f t="shared" si="36"/>
        <v>10</v>
      </c>
      <c r="C952" s="73">
        <v>42304</v>
      </c>
      <c r="D952" s="73" t="s">
        <v>17</v>
      </c>
      <c r="E952" s="73">
        <v>42304</v>
      </c>
      <c r="F952" s="76" t="s">
        <v>35</v>
      </c>
      <c r="G952" s="270"/>
      <c r="H952" s="122"/>
      <c r="I952" s="122"/>
      <c r="J952" s="122"/>
      <c r="K952" s="122"/>
      <c r="L952" s="122"/>
      <c r="M952" s="74">
        <v>4500</v>
      </c>
      <c r="N952" s="75" t="s">
        <v>19</v>
      </c>
      <c r="O952" s="75" t="s">
        <v>54</v>
      </c>
      <c r="P952" s="134" t="str">
        <f>IF(AND('331-CT'!$E$7=TH!H952,OR(N952="331",O952="331")),"x","")</f>
        <v/>
      </c>
    </row>
    <row r="953" spans="1:16">
      <c r="A953" s="72">
        <f t="shared" si="35"/>
        <v>2015</v>
      </c>
      <c r="B953" s="72">
        <f t="shared" si="36"/>
        <v>10</v>
      </c>
      <c r="C953" s="73">
        <v>42304</v>
      </c>
      <c r="D953" s="73" t="s">
        <v>78</v>
      </c>
      <c r="E953" s="73">
        <v>42304</v>
      </c>
      <c r="F953" s="76" t="s">
        <v>739</v>
      </c>
      <c r="G953" s="265" t="s">
        <v>740</v>
      </c>
      <c r="H953" s="122" t="s">
        <v>741</v>
      </c>
      <c r="I953" s="122"/>
      <c r="J953" s="122"/>
      <c r="K953" s="122"/>
      <c r="L953" s="122"/>
      <c r="M953" s="74">
        <v>9272640</v>
      </c>
      <c r="N953" s="75" t="s">
        <v>241</v>
      </c>
      <c r="O953" s="75" t="s">
        <v>18</v>
      </c>
      <c r="P953" s="134" t="str">
        <f>IF(AND('331-CT'!$E$7=TH!H953,OR(N953="331",O953="331")),"x","")</f>
        <v/>
      </c>
    </row>
    <row r="954" spans="1:16">
      <c r="A954" s="72">
        <f t="shared" si="35"/>
        <v>2015</v>
      </c>
      <c r="B954" s="72">
        <f t="shared" si="36"/>
        <v>10</v>
      </c>
      <c r="C954" s="73">
        <v>42304</v>
      </c>
      <c r="D954" s="73" t="s">
        <v>78</v>
      </c>
      <c r="E954" s="73">
        <v>42304</v>
      </c>
      <c r="F954" s="76" t="s">
        <v>742</v>
      </c>
      <c r="G954" s="265" t="s">
        <v>740</v>
      </c>
      <c r="H954" s="122" t="s">
        <v>741</v>
      </c>
      <c r="I954" s="122"/>
      <c r="J954" s="122"/>
      <c r="K954" s="122"/>
      <c r="L954" s="122"/>
      <c r="M954" s="74">
        <v>927264</v>
      </c>
      <c r="N954" s="75" t="s">
        <v>19</v>
      </c>
      <c r="O954" s="75" t="s">
        <v>18</v>
      </c>
      <c r="P954" s="134" t="str">
        <f>IF(AND('331-CT'!$E$7=TH!H954,OR(N954="331",O954="331")),"x","")</f>
        <v/>
      </c>
    </row>
    <row r="955" spans="1:16">
      <c r="A955" s="72">
        <f t="shared" si="35"/>
        <v>2015</v>
      </c>
      <c r="B955" s="72">
        <f t="shared" si="36"/>
        <v>10</v>
      </c>
      <c r="C955" s="73">
        <v>42304</v>
      </c>
      <c r="D955" s="73" t="s">
        <v>78</v>
      </c>
      <c r="E955" s="73">
        <v>42304</v>
      </c>
      <c r="F955" s="76" t="s">
        <v>462</v>
      </c>
      <c r="G955" s="265" t="s">
        <v>760</v>
      </c>
      <c r="H955" s="122" t="s">
        <v>190</v>
      </c>
      <c r="I955" s="122"/>
      <c r="J955" s="122"/>
      <c r="K955" s="122"/>
      <c r="L955" s="122"/>
      <c r="M955" s="74">
        <v>10313194</v>
      </c>
      <c r="N955" s="75" t="s">
        <v>654</v>
      </c>
      <c r="O955" s="75" t="s">
        <v>18</v>
      </c>
      <c r="P955" s="134" t="str">
        <f>IF(AND('331-CT'!$E$7=TH!H955,OR(N955="331",O955="331")),"x","")</f>
        <v/>
      </c>
    </row>
    <row r="956" spans="1:16">
      <c r="A956" s="72">
        <f t="shared" si="35"/>
        <v>2015</v>
      </c>
      <c r="B956" s="72">
        <f t="shared" si="36"/>
        <v>10</v>
      </c>
      <c r="C956" s="73">
        <v>42304</v>
      </c>
      <c r="D956" s="73" t="s">
        <v>78</v>
      </c>
      <c r="E956" s="73">
        <v>42304</v>
      </c>
      <c r="F956" s="76" t="s">
        <v>463</v>
      </c>
      <c r="G956" s="270" t="s">
        <v>760</v>
      </c>
      <c r="H956" s="122" t="s">
        <v>190</v>
      </c>
      <c r="I956" s="122"/>
      <c r="J956" s="122"/>
      <c r="K956" s="122"/>
      <c r="L956" s="122"/>
      <c r="M956" s="74">
        <v>1031319</v>
      </c>
      <c r="N956" s="75" t="s">
        <v>19</v>
      </c>
      <c r="O956" s="75" t="s">
        <v>18</v>
      </c>
      <c r="P956" s="134" t="str">
        <f>IF(AND('331-CT'!$E$7=TH!H956,OR(N956="331",O956="331")),"x","")</f>
        <v/>
      </c>
    </row>
    <row r="957" spans="1:16">
      <c r="A957" s="72">
        <f t="shared" si="35"/>
        <v>2015</v>
      </c>
      <c r="B957" s="72">
        <f t="shared" si="36"/>
        <v>10</v>
      </c>
      <c r="C957" s="73">
        <v>42305</v>
      </c>
      <c r="D957" s="73" t="s">
        <v>763</v>
      </c>
      <c r="E957" s="73">
        <v>42303</v>
      </c>
      <c r="F957" s="76" t="s">
        <v>575</v>
      </c>
      <c r="G957" s="270"/>
      <c r="H957" s="122" t="s">
        <v>271</v>
      </c>
      <c r="I957" s="122"/>
      <c r="J957" s="122"/>
      <c r="K957" s="122"/>
      <c r="L957" s="122"/>
      <c r="M957" s="74">
        <v>400000000</v>
      </c>
      <c r="N957" s="75" t="s">
        <v>54</v>
      </c>
      <c r="O957" s="75" t="s">
        <v>203</v>
      </c>
      <c r="P957" s="134" t="str">
        <f>IF(AND('331-CT'!$E$7=TH!H957,OR(N957="331",O957="331")),"x","")</f>
        <v/>
      </c>
    </row>
    <row r="958" spans="1:16">
      <c r="A958" s="72">
        <f t="shared" si="35"/>
        <v>2015</v>
      </c>
      <c r="B958" s="72">
        <f t="shared" si="36"/>
        <v>10</v>
      </c>
      <c r="C958" s="73">
        <v>42305</v>
      </c>
      <c r="D958" s="73" t="s">
        <v>17</v>
      </c>
      <c r="E958" s="73">
        <v>42305</v>
      </c>
      <c r="F958" s="76" t="s">
        <v>300</v>
      </c>
      <c r="G958" s="265"/>
      <c r="H958" s="122" t="s">
        <v>305</v>
      </c>
      <c r="I958" s="122"/>
      <c r="J958" s="122"/>
      <c r="K958" s="122"/>
      <c r="L958" s="122"/>
      <c r="M958" s="74">
        <v>400000000</v>
      </c>
      <c r="N958" s="75" t="s">
        <v>18</v>
      </c>
      <c r="O958" s="75" t="s">
        <v>54</v>
      </c>
      <c r="P958" s="134" t="str">
        <f>IF(AND('331-CT'!$E$7=TH!H958,OR(N958="331",O958="331")),"x","")</f>
        <v/>
      </c>
    </row>
    <row r="959" spans="1:16">
      <c r="A959" s="72">
        <f t="shared" si="35"/>
        <v>2015</v>
      </c>
      <c r="B959" s="72">
        <f t="shared" si="36"/>
        <v>10</v>
      </c>
      <c r="C959" s="73">
        <v>42305</v>
      </c>
      <c r="D959" s="73" t="s">
        <v>17</v>
      </c>
      <c r="E959" s="73">
        <v>42305</v>
      </c>
      <c r="F959" s="76" t="s">
        <v>34</v>
      </c>
      <c r="G959" s="265"/>
      <c r="H959" s="122"/>
      <c r="I959" s="122"/>
      <c r="J959" s="122"/>
      <c r="K959" s="122"/>
      <c r="L959" s="122"/>
      <c r="M959" s="74">
        <v>317438</v>
      </c>
      <c r="N959" s="75" t="s">
        <v>241</v>
      </c>
      <c r="O959" s="75" t="s">
        <v>54</v>
      </c>
      <c r="P959" s="134" t="str">
        <f>IF(AND('331-CT'!$E$7=TH!H959,OR(N959="331",O959="331")),"x","")</f>
        <v/>
      </c>
    </row>
    <row r="960" spans="1:16">
      <c r="A960" s="72">
        <f t="shared" si="35"/>
        <v>2015</v>
      </c>
      <c r="B960" s="72">
        <f t="shared" si="36"/>
        <v>10</v>
      </c>
      <c r="C960" s="73">
        <v>42305</v>
      </c>
      <c r="D960" s="73" t="s">
        <v>17</v>
      </c>
      <c r="E960" s="73">
        <v>42305</v>
      </c>
      <c r="F960" s="76" t="s">
        <v>35</v>
      </c>
      <c r="G960" s="265"/>
      <c r="H960" s="122"/>
      <c r="I960" s="122"/>
      <c r="J960" s="122"/>
      <c r="K960" s="122"/>
      <c r="L960" s="122"/>
      <c r="M960" s="74">
        <v>31744</v>
      </c>
      <c r="N960" s="75" t="s">
        <v>19</v>
      </c>
      <c r="O960" s="75" t="s">
        <v>54</v>
      </c>
      <c r="P960" s="134" t="str">
        <f>IF(AND('331-CT'!$E$7=TH!H960,OR(N960="331",O960="331")),"x","")</f>
        <v/>
      </c>
    </row>
    <row r="961" spans="1:16">
      <c r="A961" s="72">
        <f t="shared" si="35"/>
        <v>2015</v>
      </c>
      <c r="B961" s="72">
        <f t="shared" si="36"/>
        <v>10</v>
      </c>
      <c r="C961" s="73">
        <v>42306</v>
      </c>
      <c r="D961" s="73" t="s">
        <v>764</v>
      </c>
      <c r="E961" s="73">
        <v>42306</v>
      </c>
      <c r="F961" s="76" t="s">
        <v>743</v>
      </c>
      <c r="G961" s="270" t="s">
        <v>744</v>
      </c>
      <c r="H961" s="122" t="s">
        <v>726</v>
      </c>
      <c r="I961" s="122"/>
      <c r="J961" s="122"/>
      <c r="K961" s="122"/>
      <c r="L961" s="122"/>
      <c r="M961" s="74">
        <v>17100000</v>
      </c>
      <c r="N961" s="75" t="s">
        <v>654</v>
      </c>
      <c r="O961" s="75" t="s">
        <v>203</v>
      </c>
      <c r="P961" s="134" t="str">
        <f>IF(AND('331-CT'!$E$7=TH!H961,OR(N961="331",O961="331")),"x","")</f>
        <v/>
      </c>
    </row>
    <row r="962" spans="1:16">
      <c r="A962" s="72">
        <f t="shared" si="35"/>
        <v>2015</v>
      </c>
      <c r="B962" s="72">
        <f t="shared" si="36"/>
        <v>10</v>
      </c>
      <c r="C962" s="73">
        <v>42306</v>
      </c>
      <c r="D962" s="73" t="s">
        <v>764</v>
      </c>
      <c r="E962" s="73">
        <v>42306</v>
      </c>
      <c r="F962" s="76" t="s">
        <v>745</v>
      </c>
      <c r="G962" s="270" t="s">
        <v>744</v>
      </c>
      <c r="H962" s="122" t="s">
        <v>726</v>
      </c>
      <c r="I962" s="122"/>
      <c r="J962" s="122"/>
      <c r="K962" s="122"/>
      <c r="L962" s="122"/>
      <c r="M962" s="74">
        <v>1710000</v>
      </c>
      <c r="N962" s="75" t="s">
        <v>19</v>
      </c>
      <c r="O962" s="75" t="s">
        <v>203</v>
      </c>
      <c r="P962" s="134" t="str">
        <f>IF(AND('331-CT'!$E$7=TH!H962,OR(N962="331",O962="331")),"x","")</f>
        <v/>
      </c>
    </row>
    <row r="963" spans="1:16">
      <c r="A963" s="72">
        <f t="shared" si="35"/>
        <v>2015</v>
      </c>
      <c r="B963" s="72">
        <f t="shared" si="36"/>
        <v>10</v>
      </c>
      <c r="C963" s="73">
        <v>42307</v>
      </c>
      <c r="D963" s="73" t="s">
        <v>765</v>
      </c>
      <c r="E963" s="73">
        <v>42307</v>
      </c>
      <c r="F963" s="76" t="s">
        <v>625</v>
      </c>
      <c r="G963" s="265" t="s">
        <v>713</v>
      </c>
      <c r="H963" s="122" t="s">
        <v>628</v>
      </c>
      <c r="I963" s="122"/>
      <c r="J963" s="122"/>
      <c r="K963" s="122"/>
      <c r="L963" s="122"/>
      <c r="M963" s="74">
        <v>1650000</v>
      </c>
      <c r="N963" s="75" t="s">
        <v>654</v>
      </c>
      <c r="O963" s="75" t="s">
        <v>203</v>
      </c>
      <c r="P963" s="134" t="str">
        <f>IF(AND('331-CT'!$E$7=TH!H963,OR(N963="331",O963="331")),"x","")</f>
        <v/>
      </c>
    </row>
    <row r="964" spans="1:16">
      <c r="A964" s="72">
        <f t="shared" si="35"/>
        <v>2015</v>
      </c>
      <c r="B964" s="72">
        <f t="shared" si="36"/>
        <v>10</v>
      </c>
      <c r="C964" s="73">
        <v>42307</v>
      </c>
      <c r="D964" s="73" t="s">
        <v>765</v>
      </c>
      <c r="E964" s="73">
        <v>42307</v>
      </c>
      <c r="F964" s="76" t="s">
        <v>626</v>
      </c>
      <c r="G964" s="265" t="s">
        <v>713</v>
      </c>
      <c r="H964" s="122" t="s">
        <v>628</v>
      </c>
      <c r="I964" s="122"/>
      <c r="J964" s="122"/>
      <c r="K964" s="122"/>
      <c r="L964" s="122"/>
      <c r="M964" s="74">
        <v>165000</v>
      </c>
      <c r="N964" s="75" t="s">
        <v>19</v>
      </c>
      <c r="O964" s="75" t="s">
        <v>203</v>
      </c>
      <c r="P964" s="134" t="str">
        <f>IF(AND('331-CT'!$E$7=TH!H964,OR(N964="331",O964="331")),"x","")</f>
        <v/>
      </c>
    </row>
    <row r="965" spans="1:16">
      <c r="A965" s="72">
        <f t="shared" si="35"/>
        <v>2015</v>
      </c>
      <c r="B965" s="72">
        <f t="shared" si="36"/>
        <v>10</v>
      </c>
      <c r="C965" s="73">
        <v>42307</v>
      </c>
      <c r="D965" s="73" t="s">
        <v>78</v>
      </c>
      <c r="E965" s="73">
        <v>42307</v>
      </c>
      <c r="F965" s="76" t="s">
        <v>1076</v>
      </c>
      <c r="G965" s="265"/>
      <c r="H965" s="122" t="s">
        <v>519</v>
      </c>
      <c r="I965" s="122"/>
      <c r="J965" s="122"/>
      <c r="K965" s="122"/>
      <c r="L965" s="122"/>
      <c r="M965" s="74">
        <v>1678844208</v>
      </c>
      <c r="N965" s="75" t="s">
        <v>212</v>
      </c>
      <c r="O965" s="75" t="s">
        <v>19</v>
      </c>
      <c r="P965" s="134" t="str">
        <f>IF(AND('331-CT'!$E$7=TH!H965,OR(N965="331",O965="331")),"x","")</f>
        <v/>
      </c>
    </row>
    <row r="966" spans="1:16">
      <c r="A966" s="72">
        <f t="shared" si="35"/>
        <v>2015</v>
      </c>
      <c r="B966" s="72">
        <f t="shared" si="36"/>
        <v>10</v>
      </c>
      <c r="C966" s="73">
        <v>42308</v>
      </c>
      <c r="D966" s="73" t="s">
        <v>770</v>
      </c>
      <c r="E966" s="73">
        <v>42308</v>
      </c>
      <c r="F966" s="76" t="s">
        <v>724</v>
      </c>
      <c r="G966" s="265" t="s">
        <v>746</v>
      </c>
      <c r="H966" s="122" t="s">
        <v>726</v>
      </c>
      <c r="I966" s="122"/>
      <c r="J966" s="122"/>
      <c r="K966" s="122"/>
      <c r="L966" s="122"/>
      <c r="M966" s="74">
        <v>15000000</v>
      </c>
      <c r="N966" s="75" t="s">
        <v>654</v>
      </c>
      <c r="O966" s="75" t="s">
        <v>203</v>
      </c>
      <c r="P966" s="134" t="str">
        <f>IF(AND('331-CT'!$E$7=TH!H966,OR(N966="331",O966="331")),"x","")</f>
        <v/>
      </c>
    </row>
    <row r="967" spans="1:16">
      <c r="A967" s="72">
        <f t="shared" si="35"/>
        <v>2015</v>
      </c>
      <c r="B967" s="72">
        <f t="shared" si="36"/>
        <v>10</v>
      </c>
      <c r="C967" s="73">
        <v>42308</v>
      </c>
      <c r="D967" s="73" t="s">
        <v>770</v>
      </c>
      <c r="E967" s="73">
        <v>42308</v>
      </c>
      <c r="F967" s="76" t="s">
        <v>727</v>
      </c>
      <c r="G967" s="270" t="s">
        <v>746</v>
      </c>
      <c r="H967" s="122" t="s">
        <v>726</v>
      </c>
      <c r="I967" s="122"/>
      <c r="J967" s="122"/>
      <c r="K967" s="122"/>
      <c r="L967" s="122"/>
      <c r="M967" s="74">
        <v>1500000</v>
      </c>
      <c r="N967" s="75" t="s">
        <v>19</v>
      </c>
      <c r="O967" s="75" t="s">
        <v>203</v>
      </c>
      <c r="P967" s="134" t="str">
        <f>IF(AND('331-CT'!$E$7=TH!H967,OR(N967="331",O967="331")),"x","")</f>
        <v/>
      </c>
    </row>
    <row r="968" spans="1:16">
      <c r="A968" s="72">
        <f t="shared" si="35"/>
        <v>2015</v>
      </c>
      <c r="B968" s="72">
        <f t="shared" si="36"/>
        <v>11</v>
      </c>
      <c r="C968" s="73">
        <v>42313</v>
      </c>
      <c r="D968" s="73" t="s">
        <v>775</v>
      </c>
      <c r="E968" s="73">
        <v>42313</v>
      </c>
      <c r="F968" s="76" t="s">
        <v>766</v>
      </c>
      <c r="G968" s="270" t="s">
        <v>767</v>
      </c>
      <c r="H968" s="122" t="s">
        <v>768</v>
      </c>
      <c r="I968" s="122"/>
      <c r="J968" s="122"/>
      <c r="K968" s="122"/>
      <c r="L968" s="122"/>
      <c r="M968" s="74">
        <v>17750000</v>
      </c>
      <c r="N968" s="75" t="s">
        <v>654</v>
      </c>
      <c r="O968" s="75" t="s">
        <v>203</v>
      </c>
      <c r="P968" s="134" t="str">
        <f>IF(AND('331-CT'!$E$7=TH!H968,OR(N968="331",O968="331")),"x","")</f>
        <v/>
      </c>
    </row>
    <row r="969" spans="1:16">
      <c r="A969" s="72">
        <f t="shared" si="35"/>
        <v>2015</v>
      </c>
      <c r="B969" s="72">
        <f t="shared" si="36"/>
        <v>11</v>
      </c>
      <c r="C969" s="73">
        <v>42313</v>
      </c>
      <c r="D969" s="73" t="s">
        <v>775</v>
      </c>
      <c r="E969" s="73">
        <v>42313</v>
      </c>
      <c r="F969" s="76" t="s">
        <v>769</v>
      </c>
      <c r="G969" s="265" t="s">
        <v>767</v>
      </c>
      <c r="H969" s="122" t="s">
        <v>768</v>
      </c>
      <c r="I969" s="122"/>
      <c r="J969" s="122"/>
      <c r="K969" s="122"/>
      <c r="L969" s="122"/>
      <c r="M969" s="74">
        <v>1775000</v>
      </c>
      <c r="N969" s="75" t="s">
        <v>19</v>
      </c>
      <c r="O969" s="75" t="s">
        <v>203</v>
      </c>
      <c r="P969" s="134" t="str">
        <f>IF(AND('331-CT'!$E$7=TH!H969,OR(N969="331",O969="331")),"x","")</f>
        <v/>
      </c>
    </row>
    <row r="970" spans="1:16">
      <c r="A970" s="72">
        <f t="shared" ref="A970:A1033" si="37">IF(C970&lt;&gt;"",YEAR(C970),"")</f>
        <v>2015</v>
      </c>
      <c r="B970" s="72">
        <f t="shared" ref="B970:B1033" si="38">IF(C970&lt;&gt;"",MONTH(C970),"")</f>
        <v>11</v>
      </c>
      <c r="C970" s="73">
        <v>42317</v>
      </c>
      <c r="D970" s="73" t="s">
        <v>777</v>
      </c>
      <c r="E970" s="73">
        <v>42317</v>
      </c>
      <c r="F970" s="76" t="s">
        <v>771</v>
      </c>
      <c r="G970" s="265" t="s">
        <v>772</v>
      </c>
      <c r="H970" s="122" t="s">
        <v>773</v>
      </c>
      <c r="I970" s="122"/>
      <c r="J970" s="122"/>
      <c r="K970" s="122"/>
      <c r="L970" s="122"/>
      <c r="M970" s="74">
        <v>14460700</v>
      </c>
      <c r="N970" s="75" t="s">
        <v>654</v>
      </c>
      <c r="O970" s="75" t="s">
        <v>203</v>
      </c>
      <c r="P970" s="134" t="str">
        <f>IF(AND('331-CT'!$E$7=TH!H970,OR(N970="331",O970="331")),"x","")</f>
        <v/>
      </c>
    </row>
    <row r="971" spans="1:16">
      <c r="A971" s="72">
        <f t="shared" si="37"/>
        <v>2015</v>
      </c>
      <c r="B971" s="72">
        <f t="shared" si="38"/>
        <v>11</v>
      </c>
      <c r="C971" s="73">
        <v>42317</v>
      </c>
      <c r="D971" s="73" t="s">
        <v>777</v>
      </c>
      <c r="E971" s="73">
        <v>42317</v>
      </c>
      <c r="F971" s="76" t="s">
        <v>774</v>
      </c>
      <c r="G971" s="270" t="s">
        <v>772</v>
      </c>
      <c r="H971" s="122" t="s">
        <v>773</v>
      </c>
      <c r="I971" s="122"/>
      <c r="J971" s="122"/>
      <c r="K971" s="122"/>
      <c r="L971" s="122"/>
      <c r="M971" s="74">
        <v>1446070</v>
      </c>
      <c r="N971" s="75" t="s">
        <v>19</v>
      </c>
      <c r="O971" s="75" t="s">
        <v>203</v>
      </c>
      <c r="P971" s="134" t="str">
        <f>IF(AND('331-CT'!$E$7=TH!H971,OR(N971="331",O971="331")),"x","")</f>
        <v/>
      </c>
    </row>
    <row r="972" spans="1:16">
      <c r="A972" s="72">
        <f t="shared" si="37"/>
        <v>2015</v>
      </c>
      <c r="B972" s="72">
        <f t="shared" si="38"/>
        <v>11</v>
      </c>
      <c r="C972" s="73">
        <v>42317</v>
      </c>
      <c r="D972" s="73" t="s">
        <v>779</v>
      </c>
      <c r="E972" s="73">
        <v>42317</v>
      </c>
      <c r="F972" s="76" t="s">
        <v>766</v>
      </c>
      <c r="G972" s="270" t="s">
        <v>776</v>
      </c>
      <c r="H972" s="122" t="s">
        <v>768</v>
      </c>
      <c r="I972" s="122"/>
      <c r="J972" s="122"/>
      <c r="K972" s="122"/>
      <c r="L972" s="122"/>
      <c r="M972" s="74">
        <v>17900000</v>
      </c>
      <c r="N972" s="75" t="s">
        <v>654</v>
      </c>
      <c r="O972" s="75" t="s">
        <v>203</v>
      </c>
      <c r="P972" s="134" t="str">
        <f>IF(AND('331-CT'!$E$7=TH!H972,OR(N972="331",O972="331")),"x","")</f>
        <v/>
      </c>
    </row>
    <row r="973" spans="1:16">
      <c r="A973" s="72">
        <f t="shared" si="37"/>
        <v>2015</v>
      </c>
      <c r="B973" s="72">
        <f t="shared" si="38"/>
        <v>11</v>
      </c>
      <c r="C973" s="73">
        <v>42317</v>
      </c>
      <c r="D973" s="73" t="s">
        <v>779</v>
      </c>
      <c r="E973" s="73">
        <v>42317</v>
      </c>
      <c r="F973" s="76" t="s">
        <v>769</v>
      </c>
      <c r="G973" s="265" t="s">
        <v>776</v>
      </c>
      <c r="H973" s="122" t="s">
        <v>768</v>
      </c>
      <c r="I973" s="122"/>
      <c r="J973" s="122"/>
      <c r="K973" s="122"/>
      <c r="L973" s="122"/>
      <c r="M973" s="74">
        <v>1790000</v>
      </c>
      <c r="N973" s="75" t="s">
        <v>19</v>
      </c>
      <c r="O973" s="75" t="s">
        <v>203</v>
      </c>
      <c r="P973" s="134" t="str">
        <f>IF(AND('331-CT'!$E$7=TH!H973,OR(N973="331",O973="331")),"x","")</f>
        <v/>
      </c>
    </row>
    <row r="974" spans="1:16">
      <c r="A974" s="72">
        <f t="shared" si="37"/>
        <v>2015</v>
      </c>
      <c r="B974" s="72">
        <f t="shared" si="38"/>
        <v>11</v>
      </c>
      <c r="C974" s="73">
        <v>42318</v>
      </c>
      <c r="D974" s="73" t="s">
        <v>784</v>
      </c>
      <c r="E974" s="73">
        <v>42318</v>
      </c>
      <c r="F974" s="76" t="s">
        <v>771</v>
      </c>
      <c r="G974" s="265" t="s">
        <v>778</v>
      </c>
      <c r="H974" s="122" t="s">
        <v>773</v>
      </c>
      <c r="I974" s="122"/>
      <c r="J974" s="122"/>
      <c r="K974" s="122"/>
      <c r="L974" s="122"/>
      <c r="M974" s="74">
        <v>15610550</v>
      </c>
      <c r="N974" s="75" t="s">
        <v>654</v>
      </c>
      <c r="O974" s="75" t="s">
        <v>203</v>
      </c>
      <c r="P974" s="134" t="str">
        <f>IF(AND('331-CT'!$E$7=TH!H974,OR(N974="331",O974="331")),"x","")</f>
        <v/>
      </c>
    </row>
    <row r="975" spans="1:16">
      <c r="A975" s="72">
        <f t="shared" si="37"/>
        <v>2015</v>
      </c>
      <c r="B975" s="72">
        <f t="shared" si="38"/>
        <v>11</v>
      </c>
      <c r="C975" s="73">
        <v>42318</v>
      </c>
      <c r="D975" s="73" t="s">
        <v>784</v>
      </c>
      <c r="E975" s="73">
        <v>42318</v>
      </c>
      <c r="F975" s="76" t="s">
        <v>774</v>
      </c>
      <c r="G975" s="265" t="s">
        <v>778</v>
      </c>
      <c r="H975" s="122" t="s">
        <v>773</v>
      </c>
      <c r="I975" s="122"/>
      <c r="J975" s="122"/>
      <c r="K975" s="122"/>
      <c r="L975" s="122"/>
      <c r="M975" s="74">
        <v>1561055</v>
      </c>
      <c r="N975" s="75" t="s">
        <v>19</v>
      </c>
      <c r="O975" s="75" t="s">
        <v>203</v>
      </c>
      <c r="P975" s="134" t="str">
        <f>IF(AND('331-CT'!$E$7=TH!H975,OR(N975="331",O975="331")),"x","")</f>
        <v/>
      </c>
    </row>
    <row r="976" spans="1:16">
      <c r="A976" s="72">
        <f t="shared" si="37"/>
        <v>2015</v>
      </c>
      <c r="B976" s="72">
        <f t="shared" si="38"/>
        <v>11</v>
      </c>
      <c r="C976" s="73">
        <v>42318</v>
      </c>
      <c r="D976" s="73" t="s">
        <v>792</v>
      </c>
      <c r="E976" s="73">
        <v>42318</v>
      </c>
      <c r="F976" s="76" t="s">
        <v>780</v>
      </c>
      <c r="G976" s="265" t="s">
        <v>781</v>
      </c>
      <c r="H976" s="122" t="s">
        <v>782</v>
      </c>
      <c r="I976" s="122"/>
      <c r="J976" s="122"/>
      <c r="K976" s="122"/>
      <c r="L976" s="122"/>
      <c r="M976" s="74">
        <v>6818182</v>
      </c>
      <c r="N976" s="75" t="s">
        <v>241</v>
      </c>
      <c r="O976" s="75" t="s">
        <v>203</v>
      </c>
      <c r="P976" s="134" t="str">
        <f>IF(AND('331-CT'!$E$7=TH!H976,OR(N976="331",O976="331")),"x","")</f>
        <v/>
      </c>
    </row>
    <row r="977" spans="1:16">
      <c r="A977" s="72">
        <f t="shared" si="37"/>
        <v>2015</v>
      </c>
      <c r="B977" s="72">
        <f t="shared" si="38"/>
        <v>11</v>
      </c>
      <c r="C977" s="73">
        <v>42318</v>
      </c>
      <c r="D977" s="73" t="s">
        <v>792</v>
      </c>
      <c r="E977" s="73">
        <v>42318</v>
      </c>
      <c r="F977" s="76" t="s">
        <v>783</v>
      </c>
      <c r="G977" s="265" t="s">
        <v>781</v>
      </c>
      <c r="H977" s="122" t="s">
        <v>782</v>
      </c>
      <c r="I977" s="122"/>
      <c r="J977" s="122"/>
      <c r="K977" s="122"/>
      <c r="L977" s="122"/>
      <c r="M977" s="74">
        <v>681818</v>
      </c>
      <c r="N977" s="75" t="s">
        <v>19</v>
      </c>
      <c r="O977" s="75" t="s">
        <v>203</v>
      </c>
      <c r="P977" s="134" t="str">
        <f>IF(AND('331-CT'!$E$7=TH!H977,OR(N977="331",O977="331")),"x","")</f>
        <v/>
      </c>
    </row>
    <row r="978" spans="1:16">
      <c r="A978" s="72">
        <f t="shared" si="37"/>
        <v>2015</v>
      </c>
      <c r="B978" s="72">
        <f t="shared" si="38"/>
        <v>11</v>
      </c>
      <c r="C978" s="73">
        <v>42318</v>
      </c>
      <c r="D978" s="73" t="s">
        <v>796</v>
      </c>
      <c r="E978" s="73">
        <v>42318</v>
      </c>
      <c r="F978" s="76" t="s">
        <v>785</v>
      </c>
      <c r="G978" s="265" t="s">
        <v>786</v>
      </c>
      <c r="H978" s="122" t="s">
        <v>787</v>
      </c>
      <c r="I978" s="122"/>
      <c r="J978" s="122"/>
      <c r="K978" s="122"/>
      <c r="L978" s="122"/>
      <c r="M978" s="74">
        <v>7960000</v>
      </c>
      <c r="N978" s="75" t="s">
        <v>654</v>
      </c>
      <c r="O978" s="75" t="s">
        <v>203</v>
      </c>
      <c r="P978" s="134" t="str">
        <f>IF(AND('331-CT'!$E$7=TH!H978,OR(N978="331",O978="331")),"x","")</f>
        <v/>
      </c>
    </row>
    <row r="979" spans="1:16">
      <c r="A979" s="72">
        <f t="shared" si="37"/>
        <v>2015</v>
      </c>
      <c r="B979" s="72">
        <f t="shared" si="38"/>
        <v>11</v>
      </c>
      <c r="C979" s="73">
        <v>42318</v>
      </c>
      <c r="D979" s="73" t="s">
        <v>78</v>
      </c>
      <c r="E979" s="73">
        <v>42318</v>
      </c>
      <c r="F979" s="76" t="s">
        <v>788</v>
      </c>
      <c r="G979" s="265" t="s">
        <v>789</v>
      </c>
      <c r="H979" s="122" t="s">
        <v>790</v>
      </c>
      <c r="I979" s="122"/>
      <c r="J979" s="122"/>
      <c r="K979" s="122"/>
      <c r="L979" s="122"/>
      <c r="M979" s="74">
        <v>15221000</v>
      </c>
      <c r="N979" s="75" t="s">
        <v>654</v>
      </c>
      <c r="O979" s="75" t="s">
        <v>18</v>
      </c>
      <c r="P979" s="134" t="str">
        <f>IF(AND('331-CT'!$E$7=TH!H979,OR(N979="331",O979="331")),"x","")</f>
        <v/>
      </c>
    </row>
    <row r="980" spans="1:16">
      <c r="A980" s="72">
        <f t="shared" si="37"/>
        <v>2015</v>
      </c>
      <c r="B980" s="72">
        <f t="shared" si="38"/>
        <v>11</v>
      </c>
      <c r="C980" s="73">
        <v>42318</v>
      </c>
      <c r="D980" s="73" t="s">
        <v>78</v>
      </c>
      <c r="E980" s="73">
        <v>42318</v>
      </c>
      <c r="F980" s="76" t="s">
        <v>791</v>
      </c>
      <c r="G980" s="265" t="s">
        <v>789</v>
      </c>
      <c r="H980" s="122" t="s">
        <v>790</v>
      </c>
      <c r="I980" s="122"/>
      <c r="J980" s="122"/>
      <c r="K980" s="122"/>
      <c r="L980" s="122"/>
      <c r="M980" s="74">
        <v>1522100</v>
      </c>
      <c r="N980" s="75" t="s">
        <v>19</v>
      </c>
      <c r="O980" s="75" t="s">
        <v>18</v>
      </c>
      <c r="P980" s="134" t="str">
        <f>IF(AND('331-CT'!$E$7=TH!H980,OR(N980="331",O980="331")),"x","")</f>
        <v/>
      </c>
    </row>
    <row r="981" spans="1:16">
      <c r="A981" s="72">
        <f t="shared" si="37"/>
        <v>2015</v>
      </c>
      <c r="B981" s="72">
        <f t="shared" si="38"/>
        <v>11</v>
      </c>
      <c r="C981" s="73">
        <v>42319</v>
      </c>
      <c r="D981" s="73" t="s">
        <v>801</v>
      </c>
      <c r="E981" s="73">
        <v>42319</v>
      </c>
      <c r="F981" s="76" t="s">
        <v>793</v>
      </c>
      <c r="G981" s="265" t="s">
        <v>794</v>
      </c>
      <c r="H981" s="122" t="s">
        <v>773</v>
      </c>
      <c r="I981" s="122"/>
      <c r="J981" s="122"/>
      <c r="K981" s="122"/>
      <c r="L981" s="122"/>
      <c r="M981" s="74">
        <v>15000000</v>
      </c>
      <c r="N981" s="75" t="s">
        <v>654</v>
      </c>
      <c r="O981" s="75" t="s">
        <v>203</v>
      </c>
      <c r="P981" s="134" t="str">
        <f>IF(AND('331-CT'!$E$7=TH!H981,OR(N981="331",O981="331")),"x","")</f>
        <v/>
      </c>
    </row>
    <row r="982" spans="1:16">
      <c r="A982" s="72">
        <f t="shared" si="37"/>
        <v>2015</v>
      </c>
      <c r="B982" s="72">
        <f t="shared" si="38"/>
        <v>11</v>
      </c>
      <c r="C982" s="73">
        <v>42319</v>
      </c>
      <c r="D982" s="73" t="s">
        <v>801</v>
      </c>
      <c r="E982" s="73">
        <v>42319</v>
      </c>
      <c r="F982" s="76" t="s">
        <v>795</v>
      </c>
      <c r="G982" s="265" t="s">
        <v>794</v>
      </c>
      <c r="H982" s="122" t="s">
        <v>773</v>
      </c>
      <c r="I982" s="122"/>
      <c r="J982" s="122"/>
      <c r="K982" s="122"/>
      <c r="L982" s="122"/>
      <c r="M982" s="74">
        <v>1500000</v>
      </c>
      <c r="N982" s="75" t="s">
        <v>19</v>
      </c>
      <c r="O982" s="75" t="s">
        <v>203</v>
      </c>
      <c r="P982" s="134" t="str">
        <f>IF(AND('331-CT'!$E$7=TH!H982,OR(N982="331",O982="331")),"x","")</f>
        <v/>
      </c>
    </row>
    <row r="983" spans="1:16">
      <c r="A983" s="72">
        <f t="shared" si="37"/>
        <v>2015</v>
      </c>
      <c r="B983" s="72">
        <f t="shared" si="38"/>
        <v>11</v>
      </c>
      <c r="C983" s="73">
        <v>42319</v>
      </c>
      <c r="D983" s="73" t="s">
        <v>802</v>
      </c>
      <c r="E983" s="73">
        <v>42319</v>
      </c>
      <c r="F983" s="76" t="s">
        <v>797</v>
      </c>
      <c r="G983" s="265" t="s">
        <v>798</v>
      </c>
      <c r="H983" s="122" t="s">
        <v>799</v>
      </c>
      <c r="I983" s="122"/>
      <c r="J983" s="122"/>
      <c r="K983" s="122"/>
      <c r="L983" s="122"/>
      <c r="M983" s="74">
        <v>8181816</v>
      </c>
      <c r="N983" s="75" t="s">
        <v>654</v>
      </c>
      <c r="O983" s="75" t="s">
        <v>203</v>
      </c>
      <c r="P983" s="134" t="str">
        <f>IF(AND('331-CT'!$E$7=TH!H983,OR(N983="331",O983="331")),"x","")</f>
        <v/>
      </c>
    </row>
    <row r="984" spans="1:16">
      <c r="A984" s="72">
        <f t="shared" si="37"/>
        <v>2015</v>
      </c>
      <c r="B984" s="72">
        <f t="shared" si="38"/>
        <v>11</v>
      </c>
      <c r="C984" s="73">
        <v>42319</v>
      </c>
      <c r="D984" s="73" t="s">
        <v>802</v>
      </c>
      <c r="E984" s="73">
        <v>42319</v>
      </c>
      <c r="F984" s="76" t="s">
        <v>800</v>
      </c>
      <c r="G984" s="265" t="s">
        <v>798</v>
      </c>
      <c r="H984" s="122" t="s">
        <v>799</v>
      </c>
      <c r="I984" s="122"/>
      <c r="J984" s="122"/>
      <c r="K984" s="122"/>
      <c r="L984" s="122"/>
      <c r="M984" s="74">
        <v>818181</v>
      </c>
      <c r="N984" s="75" t="s">
        <v>19</v>
      </c>
      <c r="O984" s="75" t="s">
        <v>203</v>
      </c>
      <c r="P984" s="134" t="str">
        <f>IF(AND('331-CT'!$E$7=TH!H984,OR(N984="331",O984="331")),"x","")</f>
        <v/>
      </c>
    </row>
    <row r="985" spans="1:16">
      <c r="A985" s="72">
        <f t="shared" si="37"/>
        <v>2015</v>
      </c>
      <c r="B985" s="72">
        <f t="shared" si="38"/>
        <v>11</v>
      </c>
      <c r="C985" s="73">
        <v>42319</v>
      </c>
      <c r="D985" s="73" t="s">
        <v>803</v>
      </c>
      <c r="E985" s="73">
        <v>42319</v>
      </c>
      <c r="F985" s="76" t="s">
        <v>575</v>
      </c>
      <c r="G985" s="265"/>
      <c r="H985" s="122" t="s">
        <v>271</v>
      </c>
      <c r="I985" s="122"/>
      <c r="J985" s="122"/>
      <c r="K985" s="122"/>
      <c r="L985" s="122"/>
      <c r="M985" s="74">
        <v>50000000</v>
      </c>
      <c r="N985" s="75" t="s">
        <v>54</v>
      </c>
      <c r="O985" s="75" t="s">
        <v>203</v>
      </c>
      <c r="P985" s="134" t="str">
        <f>IF(AND('331-CT'!$E$7=TH!H985,OR(N985="331",O985="331")),"x","")</f>
        <v/>
      </c>
    </row>
    <row r="986" spans="1:16">
      <c r="A986" s="72">
        <f t="shared" si="37"/>
        <v>2015</v>
      </c>
      <c r="B986" s="72">
        <f t="shared" si="38"/>
        <v>11</v>
      </c>
      <c r="C986" s="73">
        <v>42319</v>
      </c>
      <c r="D986" s="73" t="s">
        <v>17</v>
      </c>
      <c r="E986" s="73">
        <v>42319</v>
      </c>
      <c r="F986" s="76" t="s">
        <v>300</v>
      </c>
      <c r="G986" s="265"/>
      <c r="H986" s="122" t="s">
        <v>151</v>
      </c>
      <c r="I986" s="122"/>
      <c r="J986" s="122"/>
      <c r="K986" s="122"/>
      <c r="L986" s="122"/>
      <c r="M986" s="74">
        <v>50000000</v>
      </c>
      <c r="N986" s="75" t="s">
        <v>18</v>
      </c>
      <c r="O986" s="75" t="s">
        <v>54</v>
      </c>
      <c r="P986" s="134" t="str">
        <f>IF(AND('331-CT'!$E$7=TH!H986,OR(N986="331",O986="331")),"x","")</f>
        <v/>
      </c>
    </row>
    <row r="987" spans="1:16">
      <c r="A987" s="72">
        <f t="shared" si="37"/>
        <v>2015</v>
      </c>
      <c r="B987" s="72">
        <f t="shared" si="38"/>
        <v>11</v>
      </c>
      <c r="C987" s="73">
        <v>42319</v>
      </c>
      <c r="D987" s="73" t="s">
        <v>17</v>
      </c>
      <c r="E987" s="73">
        <v>42319</v>
      </c>
      <c r="F987" s="76" t="s">
        <v>34</v>
      </c>
      <c r="G987" s="265"/>
      <c r="H987" s="122"/>
      <c r="I987" s="122"/>
      <c r="J987" s="122"/>
      <c r="K987" s="122"/>
      <c r="L987" s="122"/>
      <c r="M987" s="74">
        <v>45000</v>
      </c>
      <c r="N987" s="75" t="s">
        <v>241</v>
      </c>
      <c r="O987" s="75" t="s">
        <v>54</v>
      </c>
      <c r="P987" s="134" t="str">
        <f>IF(AND('331-CT'!$E$7=TH!H987,OR(N987="331",O987="331")),"x","")</f>
        <v/>
      </c>
    </row>
    <row r="988" spans="1:16">
      <c r="A988" s="72">
        <f t="shared" si="37"/>
        <v>2015</v>
      </c>
      <c r="B988" s="72">
        <f t="shared" si="38"/>
        <v>11</v>
      </c>
      <c r="C988" s="73">
        <v>42319</v>
      </c>
      <c r="D988" s="73" t="s">
        <v>17</v>
      </c>
      <c r="E988" s="73">
        <v>42319</v>
      </c>
      <c r="F988" s="76" t="s">
        <v>35</v>
      </c>
      <c r="G988" s="265"/>
      <c r="H988" s="122"/>
      <c r="I988" s="122"/>
      <c r="J988" s="122"/>
      <c r="K988" s="122"/>
      <c r="L988" s="122"/>
      <c r="M988" s="74">
        <v>4500</v>
      </c>
      <c r="N988" s="75" t="s">
        <v>19</v>
      </c>
      <c r="O988" s="75" t="s">
        <v>54</v>
      </c>
      <c r="P988" s="134" t="str">
        <f>IF(AND('331-CT'!$E$7=TH!H988,OR(N988="331",O988="331")),"x","")</f>
        <v/>
      </c>
    </row>
    <row r="989" spans="1:16">
      <c r="A989" s="72">
        <f t="shared" si="37"/>
        <v>2015</v>
      </c>
      <c r="B989" s="72">
        <f t="shared" si="38"/>
        <v>11</v>
      </c>
      <c r="C989" s="73">
        <v>42319</v>
      </c>
      <c r="D989" s="73" t="s">
        <v>78</v>
      </c>
      <c r="E989" s="73">
        <v>42319</v>
      </c>
      <c r="F989" s="76" t="s">
        <v>864</v>
      </c>
      <c r="G989" s="265" t="s">
        <v>865</v>
      </c>
      <c r="H989" s="122" t="s">
        <v>648</v>
      </c>
      <c r="I989" s="122"/>
      <c r="J989" s="122"/>
      <c r="K989" s="122"/>
      <c r="L989" s="122"/>
      <c r="M989" s="74">
        <v>35145400</v>
      </c>
      <c r="N989" s="75" t="s">
        <v>241</v>
      </c>
      <c r="O989" s="75" t="s">
        <v>18</v>
      </c>
      <c r="P989" s="134" t="str">
        <f>IF(AND('331-CT'!$E$7=TH!H989,OR(N989="331",O989="331")),"x","")</f>
        <v/>
      </c>
    </row>
    <row r="990" spans="1:16">
      <c r="A990" s="72">
        <f t="shared" si="37"/>
        <v>2015</v>
      </c>
      <c r="B990" s="72">
        <f t="shared" si="38"/>
        <v>11</v>
      </c>
      <c r="C990" s="73">
        <v>42319</v>
      </c>
      <c r="D990" s="73" t="s">
        <v>78</v>
      </c>
      <c r="E990" s="73">
        <v>42319</v>
      </c>
      <c r="F990" s="76" t="s">
        <v>866</v>
      </c>
      <c r="G990" s="265" t="s">
        <v>865</v>
      </c>
      <c r="H990" s="122" t="s">
        <v>648</v>
      </c>
      <c r="I990" s="122"/>
      <c r="J990" s="122"/>
      <c r="K990" s="122"/>
      <c r="L990" s="122"/>
      <c r="M990" s="74">
        <v>3514540</v>
      </c>
      <c r="N990" s="75" t="s">
        <v>19</v>
      </c>
      <c r="O990" s="75" t="s">
        <v>18</v>
      </c>
      <c r="P990" s="134" t="str">
        <f>IF(AND('331-CT'!$E$7=TH!H990,OR(N990="331",O990="331")),"x","")</f>
        <v/>
      </c>
    </row>
    <row r="991" spans="1:16">
      <c r="A991" s="72">
        <f t="shared" si="37"/>
        <v>2015</v>
      </c>
      <c r="B991" s="72">
        <f t="shared" si="38"/>
        <v>11</v>
      </c>
      <c r="C991" s="73">
        <v>42321</v>
      </c>
      <c r="D991" s="73" t="s">
        <v>807</v>
      </c>
      <c r="E991" s="73">
        <v>42321</v>
      </c>
      <c r="F991" s="76" t="s">
        <v>575</v>
      </c>
      <c r="G991" s="265"/>
      <c r="H991" s="122" t="s">
        <v>271</v>
      </c>
      <c r="I991" s="122"/>
      <c r="J991" s="122"/>
      <c r="K991" s="122"/>
      <c r="L991" s="122"/>
      <c r="M991" s="74">
        <v>50000000</v>
      </c>
      <c r="N991" s="75" t="s">
        <v>54</v>
      </c>
      <c r="O991" s="75" t="s">
        <v>203</v>
      </c>
      <c r="P991" s="134" t="str">
        <f>IF(AND('331-CT'!$E$7=TH!H991,OR(N991="331",O991="331")),"x","")</f>
        <v/>
      </c>
    </row>
    <row r="992" spans="1:16">
      <c r="A992" s="72">
        <f t="shared" si="37"/>
        <v>2015</v>
      </c>
      <c r="B992" s="72">
        <f t="shared" si="38"/>
        <v>11</v>
      </c>
      <c r="C992" s="73">
        <v>42321</v>
      </c>
      <c r="D992" s="73" t="s">
        <v>17</v>
      </c>
      <c r="E992" s="73">
        <v>42321</v>
      </c>
      <c r="F992" s="76" t="s">
        <v>839</v>
      </c>
      <c r="G992" s="265"/>
      <c r="H992" s="122" t="s">
        <v>741</v>
      </c>
      <c r="I992" s="122"/>
      <c r="J992" s="122"/>
      <c r="K992" s="122"/>
      <c r="L992" s="122"/>
      <c r="M992" s="74">
        <v>10199904</v>
      </c>
      <c r="N992" s="75" t="s">
        <v>18</v>
      </c>
      <c r="O992" s="75" t="s">
        <v>54</v>
      </c>
      <c r="P992" s="134" t="str">
        <f>IF(AND('331-CT'!$E$7=TH!H992,OR(N992="331",O992="331")),"x","")</f>
        <v/>
      </c>
    </row>
    <row r="993" spans="1:16">
      <c r="A993" s="72">
        <f t="shared" si="37"/>
        <v>2015</v>
      </c>
      <c r="B993" s="72">
        <f t="shared" si="38"/>
        <v>11</v>
      </c>
      <c r="C993" s="73">
        <v>42321</v>
      </c>
      <c r="D993" s="73" t="s">
        <v>17</v>
      </c>
      <c r="E993" s="73">
        <v>42321</v>
      </c>
      <c r="F993" s="76" t="s">
        <v>34</v>
      </c>
      <c r="G993" s="265"/>
      <c r="H993" s="122"/>
      <c r="I993" s="122"/>
      <c r="J993" s="122"/>
      <c r="K993" s="122"/>
      <c r="L993" s="122"/>
      <c r="M993" s="74">
        <v>45000</v>
      </c>
      <c r="N993" s="75" t="s">
        <v>241</v>
      </c>
      <c r="O993" s="75" t="s">
        <v>54</v>
      </c>
      <c r="P993" s="134" t="str">
        <f>IF(AND('331-CT'!$E$7=TH!H993,OR(N993="331",O993="331")),"x","")</f>
        <v/>
      </c>
    </row>
    <row r="994" spans="1:16">
      <c r="A994" s="72">
        <f t="shared" si="37"/>
        <v>2015</v>
      </c>
      <c r="B994" s="72">
        <f t="shared" si="38"/>
        <v>11</v>
      </c>
      <c r="C994" s="73">
        <v>42321</v>
      </c>
      <c r="D994" s="73" t="s">
        <v>17</v>
      </c>
      <c r="E994" s="73">
        <v>42321</v>
      </c>
      <c r="F994" s="76" t="s">
        <v>35</v>
      </c>
      <c r="G994" s="265"/>
      <c r="H994" s="122"/>
      <c r="I994" s="122"/>
      <c r="J994" s="122"/>
      <c r="K994" s="122"/>
      <c r="L994" s="122"/>
      <c r="M994" s="74">
        <v>4500</v>
      </c>
      <c r="N994" s="75" t="s">
        <v>19</v>
      </c>
      <c r="O994" s="75" t="s">
        <v>54</v>
      </c>
      <c r="P994" s="134" t="str">
        <f>IF(AND('331-CT'!$E$7=TH!H994,OR(N994="331",O994="331")),"x","")</f>
        <v/>
      </c>
    </row>
    <row r="995" spans="1:16">
      <c r="A995" s="72">
        <f t="shared" si="37"/>
        <v>2015</v>
      </c>
      <c r="B995" s="72">
        <f t="shared" si="38"/>
        <v>11</v>
      </c>
      <c r="C995" s="73">
        <v>42321</v>
      </c>
      <c r="D995" s="73" t="s">
        <v>17</v>
      </c>
      <c r="E995" s="73">
        <v>42321</v>
      </c>
      <c r="F995" s="76" t="s">
        <v>840</v>
      </c>
      <c r="G995" s="265"/>
      <c r="H995" s="122" t="s">
        <v>648</v>
      </c>
      <c r="I995" s="122"/>
      <c r="J995" s="122"/>
      <c r="K995" s="122"/>
      <c r="L995" s="122"/>
      <c r="M995" s="74">
        <v>30644460</v>
      </c>
      <c r="N995" s="75" t="s">
        <v>18</v>
      </c>
      <c r="O995" s="75" t="s">
        <v>54</v>
      </c>
      <c r="P995" s="134" t="str">
        <f>IF(AND('331-CT'!$E$7=TH!H995,OR(N995="331",O995="331")),"x","")</f>
        <v/>
      </c>
    </row>
    <row r="996" spans="1:16">
      <c r="A996" s="72">
        <f t="shared" si="37"/>
        <v>2015</v>
      </c>
      <c r="B996" s="72">
        <f t="shared" si="38"/>
        <v>11</v>
      </c>
      <c r="C996" s="73">
        <v>42321</v>
      </c>
      <c r="D996" s="73" t="s">
        <v>17</v>
      </c>
      <c r="E996" s="73">
        <v>42321</v>
      </c>
      <c r="F996" s="76" t="s">
        <v>34</v>
      </c>
      <c r="G996" s="265"/>
      <c r="H996" s="122"/>
      <c r="I996" s="122"/>
      <c r="J996" s="122"/>
      <c r="K996" s="122"/>
      <c r="L996" s="122"/>
      <c r="M996" s="74">
        <v>45000</v>
      </c>
      <c r="N996" s="75" t="s">
        <v>241</v>
      </c>
      <c r="O996" s="75" t="s">
        <v>54</v>
      </c>
      <c r="P996" s="134" t="str">
        <f>IF(AND('331-CT'!$E$7=TH!H996,OR(N996="331",O996="331")),"x","")</f>
        <v/>
      </c>
    </row>
    <row r="997" spans="1:16">
      <c r="A997" s="72">
        <f t="shared" si="37"/>
        <v>2015</v>
      </c>
      <c r="B997" s="72">
        <f t="shared" si="38"/>
        <v>11</v>
      </c>
      <c r="C997" s="73">
        <v>42321</v>
      </c>
      <c r="D997" s="73" t="s">
        <v>17</v>
      </c>
      <c r="E997" s="73">
        <v>42321</v>
      </c>
      <c r="F997" s="76" t="s">
        <v>35</v>
      </c>
      <c r="G997" s="265"/>
      <c r="H997" s="122"/>
      <c r="I997" s="122"/>
      <c r="J997" s="122"/>
      <c r="K997" s="122"/>
      <c r="L997" s="122"/>
      <c r="M997" s="74">
        <v>4500</v>
      </c>
      <c r="N997" s="75" t="s">
        <v>19</v>
      </c>
      <c r="O997" s="75" t="s">
        <v>54</v>
      </c>
      <c r="P997" s="134" t="str">
        <f>IF(AND('331-CT'!$E$7=TH!H997,OR(N997="331",O997="331")),"x","")</f>
        <v/>
      </c>
    </row>
    <row r="998" spans="1:16">
      <c r="A998" s="72">
        <f t="shared" si="37"/>
        <v>2015</v>
      </c>
      <c r="B998" s="72">
        <f t="shared" si="38"/>
        <v>11</v>
      </c>
      <c r="C998" s="73">
        <v>42322</v>
      </c>
      <c r="D998" s="73" t="s">
        <v>811</v>
      </c>
      <c r="E998" s="73">
        <v>42322</v>
      </c>
      <c r="F998" s="76" t="s">
        <v>1088</v>
      </c>
      <c r="G998" s="265" t="s">
        <v>473</v>
      </c>
      <c r="H998" s="122" t="s">
        <v>1130</v>
      </c>
      <c r="I998" s="122"/>
      <c r="J998" s="122"/>
      <c r="K998" s="122"/>
      <c r="L998" s="122"/>
      <c r="M998" s="74">
        <v>16500000</v>
      </c>
      <c r="N998" s="75" t="s">
        <v>654</v>
      </c>
      <c r="O998" s="75" t="s">
        <v>203</v>
      </c>
      <c r="P998" s="134" t="str">
        <f>IF(AND('331-CT'!$E$7=TH!H998,OR(N998="331",O998="331")),"x","")</f>
        <v/>
      </c>
    </row>
    <row r="999" spans="1:16">
      <c r="A999" s="72">
        <f t="shared" si="37"/>
        <v>2015</v>
      </c>
      <c r="B999" s="72">
        <f t="shared" si="38"/>
        <v>11</v>
      </c>
      <c r="C999" s="73">
        <v>42322</v>
      </c>
      <c r="D999" s="73" t="s">
        <v>811</v>
      </c>
      <c r="E999" s="73">
        <v>42322</v>
      </c>
      <c r="F999" s="76" t="s">
        <v>1091</v>
      </c>
      <c r="G999" s="265" t="s">
        <v>473</v>
      </c>
      <c r="H999" s="122" t="s">
        <v>1130</v>
      </c>
      <c r="I999" s="122"/>
      <c r="J999" s="122"/>
      <c r="K999" s="122"/>
      <c r="L999" s="122"/>
      <c r="M999" s="74">
        <v>1650000</v>
      </c>
      <c r="N999" s="75" t="s">
        <v>19</v>
      </c>
      <c r="O999" s="75" t="s">
        <v>203</v>
      </c>
      <c r="P999" s="134" t="str">
        <f>IF(AND('331-CT'!$E$7=TH!H999,OR(N999="331",O999="331")),"x","")</f>
        <v/>
      </c>
    </row>
    <row r="1000" spans="1:16">
      <c r="A1000" s="72">
        <f t="shared" si="37"/>
        <v>2015</v>
      </c>
      <c r="B1000" s="72">
        <f t="shared" si="38"/>
        <v>11</v>
      </c>
      <c r="C1000" s="73">
        <v>42324</v>
      </c>
      <c r="D1000" s="73" t="s">
        <v>813</v>
      </c>
      <c r="E1000" s="73">
        <v>42324</v>
      </c>
      <c r="F1000" s="76" t="s">
        <v>1083</v>
      </c>
      <c r="G1000" s="265" t="s">
        <v>1084</v>
      </c>
      <c r="H1000" s="122" t="s">
        <v>1085</v>
      </c>
      <c r="I1000" s="122"/>
      <c r="J1000" s="122"/>
      <c r="K1000" s="122"/>
      <c r="L1000" s="122"/>
      <c r="M1000" s="74">
        <v>277273</v>
      </c>
      <c r="N1000" s="75" t="s">
        <v>241</v>
      </c>
      <c r="O1000" s="75" t="s">
        <v>203</v>
      </c>
      <c r="P1000" s="134" t="str">
        <f>IF(AND('331-CT'!$E$7=TH!H1000,OR(N1000="331",O1000="331")),"x","")</f>
        <v/>
      </c>
    </row>
    <row r="1001" spans="1:16">
      <c r="A1001" s="72">
        <f t="shared" si="37"/>
        <v>2015</v>
      </c>
      <c r="B1001" s="72">
        <f t="shared" si="38"/>
        <v>11</v>
      </c>
      <c r="C1001" s="73">
        <v>42324</v>
      </c>
      <c r="D1001" s="73" t="s">
        <v>813</v>
      </c>
      <c r="E1001" s="73">
        <v>42324</v>
      </c>
      <c r="F1001" s="76" t="s">
        <v>1086</v>
      </c>
      <c r="G1001" s="265" t="s">
        <v>1084</v>
      </c>
      <c r="H1001" s="122" t="s">
        <v>1085</v>
      </c>
      <c r="I1001" s="122"/>
      <c r="J1001" s="122"/>
      <c r="K1001" s="122"/>
      <c r="L1001" s="122"/>
      <c r="M1001" s="74">
        <v>27727</v>
      </c>
      <c r="N1001" s="75" t="s">
        <v>19</v>
      </c>
      <c r="O1001" s="75" t="s">
        <v>203</v>
      </c>
      <c r="P1001" s="134" t="str">
        <f>IF(AND('331-CT'!$E$7=TH!H1001,OR(N1001="331",O1001="331")),"x","")</f>
        <v/>
      </c>
    </row>
    <row r="1002" spans="1:16">
      <c r="A1002" s="72">
        <f t="shared" si="37"/>
        <v>2015</v>
      </c>
      <c r="B1002" s="72">
        <f t="shared" si="38"/>
        <v>11</v>
      </c>
      <c r="C1002" s="73">
        <v>42325</v>
      </c>
      <c r="D1002" s="73" t="s">
        <v>78</v>
      </c>
      <c r="E1002" s="73">
        <v>42325</v>
      </c>
      <c r="F1002" s="76" t="s">
        <v>462</v>
      </c>
      <c r="G1002" s="265" t="s">
        <v>818</v>
      </c>
      <c r="H1002" s="122" t="s">
        <v>299</v>
      </c>
      <c r="I1002" s="122"/>
      <c r="J1002" s="122"/>
      <c r="K1002" s="122"/>
      <c r="L1002" s="122"/>
      <c r="M1002" s="74">
        <v>83901727</v>
      </c>
      <c r="N1002" s="75" t="s">
        <v>654</v>
      </c>
      <c r="O1002" s="75" t="s">
        <v>18</v>
      </c>
      <c r="P1002" s="134" t="str">
        <f>IF(AND('331-CT'!$E$7=TH!H1002,OR(N1002="331",O1002="331")),"x","")</f>
        <v/>
      </c>
    </row>
    <row r="1003" spans="1:16">
      <c r="A1003" s="72">
        <f t="shared" si="37"/>
        <v>2015</v>
      </c>
      <c r="B1003" s="72">
        <f t="shared" si="38"/>
        <v>11</v>
      </c>
      <c r="C1003" s="73">
        <v>42325</v>
      </c>
      <c r="D1003" s="73" t="s">
        <v>78</v>
      </c>
      <c r="E1003" s="73">
        <v>42325</v>
      </c>
      <c r="F1003" s="76" t="s">
        <v>463</v>
      </c>
      <c r="G1003" s="265" t="s">
        <v>818</v>
      </c>
      <c r="H1003" s="122" t="s">
        <v>299</v>
      </c>
      <c r="I1003" s="122"/>
      <c r="J1003" s="122"/>
      <c r="K1003" s="122"/>
      <c r="L1003" s="122"/>
      <c r="M1003" s="74">
        <v>8390173</v>
      </c>
      <c r="N1003" s="75" t="s">
        <v>19</v>
      </c>
      <c r="O1003" s="75" t="s">
        <v>18</v>
      </c>
      <c r="P1003" s="134" t="str">
        <f>IF(AND('331-CT'!$E$7=TH!H1003,OR(N1003="331",O1003="331")),"x","")</f>
        <v/>
      </c>
    </row>
    <row r="1004" spans="1:16">
      <c r="A1004" s="72">
        <f t="shared" si="37"/>
        <v>2015</v>
      </c>
      <c r="B1004" s="72">
        <f t="shared" si="38"/>
        <v>11</v>
      </c>
      <c r="C1004" s="73">
        <v>42327</v>
      </c>
      <c r="D1004" s="73" t="s">
        <v>814</v>
      </c>
      <c r="E1004" s="73">
        <v>42327</v>
      </c>
      <c r="F1004" s="76" t="s">
        <v>1088</v>
      </c>
      <c r="G1004" s="265" t="s">
        <v>1131</v>
      </c>
      <c r="H1004" s="122" t="s">
        <v>1130</v>
      </c>
      <c r="I1004" s="122"/>
      <c r="J1004" s="122"/>
      <c r="K1004" s="122"/>
      <c r="L1004" s="122"/>
      <c r="M1004" s="74">
        <v>17250000</v>
      </c>
      <c r="N1004" s="75" t="s">
        <v>654</v>
      </c>
      <c r="O1004" s="75" t="s">
        <v>203</v>
      </c>
      <c r="P1004" s="134" t="str">
        <f>IF(AND('331-CT'!$E$7=TH!H1004,OR(N1004="331",O1004="331")),"x","")</f>
        <v/>
      </c>
    </row>
    <row r="1005" spans="1:16">
      <c r="A1005" s="72">
        <f t="shared" si="37"/>
        <v>2015</v>
      </c>
      <c r="B1005" s="72">
        <f t="shared" si="38"/>
        <v>11</v>
      </c>
      <c r="C1005" s="73">
        <v>42327</v>
      </c>
      <c r="D1005" s="73" t="s">
        <v>814</v>
      </c>
      <c r="E1005" s="73">
        <v>42327</v>
      </c>
      <c r="F1005" s="76" t="s">
        <v>1091</v>
      </c>
      <c r="G1005" s="265" t="s">
        <v>1131</v>
      </c>
      <c r="H1005" s="122" t="s">
        <v>1130</v>
      </c>
      <c r="I1005" s="122"/>
      <c r="J1005" s="122"/>
      <c r="K1005" s="122"/>
      <c r="L1005" s="122"/>
      <c r="M1005" s="74">
        <v>1725000</v>
      </c>
      <c r="N1005" s="75" t="s">
        <v>19</v>
      </c>
      <c r="O1005" s="75" t="s">
        <v>203</v>
      </c>
      <c r="P1005" s="134" t="str">
        <f>IF(AND('331-CT'!$E$7=TH!H1005,OR(N1005="331",O1005="331")),"x","")</f>
        <v/>
      </c>
    </row>
    <row r="1006" spans="1:16">
      <c r="A1006" s="72">
        <f t="shared" si="37"/>
        <v>2015</v>
      </c>
      <c r="B1006" s="72">
        <f t="shared" si="38"/>
        <v>11</v>
      </c>
      <c r="C1006" s="73">
        <v>42328</v>
      </c>
      <c r="D1006" s="73" t="s">
        <v>825</v>
      </c>
      <c r="E1006" s="73">
        <v>42328</v>
      </c>
      <c r="F1006" s="76" t="s">
        <v>804</v>
      </c>
      <c r="G1006" s="265" t="s">
        <v>805</v>
      </c>
      <c r="H1006" s="122" t="s">
        <v>279</v>
      </c>
      <c r="I1006" s="122"/>
      <c r="J1006" s="122"/>
      <c r="K1006" s="122"/>
      <c r="L1006" s="122"/>
      <c r="M1006" s="74">
        <v>280531</v>
      </c>
      <c r="N1006" s="75" t="s">
        <v>241</v>
      </c>
      <c r="O1006" s="75" t="s">
        <v>203</v>
      </c>
      <c r="P1006" s="134" t="str">
        <f>IF(AND('331-CT'!$E$7=TH!H1006,OR(N1006="331",O1006="331")),"x","")</f>
        <v/>
      </c>
    </row>
    <row r="1007" spans="1:16">
      <c r="A1007" s="72">
        <f t="shared" si="37"/>
        <v>2015</v>
      </c>
      <c r="B1007" s="72">
        <f t="shared" si="38"/>
        <v>11</v>
      </c>
      <c r="C1007" s="73">
        <v>42328</v>
      </c>
      <c r="D1007" s="73" t="s">
        <v>825</v>
      </c>
      <c r="E1007" s="73">
        <v>42328</v>
      </c>
      <c r="F1007" s="76" t="s">
        <v>806</v>
      </c>
      <c r="G1007" s="265" t="s">
        <v>805</v>
      </c>
      <c r="H1007" s="122" t="s">
        <v>279</v>
      </c>
      <c r="I1007" s="122"/>
      <c r="J1007" s="122"/>
      <c r="K1007" s="122"/>
      <c r="L1007" s="122"/>
      <c r="M1007" s="74">
        <v>28053</v>
      </c>
      <c r="N1007" s="75" t="s">
        <v>19</v>
      </c>
      <c r="O1007" s="75" t="s">
        <v>203</v>
      </c>
      <c r="P1007" s="134" t="str">
        <f>IF(AND('331-CT'!$E$7=TH!H1007,OR(N1007="331",O1007="331")),"x","")</f>
        <v/>
      </c>
    </row>
    <row r="1008" spans="1:16">
      <c r="A1008" s="72">
        <f t="shared" si="37"/>
        <v>2015</v>
      </c>
      <c r="B1008" s="72">
        <f t="shared" si="38"/>
        <v>11</v>
      </c>
      <c r="C1008" s="73">
        <v>42328</v>
      </c>
      <c r="D1008" s="73" t="s">
        <v>829</v>
      </c>
      <c r="E1008" s="73">
        <v>42328</v>
      </c>
      <c r="F1008" s="76" t="s">
        <v>808</v>
      </c>
      <c r="G1008" s="265" t="s">
        <v>809</v>
      </c>
      <c r="H1008" s="122" t="s">
        <v>279</v>
      </c>
      <c r="I1008" s="122"/>
      <c r="J1008" s="122"/>
      <c r="K1008" s="122"/>
      <c r="L1008" s="122"/>
      <c r="M1008" s="74">
        <v>305830</v>
      </c>
      <c r="N1008" s="75" t="s">
        <v>241</v>
      </c>
      <c r="O1008" s="75" t="s">
        <v>203</v>
      </c>
      <c r="P1008" s="134" t="str">
        <f>IF(AND('331-CT'!$E$7=TH!H1008,OR(N1008="331",O1008="331")),"x","")</f>
        <v/>
      </c>
    </row>
    <row r="1009" spans="1:16">
      <c r="A1009" s="72">
        <f t="shared" si="37"/>
        <v>2015</v>
      </c>
      <c r="B1009" s="72">
        <f t="shared" si="38"/>
        <v>11</v>
      </c>
      <c r="C1009" s="73">
        <v>42328</v>
      </c>
      <c r="D1009" s="73" t="s">
        <v>829</v>
      </c>
      <c r="E1009" s="73">
        <v>42328</v>
      </c>
      <c r="F1009" s="76" t="s">
        <v>810</v>
      </c>
      <c r="G1009" s="265" t="s">
        <v>809</v>
      </c>
      <c r="H1009" s="122" t="s">
        <v>279</v>
      </c>
      <c r="I1009" s="122"/>
      <c r="J1009" s="122"/>
      <c r="K1009" s="122"/>
      <c r="L1009" s="122"/>
      <c r="M1009" s="74">
        <v>30583</v>
      </c>
      <c r="N1009" s="75" t="s">
        <v>19</v>
      </c>
      <c r="O1009" s="75" t="s">
        <v>203</v>
      </c>
      <c r="P1009" s="134" t="str">
        <f>IF(AND('331-CT'!$E$7=TH!H1009,OR(N1009="331",O1009="331")),"x","")</f>
        <v/>
      </c>
    </row>
    <row r="1010" spans="1:16">
      <c r="A1010" s="72">
        <f t="shared" si="37"/>
        <v>2015</v>
      </c>
      <c r="B1010" s="72">
        <f t="shared" si="38"/>
        <v>11</v>
      </c>
      <c r="C1010" s="73">
        <v>42328</v>
      </c>
      <c r="D1010" s="73" t="s">
        <v>833</v>
      </c>
      <c r="E1010" s="73">
        <v>42328</v>
      </c>
      <c r="F1010" s="76" t="s">
        <v>625</v>
      </c>
      <c r="G1010" s="265" t="s">
        <v>812</v>
      </c>
      <c r="H1010" s="122" t="s">
        <v>628</v>
      </c>
      <c r="I1010" s="122"/>
      <c r="J1010" s="122"/>
      <c r="K1010" s="122"/>
      <c r="L1010" s="122"/>
      <c r="M1010" s="74">
        <v>6700000</v>
      </c>
      <c r="N1010" s="75" t="s">
        <v>241</v>
      </c>
      <c r="O1010" s="75" t="s">
        <v>203</v>
      </c>
      <c r="P1010" s="134" t="str">
        <f>IF(AND('331-CT'!$E$7=TH!H1010,OR(N1010="331",O1010="331")),"x","")</f>
        <v/>
      </c>
    </row>
    <row r="1011" spans="1:16">
      <c r="A1011" s="72">
        <f t="shared" si="37"/>
        <v>2015</v>
      </c>
      <c r="B1011" s="72">
        <f t="shared" si="38"/>
        <v>11</v>
      </c>
      <c r="C1011" s="73">
        <v>42328</v>
      </c>
      <c r="D1011" s="73" t="s">
        <v>833</v>
      </c>
      <c r="E1011" s="73">
        <v>42328</v>
      </c>
      <c r="F1011" s="76" t="s">
        <v>626</v>
      </c>
      <c r="G1011" s="265" t="s">
        <v>812</v>
      </c>
      <c r="H1011" s="122" t="s">
        <v>628</v>
      </c>
      <c r="I1011" s="122"/>
      <c r="J1011" s="122"/>
      <c r="K1011" s="122"/>
      <c r="L1011" s="122"/>
      <c r="M1011" s="74">
        <v>670000</v>
      </c>
      <c r="N1011" s="75" t="s">
        <v>19</v>
      </c>
      <c r="O1011" s="75" t="s">
        <v>203</v>
      </c>
      <c r="P1011" s="134" t="str">
        <f>IF(AND('331-CT'!$E$7=TH!H1011,OR(N1011="331",O1011="331")),"x","")</f>
        <v/>
      </c>
    </row>
    <row r="1012" spans="1:16">
      <c r="A1012" s="72">
        <f t="shared" si="37"/>
        <v>2015</v>
      </c>
      <c r="B1012" s="72">
        <f t="shared" si="38"/>
        <v>11</v>
      </c>
      <c r="C1012" s="73">
        <v>42328</v>
      </c>
      <c r="D1012" s="73" t="s">
        <v>78</v>
      </c>
      <c r="E1012" s="73">
        <v>42328</v>
      </c>
      <c r="F1012" s="76" t="s">
        <v>819</v>
      </c>
      <c r="G1012" s="265" t="s">
        <v>820</v>
      </c>
      <c r="H1012" s="122" t="s">
        <v>111</v>
      </c>
      <c r="I1012" s="122"/>
      <c r="J1012" s="122"/>
      <c r="K1012" s="122"/>
      <c r="L1012" s="122"/>
      <c r="M1012" s="74">
        <v>280636364</v>
      </c>
      <c r="N1012" s="75" t="s">
        <v>654</v>
      </c>
      <c r="O1012" s="75" t="s">
        <v>18</v>
      </c>
      <c r="P1012" s="134" t="str">
        <f>IF(AND('331-CT'!$E$7=TH!H1012,OR(N1012="331",O1012="331")),"x","")</f>
        <v/>
      </c>
    </row>
    <row r="1013" spans="1:16">
      <c r="A1013" s="72">
        <f t="shared" si="37"/>
        <v>2015</v>
      </c>
      <c r="B1013" s="72">
        <f t="shared" si="38"/>
        <v>11</v>
      </c>
      <c r="C1013" s="73">
        <v>42328</v>
      </c>
      <c r="D1013" s="73" t="s">
        <v>78</v>
      </c>
      <c r="E1013" s="73">
        <v>42328</v>
      </c>
      <c r="F1013" s="76" t="s">
        <v>821</v>
      </c>
      <c r="G1013" s="265" t="s">
        <v>820</v>
      </c>
      <c r="H1013" s="122" t="s">
        <v>111</v>
      </c>
      <c r="I1013" s="122"/>
      <c r="J1013" s="122"/>
      <c r="K1013" s="122"/>
      <c r="L1013" s="122"/>
      <c r="M1013" s="74">
        <v>28063636</v>
      </c>
      <c r="N1013" s="75" t="s">
        <v>19</v>
      </c>
      <c r="O1013" s="75" t="s">
        <v>18</v>
      </c>
      <c r="P1013" s="134" t="str">
        <f>IF(AND('331-CT'!$E$7=TH!H1013,OR(N1013="331",O1013="331")),"x","")</f>
        <v/>
      </c>
    </row>
    <row r="1014" spans="1:16">
      <c r="A1014" s="72">
        <f t="shared" si="37"/>
        <v>2015</v>
      </c>
      <c r="B1014" s="72">
        <f t="shared" si="38"/>
        <v>11</v>
      </c>
      <c r="C1014" s="73">
        <v>42328</v>
      </c>
      <c r="D1014" s="73" t="s">
        <v>17</v>
      </c>
      <c r="E1014" s="73">
        <v>42328</v>
      </c>
      <c r="F1014" s="76" t="s">
        <v>119</v>
      </c>
      <c r="G1014" s="265"/>
      <c r="H1014" s="122" t="s">
        <v>313</v>
      </c>
      <c r="I1014" s="122"/>
      <c r="J1014" s="122"/>
      <c r="K1014" s="122"/>
      <c r="L1014" s="122"/>
      <c r="M1014" s="74">
        <v>8183794</v>
      </c>
      <c r="N1014" s="75" t="s">
        <v>239</v>
      </c>
      <c r="O1014" s="75" t="s">
        <v>54</v>
      </c>
      <c r="P1014" s="134" t="str">
        <f>IF(AND('331-CT'!$E$7=TH!H1014,OR(N1014="331",O1014="331")),"x","")</f>
        <v/>
      </c>
    </row>
    <row r="1015" spans="1:16">
      <c r="A1015" s="72">
        <f t="shared" si="37"/>
        <v>2015</v>
      </c>
      <c r="B1015" s="72">
        <f t="shared" si="38"/>
        <v>11</v>
      </c>
      <c r="C1015" s="73">
        <v>42329</v>
      </c>
      <c r="D1015" s="73" t="s">
        <v>834</v>
      </c>
      <c r="E1015" s="73">
        <v>42329</v>
      </c>
      <c r="F1015" s="76" t="s">
        <v>575</v>
      </c>
      <c r="G1015" s="265"/>
      <c r="H1015" s="122" t="s">
        <v>271</v>
      </c>
      <c r="I1015" s="122"/>
      <c r="J1015" s="122"/>
      <c r="K1015" s="122"/>
      <c r="L1015" s="122"/>
      <c r="M1015" s="74">
        <v>165000000</v>
      </c>
      <c r="N1015" s="75" t="s">
        <v>54</v>
      </c>
      <c r="O1015" s="75" t="s">
        <v>203</v>
      </c>
      <c r="P1015" s="134" t="str">
        <f>IF(AND('331-CT'!$E$7=TH!H1015,OR(N1015="331",O1015="331")),"x","")</f>
        <v/>
      </c>
    </row>
    <row r="1016" spans="1:16">
      <c r="A1016" s="72">
        <f t="shared" si="37"/>
        <v>2015</v>
      </c>
      <c r="B1016" s="72">
        <f t="shared" si="38"/>
        <v>11</v>
      </c>
      <c r="C1016" s="73">
        <v>42329</v>
      </c>
      <c r="D1016" s="73" t="s">
        <v>1087</v>
      </c>
      <c r="E1016" s="73">
        <v>42329</v>
      </c>
      <c r="F1016" s="76" t="s">
        <v>815</v>
      </c>
      <c r="G1016" s="265" t="s">
        <v>816</v>
      </c>
      <c r="H1016" s="122" t="s">
        <v>188</v>
      </c>
      <c r="I1016" s="122"/>
      <c r="J1016" s="122"/>
      <c r="K1016" s="122"/>
      <c r="L1016" s="122"/>
      <c r="M1016" s="74">
        <v>9042800</v>
      </c>
      <c r="N1016" s="75" t="s">
        <v>241</v>
      </c>
      <c r="O1016" s="75" t="s">
        <v>203</v>
      </c>
      <c r="P1016" s="134" t="str">
        <f>IF(AND('331-CT'!$E$7=TH!H1016,OR(N1016="331",O1016="331")),"x","")</f>
        <v/>
      </c>
    </row>
    <row r="1017" spans="1:16">
      <c r="A1017" s="72">
        <f t="shared" si="37"/>
        <v>2015</v>
      </c>
      <c r="B1017" s="72">
        <f t="shared" si="38"/>
        <v>11</v>
      </c>
      <c r="C1017" s="73">
        <v>42329</v>
      </c>
      <c r="D1017" s="73" t="s">
        <v>1087</v>
      </c>
      <c r="E1017" s="73">
        <v>42329</v>
      </c>
      <c r="F1017" s="76" t="s">
        <v>817</v>
      </c>
      <c r="G1017" s="265" t="s">
        <v>816</v>
      </c>
      <c r="H1017" s="122" t="s">
        <v>188</v>
      </c>
      <c r="I1017" s="122"/>
      <c r="J1017" s="122"/>
      <c r="K1017" s="122"/>
      <c r="L1017" s="122"/>
      <c r="M1017" s="74">
        <v>452140</v>
      </c>
      <c r="N1017" s="75" t="s">
        <v>19</v>
      </c>
      <c r="O1017" s="75" t="s">
        <v>203</v>
      </c>
      <c r="P1017" s="134" t="str">
        <f>IF(AND('331-CT'!$E$7=TH!H1017,OR(N1017="331",O1017="331")),"x","")</f>
        <v/>
      </c>
    </row>
    <row r="1018" spans="1:16">
      <c r="A1018" s="72">
        <f t="shared" si="37"/>
        <v>2015</v>
      </c>
      <c r="B1018" s="72">
        <f t="shared" si="38"/>
        <v>11</v>
      </c>
      <c r="C1018" s="73">
        <v>42329</v>
      </c>
      <c r="D1018" s="73" t="s">
        <v>78</v>
      </c>
      <c r="E1018" s="73">
        <v>42329</v>
      </c>
      <c r="F1018" s="76" t="s">
        <v>822</v>
      </c>
      <c r="G1018" s="265" t="s">
        <v>823</v>
      </c>
      <c r="H1018" s="122" t="s">
        <v>111</v>
      </c>
      <c r="I1018" s="122"/>
      <c r="J1018" s="122"/>
      <c r="K1018" s="122"/>
      <c r="L1018" s="122"/>
      <c r="M1018" s="74">
        <v>455818182</v>
      </c>
      <c r="N1018" s="75" t="s">
        <v>654</v>
      </c>
      <c r="O1018" s="75" t="s">
        <v>18</v>
      </c>
      <c r="P1018" s="134" t="str">
        <f>IF(AND('331-CT'!$E$7=TH!H1018,OR(N1018="331",O1018="331")),"x","")</f>
        <v/>
      </c>
    </row>
    <row r="1019" spans="1:16">
      <c r="A1019" s="72">
        <f t="shared" si="37"/>
        <v>2015</v>
      </c>
      <c r="B1019" s="72">
        <f t="shared" si="38"/>
        <v>11</v>
      </c>
      <c r="C1019" s="73">
        <v>42329</v>
      </c>
      <c r="D1019" s="73" t="s">
        <v>78</v>
      </c>
      <c r="E1019" s="73">
        <v>42329</v>
      </c>
      <c r="F1019" s="76" t="s">
        <v>824</v>
      </c>
      <c r="G1019" s="265" t="s">
        <v>823</v>
      </c>
      <c r="H1019" s="122" t="s">
        <v>111</v>
      </c>
      <c r="I1019" s="122"/>
      <c r="J1019" s="122"/>
      <c r="K1019" s="122"/>
      <c r="L1019" s="122"/>
      <c r="M1019" s="74">
        <v>45581818</v>
      </c>
      <c r="N1019" s="75" t="s">
        <v>19</v>
      </c>
      <c r="O1019" s="75" t="s">
        <v>18</v>
      </c>
      <c r="P1019" s="134" t="str">
        <f>IF(AND('331-CT'!$E$7=TH!H1019,OR(N1019="331",O1019="331")),"x","")</f>
        <v/>
      </c>
    </row>
    <row r="1020" spans="1:16">
      <c r="A1020" s="72">
        <f t="shared" si="37"/>
        <v>2015</v>
      </c>
      <c r="B1020" s="72">
        <f t="shared" si="38"/>
        <v>11</v>
      </c>
      <c r="C1020" s="73">
        <v>42329</v>
      </c>
      <c r="D1020" s="73" t="s">
        <v>17</v>
      </c>
      <c r="E1020" s="73">
        <v>42329</v>
      </c>
      <c r="F1020" s="76" t="s">
        <v>141</v>
      </c>
      <c r="G1020" s="265"/>
      <c r="H1020" s="122" t="s">
        <v>314</v>
      </c>
      <c r="I1020" s="122"/>
      <c r="J1020" s="122"/>
      <c r="K1020" s="122"/>
      <c r="L1020" s="122"/>
      <c r="M1020" s="74">
        <v>16374064</v>
      </c>
      <c r="N1020" s="75" t="s">
        <v>239</v>
      </c>
      <c r="O1020" s="75" t="s">
        <v>54</v>
      </c>
      <c r="P1020" s="134" t="str">
        <f>IF(AND('331-CT'!$E$7=TH!H1020,OR(N1020="331",O1020="331")),"x","")</f>
        <v/>
      </c>
    </row>
    <row r="1021" spans="1:16">
      <c r="A1021" s="72">
        <f t="shared" si="37"/>
        <v>2015</v>
      </c>
      <c r="B1021" s="72">
        <f t="shared" si="38"/>
        <v>11</v>
      </c>
      <c r="C1021" s="73">
        <v>42329</v>
      </c>
      <c r="D1021" s="73" t="s">
        <v>17</v>
      </c>
      <c r="E1021" s="73">
        <v>42329</v>
      </c>
      <c r="F1021" s="76" t="s">
        <v>143</v>
      </c>
      <c r="G1021" s="265"/>
      <c r="H1021" s="122" t="s">
        <v>316</v>
      </c>
      <c r="I1021" s="122"/>
      <c r="J1021" s="122"/>
      <c r="K1021" s="122"/>
      <c r="L1021" s="122"/>
      <c r="M1021" s="74">
        <v>13099251</v>
      </c>
      <c r="N1021" s="75" t="s">
        <v>239</v>
      </c>
      <c r="O1021" s="75" t="s">
        <v>54</v>
      </c>
      <c r="P1021" s="134" t="str">
        <f>IF(AND('331-CT'!$E$7=TH!H1021,OR(N1021="331",O1021="331")),"x","")</f>
        <v/>
      </c>
    </row>
    <row r="1022" spans="1:16">
      <c r="A1022" s="72">
        <f t="shared" si="37"/>
        <v>2015</v>
      </c>
      <c r="B1022" s="72">
        <f t="shared" si="38"/>
        <v>11</v>
      </c>
      <c r="C1022" s="73">
        <v>42329</v>
      </c>
      <c r="D1022" s="73" t="s">
        <v>17</v>
      </c>
      <c r="E1022" s="73">
        <v>42329</v>
      </c>
      <c r="F1022" s="76" t="s">
        <v>144</v>
      </c>
      <c r="G1022" s="265"/>
      <c r="H1022" s="122" t="s">
        <v>315</v>
      </c>
      <c r="I1022" s="122"/>
      <c r="J1022" s="122"/>
      <c r="K1022" s="122"/>
      <c r="L1022" s="122"/>
      <c r="M1022" s="74">
        <v>12280547</v>
      </c>
      <c r="N1022" s="75" t="s">
        <v>239</v>
      </c>
      <c r="O1022" s="75" t="s">
        <v>54</v>
      </c>
      <c r="P1022" s="134" t="str">
        <f>IF(AND('331-CT'!$E$7=TH!H1022,OR(N1022="331",O1022="331")),"x","")</f>
        <v/>
      </c>
    </row>
    <row r="1023" spans="1:16">
      <c r="A1023" s="72">
        <f t="shared" si="37"/>
        <v>2015</v>
      </c>
      <c r="B1023" s="72">
        <f t="shared" si="38"/>
        <v>11</v>
      </c>
      <c r="C1023" s="73">
        <v>42329</v>
      </c>
      <c r="D1023" s="73" t="s">
        <v>17</v>
      </c>
      <c r="E1023" s="73">
        <v>42329</v>
      </c>
      <c r="F1023" s="76" t="s">
        <v>145</v>
      </c>
      <c r="G1023" s="265"/>
      <c r="H1023" s="122" t="s">
        <v>317</v>
      </c>
      <c r="I1023" s="122"/>
      <c r="J1023" s="122"/>
      <c r="K1023" s="122"/>
      <c r="L1023" s="122"/>
      <c r="M1023" s="74">
        <v>8187032</v>
      </c>
      <c r="N1023" s="75" t="s">
        <v>239</v>
      </c>
      <c r="O1023" s="75" t="s">
        <v>54</v>
      </c>
      <c r="P1023" s="134" t="str">
        <f>IF(AND('331-CT'!$E$7=TH!H1023,OR(N1023="331",O1023="331")),"x","")</f>
        <v/>
      </c>
    </row>
    <row r="1024" spans="1:16">
      <c r="A1024" s="72">
        <f t="shared" si="37"/>
        <v>2015</v>
      </c>
      <c r="B1024" s="72">
        <f t="shared" si="38"/>
        <v>11</v>
      </c>
      <c r="C1024" s="73">
        <v>42329</v>
      </c>
      <c r="D1024" s="73" t="s">
        <v>17</v>
      </c>
      <c r="E1024" s="73">
        <v>42329</v>
      </c>
      <c r="F1024" s="76" t="s">
        <v>147</v>
      </c>
      <c r="G1024" s="265"/>
      <c r="H1024" s="122" t="s">
        <v>318</v>
      </c>
      <c r="I1024" s="122"/>
      <c r="J1024" s="122"/>
      <c r="K1024" s="122"/>
      <c r="L1024" s="122"/>
      <c r="M1024" s="74">
        <v>12280547</v>
      </c>
      <c r="N1024" s="75" t="s">
        <v>239</v>
      </c>
      <c r="O1024" s="75" t="s">
        <v>54</v>
      </c>
      <c r="P1024" s="134" t="str">
        <f>IF(AND('331-CT'!$E$7=TH!H1024,OR(N1024="331",O1024="331")),"x","")</f>
        <v/>
      </c>
    </row>
    <row r="1025" spans="1:16">
      <c r="A1025" s="72">
        <f t="shared" si="37"/>
        <v>2015</v>
      </c>
      <c r="B1025" s="72">
        <f t="shared" si="38"/>
        <v>11</v>
      </c>
      <c r="C1025" s="73">
        <v>42329</v>
      </c>
      <c r="D1025" s="73" t="s">
        <v>17</v>
      </c>
      <c r="E1025" s="73">
        <v>42329</v>
      </c>
      <c r="F1025" s="76" t="s">
        <v>272</v>
      </c>
      <c r="G1025" s="265"/>
      <c r="H1025" s="122" t="s">
        <v>319</v>
      </c>
      <c r="I1025" s="122"/>
      <c r="J1025" s="122"/>
      <c r="K1025" s="122"/>
      <c r="L1025" s="122"/>
      <c r="M1025" s="74">
        <v>16374064</v>
      </c>
      <c r="N1025" s="75" t="s">
        <v>239</v>
      </c>
      <c r="O1025" s="75" t="s">
        <v>54</v>
      </c>
      <c r="P1025" s="134" t="str">
        <f>IF(AND('331-CT'!$E$7=TH!H1025,OR(N1025="331",O1025="331")),"x","")</f>
        <v/>
      </c>
    </row>
    <row r="1026" spans="1:16">
      <c r="A1026" s="72">
        <f t="shared" si="37"/>
        <v>2015</v>
      </c>
      <c r="B1026" s="72">
        <f t="shared" si="38"/>
        <v>11</v>
      </c>
      <c r="C1026" s="73">
        <v>42329</v>
      </c>
      <c r="D1026" s="73" t="s">
        <v>17</v>
      </c>
      <c r="E1026" s="73">
        <v>42329</v>
      </c>
      <c r="F1026" s="76" t="s">
        <v>302</v>
      </c>
      <c r="G1026" s="265"/>
      <c r="H1026" s="122" t="s">
        <v>320</v>
      </c>
      <c r="I1026" s="122"/>
      <c r="J1026" s="122"/>
      <c r="K1026" s="122"/>
      <c r="L1026" s="122"/>
      <c r="M1026" s="74">
        <v>11461845</v>
      </c>
      <c r="N1026" s="75" t="s">
        <v>239</v>
      </c>
      <c r="O1026" s="75" t="s">
        <v>54</v>
      </c>
      <c r="P1026" s="134" t="str">
        <f>IF(AND('331-CT'!$E$7=TH!H1026,OR(N1026="331",O1026="331")),"x","")</f>
        <v/>
      </c>
    </row>
    <row r="1027" spans="1:16">
      <c r="A1027" s="72">
        <f t="shared" si="37"/>
        <v>2015</v>
      </c>
      <c r="B1027" s="72">
        <f t="shared" si="38"/>
        <v>11</v>
      </c>
      <c r="C1027" s="73">
        <v>42329</v>
      </c>
      <c r="D1027" s="73" t="s">
        <v>17</v>
      </c>
      <c r="E1027" s="73">
        <v>42329</v>
      </c>
      <c r="F1027" s="76" t="s">
        <v>303</v>
      </c>
      <c r="G1027" s="265"/>
      <c r="H1027" s="122" t="s">
        <v>321</v>
      </c>
      <c r="I1027" s="122"/>
      <c r="J1027" s="122"/>
      <c r="K1027" s="122"/>
      <c r="L1027" s="122"/>
      <c r="M1027" s="74">
        <v>12280547</v>
      </c>
      <c r="N1027" s="75" t="s">
        <v>239</v>
      </c>
      <c r="O1027" s="75" t="s">
        <v>54</v>
      </c>
      <c r="P1027" s="134" t="str">
        <f>IF(AND('331-CT'!$E$7=TH!H1027,OR(N1027="331",O1027="331")),"x","")</f>
        <v/>
      </c>
    </row>
    <row r="1028" spans="1:16">
      <c r="A1028" s="72">
        <f t="shared" si="37"/>
        <v>2015</v>
      </c>
      <c r="B1028" s="72">
        <f t="shared" si="38"/>
        <v>11</v>
      </c>
      <c r="C1028" s="73">
        <v>42329</v>
      </c>
      <c r="D1028" s="73" t="s">
        <v>17</v>
      </c>
      <c r="E1028" s="73">
        <v>42329</v>
      </c>
      <c r="F1028" s="76" t="s">
        <v>417</v>
      </c>
      <c r="G1028" s="265"/>
      <c r="H1028" s="122" t="s">
        <v>323</v>
      </c>
      <c r="I1028" s="122"/>
      <c r="J1028" s="122"/>
      <c r="K1028" s="122"/>
      <c r="L1028" s="122"/>
      <c r="M1028" s="74">
        <v>12280547</v>
      </c>
      <c r="N1028" s="75" t="s">
        <v>239</v>
      </c>
      <c r="O1028" s="75" t="s">
        <v>54</v>
      </c>
      <c r="P1028" s="134" t="str">
        <f>IF(AND('331-CT'!$E$7=TH!H1028,OR(N1028="331",O1028="331")),"x","")</f>
        <v/>
      </c>
    </row>
    <row r="1029" spans="1:16">
      <c r="A1029" s="72">
        <f t="shared" si="37"/>
        <v>2015</v>
      </c>
      <c r="B1029" s="72">
        <f t="shared" si="38"/>
        <v>11</v>
      </c>
      <c r="C1029" s="73">
        <v>42329</v>
      </c>
      <c r="D1029" s="73" t="s">
        <v>17</v>
      </c>
      <c r="E1029" s="73">
        <v>42329</v>
      </c>
      <c r="F1029" s="76" t="s">
        <v>464</v>
      </c>
      <c r="G1029" s="265"/>
      <c r="H1029" s="122" t="s">
        <v>325</v>
      </c>
      <c r="I1029" s="122"/>
      <c r="J1029" s="122"/>
      <c r="K1029" s="122"/>
      <c r="L1029" s="122"/>
      <c r="M1029" s="74">
        <v>12280547</v>
      </c>
      <c r="N1029" s="75" t="s">
        <v>239</v>
      </c>
      <c r="O1029" s="75" t="s">
        <v>54</v>
      </c>
      <c r="P1029" s="134" t="str">
        <f>IF(AND('331-CT'!$E$7=TH!H1029,OR(N1029="331",O1029="331")),"x","")</f>
        <v/>
      </c>
    </row>
    <row r="1030" spans="1:16">
      <c r="A1030" s="72">
        <f t="shared" si="37"/>
        <v>2015</v>
      </c>
      <c r="B1030" s="72">
        <f t="shared" si="38"/>
        <v>11</v>
      </c>
      <c r="C1030" s="73">
        <v>42329</v>
      </c>
      <c r="D1030" s="73" t="s">
        <v>17</v>
      </c>
      <c r="E1030" s="73">
        <v>42329</v>
      </c>
      <c r="F1030" s="76" t="s">
        <v>465</v>
      </c>
      <c r="G1030" s="265"/>
      <c r="H1030" s="122" t="s">
        <v>416</v>
      </c>
      <c r="I1030" s="122"/>
      <c r="J1030" s="122"/>
      <c r="K1030" s="122"/>
      <c r="L1030" s="122"/>
      <c r="M1030" s="74">
        <v>12280547</v>
      </c>
      <c r="N1030" s="75" t="s">
        <v>239</v>
      </c>
      <c r="O1030" s="75" t="s">
        <v>54</v>
      </c>
      <c r="P1030" s="134" t="str">
        <f>IF(AND('331-CT'!$E$7=TH!H1030,OR(N1030="331",O1030="331")),"x","")</f>
        <v/>
      </c>
    </row>
    <row r="1031" spans="1:16">
      <c r="A1031" s="72">
        <f t="shared" si="37"/>
        <v>2015</v>
      </c>
      <c r="B1031" s="72">
        <f t="shared" si="38"/>
        <v>11</v>
      </c>
      <c r="C1031" s="73">
        <v>42329</v>
      </c>
      <c r="D1031" s="73" t="s">
        <v>17</v>
      </c>
      <c r="E1031" s="73">
        <v>42329</v>
      </c>
      <c r="F1031" s="76" t="s">
        <v>579</v>
      </c>
      <c r="G1031" s="265"/>
      <c r="H1031" s="122" t="s">
        <v>421</v>
      </c>
      <c r="I1031" s="122"/>
      <c r="J1031" s="122"/>
      <c r="K1031" s="122"/>
      <c r="L1031" s="122"/>
      <c r="M1031" s="74">
        <v>8187032</v>
      </c>
      <c r="N1031" s="75" t="s">
        <v>239</v>
      </c>
      <c r="O1031" s="75" t="s">
        <v>54</v>
      </c>
      <c r="P1031" s="134" t="str">
        <f>IF(AND('331-CT'!$E$7=TH!H1031,OR(N1031="331",O1031="331")),"x","")</f>
        <v/>
      </c>
    </row>
    <row r="1032" spans="1:16">
      <c r="A1032" s="72">
        <f t="shared" si="37"/>
        <v>2015</v>
      </c>
      <c r="B1032" s="72">
        <f t="shared" si="38"/>
        <v>11</v>
      </c>
      <c r="C1032" s="73">
        <v>42329</v>
      </c>
      <c r="D1032" s="73" t="s">
        <v>17</v>
      </c>
      <c r="E1032" s="73">
        <v>42329</v>
      </c>
      <c r="F1032" s="76" t="s">
        <v>580</v>
      </c>
      <c r="G1032" s="265"/>
      <c r="H1032" s="122" t="s">
        <v>455</v>
      </c>
      <c r="I1032" s="122"/>
      <c r="J1032" s="122"/>
      <c r="K1032" s="122"/>
      <c r="L1032" s="122"/>
      <c r="M1032" s="74">
        <v>8187032</v>
      </c>
      <c r="N1032" s="75" t="s">
        <v>239</v>
      </c>
      <c r="O1032" s="75" t="s">
        <v>54</v>
      </c>
      <c r="P1032" s="134" t="str">
        <f>IF(AND('331-CT'!$E$7=TH!H1032,OR(N1032="331",O1032="331")),"x","")</f>
        <v/>
      </c>
    </row>
    <row r="1033" spans="1:16">
      <c r="A1033" s="72">
        <f t="shared" si="37"/>
        <v>2015</v>
      </c>
      <c r="B1033" s="72">
        <f t="shared" si="38"/>
        <v>11</v>
      </c>
      <c r="C1033" s="73">
        <v>42334</v>
      </c>
      <c r="D1033" s="73" t="s">
        <v>78</v>
      </c>
      <c r="E1033" s="73">
        <v>42334</v>
      </c>
      <c r="F1033" s="76" t="s">
        <v>867</v>
      </c>
      <c r="G1033" s="265" t="s">
        <v>1081</v>
      </c>
      <c r="H1033" s="122" t="s">
        <v>648</v>
      </c>
      <c r="I1033" s="122"/>
      <c r="J1033" s="122"/>
      <c r="K1033" s="122"/>
      <c r="L1033" s="122"/>
      <c r="M1033" s="74">
        <v>36579400</v>
      </c>
      <c r="N1033" s="75" t="s">
        <v>241</v>
      </c>
      <c r="O1033" s="75" t="s">
        <v>18</v>
      </c>
      <c r="P1033" s="134" t="str">
        <f>IF(AND('331-CT'!$E$7=TH!H1033,OR(N1033="331",O1033="331")),"x","")</f>
        <v/>
      </c>
    </row>
    <row r="1034" spans="1:16">
      <c r="A1034" s="72">
        <f t="shared" ref="A1034" si="39">IF(C1034&lt;&gt;"",YEAR(C1034),"")</f>
        <v>2015</v>
      </c>
      <c r="B1034" s="72">
        <f t="shared" ref="B1034" si="40">IF(C1034&lt;&gt;"",MONTH(C1034),"")</f>
        <v>11</v>
      </c>
      <c r="C1034" s="73">
        <v>42334</v>
      </c>
      <c r="D1034" s="73" t="s">
        <v>78</v>
      </c>
      <c r="E1034" s="73">
        <v>42334</v>
      </c>
      <c r="F1034" s="76" t="s">
        <v>868</v>
      </c>
      <c r="G1034" s="265" t="s">
        <v>1081</v>
      </c>
      <c r="H1034" s="122" t="s">
        <v>648</v>
      </c>
      <c r="I1034" s="122"/>
      <c r="J1034" s="122"/>
      <c r="K1034" s="122"/>
      <c r="L1034" s="122"/>
      <c r="M1034" s="74">
        <v>3657940</v>
      </c>
      <c r="N1034" s="75" t="s">
        <v>19</v>
      </c>
      <c r="O1034" s="75" t="s">
        <v>18</v>
      </c>
      <c r="P1034" s="134" t="str">
        <f>IF(AND('331-CT'!$E$7=TH!H1034,OR(N1034="331",O1034="331")),"x","")</f>
        <v/>
      </c>
    </row>
    <row r="1035" spans="1:16">
      <c r="A1035" s="72">
        <f t="shared" ref="A1035:A1045" si="41">IF(C1035&lt;&gt;"",YEAR(C1035),"")</f>
        <v>2015</v>
      </c>
      <c r="B1035" s="72">
        <f t="shared" ref="B1035:B1045" si="42">IF(C1035&lt;&gt;"",MONTH(C1035),"")</f>
        <v>11</v>
      </c>
      <c r="C1035" s="73">
        <v>42335</v>
      </c>
      <c r="D1035" s="73" t="s">
        <v>847</v>
      </c>
      <c r="E1035" s="73">
        <v>42335</v>
      </c>
      <c r="F1035" s="76" t="s">
        <v>826</v>
      </c>
      <c r="G1035" s="265" t="s">
        <v>827</v>
      </c>
      <c r="H1035" s="122" t="s">
        <v>828</v>
      </c>
      <c r="I1035" s="122"/>
      <c r="J1035" s="122"/>
      <c r="K1035" s="122"/>
      <c r="L1035" s="122"/>
      <c r="M1035" s="74">
        <v>4937000</v>
      </c>
      <c r="N1035" s="75" t="s">
        <v>654</v>
      </c>
      <c r="O1035" s="75" t="s">
        <v>203</v>
      </c>
      <c r="P1035" s="134" t="str">
        <f>IF(AND('331-CT'!$E$7=TH!H1035,OR(N1035="331",O1035="331")),"x","")</f>
        <v/>
      </c>
    </row>
    <row r="1036" spans="1:16">
      <c r="A1036" s="72">
        <f t="shared" si="41"/>
        <v>2015</v>
      </c>
      <c r="B1036" s="72">
        <f t="shared" si="42"/>
        <v>11</v>
      </c>
      <c r="C1036" s="73">
        <v>42336</v>
      </c>
      <c r="D1036" s="73" t="s">
        <v>850</v>
      </c>
      <c r="E1036" s="73">
        <v>42336</v>
      </c>
      <c r="F1036" s="76" t="s">
        <v>830</v>
      </c>
      <c r="G1036" s="265" t="s">
        <v>831</v>
      </c>
      <c r="H1036" s="122" t="s">
        <v>773</v>
      </c>
      <c r="I1036" s="122"/>
      <c r="J1036" s="122"/>
      <c r="K1036" s="122"/>
      <c r="L1036" s="122"/>
      <c r="M1036" s="74">
        <v>3856320</v>
      </c>
      <c r="N1036" s="75" t="s">
        <v>654</v>
      </c>
      <c r="O1036" s="75" t="s">
        <v>203</v>
      </c>
      <c r="P1036" s="134" t="str">
        <f>IF(AND('331-CT'!$E$7=TH!H1036,OR(N1036="331",O1036="331")),"x","")</f>
        <v/>
      </c>
    </row>
    <row r="1037" spans="1:16">
      <c r="A1037" s="72">
        <f t="shared" si="41"/>
        <v>2015</v>
      </c>
      <c r="B1037" s="72">
        <f t="shared" si="42"/>
        <v>11</v>
      </c>
      <c r="C1037" s="73">
        <v>42336</v>
      </c>
      <c r="D1037" s="73" t="s">
        <v>850</v>
      </c>
      <c r="E1037" s="73">
        <v>42336</v>
      </c>
      <c r="F1037" s="76" t="s">
        <v>832</v>
      </c>
      <c r="G1037" s="265" t="s">
        <v>831</v>
      </c>
      <c r="H1037" s="122" t="s">
        <v>773</v>
      </c>
      <c r="I1037" s="122"/>
      <c r="J1037" s="122"/>
      <c r="K1037" s="122"/>
      <c r="L1037" s="122"/>
      <c r="M1037" s="74">
        <v>385632</v>
      </c>
      <c r="N1037" s="75" t="s">
        <v>19</v>
      </c>
      <c r="O1037" s="75" t="s">
        <v>203</v>
      </c>
      <c r="P1037" s="134" t="str">
        <f>IF(AND('331-CT'!$E$7=TH!H1037,OR(N1037="331",O1037="331")),"x","")</f>
        <v/>
      </c>
    </row>
    <row r="1038" spans="1:16">
      <c r="A1038" s="72">
        <f t="shared" si="41"/>
        <v>2015</v>
      </c>
      <c r="B1038" s="72">
        <f t="shared" si="42"/>
        <v>11</v>
      </c>
      <c r="C1038" s="73">
        <v>42336</v>
      </c>
      <c r="D1038" s="73" t="s">
        <v>854</v>
      </c>
      <c r="E1038" s="73">
        <v>42336</v>
      </c>
      <c r="F1038" s="76" t="s">
        <v>575</v>
      </c>
      <c r="G1038" s="265"/>
      <c r="H1038" s="122" t="s">
        <v>271</v>
      </c>
      <c r="I1038" s="122"/>
      <c r="J1038" s="122"/>
      <c r="K1038" s="122"/>
      <c r="L1038" s="122"/>
      <c r="M1038" s="74">
        <v>40000000</v>
      </c>
      <c r="N1038" s="75" t="s">
        <v>54</v>
      </c>
      <c r="O1038" s="75" t="s">
        <v>203</v>
      </c>
      <c r="P1038" s="134" t="str">
        <f>IF(AND('331-CT'!$E$7=TH!H1038,OR(N1038="331",O1038="331")),"x","")</f>
        <v/>
      </c>
    </row>
    <row r="1039" spans="1:16">
      <c r="A1039" s="72">
        <f t="shared" si="41"/>
        <v>2015</v>
      </c>
      <c r="B1039" s="72">
        <f t="shared" si="42"/>
        <v>11</v>
      </c>
      <c r="C1039" s="73">
        <v>42337</v>
      </c>
      <c r="D1039" s="73" t="s">
        <v>857</v>
      </c>
      <c r="E1039" s="73">
        <v>42337</v>
      </c>
      <c r="F1039" s="76" t="s">
        <v>835</v>
      </c>
      <c r="G1039" s="265" t="s">
        <v>836</v>
      </c>
      <c r="H1039" s="122" t="s">
        <v>837</v>
      </c>
      <c r="I1039" s="122"/>
      <c r="J1039" s="122"/>
      <c r="K1039" s="122"/>
      <c r="L1039" s="122"/>
      <c r="M1039" s="74">
        <v>2418182</v>
      </c>
      <c r="N1039" s="75" t="s">
        <v>241</v>
      </c>
      <c r="O1039" s="75" t="s">
        <v>203</v>
      </c>
      <c r="P1039" s="134" t="str">
        <f>IF(AND('331-CT'!$E$7=TH!H1039,OR(N1039="331",O1039="331")),"x","")</f>
        <v/>
      </c>
    </row>
    <row r="1040" spans="1:16">
      <c r="A1040" s="72">
        <f t="shared" si="41"/>
        <v>2015</v>
      </c>
      <c r="B1040" s="72">
        <f t="shared" si="42"/>
        <v>11</v>
      </c>
      <c r="C1040" s="73">
        <v>42337</v>
      </c>
      <c r="D1040" s="73" t="s">
        <v>857</v>
      </c>
      <c r="E1040" s="73">
        <v>42337</v>
      </c>
      <c r="F1040" s="76" t="s">
        <v>838</v>
      </c>
      <c r="G1040" s="265" t="s">
        <v>836</v>
      </c>
      <c r="H1040" s="122" t="s">
        <v>837</v>
      </c>
      <c r="I1040" s="122"/>
      <c r="J1040" s="122"/>
      <c r="K1040" s="122"/>
      <c r="L1040" s="122"/>
      <c r="M1040" s="74">
        <v>241818</v>
      </c>
      <c r="N1040" s="75" t="s">
        <v>19</v>
      </c>
      <c r="O1040" s="75" t="s">
        <v>203</v>
      </c>
      <c r="P1040" s="134" t="str">
        <f>IF(AND('331-CT'!$E$7=TH!H1040,OR(N1040="331",O1040="331")),"x","")</f>
        <v/>
      </c>
    </row>
    <row r="1041" spans="1:16">
      <c r="A1041" s="72">
        <f t="shared" si="41"/>
        <v>2015</v>
      </c>
      <c r="B1041" s="72">
        <f t="shared" si="42"/>
        <v>11</v>
      </c>
      <c r="C1041" s="73">
        <v>42337</v>
      </c>
      <c r="D1041" s="73" t="s">
        <v>859</v>
      </c>
      <c r="E1041" s="73">
        <v>42337</v>
      </c>
      <c r="F1041" s="76" t="s">
        <v>1088</v>
      </c>
      <c r="G1041" s="265" t="s">
        <v>1089</v>
      </c>
      <c r="H1041" s="122" t="s">
        <v>1090</v>
      </c>
      <c r="I1041" s="122"/>
      <c r="J1041" s="122"/>
      <c r="K1041" s="122"/>
      <c r="L1041" s="122"/>
      <c r="M1041" s="74">
        <v>11730210</v>
      </c>
      <c r="N1041" s="75" t="s">
        <v>241</v>
      </c>
      <c r="O1041" s="75" t="s">
        <v>203</v>
      </c>
      <c r="P1041" s="134" t="str">
        <f>IF(AND('331-CT'!$E$7=TH!H1041,OR(N1041="331",O1041="331")),"x","")</f>
        <v/>
      </c>
    </row>
    <row r="1042" spans="1:16">
      <c r="A1042" s="72">
        <f t="shared" si="41"/>
        <v>2015</v>
      </c>
      <c r="B1042" s="72">
        <f t="shared" si="42"/>
        <v>11</v>
      </c>
      <c r="C1042" s="73">
        <v>42337</v>
      </c>
      <c r="D1042" s="73" t="s">
        <v>859</v>
      </c>
      <c r="E1042" s="73">
        <v>42337</v>
      </c>
      <c r="F1042" s="76" t="s">
        <v>1091</v>
      </c>
      <c r="G1042" s="265" t="s">
        <v>1089</v>
      </c>
      <c r="H1042" s="122" t="s">
        <v>1090</v>
      </c>
      <c r="I1042" s="122"/>
      <c r="J1042" s="122"/>
      <c r="K1042" s="122"/>
      <c r="L1042" s="122"/>
      <c r="M1042" s="74">
        <v>1173021</v>
      </c>
      <c r="N1042" s="75" t="s">
        <v>19</v>
      </c>
      <c r="O1042" s="75" t="s">
        <v>203</v>
      </c>
      <c r="P1042" s="134" t="str">
        <f>IF(AND('331-CT'!$E$7=TH!H1042,OR(N1042="331",O1042="331")),"x","")</f>
        <v/>
      </c>
    </row>
    <row r="1043" spans="1:16">
      <c r="A1043" s="72">
        <f t="shared" si="41"/>
        <v>2015</v>
      </c>
      <c r="B1043" s="72">
        <f t="shared" si="42"/>
        <v>11</v>
      </c>
      <c r="C1043" s="73">
        <v>42338</v>
      </c>
      <c r="D1043" s="73" t="s">
        <v>17</v>
      </c>
      <c r="E1043" s="73">
        <v>42338</v>
      </c>
      <c r="F1043" s="76" t="s">
        <v>841</v>
      </c>
      <c r="G1043" s="265"/>
      <c r="H1043" s="122" t="s">
        <v>648</v>
      </c>
      <c r="I1043" s="122"/>
      <c r="J1043" s="122"/>
      <c r="K1043" s="122"/>
      <c r="L1043" s="122"/>
      <c r="M1043" s="74">
        <v>38659940</v>
      </c>
      <c r="N1043" s="75" t="s">
        <v>18</v>
      </c>
      <c r="O1043" s="75" t="s">
        <v>54</v>
      </c>
      <c r="P1043" s="134" t="str">
        <f>IF(AND('331-CT'!$E$7=TH!H1043,OR(N1043="331",O1043="331")),"x","")</f>
        <v/>
      </c>
    </row>
    <row r="1044" spans="1:16">
      <c r="A1044" s="72">
        <f t="shared" si="41"/>
        <v>2015</v>
      </c>
      <c r="B1044" s="72">
        <f t="shared" si="42"/>
        <v>11</v>
      </c>
      <c r="C1044" s="73">
        <v>42338</v>
      </c>
      <c r="D1044" s="73" t="s">
        <v>17</v>
      </c>
      <c r="E1044" s="73">
        <v>42338</v>
      </c>
      <c r="F1044" s="76" t="s">
        <v>34</v>
      </c>
      <c r="G1044" s="265"/>
      <c r="H1044" s="122"/>
      <c r="I1044" s="122"/>
      <c r="J1044" s="122"/>
      <c r="K1044" s="122"/>
      <c r="L1044" s="122"/>
      <c r="M1044" s="74">
        <v>45000</v>
      </c>
      <c r="N1044" s="75" t="s">
        <v>241</v>
      </c>
      <c r="O1044" s="75" t="s">
        <v>54</v>
      </c>
      <c r="P1044" s="134" t="str">
        <f>IF(AND('331-CT'!$E$7=TH!H1044,OR(N1044="331",O1044="331")),"x","")</f>
        <v/>
      </c>
    </row>
    <row r="1045" spans="1:16">
      <c r="A1045" s="72">
        <f t="shared" si="41"/>
        <v>2015</v>
      </c>
      <c r="B1045" s="72">
        <f t="shared" si="42"/>
        <v>11</v>
      </c>
      <c r="C1045" s="73">
        <v>42338</v>
      </c>
      <c r="D1045" s="73" t="s">
        <v>17</v>
      </c>
      <c r="E1045" s="73">
        <v>42338</v>
      </c>
      <c r="F1045" s="76" t="s">
        <v>35</v>
      </c>
      <c r="G1045" s="265"/>
      <c r="H1045" s="122"/>
      <c r="I1045" s="122"/>
      <c r="J1045" s="122"/>
      <c r="K1045" s="122"/>
      <c r="L1045" s="122"/>
      <c r="M1045" s="74">
        <v>4500</v>
      </c>
      <c r="N1045" s="75" t="s">
        <v>19</v>
      </c>
      <c r="O1045" s="75" t="s">
        <v>54</v>
      </c>
      <c r="P1045" s="134" t="str">
        <f>IF(AND('331-CT'!$E$7=TH!H1045,OR(N1045="331",O1045="331")),"x","")</f>
        <v/>
      </c>
    </row>
    <row r="1046" spans="1:16">
      <c r="A1046" s="72">
        <f t="shared" ref="A1046:A1109" si="43">IF(C1046&lt;&gt;"",YEAR(C1046),"")</f>
        <v>2015</v>
      </c>
      <c r="B1046" s="72">
        <f t="shared" ref="B1046:B1109" si="44">IF(C1046&lt;&gt;"",MONTH(C1046),"")</f>
        <v>11</v>
      </c>
      <c r="C1046" s="73">
        <v>42338</v>
      </c>
      <c r="D1046" s="73" t="s">
        <v>17</v>
      </c>
      <c r="E1046" s="73">
        <v>42338</v>
      </c>
      <c r="F1046" s="76" t="s">
        <v>842</v>
      </c>
      <c r="G1046" s="265"/>
      <c r="H1046" s="122" t="s">
        <v>266</v>
      </c>
      <c r="I1046" s="122"/>
      <c r="J1046" s="122"/>
      <c r="K1046" s="122"/>
      <c r="L1046" s="122"/>
      <c r="M1046" s="74">
        <v>10000000</v>
      </c>
      <c r="N1046" s="75" t="s">
        <v>212</v>
      </c>
      <c r="O1046" s="75" t="s">
        <v>54</v>
      </c>
      <c r="P1046" s="134" t="str">
        <f>IF(AND('331-CT'!$E$7=TH!H1046,OR(N1046="331",O1046="331")),"x","")</f>
        <v/>
      </c>
    </row>
    <row r="1047" spans="1:16">
      <c r="A1047" s="72">
        <f t="shared" si="43"/>
        <v>2015</v>
      </c>
      <c r="B1047" s="72">
        <f t="shared" si="44"/>
        <v>11</v>
      </c>
      <c r="C1047" s="73">
        <v>42338</v>
      </c>
      <c r="D1047" s="73" t="s">
        <v>22</v>
      </c>
      <c r="E1047" s="73">
        <v>42338</v>
      </c>
      <c r="F1047" s="76" t="s">
        <v>843</v>
      </c>
      <c r="G1047" s="265"/>
      <c r="H1047" s="122" t="s">
        <v>266</v>
      </c>
      <c r="I1047" s="122"/>
      <c r="J1047" s="122"/>
      <c r="K1047" s="122"/>
      <c r="L1047" s="122"/>
      <c r="M1047" s="74">
        <v>10000000</v>
      </c>
      <c r="N1047" s="75" t="s">
        <v>203</v>
      </c>
      <c r="O1047" s="75" t="s">
        <v>212</v>
      </c>
      <c r="P1047" s="134" t="str">
        <f>IF(AND('331-CT'!$E$7=TH!H1047,OR(N1047="331",O1047="331")),"x","")</f>
        <v/>
      </c>
    </row>
    <row r="1048" spans="1:16">
      <c r="A1048" s="72">
        <f t="shared" si="43"/>
        <v>2015</v>
      </c>
      <c r="B1048" s="72">
        <f t="shared" si="44"/>
        <v>11</v>
      </c>
      <c r="C1048" s="73">
        <v>42338</v>
      </c>
      <c r="D1048" s="73" t="s">
        <v>78</v>
      </c>
      <c r="E1048" s="73">
        <v>42338</v>
      </c>
      <c r="F1048" s="76" t="s">
        <v>869</v>
      </c>
      <c r="G1048" s="265" t="s">
        <v>870</v>
      </c>
      <c r="H1048" s="122" t="s">
        <v>150</v>
      </c>
      <c r="I1048" s="122"/>
      <c r="J1048" s="122"/>
      <c r="K1048" s="122"/>
      <c r="L1048" s="122"/>
      <c r="M1048" s="74">
        <v>1689997900</v>
      </c>
      <c r="N1048" s="75" t="s">
        <v>654</v>
      </c>
      <c r="O1048" s="75" t="s">
        <v>18</v>
      </c>
      <c r="P1048" s="134" t="str">
        <f>IF(AND('331-CT'!$E$7=TH!H1048,OR(N1048="331",O1048="331")),"x","")</f>
        <v/>
      </c>
    </row>
    <row r="1049" spans="1:16">
      <c r="A1049" s="72">
        <f t="shared" si="43"/>
        <v>2015</v>
      </c>
      <c r="B1049" s="72">
        <f t="shared" si="44"/>
        <v>11</v>
      </c>
      <c r="C1049" s="73">
        <v>42338</v>
      </c>
      <c r="D1049" s="73" t="s">
        <v>78</v>
      </c>
      <c r="E1049" s="73">
        <v>42338</v>
      </c>
      <c r="F1049" s="76" t="s">
        <v>871</v>
      </c>
      <c r="G1049" s="265" t="s">
        <v>870</v>
      </c>
      <c r="H1049" s="122" t="s">
        <v>150</v>
      </c>
      <c r="I1049" s="122"/>
      <c r="J1049" s="122"/>
      <c r="K1049" s="122"/>
      <c r="L1049" s="122"/>
      <c r="M1049" s="74">
        <v>168999790</v>
      </c>
      <c r="N1049" s="75" t="s">
        <v>19</v>
      </c>
      <c r="O1049" s="75" t="s">
        <v>18</v>
      </c>
      <c r="P1049" s="134" t="str">
        <f>IF(AND('331-CT'!$E$7=TH!H1049,OR(N1049="331",O1049="331")),"x","")</f>
        <v/>
      </c>
    </row>
    <row r="1050" spans="1:16">
      <c r="A1050" s="72">
        <f t="shared" si="43"/>
        <v>2015</v>
      </c>
      <c r="B1050" s="72">
        <f t="shared" si="44"/>
        <v>12</v>
      </c>
      <c r="C1050" s="73">
        <v>42339</v>
      </c>
      <c r="D1050" s="73" t="s">
        <v>1052</v>
      </c>
      <c r="E1050" s="73">
        <v>42339</v>
      </c>
      <c r="F1050" s="76" t="s">
        <v>844</v>
      </c>
      <c r="G1050" s="265" t="s">
        <v>845</v>
      </c>
      <c r="H1050" s="122" t="s">
        <v>846</v>
      </c>
      <c r="I1050" s="122"/>
      <c r="J1050" s="122"/>
      <c r="K1050" s="122"/>
      <c r="L1050" s="122"/>
      <c r="M1050" s="74">
        <v>1520000</v>
      </c>
      <c r="N1050" s="75" t="s">
        <v>654</v>
      </c>
      <c r="O1050" s="75" t="s">
        <v>203</v>
      </c>
      <c r="P1050" s="134" t="str">
        <f>IF(AND('331-CT'!$E$7=TH!H1050,OR(N1050="331",O1050="331")),"x","")</f>
        <v/>
      </c>
    </row>
    <row r="1051" spans="1:16">
      <c r="A1051" s="72">
        <f t="shared" si="43"/>
        <v>2015</v>
      </c>
      <c r="B1051" s="72">
        <f t="shared" si="44"/>
        <v>12</v>
      </c>
      <c r="C1051" s="73">
        <v>42340</v>
      </c>
      <c r="D1051" s="73" t="s">
        <v>1053</v>
      </c>
      <c r="E1051" s="73">
        <v>42340</v>
      </c>
      <c r="F1051" s="76" t="s">
        <v>848</v>
      </c>
      <c r="G1051" s="265" t="s">
        <v>849</v>
      </c>
      <c r="H1051" s="122" t="s">
        <v>828</v>
      </c>
      <c r="I1051" s="122"/>
      <c r="J1051" s="122"/>
      <c r="K1051" s="122"/>
      <c r="L1051" s="122"/>
      <c r="M1051" s="74">
        <v>3778000</v>
      </c>
      <c r="N1051" s="75" t="s">
        <v>654</v>
      </c>
      <c r="O1051" s="75" t="s">
        <v>203</v>
      </c>
      <c r="P1051" s="134" t="str">
        <f>IF(AND('331-CT'!$E$7=TH!H1051,OR(N1051="331",O1051="331")),"x","")</f>
        <v/>
      </c>
    </row>
    <row r="1052" spans="1:16">
      <c r="A1052" s="72">
        <f t="shared" si="43"/>
        <v>2015</v>
      </c>
      <c r="B1052" s="72">
        <f t="shared" si="44"/>
        <v>12</v>
      </c>
      <c r="C1052" s="73">
        <v>42340</v>
      </c>
      <c r="D1052" s="73" t="s">
        <v>1054</v>
      </c>
      <c r="E1052" s="73">
        <v>42340</v>
      </c>
      <c r="F1052" s="76" t="s">
        <v>578</v>
      </c>
      <c r="G1052" s="265"/>
      <c r="H1052" s="122" t="s">
        <v>430</v>
      </c>
      <c r="I1052" s="122"/>
      <c r="J1052" s="122"/>
      <c r="K1052" s="122"/>
      <c r="L1052" s="122"/>
      <c r="M1052" s="74">
        <v>1000000000</v>
      </c>
      <c r="N1052" s="75" t="s">
        <v>203</v>
      </c>
      <c r="O1052" s="75" t="s">
        <v>39</v>
      </c>
      <c r="P1052" s="134" t="str">
        <f>IF(AND('331-CT'!$E$7=TH!H1052,OR(N1052="331",O1052="331")),"x","")</f>
        <v/>
      </c>
    </row>
    <row r="1053" spans="1:16">
      <c r="A1053" s="72">
        <f t="shared" si="43"/>
        <v>2015</v>
      </c>
      <c r="B1053" s="72">
        <f t="shared" si="44"/>
        <v>12</v>
      </c>
      <c r="C1053" s="73">
        <v>42340</v>
      </c>
      <c r="D1053" s="73" t="s">
        <v>884</v>
      </c>
      <c r="E1053" s="73">
        <v>42340</v>
      </c>
      <c r="F1053" s="76" t="s">
        <v>575</v>
      </c>
      <c r="G1053" s="265"/>
      <c r="H1053" s="122" t="s">
        <v>271</v>
      </c>
      <c r="I1053" s="122"/>
      <c r="J1053" s="122"/>
      <c r="K1053" s="122"/>
      <c r="L1053" s="122"/>
      <c r="M1053" s="74">
        <v>250000000</v>
      </c>
      <c r="N1053" s="75" t="s">
        <v>54</v>
      </c>
      <c r="O1053" s="75" t="s">
        <v>203</v>
      </c>
      <c r="P1053" s="134" t="str">
        <f>IF(AND('331-CT'!$E$7=TH!H1053,OR(N1053="331",O1053="331")),"x","")</f>
        <v/>
      </c>
    </row>
    <row r="1054" spans="1:16">
      <c r="A1054" s="72">
        <f t="shared" si="43"/>
        <v>2015</v>
      </c>
      <c r="B1054" s="72">
        <f t="shared" si="44"/>
        <v>12</v>
      </c>
      <c r="C1054" s="73">
        <v>42341</v>
      </c>
      <c r="D1054" s="73" t="s">
        <v>1082</v>
      </c>
      <c r="E1054" s="73">
        <v>42341</v>
      </c>
      <c r="F1054" s="76" t="s">
        <v>1088</v>
      </c>
      <c r="G1054" s="265" t="s">
        <v>645</v>
      </c>
      <c r="H1054" s="122" t="s">
        <v>1130</v>
      </c>
      <c r="I1054" s="122"/>
      <c r="J1054" s="122"/>
      <c r="K1054" s="122"/>
      <c r="L1054" s="122"/>
      <c r="M1054" s="74">
        <v>16200000</v>
      </c>
      <c r="N1054" s="75" t="s">
        <v>654</v>
      </c>
      <c r="O1054" s="75" t="s">
        <v>203</v>
      </c>
      <c r="P1054" s="134" t="str">
        <f>IF(AND('331-CT'!$E$7=TH!H1054,OR(N1054="331",O1054="331")),"x","")</f>
        <v/>
      </c>
    </row>
    <row r="1055" spans="1:16">
      <c r="A1055" s="72">
        <f t="shared" si="43"/>
        <v>2015</v>
      </c>
      <c r="B1055" s="72">
        <f t="shared" si="44"/>
        <v>12</v>
      </c>
      <c r="C1055" s="73">
        <v>42341</v>
      </c>
      <c r="D1055" s="73" t="s">
        <v>1082</v>
      </c>
      <c r="E1055" s="73">
        <v>42341</v>
      </c>
      <c r="F1055" s="76" t="s">
        <v>1091</v>
      </c>
      <c r="G1055" s="265" t="s">
        <v>645</v>
      </c>
      <c r="H1055" s="122" t="s">
        <v>1130</v>
      </c>
      <c r="I1055" s="122"/>
      <c r="J1055" s="122"/>
      <c r="K1055" s="122"/>
      <c r="L1055" s="122"/>
      <c r="M1055" s="74">
        <v>1620000</v>
      </c>
      <c r="N1055" s="75" t="s">
        <v>19</v>
      </c>
      <c r="O1055" s="75" t="s">
        <v>203</v>
      </c>
      <c r="P1055" s="134" t="str">
        <f>IF(AND('331-CT'!$E$7=TH!H1055,OR(N1055="331",O1055="331")),"x","")</f>
        <v/>
      </c>
    </row>
    <row r="1056" spans="1:16">
      <c r="A1056" s="72">
        <f t="shared" si="43"/>
        <v>2015</v>
      </c>
      <c r="B1056" s="72">
        <f t="shared" si="44"/>
        <v>12</v>
      </c>
      <c r="C1056" s="73">
        <v>42342</v>
      </c>
      <c r="D1056" s="73" t="s">
        <v>1065</v>
      </c>
      <c r="E1056" s="73">
        <v>42342</v>
      </c>
      <c r="F1056" s="76" t="s">
        <v>851</v>
      </c>
      <c r="G1056" s="265" t="s">
        <v>852</v>
      </c>
      <c r="H1056" s="122" t="s">
        <v>853</v>
      </c>
      <c r="I1056" s="122"/>
      <c r="J1056" s="122"/>
      <c r="K1056" s="122"/>
      <c r="L1056" s="122"/>
      <c r="M1056" s="74">
        <v>2990000</v>
      </c>
      <c r="N1056" s="75" t="s">
        <v>654</v>
      </c>
      <c r="O1056" s="75" t="s">
        <v>203</v>
      </c>
      <c r="P1056" s="134" t="str">
        <f>IF(AND('331-CT'!$E$7=TH!H1056,OR(N1056="331",O1056="331")),"x","")</f>
        <v/>
      </c>
    </row>
    <row r="1057" spans="1:16">
      <c r="A1057" s="72">
        <f t="shared" si="43"/>
        <v>2015</v>
      </c>
      <c r="B1057" s="72">
        <f t="shared" si="44"/>
        <v>12</v>
      </c>
      <c r="C1057" s="73">
        <v>42342</v>
      </c>
      <c r="D1057" s="73" t="s">
        <v>17</v>
      </c>
      <c r="E1057" s="73">
        <v>42342</v>
      </c>
      <c r="F1057" s="76" t="s">
        <v>300</v>
      </c>
      <c r="G1057" s="265"/>
      <c r="H1057" s="122" t="s">
        <v>406</v>
      </c>
      <c r="I1057" s="122"/>
      <c r="J1057" s="122"/>
      <c r="K1057" s="122"/>
      <c r="L1057" s="122"/>
      <c r="M1057" s="74">
        <v>30000000</v>
      </c>
      <c r="N1057" s="75" t="s">
        <v>18</v>
      </c>
      <c r="O1057" s="75" t="s">
        <v>54</v>
      </c>
      <c r="P1057" s="134" t="str">
        <f>IF(AND('331-CT'!$E$7=TH!H1057,OR(N1057="331",O1057="331")),"x","")</f>
        <v/>
      </c>
    </row>
    <row r="1058" spans="1:16">
      <c r="A1058" s="72">
        <f t="shared" si="43"/>
        <v>2015</v>
      </c>
      <c r="B1058" s="72">
        <f t="shared" si="44"/>
        <v>12</v>
      </c>
      <c r="C1058" s="73">
        <v>42342</v>
      </c>
      <c r="D1058" s="73" t="s">
        <v>17</v>
      </c>
      <c r="E1058" s="73">
        <v>42342</v>
      </c>
      <c r="F1058" s="76" t="s">
        <v>34</v>
      </c>
      <c r="G1058" s="265"/>
      <c r="H1058" s="122"/>
      <c r="I1058" s="122"/>
      <c r="J1058" s="122"/>
      <c r="K1058" s="122"/>
      <c r="L1058" s="122"/>
      <c r="M1058" s="74">
        <v>25000</v>
      </c>
      <c r="N1058" s="75" t="s">
        <v>241</v>
      </c>
      <c r="O1058" s="75" t="s">
        <v>54</v>
      </c>
      <c r="P1058" s="134" t="str">
        <f>IF(AND('331-CT'!$E$7=TH!H1058,OR(N1058="331",O1058="331")),"x","")</f>
        <v/>
      </c>
    </row>
    <row r="1059" spans="1:16">
      <c r="A1059" s="72">
        <f t="shared" si="43"/>
        <v>2015</v>
      </c>
      <c r="B1059" s="72">
        <f t="shared" si="44"/>
        <v>12</v>
      </c>
      <c r="C1059" s="73">
        <v>42342</v>
      </c>
      <c r="D1059" s="73" t="s">
        <v>17</v>
      </c>
      <c r="E1059" s="73">
        <v>42342</v>
      </c>
      <c r="F1059" s="76" t="s">
        <v>35</v>
      </c>
      <c r="G1059" s="265"/>
      <c r="H1059" s="122"/>
      <c r="I1059" s="122"/>
      <c r="J1059" s="122"/>
      <c r="K1059" s="122"/>
      <c r="L1059" s="122"/>
      <c r="M1059" s="74">
        <v>2500</v>
      </c>
      <c r="N1059" s="75" t="s">
        <v>19</v>
      </c>
      <c r="O1059" s="75" t="s">
        <v>54</v>
      </c>
      <c r="P1059" s="134" t="str">
        <f>IF(AND('331-CT'!$E$7=TH!H1059,OR(N1059="331",O1059="331")),"x","")</f>
        <v/>
      </c>
    </row>
    <row r="1060" spans="1:16">
      <c r="A1060" s="72">
        <f t="shared" si="43"/>
        <v>2015</v>
      </c>
      <c r="B1060" s="72">
        <f t="shared" si="44"/>
        <v>12</v>
      </c>
      <c r="C1060" s="73">
        <v>42342</v>
      </c>
      <c r="D1060" s="73" t="s">
        <v>17</v>
      </c>
      <c r="E1060" s="73">
        <v>42342</v>
      </c>
      <c r="F1060" s="76" t="s">
        <v>300</v>
      </c>
      <c r="G1060" s="265"/>
      <c r="H1060" s="122" t="s">
        <v>85</v>
      </c>
      <c r="I1060" s="122"/>
      <c r="J1060" s="122"/>
      <c r="K1060" s="122"/>
      <c r="L1060" s="122"/>
      <c r="M1060" s="74">
        <v>200000000</v>
      </c>
      <c r="N1060" s="75" t="s">
        <v>18</v>
      </c>
      <c r="O1060" s="75" t="s">
        <v>54</v>
      </c>
      <c r="P1060" s="134" t="str">
        <f>IF(AND('331-CT'!$E$7=TH!H1060,OR(N1060="331",O1060="331")),"x","")</f>
        <v/>
      </c>
    </row>
    <row r="1061" spans="1:16">
      <c r="A1061" s="72">
        <f t="shared" si="43"/>
        <v>2015</v>
      </c>
      <c r="B1061" s="72">
        <f t="shared" si="44"/>
        <v>12</v>
      </c>
      <c r="C1061" s="73">
        <v>42342</v>
      </c>
      <c r="D1061" s="73" t="s">
        <v>17</v>
      </c>
      <c r="E1061" s="73">
        <v>42342</v>
      </c>
      <c r="F1061" s="76" t="s">
        <v>34</v>
      </c>
      <c r="G1061" s="265"/>
      <c r="H1061" s="122"/>
      <c r="I1061" s="122"/>
      <c r="J1061" s="122"/>
      <c r="K1061" s="122"/>
      <c r="L1061" s="122"/>
      <c r="M1061" s="74">
        <v>100000</v>
      </c>
      <c r="N1061" s="75" t="s">
        <v>241</v>
      </c>
      <c r="O1061" s="75" t="s">
        <v>54</v>
      </c>
      <c r="P1061" s="134" t="str">
        <f>IF(AND('331-CT'!$E$7=TH!H1061,OR(N1061="331",O1061="331")),"x","")</f>
        <v/>
      </c>
    </row>
    <row r="1062" spans="1:16">
      <c r="A1062" s="72">
        <f t="shared" si="43"/>
        <v>2015</v>
      </c>
      <c r="B1062" s="72">
        <f t="shared" si="44"/>
        <v>12</v>
      </c>
      <c r="C1062" s="73">
        <v>42342</v>
      </c>
      <c r="D1062" s="73" t="s">
        <v>17</v>
      </c>
      <c r="E1062" s="73">
        <v>42342</v>
      </c>
      <c r="F1062" s="76" t="s">
        <v>35</v>
      </c>
      <c r="G1062" s="265"/>
      <c r="H1062" s="122"/>
      <c r="I1062" s="122"/>
      <c r="J1062" s="122"/>
      <c r="K1062" s="122"/>
      <c r="L1062" s="122"/>
      <c r="M1062" s="74">
        <v>10000</v>
      </c>
      <c r="N1062" s="75" t="s">
        <v>19</v>
      </c>
      <c r="O1062" s="75" t="s">
        <v>54</v>
      </c>
      <c r="P1062" s="134" t="str">
        <f>IF(AND('331-CT'!$E$7=TH!H1062,OR(N1062="331",O1062="331")),"x","")</f>
        <v/>
      </c>
    </row>
    <row r="1063" spans="1:16">
      <c r="A1063" s="72">
        <f t="shared" si="43"/>
        <v>2015</v>
      </c>
      <c r="B1063" s="72">
        <f t="shared" si="44"/>
        <v>12</v>
      </c>
      <c r="C1063" s="73">
        <v>42343</v>
      </c>
      <c r="D1063" s="73" t="s">
        <v>1094</v>
      </c>
      <c r="E1063" s="73">
        <v>42343</v>
      </c>
      <c r="F1063" s="76" t="s">
        <v>826</v>
      </c>
      <c r="G1063" s="265" t="s">
        <v>855</v>
      </c>
      <c r="H1063" s="122" t="s">
        <v>856</v>
      </c>
      <c r="I1063" s="122"/>
      <c r="J1063" s="122"/>
      <c r="K1063" s="122"/>
      <c r="L1063" s="122"/>
      <c r="M1063" s="74">
        <v>692000</v>
      </c>
      <c r="N1063" s="75" t="s">
        <v>654</v>
      </c>
      <c r="O1063" s="75" t="s">
        <v>203</v>
      </c>
      <c r="P1063" s="134" t="str">
        <f>IF(AND('331-CT'!$E$7=TH!H1063,OR(N1063="331",O1063="331")),"x","")</f>
        <v/>
      </c>
    </row>
    <row r="1064" spans="1:16">
      <c r="A1064" s="72">
        <f t="shared" si="43"/>
        <v>2015</v>
      </c>
      <c r="B1064" s="72">
        <f t="shared" si="44"/>
        <v>12</v>
      </c>
      <c r="C1064" s="73">
        <v>42345</v>
      </c>
      <c r="D1064" s="73" t="s">
        <v>1098</v>
      </c>
      <c r="E1064" s="73">
        <v>42345</v>
      </c>
      <c r="F1064" s="76" t="s">
        <v>826</v>
      </c>
      <c r="G1064" s="265" t="s">
        <v>858</v>
      </c>
      <c r="H1064" s="122" t="s">
        <v>856</v>
      </c>
      <c r="I1064" s="122"/>
      <c r="J1064" s="122"/>
      <c r="K1064" s="122"/>
      <c r="L1064" s="122"/>
      <c r="M1064" s="74">
        <v>3739000</v>
      </c>
      <c r="N1064" s="75" t="s">
        <v>654</v>
      </c>
      <c r="O1064" s="75" t="s">
        <v>203</v>
      </c>
      <c r="P1064" s="134" t="str">
        <f>IF(AND('331-CT'!$E$7=TH!H1064,OR(N1064="331",O1064="331")),"x","")</f>
        <v/>
      </c>
    </row>
    <row r="1065" spans="1:16">
      <c r="A1065" s="72">
        <f t="shared" si="43"/>
        <v>2015</v>
      </c>
      <c r="B1065" s="72">
        <f t="shared" si="44"/>
        <v>12</v>
      </c>
      <c r="C1065" s="73">
        <v>42345</v>
      </c>
      <c r="D1065" s="73" t="s">
        <v>1102</v>
      </c>
      <c r="E1065" s="73">
        <v>42345</v>
      </c>
      <c r="F1065" s="76" t="s">
        <v>1077</v>
      </c>
      <c r="G1065" s="265" t="s">
        <v>1078</v>
      </c>
      <c r="H1065" s="122" t="s">
        <v>1079</v>
      </c>
      <c r="I1065" s="122"/>
      <c r="J1065" s="122"/>
      <c r="K1065" s="122"/>
      <c r="L1065" s="122"/>
      <c r="M1065" s="74">
        <v>7090909</v>
      </c>
      <c r="N1065" s="75" t="s">
        <v>241</v>
      </c>
      <c r="O1065" s="75" t="s">
        <v>203</v>
      </c>
      <c r="P1065" s="134" t="str">
        <f>IF(AND('331-CT'!$E$7=TH!H1065,OR(N1065="331",O1065="331")),"x","")</f>
        <v/>
      </c>
    </row>
    <row r="1066" spans="1:16">
      <c r="A1066" s="72">
        <f t="shared" si="43"/>
        <v>2015</v>
      </c>
      <c r="B1066" s="72">
        <f t="shared" si="44"/>
        <v>12</v>
      </c>
      <c r="C1066" s="73">
        <v>42345</v>
      </c>
      <c r="D1066" s="73" t="s">
        <v>1102</v>
      </c>
      <c r="E1066" s="73">
        <v>42345</v>
      </c>
      <c r="F1066" s="76" t="s">
        <v>1080</v>
      </c>
      <c r="G1066" s="265" t="s">
        <v>1078</v>
      </c>
      <c r="H1066" s="122" t="s">
        <v>1079</v>
      </c>
      <c r="I1066" s="122"/>
      <c r="J1066" s="122"/>
      <c r="K1066" s="122"/>
      <c r="L1066" s="122"/>
      <c r="M1066" s="74">
        <v>709091</v>
      </c>
      <c r="N1066" s="75" t="s">
        <v>19</v>
      </c>
      <c r="O1066" s="75" t="s">
        <v>203</v>
      </c>
      <c r="P1066" s="134" t="str">
        <f>IF(AND('331-CT'!$E$7=TH!H1066,OR(N1066="331",O1066="331")),"x","")</f>
        <v/>
      </c>
    </row>
    <row r="1067" spans="1:16">
      <c r="A1067" s="72">
        <f t="shared" si="43"/>
        <v>2015</v>
      </c>
      <c r="B1067" s="72">
        <f t="shared" si="44"/>
        <v>12</v>
      </c>
      <c r="C1067" s="73">
        <v>42346</v>
      </c>
      <c r="D1067" s="73" t="s">
        <v>1104</v>
      </c>
      <c r="E1067" s="73">
        <v>42346</v>
      </c>
      <c r="F1067" s="76" t="s">
        <v>1132</v>
      </c>
      <c r="G1067" s="265" t="s">
        <v>411</v>
      </c>
      <c r="H1067" s="122" t="s">
        <v>1125</v>
      </c>
      <c r="I1067" s="122"/>
      <c r="J1067" s="122"/>
      <c r="K1067" s="122"/>
      <c r="L1067" s="122"/>
      <c r="M1067" s="74">
        <v>11700000</v>
      </c>
      <c r="N1067" s="75" t="s">
        <v>654</v>
      </c>
      <c r="O1067" s="75" t="s">
        <v>203</v>
      </c>
      <c r="P1067" s="134" t="str">
        <f>IF(AND('331-CT'!$E$7=TH!H1067,OR(N1067="331",O1067="331")),"x","")</f>
        <v/>
      </c>
    </row>
    <row r="1068" spans="1:16">
      <c r="A1068" s="72">
        <f t="shared" si="43"/>
        <v>2015</v>
      </c>
      <c r="B1068" s="72">
        <f t="shared" si="44"/>
        <v>12</v>
      </c>
      <c r="C1068" s="73">
        <v>42346</v>
      </c>
      <c r="D1068" s="73" t="s">
        <v>1104</v>
      </c>
      <c r="E1068" s="73">
        <v>42346</v>
      </c>
      <c r="F1068" s="76" t="s">
        <v>1133</v>
      </c>
      <c r="G1068" s="265" t="s">
        <v>411</v>
      </c>
      <c r="H1068" s="122" t="s">
        <v>1125</v>
      </c>
      <c r="I1068" s="122"/>
      <c r="J1068" s="122"/>
      <c r="K1068" s="122"/>
      <c r="L1068" s="122"/>
      <c r="M1068" s="74">
        <v>1170000</v>
      </c>
      <c r="N1068" s="75" t="s">
        <v>19</v>
      </c>
      <c r="O1068" s="75" t="s">
        <v>203</v>
      </c>
      <c r="P1068" s="134" t="str">
        <f>IF(AND('331-CT'!$E$7=TH!H1068,OR(N1068="331",O1068="331")),"x","")</f>
        <v/>
      </c>
    </row>
    <row r="1069" spans="1:16">
      <c r="A1069" s="72">
        <f t="shared" si="43"/>
        <v>2015</v>
      </c>
      <c r="B1069" s="72">
        <f t="shared" si="44"/>
        <v>12</v>
      </c>
      <c r="C1069" s="73">
        <v>42347</v>
      </c>
      <c r="D1069" s="73" t="s">
        <v>1105</v>
      </c>
      <c r="E1069" s="73">
        <v>42347</v>
      </c>
      <c r="F1069" s="76" t="s">
        <v>860</v>
      </c>
      <c r="G1069" s="265" t="s">
        <v>861</v>
      </c>
      <c r="H1069" s="122" t="s">
        <v>279</v>
      </c>
      <c r="I1069" s="122"/>
      <c r="J1069" s="122"/>
      <c r="K1069" s="122"/>
      <c r="L1069" s="122"/>
      <c r="M1069" s="74">
        <v>472127</v>
      </c>
      <c r="N1069" s="75" t="s">
        <v>241</v>
      </c>
      <c r="O1069" s="75" t="s">
        <v>203</v>
      </c>
      <c r="P1069" s="134" t="str">
        <f>IF(AND('331-CT'!$E$7=TH!H1069,OR(N1069="331",O1069="331")),"x","")</f>
        <v/>
      </c>
    </row>
    <row r="1070" spans="1:16">
      <c r="A1070" s="72">
        <f t="shared" si="43"/>
        <v>2015</v>
      </c>
      <c r="B1070" s="72">
        <f t="shared" si="44"/>
        <v>12</v>
      </c>
      <c r="C1070" s="73">
        <v>42347</v>
      </c>
      <c r="D1070" s="73" t="s">
        <v>1105</v>
      </c>
      <c r="E1070" s="73">
        <v>42347</v>
      </c>
      <c r="F1070" s="76" t="s">
        <v>1092</v>
      </c>
      <c r="G1070" s="265" t="s">
        <v>861</v>
      </c>
      <c r="H1070" s="122" t="s">
        <v>279</v>
      </c>
      <c r="I1070" s="122"/>
      <c r="J1070" s="122"/>
      <c r="K1070" s="122"/>
      <c r="L1070" s="122"/>
      <c r="M1070" s="74">
        <v>47213</v>
      </c>
      <c r="N1070" s="75" t="s">
        <v>19</v>
      </c>
      <c r="O1070" s="75" t="s">
        <v>203</v>
      </c>
      <c r="P1070" s="134" t="str">
        <f>IF(AND('331-CT'!$E$7=TH!H1070,OR(N1070="331",O1070="331")),"x","")</f>
        <v/>
      </c>
    </row>
    <row r="1071" spans="1:16">
      <c r="A1071" s="72">
        <f t="shared" si="43"/>
        <v>2015</v>
      </c>
      <c r="B1071" s="72">
        <f t="shared" si="44"/>
        <v>12</v>
      </c>
      <c r="C1071" s="73">
        <v>42348</v>
      </c>
      <c r="D1071" s="73" t="s">
        <v>1109</v>
      </c>
      <c r="E1071" s="73">
        <v>42348</v>
      </c>
      <c r="F1071" s="76" t="s">
        <v>862</v>
      </c>
      <c r="G1071" s="265" t="s">
        <v>863</v>
      </c>
      <c r="H1071" s="122" t="s">
        <v>782</v>
      </c>
      <c r="I1071" s="122"/>
      <c r="J1071" s="122"/>
      <c r="K1071" s="122"/>
      <c r="L1071" s="122"/>
      <c r="M1071" s="74">
        <v>6818182</v>
      </c>
      <c r="N1071" s="75" t="s">
        <v>241</v>
      </c>
      <c r="O1071" s="75" t="s">
        <v>203</v>
      </c>
      <c r="P1071" s="134" t="str">
        <f>IF(AND('331-CT'!$E$7=TH!H1071,OR(N1071="331",O1071="331")),"x","")</f>
        <v/>
      </c>
    </row>
    <row r="1072" spans="1:16">
      <c r="A1072" s="72">
        <f t="shared" si="43"/>
        <v>2015</v>
      </c>
      <c r="B1072" s="72">
        <f t="shared" si="44"/>
        <v>12</v>
      </c>
      <c r="C1072" s="73">
        <v>42348</v>
      </c>
      <c r="D1072" s="73" t="s">
        <v>1109</v>
      </c>
      <c r="E1072" s="73">
        <v>42348</v>
      </c>
      <c r="F1072" s="76" t="s">
        <v>1093</v>
      </c>
      <c r="G1072" s="265" t="s">
        <v>863</v>
      </c>
      <c r="H1072" s="122" t="s">
        <v>782</v>
      </c>
      <c r="I1072" s="122"/>
      <c r="J1072" s="122"/>
      <c r="K1072" s="122"/>
      <c r="L1072" s="122"/>
      <c r="M1072" s="74">
        <v>681818</v>
      </c>
      <c r="N1072" s="75" t="s">
        <v>19</v>
      </c>
      <c r="O1072" s="75" t="s">
        <v>203</v>
      </c>
      <c r="P1072" s="134" t="str">
        <f>IF(AND('331-CT'!$E$7=TH!H1072,OR(N1072="331",O1072="331")),"x","")</f>
        <v/>
      </c>
    </row>
    <row r="1073" spans="1:16">
      <c r="A1073" s="72">
        <f t="shared" si="43"/>
        <v>2015</v>
      </c>
      <c r="B1073" s="72">
        <f t="shared" si="44"/>
        <v>12</v>
      </c>
      <c r="C1073" s="73">
        <v>42348</v>
      </c>
      <c r="D1073" s="73" t="s">
        <v>1117</v>
      </c>
      <c r="E1073" s="73">
        <v>42348</v>
      </c>
      <c r="F1073" s="76" t="s">
        <v>1132</v>
      </c>
      <c r="G1073" s="265" t="s">
        <v>412</v>
      </c>
      <c r="H1073" s="122" t="s">
        <v>1125</v>
      </c>
      <c r="I1073" s="122"/>
      <c r="J1073" s="122"/>
      <c r="K1073" s="122"/>
      <c r="L1073" s="122"/>
      <c r="M1073" s="74">
        <v>11700000</v>
      </c>
      <c r="N1073" s="75" t="s">
        <v>654</v>
      </c>
      <c r="O1073" s="75" t="s">
        <v>203</v>
      </c>
      <c r="P1073" s="134" t="str">
        <f>IF(AND('331-CT'!$E$7=TH!H1073,OR(N1073="331",O1073="331")),"x","")</f>
        <v/>
      </c>
    </row>
    <row r="1074" spans="1:16">
      <c r="A1074" s="72">
        <f t="shared" si="43"/>
        <v>2015</v>
      </c>
      <c r="B1074" s="72">
        <f t="shared" si="44"/>
        <v>12</v>
      </c>
      <c r="C1074" s="73">
        <v>42348</v>
      </c>
      <c r="D1074" s="73" t="s">
        <v>1117</v>
      </c>
      <c r="E1074" s="73">
        <v>42348</v>
      </c>
      <c r="F1074" s="76" t="s">
        <v>1133</v>
      </c>
      <c r="G1074" s="265" t="s">
        <v>412</v>
      </c>
      <c r="H1074" s="122" t="s">
        <v>1125</v>
      </c>
      <c r="I1074" s="122"/>
      <c r="J1074" s="122"/>
      <c r="K1074" s="122"/>
      <c r="L1074" s="122"/>
      <c r="M1074" s="74">
        <v>1170000</v>
      </c>
      <c r="N1074" s="75" t="s">
        <v>19</v>
      </c>
      <c r="O1074" s="75" t="s">
        <v>203</v>
      </c>
      <c r="P1074" s="134" t="str">
        <f>IF(AND('331-CT'!$E$7=TH!H1074,OR(N1074="331",O1074="331")),"x","")</f>
        <v/>
      </c>
    </row>
    <row r="1075" spans="1:16">
      <c r="A1075" s="72">
        <f t="shared" si="43"/>
        <v>2015</v>
      </c>
      <c r="B1075" s="72">
        <f t="shared" si="44"/>
        <v>12</v>
      </c>
      <c r="C1075" s="73">
        <v>42349</v>
      </c>
      <c r="D1075" s="73" t="s">
        <v>1121</v>
      </c>
      <c r="E1075" s="73">
        <v>42349</v>
      </c>
      <c r="F1075" s="76" t="s">
        <v>575</v>
      </c>
      <c r="G1075" s="265"/>
      <c r="H1075" s="122" t="s">
        <v>271</v>
      </c>
      <c r="I1075" s="122"/>
      <c r="J1075" s="122"/>
      <c r="K1075" s="122"/>
      <c r="L1075" s="122"/>
      <c r="M1075" s="74">
        <v>450000000</v>
      </c>
      <c r="N1075" s="75" t="s">
        <v>54</v>
      </c>
      <c r="O1075" s="75" t="s">
        <v>203</v>
      </c>
      <c r="P1075" s="134" t="str">
        <f>IF(AND('331-CT'!$E$7=TH!H1075,OR(N1075="331",O1075="331")),"x","")</f>
        <v/>
      </c>
    </row>
    <row r="1076" spans="1:16">
      <c r="A1076" s="72">
        <f t="shared" si="43"/>
        <v>2015</v>
      </c>
      <c r="B1076" s="72">
        <f t="shared" si="44"/>
        <v>12</v>
      </c>
      <c r="C1076" s="73">
        <v>42349</v>
      </c>
      <c r="D1076" s="73" t="s">
        <v>17</v>
      </c>
      <c r="E1076" s="73">
        <v>42349</v>
      </c>
      <c r="F1076" s="76" t="s">
        <v>867</v>
      </c>
      <c r="G1076" s="265"/>
      <c r="H1076" s="122" t="s">
        <v>648</v>
      </c>
      <c r="I1076" s="122"/>
      <c r="J1076" s="122"/>
      <c r="K1076" s="122"/>
      <c r="L1076" s="122"/>
      <c r="M1076" s="74">
        <v>40237340</v>
      </c>
      <c r="N1076" s="75" t="s">
        <v>18</v>
      </c>
      <c r="O1076" s="75" t="s">
        <v>54</v>
      </c>
      <c r="P1076" s="134" t="str">
        <f>IF(AND('331-CT'!$E$7=TH!H1076,OR(N1076="331",O1076="331")),"x","")</f>
        <v/>
      </c>
    </row>
    <row r="1077" spans="1:16">
      <c r="A1077" s="72">
        <f t="shared" si="43"/>
        <v>2015</v>
      </c>
      <c r="B1077" s="72">
        <f t="shared" si="44"/>
        <v>12</v>
      </c>
      <c r="C1077" s="73">
        <v>42349</v>
      </c>
      <c r="D1077" s="73" t="s">
        <v>17</v>
      </c>
      <c r="E1077" s="73">
        <v>42349</v>
      </c>
      <c r="F1077" s="76" t="s">
        <v>34</v>
      </c>
      <c r="G1077" s="265"/>
      <c r="H1077" s="122"/>
      <c r="I1077" s="122"/>
      <c r="J1077" s="122"/>
      <c r="K1077" s="122"/>
      <c r="L1077" s="122"/>
      <c r="M1077" s="74">
        <v>45000</v>
      </c>
      <c r="N1077" s="75" t="s">
        <v>241</v>
      </c>
      <c r="O1077" s="75" t="s">
        <v>54</v>
      </c>
      <c r="P1077" s="134" t="str">
        <f>IF(AND('331-CT'!$E$7=TH!H1077,OR(N1077="331",O1077="331")),"x","")</f>
        <v/>
      </c>
    </row>
    <row r="1078" spans="1:16">
      <c r="A1078" s="72">
        <f t="shared" si="43"/>
        <v>2015</v>
      </c>
      <c r="B1078" s="72">
        <f t="shared" si="44"/>
        <v>12</v>
      </c>
      <c r="C1078" s="73">
        <v>42349</v>
      </c>
      <c r="D1078" s="73" t="s">
        <v>17</v>
      </c>
      <c r="E1078" s="73">
        <v>42349</v>
      </c>
      <c r="F1078" s="76" t="s">
        <v>35</v>
      </c>
      <c r="G1078" s="265"/>
      <c r="H1078" s="122"/>
      <c r="I1078" s="122"/>
      <c r="J1078" s="122"/>
      <c r="K1078" s="122"/>
      <c r="L1078" s="122"/>
      <c r="M1078" s="74">
        <v>4500</v>
      </c>
      <c r="N1078" s="75" t="s">
        <v>19</v>
      </c>
      <c r="O1078" s="75" t="s">
        <v>54</v>
      </c>
      <c r="P1078" s="134" t="str">
        <f>IF(AND('331-CT'!$E$7=TH!H1078,OR(N1078="331",O1078="331")),"x","")</f>
        <v/>
      </c>
    </row>
    <row r="1079" spans="1:16">
      <c r="A1079" s="72">
        <f t="shared" si="43"/>
        <v>2015</v>
      </c>
      <c r="B1079" s="72">
        <f t="shared" si="44"/>
        <v>12</v>
      </c>
      <c r="C1079" s="73">
        <v>42349</v>
      </c>
      <c r="D1079" s="73" t="s">
        <v>17</v>
      </c>
      <c r="E1079" s="73">
        <v>42349</v>
      </c>
      <c r="F1079" s="76" t="s">
        <v>885</v>
      </c>
      <c r="G1079" s="265"/>
      <c r="H1079" s="122" t="s">
        <v>480</v>
      </c>
      <c r="I1079" s="122"/>
      <c r="J1079" s="122"/>
      <c r="K1079" s="122"/>
      <c r="L1079" s="122"/>
      <c r="M1079" s="74">
        <v>200000000</v>
      </c>
      <c r="N1079" s="75" t="s">
        <v>18</v>
      </c>
      <c r="O1079" s="75" t="s">
        <v>54</v>
      </c>
      <c r="P1079" s="134" t="str">
        <f>IF(AND('331-CT'!$E$7=TH!H1079,OR(N1079="331",O1079="331")),"x","")</f>
        <v/>
      </c>
    </row>
    <row r="1080" spans="1:16">
      <c r="A1080" s="72">
        <f t="shared" si="43"/>
        <v>2015</v>
      </c>
      <c r="B1080" s="72">
        <f t="shared" si="44"/>
        <v>12</v>
      </c>
      <c r="C1080" s="73">
        <v>42349</v>
      </c>
      <c r="D1080" s="73" t="s">
        <v>17</v>
      </c>
      <c r="E1080" s="73">
        <v>42349</v>
      </c>
      <c r="F1080" s="76" t="s">
        <v>34</v>
      </c>
      <c r="G1080" s="265"/>
      <c r="H1080" s="122"/>
      <c r="I1080" s="122"/>
      <c r="J1080" s="122"/>
      <c r="K1080" s="122"/>
      <c r="L1080" s="122"/>
      <c r="M1080" s="74">
        <v>120000</v>
      </c>
      <c r="N1080" s="75" t="s">
        <v>241</v>
      </c>
      <c r="O1080" s="75" t="s">
        <v>54</v>
      </c>
      <c r="P1080" s="134" t="str">
        <f>IF(AND('331-CT'!$E$7=TH!H1080,OR(N1080="331",O1080="331")),"x","")</f>
        <v/>
      </c>
    </row>
    <row r="1081" spans="1:16">
      <c r="A1081" s="72">
        <f t="shared" si="43"/>
        <v>2015</v>
      </c>
      <c r="B1081" s="72">
        <f t="shared" si="44"/>
        <v>12</v>
      </c>
      <c r="C1081" s="73">
        <v>42349</v>
      </c>
      <c r="D1081" s="73" t="s">
        <v>17</v>
      </c>
      <c r="E1081" s="73">
        <v>42349</v>
      </c>
      <c r="F1081" s="76" t="s">
        <v>35</v>
      </c>
      <c r="G1081" s="265"/>
      <c r="H1081" s="122"/>
      <c r="I1081" s="122"/>
      <c r="J1081" s="122"/>
      <c r="K1081" s="122"/>
      <c r="L1081" s="122"/>
      <c r="M1081" s="74">
        <v>12000</v>
      </c>
      <c r="N1081" s="75" t="s">
        <v>19</v>
      </c>
      <c r="O1081" s="75" t="s">
        <v>54</v>
      </c>
      <c r="P1081" s="134" t="str">
        <f>IF(AND('331-CT'!$E$7=TH!H1081,OR(N1081="331",O1081="331")),"x","")</f>
        <v/>
      </c>
    </row>
    <row r="1082" spans="1:16">
      <c r="A1082" s="72">
        <f t="shared" si="43"/>
        <v>2015</v>
      </c>
      <c r="B1082" s="72">
        <f t="shared" si="44"/>
        <v>12</v>
      </c>
      <c r="C1082" s="73">
        <v>42349</v>
      </c>
      <c r="D1082" s="73" t="s">
        <v>17</v>
      </c>
      <c r="E1082" s="73">
        <v>42349</v>
      </c>
      <c r="F1082" s="76" t="s">
        <v>886</v>
      </c>
      <c r="G1082" s="265"/>
      <c r="H1082" s="122" t="s">
        <v>790</v>
      </c>
      <c r="I1082" s="122"/>
      <c r="J1082" s="122"/>
      <c r="K1082" s="122"/>
      <c r="L1082" s="122"/>
      <c r="M1082" s="74">
        <v>16743100</v>
      </c>
      <c r="N1082" s="75" t="s">
        <v>18</v>
      </c>
      <c r="O1082" s="75" t="s">
        <v>54</v>
      </c>
      <c r="P1082" s="134" t="str">
        <f>IF(AND('331-CT'!$E$7=TH!H1082,OR(N1082="331",O1082="331")),"x","")</f>
        <v/>
      </c>
    </row>
    <row r="1083" spans="1:16">
      <c r="A1083" s="72">
        <f t="shared" si="43"/>
        <v>2015</v>
      </c>
      <c r="B1083" s="72">
        <f t="shared" si="44"/>
        <v>12</v>
      </c>
      <c r="C1083" s="73">
        <v>42349</v>
      </c>
      <c r="D1083" s="73" t="s">
        <v>17</v>
      </c>
      <c r="E1083" s="73">
        <v>42349</v>
      </c>
      <c r="F1083" s="76" t="s">
        <v>34</v>
      </c>
      <c r="G1083" s="265"/>
      <c r="H1083" s="122"/>
      <c r="I1083" s="122"/>
      <c r="J1083" s="122"/>
      <c r="K1083" s="122"/>
      <c r="L1083" s="122"/>
      <c r="M1083" s="74">
        <v>40000</v>
      </c>
      <c r="N1083" s="75" t="s">
        <v>241</v>
      </c>
      <c r="O1083" s="75" t="s">
        <v>54</v>
      </c>
      <c r="P1083" s="134" t="str">
        <f>IF(AND('331-CT'!$E$7=TH!H1083,OR(N1083="331",O1083="331")),"x","")</f>
        <v/>
      </c>
    </row>
    <row r="1084" spans="1:16">
      <c r="A1084" s="72">
        <f t="shared" si="43"/>
        <v>2015</v>
      </c>
      <c r="B1084" s="72">
        <f t="shared" si="44"/>
        <v>12</v>
      </c>
      <c r="C1084" s="73">
        <v>42349</v>
      </c>
      <c r="D1084" s="73" t="s">
        <v>17</v>
      </c>
      <c r="E1084" s="73">
        <v>42349</v>
      </c>
      <c r="F1084" s="76" t="s">
        <v>35</v>
      </c>
      <c r="G1084" s="265"/>
      <c r="H1084" s="122"/>
      <c r="I1084" s="122"/>
      <c r="J1084" s="122"/>
      <c r="K1084" s="122"/>
      <c r="L1084" s="122"/>
      <c r="M1084" s="74">
        <v>4000</v>
      </c>
      <c r="N1084" s="75" t="s">
        <v>19</v>
      </c>
      <c r="O1084" s="75" t="s">
        <v>54</v>
      </c>
      <c r="P1084" s="134" t="str">
        <f>IF(AND('331-CT'!$E$7=TH!H1084,OR(N1084="331",O1084="331")),"x","")</f>
        <v/>
      </c>
    </row>
    <row r="1085" spans="1:16">
      <c r="A1085" s="72">
        <f t="shared" si="43"/>
        <v>2015</v>
      </c>
      <c r="B1085" s="72">
        <f t="shared" si="44"/>
        <v>12</v>
      </c>
      <c r="C1085" s="73">
        <v>42349</v>
      </c>
      <c r="D1085" s="73" t="s">
        <v>17</v>
      </c>
      <c r="E1085" s="73">
        <v>42349</v>
      </c>
      <c r="F1085" s="76" t="s">
        <v>887</v>
      </c>
      <c r="G1085" s="265"/>
      <c r="H1085" s="122" t="s">
        <v>299</v>
      </c>
      <c r="I1085" s="122"/>
      <c r="J1085" s="122"/>
      <c r="K1085" s="122"/>
      <c r="L1085" s="122"/>
      <c r="M1085" s="74">
        <v>114906620</v>
      </c>
      <c r="N1085" s="75" t="s">
        <v>18</v>
      </c>
      <c r="O1085" s="75" t="s">
        <v>54</v>
      </c>
      <c r="P1085" s="134" t="str">
        <f>IF(AND('331-CT'!$E$7=TH!H1085,OR(N1085="331",O1085="331")),"x","")</f>
        <v/>
      </c>
    </row>
    <row r="1086" spans="1:16">
      <c r="A1086" s="72">
        <f t="shared" si="43"/>
        <v>2015</v>
      </c>
      <c r="B1086" s="72">
        <f t="shared" si="44"/>
        <v>12</v>
      </c>
      <c r="C1086" s="73">
        <v>42349</v>
      </c>
      <c r="D1086" s="73" t="s">
        <v>17</v>
      </c>
      <c r="E1086" s="73">
        <v>42349</v>
      </c>
      <c r="F1086" s="76" t="s">
        <v>34</v>
      </c>
      <c r="G1086" s="265"/>
      <c r="H1086" s="122"/>
      <c r="I1086" s="122"/>
      <c r="J1086" s="122"/>
      <c r="K1086" s="122"/>
      <c r="L1086" s="122"/>
      <c r="M1086" s="74">
        <v>91925</v>
      </c>
      <c r="N1086" s="75" t="s">
        <v>241</v>
      </c>
      <c r="O1086" s="75" t="s">
        <v>54</v>
      </c>
      <c r="P1086" s="134" t="str">
        <f>IF(AND('331-CT'!$E$7=TH!H1086,OR(N1086="331",O1086="331")),"x","")</f>
        <v/>
      </c>
    </row>
    <row r="1087" spans="1:16">
      <c r="A1087" s="72">
        <f t="shared" si="43"/>
        <v>2015</v>
      </c>
      <c r="B1087" s="72">
        <f t="shared" si="44"/>
        <v>12</v>
      </c>
      <c r="C1087" s="73">
        <v>42349</v>
      </c>
      <c r="D1087" s="73" t="s">
        <v>17</v>
      </c>
      <c r="E1087" s="73">
        <v>42349</v>
      </c>
      <c r="F1087" s="76" t="s">
        <v>35</v>
      </c>
      <c r="G1087" s="265"/>
      <c r="H1087" s="122"/>
      <c r="I1087" s="122"/>
      <c r="J1087" s="122"/>
      <c r="K1087" s="122"/>
      <c r="L1087" s="122"/>
      <c r="M1087" s="74">
        <v>9192</v>
      </c>
      <c r="N1087" s="75" t="s">
        <v>19</v>
      </c>
      <c r="O1087" s="75" t="s">
        <v>54</v>
      </c>
      <c r="P1087" s="134" t="str">
        <f>IF(AND('331-CT'!$E$7=TH!H1087,OR(N1087="331",O1087="331")),"x","")</f>
        <v/>
      </c>
    </row>
    <row r="1088" spans="1:16">
      <c r="A1088" s="72">
        <f t="shared" si="43"/>
        <v>2015</v>
      </c>
      <c r="B1088" s="72">
        <f t="shared" si="44"/>
        <v>12</v>
      </c>
      <c r="C1088" s="73">
        <v>42349</v>
      </c>
      <c r="D1088" s="73" t="s">
        <v>17</v>
      </c>
      <c r="E1088" s="73">
        <v>42349</v>
      </c>
      <c r="F1088" s="76" t="s">
        <v>888</v>
      </c>
      <c r="G1088" s="265"/>
      <c r="H1088" s="122" t="s">
        <v>601</v>
      </c>
      <c r="I1088" s="122"/>
      <c r="J1088" s="122"/>
      <c r="K1088" s="122"/>
      <c r="L1088" s="122"/>
      <c r="M1088" s="74">
        <v>75000000</v>
      </c>
      <c r="N1088" s="75" t="s">
        <v>18</v>
      </c>
      <c r="O1088" s="75" t="s">
        <v>54</v>
      </c>
      <c r="P1088" s="134" t="str">
        <f>IF(AND('331-CT'!$E$7=TH!H1088,OR(N1088="331",O1088="331")),"x","")</f>
        <v/>
      </c>
    </row>
    <row r="1089" spans="1:16">
      <c r="A1089" s="72">
        <f t="shared" si="43"/>
        <v>2015</v>
      </c>
      <c r="B1089" s="72">
        <f t="shared" si="44"/>
        <v>12</v>
      </c>
      <c r="C1089" s="73">
        <v>42349</v>
      </c>
      <c r="D1089" s="73" t="s">
        <v>17</v>
      </c>
      <c r="E1089" s="73">
        <v>42349</v>
      </c>
      <c r="F1089" s="76" t="s">
        <v>34</v>
      </c>
      <c r="G1089" s="265"/>
      <c r="H1089" s="122"/>
      <c r="I1089" s="122"/>
      <c r="J1089" s="122"/>
      <c r="K1089" s="122"/>
      <c r="L1089" s="122"/>
      <c r="M1089" s="74">
        <v>45000</v>
      </c>
      <c r="N1089" s="75" t="s">
        <v>241</v>
      </c>
      <c r="O1089" s="75" t="s">
        <v>54</v>
      </c>
      <c r="P1089" s="134" t="str">
        <f>IF(AND('331-CT'!$E$7=TH!H1089,OR(N1089="331",O1089="331")),"x","")</f>
        <v/>
      </c>
    </row>
    <row r="1090" spans="1:16">
      <c r="A1090" s="72">
        <f t="shared" si="43"/>
        <v>2015</v>
      </c>
      <c r="B1090" s="72">
        <f t="shared" si="44"/>
        <v>12</v>
      </c>
      <c r="C1090" s="73">
        <v>42349</v>
      </c>
      <c r="D1090" s="73" t="s">
        <v>17</v>
      </c>
      <c r="E1090" s="73">
        <v>42349</v>
      </c>
      <c r="F1090" s="76" t="s">
        <v>35</v>
      </c>
      <c r="G1090" s="265"/>
      <c r="H1090" s="122"/>
      <c r="I1090" s="122"/>
      <c r="J1090" s="122"/>
      <c r="K1090" s="122"/>
      <c r="L1090" s="122"/>
      <c r="M1090" s="74">
        <v>4500</v>
      </c>
      <c r="N1090" s="75" t="s">
        <v>19</v>
      </c>
      <c r="O1090" s="75" t="s">
        <v>54</v>
      </c>
      <c r="P1090" s="134" t="str">
        <f>IF(AND('331-CT'!$E$7=TH!H1090,OR(N1090="331",O1090="331")),"x","")</f>
        <v/>
      </c>
    </row>
    <row r="1091" spans="1:16">
      <c r="A1091" s="72">
        <f t="shared" si="43"/>
        <v>2015</v>
      </c>
      <c r="B1091" s="72">
        <f t="shared" si="44"/>
        <v>12</v>
      </c>
      <c r="C1091" s="73">
        <v>42349</v>
      </c>
      <c r="D1091" s="73" t="s">
        <v>78</v>
      </c>
      <c r="E1091" s="73">
        <v>42349</v>
      </c>
      <c r="F1091" s="76" t="s">
        <v>1071</v>
      </c>
      <c r="G1091" s="265" t="s">
        <v>1072</v>
      </c>
      <c r="H1091" s="122" t="s">
        <v>648</v>
      </c>
      <c r="I1091" s="122"/>
      <c r="J1091" s="122"/>
      <c r="K1091" s="122"/>
      <c r="L1091" s="122"/>
      <c r="M1091" s="74">
        <v>34392600</v>
      </c>
      <c r="N1091" s="75" t="s">
        <v>241</v>
      </c>
      <c r="O1091" s="75" t="s">
        <v>18</v>
      </c>
      <c r="P1091" s="134" t="str">
        <f>IF(AND('331-CT'!$E$7=TH!H1091,OR(N1091="331",O1091="331")),"x","")</f>
        <v/>
      </c>
    </row>
    <row r="1092" spans="1:16">
      <c r="A1092" s="72">
        <f t="shared" si="43"/>
        <v>2015</v>
      </c>
      <c r="B1092" s="72">
        <f t="shared" si="44"/>
        <v>12</v>
      </c>
      <c r="C1092" s="73">
        <v>42349</v>
      </c>
      <c r="D1092" s="73" t="s">
        <v>78</v>
      </c>
      <c r="E1092" s="73">
        <v>42349</v>
      </c>
      <c r="F1092" s="76" t="s">
        <v>1073</v>
      </c>
      <c r="G1092" s="265" t="s">
        <v>1072</v>
      </c>
      <c r="H1092" s="122" t="s">
        <v>648</v>
      </c>
      <c r="I1092" s="122"/>
      <c r="J1092" s="122"/>
      <c r="K1092" s="122"/>
      <c r="L1092" s="122"/>
      <c r="M1092" s="74">
        <v>3439260</v>
      </c>
      <c r="N1092" s="75" t="s">
        <v>19</v>
      </c>
      <c r="O1092" s="75" t="s">
        <v>18</v>
      </c>
      <c r="P1092" s="134" t="str">
        <f>IF(AND('331-CT'!$E$7=TH!H1092,OR(N1092="331",O1092="331")),"x","")</f>
        <v/>
      </c>
    </row>
    <row r="1093" spans="1:16">
      <c r="A1093" s="72">
        <f t="shared" si="43"/>
        <v>2015</v>
      </c>
      <c r="B1093" s="72">
        <f t="shared" si="44"/>
        <v>12</v>
      </c>
      <c r="C1093" s="73">
        <v>42357</v>
      </c>
      <c r="D1093" s="73" t="s">
        <v>17</v>
      </c>
      <c r="E1093" s="73">
        <v>42357</v>
      </c>
      <c r="F1093" s="76" t="s">
        <v>119</v>
      </c>
      <c r="G1093" s="265"/>
      <c r="H1093" s="122" t="s">
        <v>313</v>
      </c>
      <c r="I1093" s="122"/>
      <c r="J1093" s="122"/>
      <c r="K1093" s="122"/>
      <c r="L1093" s="122"/>
      <c r="M1093" s="74">
        <v>7916667</v>
      </c>
      <c r="N1093" s="75" t="s">
        <v>239</v>
      </c>
      <c r="O1093" s="75" t="s">
        <v>54</v>
      </c>
      <c r="P1093" s="134" t="str">
        <f>IF(AND('331-CT'!$E$7=TH!H1093,OR(N1093="331",O1093="331")),"x","")</f>
        <v/>
      </c>
    </row>
    <row r="1094" spans="1:16">
      <c r="A1094" s="72">
        <f t="shared" si="43"/>
        <v>2015</v>
      </c>
      <c r="B1094" s="72">
        <f t="shared" si="44"/>
        <v>12</v>
      </c>
      <c r="C1094" s="73">
        <v>42357</v>
      </c>
      <c r="D1094" s="73" t="s">
        <v>17</v>
      </c>
      <c r="E1094" s="73">
        <v>42357</v>
      </c>
      <c r="F1094" s="76" t="s">
        <v>145</v>
      </c>
      <c r="G1094" s="265"/>
      <c r="H1094" s="122" t="s">
        <v>317</v>
      </c>
      <c r="I1094" s="122"/>
      <c r="J1094" s="122"/>
      <c r="K1094" s="122"/>
      <c r="L1094" s="122"/>
      <c r="M1094" s="74">
        <v>7916667</v>
      </c>
      <c r="N1094" s="75" t="s">
        <v>239</v>
      </c>
      <c r="O1094" s="75" t="s">
        <v>54</v>
      </c>
      <c r="P1094" s="134" t="str">
        <f>IF(AND('331-CT'!$E$7=TH!H1094,OR(N1094="331",O1094="331")),"x","")</f>
        <v/>
      </c>
    </row>
    <row r="1095" spans="1:16">
      <c r="A1095" s="72">
        <f t="shared" si="43"/>
        <v>2015</v>
      </c>
      <c r="B1095" s="72">
        <f t="shared" si="44"/>
        <v>12</v>
      </c>
      <c r="C1095" s="73">
        <v>42357</v>
      </c>
      <c r="D1095" s="73" t="s">
        <v>17</v>
      </c>
      <c r="E1095" s="73">
        <v>42357</v>
      </c>
      <c r="F1095" s="76" t="s">
        <v>141</v>
      </c>
      <c r="G1095" s="265"/>
      <c r="H1095" s="122" t="s">
        <v>314</v>
      </c>
      <c r="I1095" s="122"/>
      <c r="J1095" s="122"/>
      <c r="K1095" s="122"/>
      <c r="L1095" s="122"/>
      <c r="M1095" s="74">
        <v>15833333</v>
      </c>
      <c r="N1095" s="75" t="s">
        <v>239</v>
      </c>
      <c r="O1095" s="75" t="s">
        <v>54</v>
      </c>
      <c r="P1095" s="134" t="str">
        <f>IF(AND('331-CT'!$E$7=TH!H1095,OR(N1095="331",O1095="331")),"x","")</f>
        <v/>
      </c>
    </row>
    <row r="1096" spans="1:16">
      <c r="A1096" s="72">
        <f t="shared" si="43"/>
        <v>2015</v>
      </c>
      <c r="B1096" s="72">
        <f t="shared" si="44"/>
        <v>12</v>
      </c>
      <c r="C1096" s="73">
        <v>42359</v>
      </c>
      <c r="D1096" s="73" t="s">
        <v>78</v>
      </c>
      <c r="E1096" s="73">
        <v>42359</v>
      </c>
      <c r="F1096" s="76" t="s">
        <v>1095</v>
      </c>
      <c r="G1096" s="265" t="s">
        <v>1096</v>
      </c>
      <c r="H1096" s="122" t="s">
        <v>150</v>
      </c>
      <c r="I1096" s="122"/>
      <c r="J1096" s="122"/>
      <c r="K1096" s="122"/>
      <c r="L1096" s="122"/>
      <c r="M1096" s="74">
        <v>31372800</v>
      </c>
      <c r="N1096" s="75" t="s">
        <v>654</v>
      </c>
      <c r="O1096" s="75" t="s">
        <v>18</v>
      </c>
      <c r="P1096" s="134" t="str">
        <f>IF(AND('331-CT'!$E$7=TH!H1096,OR(N1096="331",O1096="331")),"x","")</f>
        <v/>
      </c>
    </row>
    <row r="1097" spans="1:16">
      <c r="A1097" s="72">
        <f t="shared" si="43"/>
        <v>2015</v>
      </c>
      <c r="B1097" s="72">
        <f t="shared" si="44"/>
        <v>12</v>
      </c>
      <c r="C1097" s="73">
        <v>42359</v>
      </c>
      <c r="D1097" s="73" t="s">
        <v>78</v>
      </c>
      <c r="E1097" s="73">
        <v>42359</v>
      </c>
      <c r="F1097" s="76" t="s">
        <v>1097</v>
      </c>
      <c r="G1097" s="265" t="s">
        <v>1096</v>
      </c>
      <c r="H1097" s="122" t="s">
        <v>150</v>
      </c>
      <c r="I1097" s="122"/>
      <c r="J1097" s="122"/>
      <c r="K1097" s="122"/>
      <c r="L1097" s="122"/>
      <c r="M1097" s="74">
        <v>3137280</v>
      </c>
      <c r="N1097" s="75" t="s">
        <v>19</v>
      </c>
      <c r="O1097" s="75" t="s">
        <v>18</v>
      </c>
      <c r="P1097" s="134" t="str">
        <f>IF(AND('331-CT'!$E$7=TH!H1097,OR(N1097="331",O1097="331")),"x","")</f>
        <v/>
      </c>
    </row>
    <row r="1098" spans="1:16">
      <c r="A1098" s="72">
        <f t="shared" si="43"/>
        <v>2015</v>
      </c>
      <c r="B1098" s="72">
        <f t="shared" si="44"/>
        <v>12</v>
      </c>
      <c r="C1098" s="73">
        <v>42360</v>
      </c>
      <c r="D1098" s="73" t="s">
        <v>1122</v>
      </c>
      <c r="E1098" s="73">
        <v>42360</v>
      </c>
      <c r="F1098" s="76" t="s">
        <v>575</v>
      </c>
      <c r="G1098" s="265"/>
      <c r="H1098" s="122" t="s">
        <v>271</v>
      </c>
      <c r="I1098" s="122"/>
      <c r="J1098" s="122"/>
      <c r="K1098" s="122"/>
      <c r="L1098" s="122"/>
      <c r="M1098" s="74">
        <v>170000000</v>
      </c>
      <c r="N1098" s="75" t="s">
        <v>54</v>
      </c>
      <c r="O1098" s="75" t="s">
        <v>203</v>
      </c>
      <c r="P1098" s="134" t="str">
        <f>IF(AND('331-CT'!$E$7=TH!H1098,OR(N1098="331",O1098="331")),"x","")</f>
        <v/>
      </c>
    </row>
    <row r="1099" spans="1:16">
      <c r="A1099" s="72">
        <f t="shared" si="43"/>
        <v>2015</v>
      </c>
      <c r="B1099" s="72">
        <f t="shared" si="44"/>
        <v>12</v>
      </c>
      <c r="C1099" s="73">
        <v>42360</v>
      </c>
      <c r="D1099" s="73" t="s">
        <v>17</v>
      </c>
      <c r="E1099" s="73">
        <v>42360</v>
      </c>
      <c r="F1099" s="76" t="s">
        <v>143</v>
      </c>
      <c r="G1099" s="265"/>
      <c r="H1099" s="122" t="s">
        <v>316</v>
      </c>
      <c r="I1099" s="122"/>
      <c r="J1099" s="122"/>
      <c r="K1099" s="122"/>
      <c r="L1099" s="122"/>
      <c r="M1099" s="74">
        <v>12681709</v>
      </c>
      <c r="N1099" s="75" t="s">
        <v>239</v>
      </c>
      <c r="O1099" s="75" t="s">
        <v>54</v>
      </c>
      <c r="P1099" s="134" t="str">
        <f>IF(AND('331-CT'!$E$7=TH!H1099,OR(N1099="331",O1099="331")),"x","")</f>
        <v/>
      </c>
    </row>
    <row r="1100" spans="1:16">
      <c r="A1100" s="72">
        <f t="shared" si="43"/>
        <v>2015</v>
      </c>
      <c r="B1100" s="72">
        <f t="shared" si="44"/>
        <v>12</v>
      </c>
      <c r="C1100" s="73">
        <v>42360</v>
      </c>
      <c r="D1100" s="73" t="s">
        <v>17</v>
      </c>
      <c r="E1100" s="73">
        <v>42360</v>
      </c>
      <c r="F1100" s="76" t="s">
        <v>144</v>
      </c>
      <c r="G1100" s="265"/>
      <c r="H1100" s="122" t="s">
        <v>315</v>
      </c>
      <c r="I1100" s="122"/>
      <c r="J1100" s="122"/>
      <c r="K1100" s="122"/>
      <c r="L1100" s="122"/>
      <c r="M1100" s="74">
        <v>11889102</v>
      </c>
      <c r="N1100" s="75" t="s">
        <v>239</v>
      </c>
      <c r="O1100" s="75" t="s">
        <v>54</v>
      </c>
      <c r="P1100" s="134" t="str">
        <f>IF(AND('331-CT'!$E$7=TH!H1100,OR(N1100="331",O1100="331")),"x","")</f>
        <v/>
      </c>
    </row>
    <row r="1101" spans="1:16">
      <c r="A1101" s="72">
        <f t="shared" si="43"/>
        <v>2015</v>
      </c>
      <c r="B1101" s="72">
        <f t="shared" si="44"/>
        <v>12</v>
      </c>
      <c r="C1101" s="73">
        <v>42360</v>
      </c>
      <c r="D1101" s="73" t="s">
        <v>17</v>
      </c>
      <c r="E1101" s="73">
        <v>42360</v>
      </c>
      <c r="F1101" s="76" t="s">
        <v>147</v>
      </c>
      <c r="G1101" s="265"/>
      <c r="H1101" s="122" t="s">
        <v>318</v>
      </c>
      <c r="I1101" s="122"/>
      <c r="J1101" s="122"/>
      <c r="K1101" s="122"/>
      <c r="L1101" s="122"/>
      <c r="M1101" s="74">
        <v>11889102</v>
      </c>
      <c r="N1101" s="75" t="s">
        <v>239</v>
      </c>
      <c r="O1101" s="75" t="s">
        <v>54</v>
      </c>
      <c r="P1101" s="134" t="str">
        <f>IF(AND('331-CT'!$E$7=TH!H1101,OR(N1101="331",O1101="331")),"x","")</f>
        <v/>
      </c>
    </row>
    <row r="1102" spans="1:16">
      <c r="A1102" s="72">
        <f t="shared" si="43"/>
        <v>2015</v>
      </c>
      <c r="B1102" s="72">
        <f t="shared" si="44"/>
        <v>12</v>
      </c>
      <c r="C1102" s="73">
        <v>42360</v>
      </c>
      <c r="D1102" s="73" t="s">
        <v>17</v>
      </c>
      <c r="E1102" s="73">
        <v>42360</v>
      </c>
      <c r="F1102" s="76" t="s">
        <v>272</v>
      </c>
      <c r="G1102" s="265"/>
      <c r="H1102" s="122" t="s">
        <v>319</v>
      </c>
      <c r="I1102" s="122"/>
      <c r="J1102" s="122"/>
      <c r="K1102" s="122"/>
      <c r="L1102" s="122"/>
      <c r="M1102" s="74">
        <v>15852135</v>
      </c>
      <c r="N1102" s="75" t="s">
        <v>239</v>
      </c>
      <c r="O1102" s="75" t="s">
        <v>54</v>
      </c>
      <c r="P1102" s="134" t="str">
        <f>IF(AND('331-CT'!$E$7=TH!H1102,OR(N1102="331",O1102="331")),"x","")</f>
        <v/>
      </c>
    </row>
    <row r="1103" spans="1:16">
      <c r="A1103" s="72">
        <f t="shared" si="43"/>
        <v>2015</v>
      </c>
      <c r="B1103" s="72">
        <f t="shared" si="44"/>
        <v>12</v>
      </c>
      <c r="C1103" s="73">
        <v>42360</v>
      </c>
      <c r="D1103" s="73" t="s">
        <v>17</v>
      </c>
      <c r="E1103" s="73">
        <v>42360</v>
      </c>
      <c r="F1103" s="76" t="s">
        <v>302</v>
      </c>
      <c r="G1103" s="265"/>
      <c r="H1103" s="122" t="s">
        <v>320</v>
      </c>
      <c r="I1103" s="122"/>
      <c r="J1103" s="122"/>
      <c r="K1103" s="122"/>
      <c r="L1103" s="122"/>
      <c r="M1103" s="74">
        <v>11096494</v>
      </c>
      <c r="N1103" s="75" t="s">
        <v>239</v>
      </c>
      <c r="O1103" s="75" t="s">
        <v>54</v>
      </c>
      <c r="P1103" s="134" t="str">
        <f>IF(AND('331-CT'!$E$7=TH!H1103,OR(N1103="331",O1103="331")),"x","")</f>
        <v/>
      </c>
    </row>
    <row r="1104" spans="1:16">
      <c r="A1104" s="72">
        <f t="shared" si="43"/>
        <v>2015</v>
      </c>
      <c r="B1104" s="72">
        <f t="shared" si="44"/>
        <v>12</v>
      </c>
      <c r="C1104" s="73">
        <v>42360</v>
      </c>
      <c r="D1104" s="73" t="s">
        <v>17</v>
      </c>
      <c r="E1104" s="73">
        <v>42360</v>
      </c>
      <c r="F1104" s="76" t="s">
        <v>303</v>
      </c>
      <c r="G1104" s="265"/>
      <c r="H1104" s="122" t="s">
        <v>321</v>
      </c>
      <c r="I1104" s="122"/>
      <c r="J1104" s="122"/>
      <c r="K1104" s="122"/>
      <c r="L1104" s="122"/>
      <c r="M1104" s="74">
        <v>11889102</v>
      </c>
      <c r="N1104" s="75" t="s">
        <v>239</v>
      </c>
      <c r="O1104" s="75" t="s">
        <v>54</v>
      </c>
      <c r="P1104" s="134" t="str">
        <f>IF(AND('331-CT'!$E$7=TH!H1104,OR(N1104="331",O1104="331")),"x","")</f>
        <v/>
      </c>
    </row>
    <row r="1105" spans="1:17">
      <c r="A1105" s="72">
        <f t="shared" si="43"/>
        <v>2015</v>
      </c>
      <c r="B1105" s="72">
        <f t="shared" si="44"/>
        <v>12</v>
      </c>
      <c r="C1105" s="73">
        <v>42360</v>
      </c>
      <c r="D1105" s="73" t="s">
        <v>17</v>
      </c>
      <c r="E1105" s="73">
        <v>42360</v>
      </c>
      <c r="F1105" s="76" t="s">
        <v>464</v>
      </c>
      <c r="G1105" s="265"/>
      <c r="H1105" s="122" t="s">
        <v>325</v>
      </c>
      <c r="I1105" s="122"/>
      <c r="J1105" s="122"/>
      <c r="K1105" s="122"/>
      <c r="L1105" s="122"/>
      <c r="M1105" s="74">
        <v>11889102</v>
      </c>
      <c r="N1105" s="75" t="s">
        <v>239</v>
      </c>
      <c r="O1105" s="75" t="s">
        <v>54</v>
      </c>
      <c r="P1105" s="134" t="str">
        <f>IF(AND('331-CT'!$E$7=TH!H1105,OR(N1105="331",O1105="331")),"x","")</f>
        <v/>
      </c>
    </row>
    <row r="1106" spans="1:17" ht="15">
      <c r="A1106" s="72">
        <f t="shared" si="43"/>
        <v>2015</v>
      </c>
      <c r="B1106" s="72">
        <f t="shared" si="44"/>
        <v>12</v>
      </c>
      <c r="C1106" s="73">
        <v>42360</v>
      </c>
      <c r="D1106" s="73" t="s">
        <v>17</v>
      </c>
      <c r="E1106" s="73">
        <v>42360</v>
      </c>
      <c r="F1106" s="76" t="s">
        <v>465</v>
      </c>
      <c r="G1106" s="265"/>
      <c r="H1106" s="122" t="s">
        <v>416</v>
      </c>
      <c r="I1106" s="122"/>
      <c r="J1106" s="122"/>
      <c r="K1106" s="122"/>
      <c r="L1106" s="122"/>
      <c r="M1106" s="74">
        <v>11889102</v>
      </c>
      <c r="N1106" s="75" t="s">
        <v>239</v>
      </c>
      <c r="O1106" s="75" t="s">
        <v>54</v>
      </c>
      <c r="P1106" s="134" t="str">
        <f>IF(AND('331-CT'!$E$7=TH!H1106,OR(N1106="331",O1106="331")),"x","")</f>
        <v/>
      </c>
      <c r="Q1106" s="388"/>
    </row>
    <row r="1107" spans="1:17">
      <c r="A1107" s="72">
        <f t="shared" si="43"/>
        <v>2015</v>
      </c>
      <c r="B1107" s="72">
        <f t="shared" si="44"/>
        <v>12</v>
      </c>
      <c r="C1107" s="73">
        <v>42360</v>
      </c>
      <c r="D1107" s="73" t="s">
        <v>17</v>
      </c>
      <c r="E1107" s="73">
        <v>42360</v>
      </c>
      <c r="F1107" s="76" t="s">
        <v>579</v>
      </c>
      <c r="G1107" s="265"/>
      <c r="H1107" s="122" t="s">
        <v>421</v>
      </c>
      <c r="I1107" s="122"/>
      <c r="J1107" s="122"/>
      <c r="K1107" s="122"/>
      <c r="L1107" s="122"/>
      <c r="M1107" s="74">
        <v>7926068</v>
      </c>
      <c r="N1107" s="75" t="s">
        <v>239</v>
      </c>
      <c r="O1107" s="75" t="s">
        <v>54</v>
      </c>
      <c r="P1107" s="134" t="str">
        <f>IF(AND('331-CT'!$E$7=TH!H1107,OR(N1107="331",O1107="331")),"x","")</f>
        <v/>
      </c>
    </row>
    <row r="1108" spans="1:17">
      <c r="A1108" s="72">
        <f t="shared" si="43"/>
        <v>2015</v>
      </c>
      <c r="B1108" s="72">
        <f t="shared" si="44"/>
        <v>12</v>
      </c>
      <c r="C1108" s="73">
        <v>42360</v>
      </c>
      <c r="D1108" s="73" t="s">
        <v>17</v>
      </c>
      <c r="E1108" s="73">
        <v>42360</v>
      </c>
      <c r="F1108" s="76" t="s">
        <v>580</v>
      </c>
      <c r="G1108" s="265"/>
      <c r="H1108" s="122" t="s">
        <v>455</v>
      </c>
      <c r="I1108" s="122"/>
      <c r="J1108" s="122"/>
      <c r="K1108" s="122"/>
      <c r="L1108" s="122"/>
      <c r="M1108" s="74">
        <v>7926068</v>
      </c>
      <c r="N1108" s="75" t="s">
        <v>239</v>
      </c>
      <c r="O1108" s="75" t="s">
        <v>54</v>
      </c>
      <c r="P1108" s="134" t="str">
        <f>IF(AND('331-CT'!$E$7=TH!H1108,OR(N1108="331",O1108="331")),"x","")</f>
        <v/>
      </c>
    </row>
    <row r="1109" spans="1:17">
      <c r="A1109" s="72">
        <f t="shared" si="43"/>
        <v>2015</v>
      </c>
      <c r="B1109" s="72">
        <f t="shared" si="44"/>
        <v>12</v>
      </c>
      <c r="C1109" s="311">
        <v>42360</v>
      </c>
      <c r="D1109" s="311" t="s">
        <v>17</v>
      </c>
      <c r="E1109" s="311">
        <v>42360</v>
      </c>
      <c r="F1109" s="312" t="s">
        <v>417</v>
      </c>
      <c r="G1109" s="406"/>
      <c r="H1109" s="314" t="s">
        <v>323</v>
      </c>
      <c r="I1109" s="314"/>
      <c r="J1109" s="314"/>
      <c r="K1109" s="314"/>
      <c r="L1109" s="314"/>
      <c r="M1109" s="74">
        <v>11889102</v>
      </c>
      <c r="N1109" s="315" t="s">
        <v>239</v>
      </c>
      <c r="O1109" s="315" t="s">
        <v>54</v>
      </c>
      <c r="P1109" s="134" t="str">
        <f>IF(AND('331-CT'!$E$7=TH!H1109,OR(N1109="331",O1109="331")),"x","")</f>
        <v/>
      </c>
    </row>
    <row r="1110" spans="1:17">
      <c r="A1110" s="72">
        <f t="shared" ref="A1110:A1116" si="45">IF(C1110&lt;&gt;"",YEAR(C1110),"")</f>
        <v>2015</v>
      </c>
      <c r="B1110" s="72">
        <f t="shared" ref="B1110:B1116" si="46">IF(C1110&lt;&gt;"",MONTH(C1110),"")</f>
        <v>12</v>
      </c>
      <c r="C1110" s="311">
        <v>42361</v>
      </c>
      <c r="D1110" s="311" t="s">
        <v>17</v>
      </c>
      <c r="E1110" s="311">
        <v>42361</v>
      </c>
      <c r="F1110" s="312" t="s">
        <v>1056</v>
      </c>
      <c r="G1110" s="406"/>
      <c r="H1110" s="314" t="s">
        <v>648</v>
      </c>
      <c r="I1110" s="314"/>
      <c r="J1110" s="314"/>
      <c r="K1110" s="314"/>
      <c r="L1110" s="314"/>
      <c r="M1110" s="74">
        <v>37831860</v>
      </c>
      <c r="N1110" s="315" t="s">
        <v>18</v>
      </c>
      <c r="O1110" s="315" t="s">
        <v>54</v>
      </c>
      <c r="P1110" s="134" t="str">
        <f>IF(AND('331-CT'!$E$7=TH!H1110,OR(N1110="331",O1110="331")),"x","")</f>
        <v/>
      </c>
    </row>
    <row r="1111" spans="1:17">
      <c r="A1111" s="72">
        <f t="shared" si="45"/>
        <v>2015</v>
      </c>
      <c r="B1111" s="72">
        <f t="shared" si="46"/>
        <v>12</v>
      </c>
      <c r="C1111" s="311">
        <v>42361</v>
      </c>
      <c r="D1111" s="311" t="s">
        <v>17</v>
      </c>
      <c r="E1111" s="311">
        <v>42361</v>
      </c>
      <c r="F1111" s="312" t="s">
        <v>34</v>
      </c>
      <c r="G1111" s="406"/>
      <c r="H1111" s="314"/>
      <c r="I1111" s="314"/>
      <c r="J1111" s="314"/>
      <c r="K1111" s="314"/>
      <c r="L1111" s="314"/>
      <c r="M1111" s="74">
        <v>45000</v>
      </c>
      <c r="N1111" s="315" t="s">
        <v>241</v>
      </c>
      <c r="O1111" s="315" t="s">
        <v>54</v>
      </c>
      <c r="P1111" s="134" t="str">
        <f>IF(AND('331-CT'!$E$7=TH!H1111,OR(N1111="331",O1111="331")),"x","")</f>
        <v/>
      </c>
    </row>
    <row r="1112" spans="1:17">
      <c r="A1112" s="72">
        <f t="shared" si="45"/>
        <v>2015</v>
      </c>
      <c r="B1112" s="72">
        <f t="shared" si="46"/>
        <v>12</v>
      </c>
      <c r="C1112" s="311">
        <v>42361</v>
      </c>
      <c r="D1112" s="311" t="s">
        <v>17</v>
      </c>
      <c r="E1112" s="311">
        <v>42361</v>
      </c>
      <c r="F1112" s="312" t="s">
        <v>35</v>
      </c>
      <c r="G1112" s="406"/>
      <c r="H1112" s="314"/>
      <c r="I1112" s="314"/>
      <c r="J1112" s="314"/>
      <c r="K1112" s="314"/>
      <c r="L1112" s="314"/>
      <c r="M1112" s="74">
        <v>4500</v>
      </c>
      <c r="N1112" s="315" t="s">
        <v>19</v>
      </c>
      <c r="O1112" s="315" t="s">
        <v>54</v>
      </c>
      <c r="P1112" s="134" t="str">
        <f>IF(AND('331-CT'!$E$7=TH!H1112,OR(N1112="331",O1112="331")),"x","")</f>
        <v/>
      </c>
    </row>
    <row r="1113" spans="1:17">
      <c r="A1113" s="72">
        <f t="shared" si="45"/>
        <v>2015</v>
      </c>
      <c r="B1113" s="72">
        <f t="shared" si="46"/>
        <v>12</v>
      </c>
      <c r="C1113" s="311">
        <v>42362</v>
      </c>
      <c r="D1113" s="311" t="s">
        <v>21</v>
      </c>
      <c r="E1113" s="311">
        <v>42362</v>
      </c>
      <c r="F1113" s="312" t="s">
        <v>1057</v>
      </c>
      <c r="G1113" s="406"/>
      <c r="H1113" s="314" t="s">
        <v>1058</v>
      </c>
      <c r="I1113" s="314"/>
      <c r="J1113" s="314"/>
      <c r="K1113" s="314"/>
      <c r="L1113" s="314"/>
      <c r="M1113" s="74">
        <v>1982640000</v>
      </c>
      <c r="N1113" s="315" t="s">
        <v>54</v>
      </c>
      <c r="O1113" s="315" t="s">
        <v>1239</v>
      </c>
      <c r="P1113" s="134" t="str">
        <f>IF(AND('331-CT'!$E$7=TH!H1113,OR(N1113="331",O1113="331")),"x","")</f>
        <v/>
      </c>
    </row>
    <row r="1114" spans="1:17">
      <c r="A1114" s="72">
        <f t="shared" si="45"/>
        <v>2015</v>
      </c>
      <c r="B1114" s="72">
        <f t="shared" si="46"/>
        <v>12</v>
      </c>
      <c r="C1114" s="407">
        <v>42362</v>
      </c>
      <c r="D1114" s="407" t="s">
        <v>21</v>
      </c>
      <c r="E1114" s="407">
        <v>42362</v>
      </c>
      <c r="F1114" s="408" t="s">
        <v>98</v>
      </c>
      <c r="G1114" s="409"/>
      <c r="H1114" s="410"/>
      <c r="I1114" s="410"/>
      <c r="J1114" s="410"/>
      <c r="K1114" s="410"/>
      <c r="L1114" s="410"/>
      <c r="M1114" s="411">
        <v>26816</v>
      </c>
      <c r="N1114" s="412" t="s">
        <v>54</v>
      </c>
      <c r="O1114" s="412" t="s">
        <v>99</v>
      </c>
      <c r="P1114" s="134" t="str">
        <f>IF(AND('331-CT'!$E$7=TH!H1114,OR(N1114="331",O1114="331")),"x","")</f>
        <v/>
      </c>
    </row>
    <row r="1115" spans="1:17">
      <c r="A1115" s="72">
        <f t="shared" si="45"/>
        <v>2015</v>
      </c>
      <c r="B1115" s="72">
        <f t="shared" si="46"/>
        <v>12</v>
      </c>
      <c r="C1115" s="407">
        <v>42362</v>
      </c>
      <c r="D1115" s="407" t="s">
        <v>78</v>
      </c>
      <c r="E1115" s="407">
        <v>42362</v>
      </c>
      <c r="F1115" s="408" t="s">
        <v>1099</v>
      </c>
      <c r="G1115" s="409" t="s">
        <v>1100</v>
      </c>
      <c r="H1115" s="410" t="s">
        <v>190</v>
      </c>
      <c r="I1115" s="410"/>
      <c r="J1115" s="410"/>
      <c r="K1115" s="410"/>
      <c r="L1115" s="410"/>
      <c r="M1115" s="411">
        <v>34528697</v>
      </c>
      <c r="N1115" s="412" t="s">
        <v>654</v>
      </c>
      <c r="O1115" s="412" t="s">
        <v>18</v>
      </c>
      <c r="P1115" s="134" t="str">
        <f>IF(AND('331-CT'!$E$7=TH!H1115,OR(N1115="331",O1115="331")),"x","")</f>
        <v/>
      </c>
    </row>
    <row r="1116" spans="1:17">
      <c r="A1116" s="72">
        <f t="shared" si="45"/>
        <v>2015</v>
      </c>
      <c r="B1116" s="72">
        <f t="shared" si="46"/>
        <v>12</v>
      </c>
      <c r="C1116" s="311">
        <v>42362</v>
      </c>
      <c r="D1116" s="311" t="s">
        <v>78</v>
      </c>
      <c r="E1116" s="311">
        <v>42362</v>
      </c>
      <c r="F1116" s="312" t="s">
        <v>1101</v>
      </c>
      <c r="G1116" s="417" t="s">
        <v>1100</v>
      </c>
      <c r="H1116" s="314" t="s">
        <v>190</v>
      </c>
      <c r="I1116" s="314"/>
      <c r="J1116" s="314"/>
      <c r="K1116" s="314"/>
      <c r="L1116" s="314"/>
      <c r="M1116" s="74">
        <v>3452869</v>
      </c>
      <c r="N1116" s="315" t="s">
        <v>19</v>
      </c>
      <c r="O1116" s="315" t="s">
        <v>18</v>
      </c>
      <c r="P1116" s="134" t="str">
        <f>IF(AND('331-CT'!$E$7=TH!H1116,OR(N1116="331",O1116="331")),"x","")</f>
        <v/>
      </c>
    </row>
    <row r="1117" spans="1:17">
      <c r="A1117" s="72">
        <f t="shared" ref="A1117:A1180" si="47">IF(C1117&lt;&gt;"",YEAR(C1117),"")</f>
        <v>2015</v>
      </c>
      <c r="B1117" s="72">
        <f t="shared" ref="B1117:B1180" si="48">IF(C1117&lt;&gt;"",MONTH(C1117),"")</f>
        <v>12</v>
      </c>
      <c r="C1117" s="311">
        <v>42363</v>
      </c>
      <c r="D1117" s="311" t="s">
        <v>1134</v>
      </c>
      <c r="E1117" s="311">
        <v>42363</v>
      </c>
      <c r="F1117" s="312" t="s">
        <v>575</v>
      </c>
      <c r="G1117" s="316"/>
      <c r="H1117" s="314" t="s">
        <v>271</v>
      </c>
      <c r="I1117" s="314"/>
      <c r="J1117" s="314"/>
      <c r="K1117" s="314"/>
      <c r="L1117" s="314"/>
      <c r="M1117" s="74">
        <v>13000000</v>
      </c>
      <c r="N1117" s="315" t="s">
        <v>54</v>
      </c>
      <c r="O1117" s="315" t="s">
        <v>203</v>
      </c>
      <c r="P1117" s="134" t="str">
        <f>IF(AND('331-CT'!$E$7=TH!H1117,OR(N1117="331",O1117="331")),"x","")</f>
        <v/>
      </c>
    </row>
    <row r="1118" spans="1:17">
      <c r="A1118" s="72">
        <f t="shared" si="47"/>
        <v>2015</v>
      </c>
      <c r="B1118" s="72">
        <f t="shared" si="48"/>
        <v>12</v>
      </c>
      <c r="C1118" s="311">
        <v>42363</v>
      </c>
      <c r="D1118" s="311" t="s">
        <v>1103</v>
      </c>
      <c r="E1118" s="311">
        <v>42363</v>
      </c>
      <c r="F1118" s="312" t="s">
        <v>1059</v>
      </c>
      <c r="G1118" s="316"/>
      <c r="H1118" s="314" t="s">
        <v>271</v>
      </c>
      <c r="I1118" s="314"/>
      <c r="J1118" s="314"/>
      <c r="K1118" s="314"/>
      <c r="L1118" s="314"/>
      <c r="M1118" s="74">
        <v>2000000000</v>
      </c>
      <c r="N1118" s="315" t="s">
        <v>203</v>
      </c>
      <c r="O1118" s="315" t="s">
        <v>54</v>
      </c>
      <c r="P1118" s="134" t="str">
        <f>IF(AND('331-CT'!$E$7=TH!H1118,OR(N1118="331",O1118="331")),"x","")</f>
        <v/>
      </c>
    </row>
    <row r="1119" spans="1:17">
      <c r="A1119" s="72">
        <f t="shared" si="47"/>
        <v>2015</v>
      </c>
      <c r="B1119" s="72">
        <f t="shared" si="48"/>
        <v>12</v>
      </c>
      <c r="C1119" s="311">
        <v>42363</v>
      </c>
      <c r="D1119" s="311" t="s">
        <v>17</v>
      </c>
      <c r="E1119" s="311">
        <v>42363</v>
      </c>
      <c r="F1119" s="312" t="s">
        <v>34</v>
      </c>
      <c r="G1119" s="316"/>
      <c r="H1119" s="314"/>
      <c r="I1119" s="314"/>
      <c r="J1119" s="314"/>
      <c r="K1119" s="314"/>
      <c r="L1119" s="314"/>
      <c r="M1119" s="74">
        <v>20000</v>
      </c>
      <c r="N1119" s="315" t="s">
        <v>241</v>
      </c>
      <c r="O1119" s="315" t="s">
        <v>54</v>
      </c>
      <c r="P1119" s="134" t="str">
        <f>IF(AND('331-CT'!$E$7=TH!H1119,OR(N1119="331",O1119="331")),"x","")</f>
        <v/>
      </c>
    </row>
    <row r="1120" spans="1:17">
      <c r="A1120" s="72">
        <f t="shared" si="47"/>
        <v>2015</v>
      </c>
      <c r="B1120" s="72">
        <f t="shared" si="48"/>
        <v>12</v>
      </c>
      <c r="C1120" s="311">
        <v>42363</v>
      </c>
      <c r="D1120" s="311" t="s">
        <v>17</v>
      </c>
      <c r="E1120" s="311">
        <v>42363</v>
      </c>
      <c r="F1120" s="312" t="s">
        <v>35</v>
      </c>
      <c r="G1120" s="316"/>
      <c r="H1120" s="314"/>
      <c r="I1120" s="314"/>
      <c r="J1120" s="314"/>
      <c r="K1120" s="314"/>
      <c r="L1120" s="314"/>
      <c r="M1120" s="74">
        <v>2000</v>
      </c>
      <c r="N1120" s="315" t="s">
        <v>19</v>
      </c>
      <c r="O1120" s="315" t="s">
        <v>54</v>
      </c>
      <c r="P1120" s="134" t="str">
        <f>IF(AND('331-CT'!$E$7=TH!H1120,OR(N1120="331",O1120="331")),"x","")</f>
        <v/>
      </c>
    </row>
    <row r="1121" spans="1:16">
      <c r="A1121" s="72">
        <f t="shared" si="47"/>
        <v>2015</v>
      </c>
      <c r="B1121" s="72">
        <f t="shared" si="48"/>
        <v>12</v>
      </c>
      <c r="C1121" s="311">
        <v>42363</v>
      </c>
      <c r="D1121" s="311" t="s">
        <v>1135</v>
      </c>
      <c r="E1121" s="311">
        <v>42363</v>
      </c>
      <c r="F1121" s="312" t="s">
        <v>575</v>
      </c>
      <c r="G1121" s="316"/>
      <c r="H1121" s="314" t="s">
        <v>271</v>
      </c>
      <c r="I1121" s="314"/>
      <c r="J1121" s="314"/>
      <c r="K1121" s="314"/>
      <c r="L1121" s="314"/>
      <c r="M1121" s="74">
        <v>600000000</v>
      </c>
      <c r="N1121" s="315" t="s">
        <v>54</v>
      </c>
      <c r="O1121" s="315" t="s">
        <v>203</v>
      </c>
      <c r="P1121" s="134" t="str">
        <f>IF(AND('331-CT'!$E$7=TH!H1121,OR(N1121="331",O1121="331")),"x","")</f>
        <v/>
      </c>
    </row>
    <row r="1122" spans="1:16">
      <c r="A1122" s="72">
        <f t="shared" si="47"/>
        <v>2015</v>
      </c>
      <c r="B1122" s="72">
        <f t="shared" si="48"/>
        <v>12</v>
      </c>
      <c r="C1122" s="311">
        <v>42363</v>
      </c>
      <c r="D1122" s="311" t="s">
        <v>17</v>
      </c>
      <c r="E1122" s="311">
        <v>42363</v>
      </c>
      <c r="F1122" s="312" t="s">
        <v>612</v>
      </c>
      <c r="G1122" s="316"/>
      <c r="H1122" s="314"/>
      <c r="I1122" s="314"/>
      <c r="J1122" s="314"/>
      <c r="K1122" s="314"/>
      <c r="L1122" s="314"/>
      <c r="M1122" s="74">
        <v>50000</v>
      </c>
      <c r="N1122" s="315" t="s">
        <v>241</v>
      </c>
      <c r="O1122" s="315" t="s">
        <v>54</v>
      </c>
      <c r="P1122" s="134" t="str">
        <f>IF(AND('331-CT'!$E$7=TH!H1122,OR(N1122="331",O1122="331")),"x","")</f>
        <v/>
      </c>
    </row>
    <row r="1123" spans="1:16">
      <c r="A1123" s="72">
        <f t="shared" si="47"/>
        <v>2015</v>
      </c>
      <c r="B1123" s="72">
        <f t="shared" si="48"/>
        <v>12</v>
      </c>
      <c r="C1123" s="311">
        <v>42363</v>
      </c>
      <c r="D1123" s="311" t="s">
        <v>17</v>
      </c>
      <c r="E1123" s="311">
        <v>42363</v>
      </c>
      <c r="F1123" s="312" t="s">
        <v>44</v>
      </c>
      <c r="G1123" s="316"/>
      <c r="H1123" s="314"/>
      <c r="I1123" s="314"/>
      <c r="J1123" s="314"/>
      <c r="K1123" s="314"/>
      <c r="L1123" s="314"/>
      <c r="M1123" s="74">
        <v>5000</v>
      </c>
      <c r="N1123" s="315" t="s">
        <v>19</v>
      </c>
      <c r="O1123" s="315" t="s">
        <v>54</v>
      </c>
      <c r="P1123" s="134" t="str">
        <f>IF(AND('331-CT'!$E$7=TH!H1123,OR(N1123="331",O1123="331")),"x","")</f>
        <v/>
      </c>
    </row>
    <row r="1124" spans="1:16">
      <c r="A1124" s="72">
        <f t="shared" si="47"/>
        <v>2015</v>
      </c>
      <c r="B1124" s="72">
        <f t="shared" si="48"/>
        <v>12</v>
      </c>
      <c r="C1124" s="311">
        <v>42363</v>
      </c>
      <c r="D1124" s="311" t="s">
        <v>17</v>
      </c>
      <c r="E1124" s="311">
        <v>42363</v>
      </c>
      <c r="F1124" s="312" t="s">
        <v>613</v>
      </c>
      <c r="G1124" s="417"/>
      <c r="H1124" s="314"/>
      <c r="I1124" s="314"/>
      <c r="J1124" s="314"/>
      <c r="K1124" s="314"/>
      <c r="L1124" s="314"/>
      <c r="M1124" s="74">
        <v>50000</v>
      </c>
      <c r="N1124" s="315" t="s">
        <v>241</v>
      </c>
      <c r="O1124" s="315" t="s">
        <v>54</v>
      </c>
      <c r="P1124" s="134" t="str">
        <f>IF(AND('331-CT'!$E$7=TH!H1124,OR(N1124="331",O1124="331")),"x","")</f>
        <v/>
      </c>
    </row>
    <row r="1125" spans="1:16">
      <c r="A1125" s="72">
        <f t="shared" si="47"/>
        <v>2015</v>
      </c>
      <c r="B1125" s="72">
        <f t="shared" si="48"/>
        <v>12</v>
      </c>
      <c r="C1125" s="73">
        <v>42363</v>
      </c>
      <c r="D1125" s="73" t="s">
        <v>17</v>
      </c>
      <c r="E1125" s="73">
        <v>42363</v>
      </c>
      <c r="F1125" s="76" t="s">
        <v>44</v>
      </c>
      <c r="G1125" s="265"/>
      <c r="H1125" s="122"/>
      <c r="I1125" s="122"/>
      <c r="J1125" s="122"/>
      <c r="K1125" s="122"/>
      <c r="L1125" s="122"/>
      <c r="M1125" s="74">
        <v>5000</v>
      </c>
      <c r="N1125" s="75" t="s">
        <v>19</v>
      </c>
      <c r="O1125" s="75" t="s">
        <v>54</v>
      </c>
      <c r="P1125" s="134" t="str">
        <f>IF(AND('331-CT'!$E$7=TH!H1125,OR(N1125="331",O1125="331")),"x","")</f>
        <v/>
      </c>
    </row>
    <row r="1126" spans="1:16">
      <c r="A1126" s="72">
        <f t="shared" si="47"/>
        <v>2015</v>
      </c>
      <c r="B1126" s="72">
        <f t="shared" si="48"/>
        <v>12</v>
      </c>
      <c r="C1126" s="73">
        <v>42363</v>
      </c>
      <c r="D1126" s="73" t="s">
        <v>1136</v>
      </c>
      <c r="E1126" s="73">
        <v>42363</v>
      </c>
      <c r="F1126" s="76" t="s">
        <v>1106</v>
      </c>
      <c r="G1126" s="265" t="s">
        <v>1107</v>
      </c>
      <c r="H1126" s="122" t="s">
        <v>188</v>
      </c>
      <c r="I1126" s="122"/>
      <c r="J1126" s="122"/>
      <c r="K1126" s="122"/>
      <c r="L1126" s="122"/>
      <c r="M1126" s="74">
        <v>11817800</v>
      </c>
      <c r="N1126" s="75" t="s">
        <v>241</v>
      </c>
      <c r="O1126" s="75" t="s">
        <v>203</v>
      </c>
      <c r="P1126" s="134" t="str">
        <f>IF(AND('331-CT'!$E$7=TH!H1126,OR(N1126="331",O1126="331")),"x","")</f>
        <v/>
      </c>
    </row>
    <row r="1127" spans="1:16">
      <c r="A1127" s="72">
        <f t="shared" si="47"/>
        <v>2015</v>
      </c>
      <c r="B1127" s="72">
        <f t="shared" si="48"/>
        <v>12</v>
      </c>
      <c r="C1127" s="73">
        <v>42363</v>
      </c>
      <c r="D1127" s="73" t="s">
        <v>1136</v>
      </c>
      <c r="E1127" s="73">
        <v>42363</v>
      </c>
      <c r="F1127" s="76" t="s">
        <v>1108</v>
      </c>
      <c r="G1127" s="265" t="s">
        <v>1107</v>
      </c>
      <c r="H1127" s="122" t="s">
        <v>188</v>
      </c>
      <c r="I1127" s="122"/>
      <c r="J1127" s="122"/>
      <c r="K1127" s="122"/>
      <c r="L1127" s="122"/>
      <c r="M1127" s="74">
        <v>590890</v>
      </c>
      <c r="N1127" s="75" t="s">
        <v>19</v>
      </c>
      <c r="O1127" s="75" t="s">
        <v>203</v>
      </c>
      <c r="P1127" s="134" t="str">
        <f>IF(AND('331-CT'!$E$7=TH!H1127,OR(N1127="331",O1127="331")),"x","")</f>
        <v/>
      </c>
    </row>
    <row r="1128" spans="1:16">
      <c r="A1128" s="72">
        <f t="shared" si="47"/>
        <v>2015</v>
      </c>
      <c r="B1128" s="72">
        <f t="shared" si="48"/>
        <v>12</v>
      </c>
      <c r="C1128" s="73">
        <v>42364</v>
      </c>
      <c r="D1128" s="73" t="s">
        <v>78</v>
      </c>
      <c r="E1128" s="73">
        <v>42364</v>
      </c>
      <c r="F1128" s="76" t="s">
        <v>1137</v>
      </c>
      <c r="G1128" s="265" t="s">
        <v>1138</v>
      </c>
      <c r="H1128" s="122" t="s">
        <v>648</v>
      </c>
      <c r="I1128" s="122"/>
      <c r="J1128" s="122"/>
      <c r="K1128" s="122"/>
      <c r="L1128" s="122"/>
      <c r="M1128" s="74">
        <v>33866400</v>
      </c>
      <c r="N1128" s="75" t="s">
        <v>241</v>
      </c>
      <c r="O1128" s="75" t="s">
        <v>18</v>
      </c>
      <c r="P1128" s="134" t="str">
        <f>IF(AND('331-CT'!$E$7=TH!H1128,OR(N1128="331",O1128="331")),"x","")</f>
        <v/>
      </c>
    </row>
    <row r="1129" spans="1:16">
      <c r="A1129" s="72">
        <f t="shared" si="47"/>
        <v>2015</v>
      </c>
      <c r="B1129" s="72">
        <f t="shared" si="48"/>
        <v>12</v>
      </c>
      <c r="C1129" s="73">
        <v>42364</v>
      </c>
      <c r="D1129" s="73" t="s">
        <v>78</v>
      </c>
      <c r="E1129" s="73">
        <v>42364</v>
      </c>
      <c r="F1129" s="76" t="s">
        <v>1139</v>
      </c>
      <c r="G1129" s="265" t="s">
        <v>1138</v>
      </c>
      <c r="H1129" s="122" t="s">
        <v>648</v>
      </c>
      <c r="I1129" s="122"/>
      <c r="J1129" s="122"/>
      <c r="K1129" s="122"/>
      <c r="L1129" s="122"/>
      <c r="M1129" s="74">
        <v>3386640</v>
      </c>
      <c r="N1129" s="75" t="s">
        <v>19</v>
      </c>
      <c r="O1129" s="75" t="s">
        <v>18</v>
      </c>
      <c r="P1129" s="134" t="str">
        <f>IF(AND('331-CT'!$E$7=TH!H1129,OR(N1129="331",O1129="331")),"x","")</f>
        <v/>
      </c>
    </row>
    <row r="1130" spans="1:16">
      <c r="A1130" s="72">
        <f t="shared" si="47"/>
        <v>2015</v>
      </c>
      <c r="B1130" s="72">
        <f t="shared" si="48"/>
        <v>12</v>
      </c>
      <c r="C1130" s="73">
        <v>42366</v>
      </c>
      <c r="D1130" s="73" t="s">
        <v>1140</v>
      </c>
      <c r="E1130" s="73">
        <v>42366</v>
      </c>
      <c r="F1130" s="76" t="s">
        <v>826</v>
      </c>
      <c r="G1130" s="265" t="s">
        <v>1066</v>
      </c>
      <c r="H1130" s="122" t="s">
        <v>856</v>
      </c>
      <c r="I1130" s="122"/>
      <c r="J1130" s="122"/>
      <c r="K1130" s="122"/>
      <c r="L1130" s="122"/>
      <c r="M1130" s="74">
        <v>910000</v>
      </c>
      <c r="N1130" s="75" t="s">
        <v>241</v>
      </c>
      <c r="O1130" s="75" t="s">
        <v>203</v>
      </c>
      <c r="P1130" s="134" t="str">
        <f>IF(AND('331-CT'!$E$7=TH!H1130,OR(N1130="331",O1130="331")),"x","")</f>
        <v/>
      </c>
    </row>
    <row r="1131" spans="1:16">
      <c r="A1131" s="72">
        <f t="shared" si="47"/>
        <v>2015</v>
      </c>
      <c r="B1131" s="72">
        <f t="shared" si="48"/>
        <v>12</v>
      </c>
      <c r="C1131" s="73">
        <v>42366</v>
      </c>
      <c r="D1131" s="73" t="s">
        <v>78</v>
      </c>
      <c r="E1131" s="73">
        <v>42366</v>
      </c>
      <c r="F1131" s="76" t="s">
        <v>1067</v>
      </c>
      <c r="G1131" s="265" t="s">
        <v>1068</v>
      </c>
      <c r="H1131" s="122" t="s">
        <v>1069</v>
      </c>
      <c r="I1131" s="122"/>
      <c r="J1131" s="122"/>
      <c r="K1131" s="122"/>
      <c r="L1131" s="122"/>
      <c r="M1131" s="74">
        <v>25721367</v>
      </c>
      <c r="N1131" s="75" t="s">
        <v>241</v>
      </c>
      <c r="O1131" s="75" t="s">
        <v>18</v>
      </c>
      <c r="P1131" s="134" t="str">
        <f>IF(AND('331-CT'!$E$7=TH!H1131,OR(N1131="331",O1131="331")),"x","")</f>
        <v/>
      </c>
    </row>
    <row r="1132" spans="1:16">
      <c r="A1132" s="72">
        <f t="shared" si="47"/>
        <v>2015</v>
      </c>
      <c r="B1132" s="72">
        <f t="shared" si="48"/>
        <v>12</v>
      </c>
      <c r="C1132" s="73">
        <v>42366</v>
      </c>
      <c r="D1132" s="73" t="s">
        <v>78</v>
      </c>
      <c r="E1132" s="73">
        <v>42366</v>
      </c>
      <c r="F1132" s="76" t="s">
        <v>1070</v>
      </c>
      <c r="G1132" s="265" t="s">
        <v>1068</v>
      </c>
      <c r="H1132" s="122" t="s">
        <v>1069</v>
      </c>
      <c r="I1132" s="122"/>
      <c r="J1132" s="122"/>
      <c r="K1132" s="122"/>
      <c r="L1132" s="122"/>
      <c r="M1132" s="74">
        <v>2572137</v>
      </c>
      <c r="N1132" s="75" t="s">
        <v>19</v>
      </c>
      <c r="O1132" s="75" t="s">
        <v>18</v>
      </c>
      <c r="P1132" s="134" t="str">
        <f>IF(AND('331-CT'!$E$7=TH!H1132,OR(N1132="331",O1132="331")),"x","")</f>
        <v/>
      </c>
    </row>
    <row r="1133" spans="1:16">
      <c r="A1133" s="72">
        <f t="shared" si="47"/>
        <v>2015</v>
      </c>
      <c r="B1133" s="72">
        <f t="shared" si="48"/>
        <v>12</v>
      </c>
      <c r="C1133" s="73">
        <v>42366</v>
      </c>
      <c r="D1133" s="73" t="s">
        <v>17</v>
      </c>
      <c r="E1133" s="73">
        <v>42366</v>
      </c>
      <c r="F1133" s="76" t="s">
        <v>300</v>
      </c>
      <c r="G1133" s="265"/>
      <c r="H1133" s="122" t="s">
        <v>111</v>
      </c>
      <c r="I1133" s="122"/>
      <c r="J1133" s="122"/>
      <c r="K1133" s="122"/>
      <c r="L1133" s="122"/>
      <c r="M1133" s="74">
        <v>406490000</v>
      </c>
      <c r="N1133" s="75" t="s">
        <v>18</v>
      </c>
      <c r="O1133" s="75" t="s">
        <v>54</v>
      </c>
      <c r="P1133" s="134" t="str">
        <f>IF(AND('331-CT'!$E$7=TH!H1133,OR(N1133="331",O1133="331")),"x","")</f>
        <v/>
      </c>
    </row>
    <row r="1134" spans="1:16">
      <c r="A1134" s="72">
        <f t="shared" si="47"/>
        <v>2015</v>
      </c>
      <c r="B1134" s="72">
        <f t="shared" si="48"/>
        <v>12</v>
      </c>
      <c r="C1134" s="73">
        <v>42366</v>
      </c>
      <c r="D1134" s="73" t="s">
        <v>17</v>
      </c>
      <c r="E1134" s="73">
        <v>42366</v>
      </c>
      <c r="F1134" s="76" t="s">
        <v>34</v>
      </c>
      <c r="G1134" s="265"/>
      <c r="H1134" s="122"/>
      <c r="I1134" s="122"/>
      <c r="J1134" s="122"/>
      <c r="K1134" s="122"/>
      <c r="L1134" s="122"/>
      <c r="M1134" s="74">
        <v>121947</v>
      </c>
      <c r="N1134" s="75" t="s">
        <v>241</v>
      </c>
      <c r="O1134" s="75" t="s">
        <v>54</v>
      </c>
      <c r="P1134" s="134" t="str">
        <f>IF(AND('331-CT'!$E$7=TH!H1134,OR(N1134="331",O1134="331")),"x","")</f>
        <v/>
      </c>
    </row>
    <row r="1135" spans="1:16">
      <c r="A1135" s="72">
        <f t="shared" si="47"/>
        <v>2015</v>
      </c>
      <c r="B1135" s="72">
        <f t="shared" si="48"/>
        <v>12</v>
      </c>
      <c r="C1135" s="73">
        <v>42366</v>
      </c>
      <c r="D1135" s="73" t="s">
        <v>17</v>
      </c>
      <c r="E1135" s="73">
        <v>42366</v>
      </c>
      <c r="F1135" s="76" t="s">
        <v>35</v>
      </c>
      <c r="G1135" s="265"/>
      <c r="H1135" s="122"/>
      <c r="I1135" s="122"/>
      <c r="J1135" s="122"/>
      <c r="K1135" s="122"/>
      <c r="L1135" s="122"/>
      <c r="M1135" s="74">
        <v>12195</v>
      </c>
      <c r="N1135" s="75" t="s">
        <v>19</v>
      </c>
      <c r="O1135" s="75" t="s">
        <v>54</v>
      </c>
      <c r="P1135" s="134" t="str">
        <f>IF(AND('331-CT'!$E$7=TH!H1135,OR(N1135="331",O1135="331")),"x","")</f>
        <v/>
      </c>
    </row>
    <row r="1136" spans="1:16">
      <c r="A1136" s="72">
        <f t="shared" si="47"/>
        <v>2015</v>
      </c>
      <c r="B1136" s="72">
        <f t="shared" si="48"/>
        <v>12</v>
      </c>
      <c r="C1136" s="73">
        <v>42366</v>
      </c>
      <c r="D1136" s="73" t="s">
        <v>17</v>
      </c>
      <c r="E1136" s="73">
        <v>42366</v>
      </c>
      <c r="F1136" s="76" t="s">
        <v>300</v>
      </c>
      <c r="G1136" s="265"/>
      <c r="H1136" s="122" t="s">
        <v>190</v>
      </c>
      <c r="I1136" s="122"/>
      <c r="J1136" s="122"/>
      <c r="K1136" s="122"/>
      <c r="L1136" s="122"/>
      <c r="M1136" s="74">
        <v>123128513</v>
      </c>
      <c r="N1136" s="75" t="s">
        <v>18</v>
      </c>
      <c r="O1136" s="75" t="s">
        <v>54</v>
      </c>
      <c r="P1136" s="134" t="str">
        <f>IF(AND('331-CT'!$E$7=TH!H1136,OR(N1136="331",O1136="331")),"x","")</f>
        <v/>
      </c>
    </row>
    <row r="1137" spans="1:16">
      <c r="A1137" s="72">
        <f t="shared" si="47"/>
        <v>2015</v>
      </c>
      <c r="B1137" s="72">
        <f t="shared" si="48"/>
        <v>12</v>
      </c>
      <c r="C1137" s="73">
        <v>42366</v>
      </c>
      <c r="D1137" s="73" t="s">
        <v>17</v>
      </c>
      <c r="E1137" s="73">
        <v>42366</v>
      </c>
      <c r="F1137" s="76" t="s">
        <v>34</v>
      </c>
      <c r="G1137" s="265"/>
      <c r="H1137" s="122"/>
      <c r="I1137" s="122"/>
      <c r="J1137" s="122"/>
      <c r="K1137" s="122"/>
      <c r="L1137" s="122"/>
      <c r="M1137" s="74">
        <v>61564</v>
      </c>
      <c r="N1137" s="75" t="s">
        <v>241</v>
      </c>
      <c r="O1137" s="75" t="s">
        <v>54</v>
      </c>
      <c r="P1137" s="134" t="str">
        <f>IF(AND('331-CT'!$E$7=TH!H1137,OR(N1137="331",O1137="331")),"x","")</f>
        <v/>
      </c>
    </row>
    <row r="1138" spans="1:16">
      <c r="A1138" s="72">
        <f t="shared" si="47"/>
        <v>2015</v>
      </c>
      <c r="B1138" s="72">
        <f t="shared" si="48"/>
        <v>12</v>
      </c>
      <c r="C1138" s="73">
        <v>42366</v>
      </c>
      <c r="D1138" s="73" t="s">
        <v>17</v>
      </c>
      <c r="E1138" s="73">
        <v>42366</v>
      </c>
      <c r="F1138" s="76" t="s">
        <v>35</v>
      </c>
      <c r="G1138" s="265"/>
      <c r="H1138" s="122"/>
      <c r="I1138" s="122"/>
      <c r="J1138" s="122"/>
      <c r="K1138" s="122"/>
      <c r="L1138" s="122"/>
      <c r="M1138" s="74">
        <v>6156</v>
      </c>
      <c r="N1138" s="75" t="s">
        <v>19</v>
      </c>
      <c r="O1138" s="75" t="s">
        <v>54</v>
      </c>
      <c r="P1138" s="134" t="str">
        <f>IF(AND('331-CT'!$E$7=TH!H1138,OR(N1138="331",O1138="331")),"x","")</f>
        <v/>
      </c>
    </row>
    <row r="1139" spans="1:16">
      <c r="A1139" s="72">
        <f t="shared" si="47"/>
        <v>2015</v>
      </c>
      <c r="B1139" s="72">
        <f t="shared" si="48"/>
        <v>12</v>
      </c>
      <c r="C1139" s="73">
        <v>42366</v>
      </c>
      <c r="D1139" s="73" t="s">
        <v>17</v>
      </c>
      <c r="E1139" s="73">
        <v>42366</v>
      </c>
      <c r="F1139" s="76" t="s">
        <v>1060</v>
      </c>
      <c r="G1139" s="265"/>
      <c r="H1139" s="122" t="s">
        <v>1069</v>
      </c>
      <c r="I1139" s="122"/>
      <c r="J1139" s="122"/>
      <c r="K1139" s="122"/>
      <c r="L1139" s="122"/>
      <c r="M1139" s="74">
        <v>28293504</v>
      </c>
      <c r="N1139" s="75" t="s">
        <v>18</v>
      </c>
      <c r="O1139" s="75" t="s">
        <v>54</v>
      </c>
      <c r="P1139" s="134" t="str">
        <f>IF(AND('331-CT'!$E$7=TH!H1139,OR(N1139="331",O1139="331")),"x","")</f>
        <v/>
      </c>
    </row>
    <row r="1140" spans="1:16">
      <c r="A1140" s="72">
        <f t="shared" si="47"/>
        <v>2015</v>
      </c>
      <c r="B1140" s="72">
        <f t="shared" si="48"/>
        <v>12</v>
      </c>
      <c r="C1140" s="73">
        <v>42366</v>
      </c>
      <c r="D1140" s="73" t="s">
        <v>17</v>
      </c>
      <c r="E1140" s="73">
        <v>42366</v>
      </c>
      <c r="F1140" s="76" t="s">
        <v>34</v>
      </c>
      <c r="G1140" s="265"/>
      <c r="H1140" s="122"/>
      <c r="I1140" s="122"/>
      <c r="J1140" s="122"/>
      <c r="K1140" s="122"/>
      <c r="L1140" s="122"/>
      <c r="M1140" s="74">
        <v>20000</v>
      </c>
      <c r="N1140" s="75" t="s">
        <v>241</v>
      </c>
      <c r="O1140" s="75" t="s">
        <v>54</v>
      </c>
      <c r="P1140" s="134" t="str">
        <f>IF(AND('331-CT'!$E$7=TH!H1140,OR(N1140="331",O1140="331")),"x","")</f>
        <v/>
      </c>
    </row>
    <row r="1141" spans="1:16">
      <c r="A1141" s="72">
        <f t="shared" si="47"/>
        <v>2015</v>
      </c>
      <c r="B1141" s="72">
        <f t="shared" si="48"/>
        <v>12</v>
      </c>
      <c r="C1141" s="73">
        <v>42366</v>
      </c>
      <c r="D1141" s="73" t="s">
        <v>17</v>
      </c>
      <c r="E1141" s="73">
        <v>42366</v>
      </c>
      <c r="F1141" s="76" t="s">
        <v>35</v>
      </c>
      <c r="G1141" s="265"/>
      <c r="H1141" s="122"/>
      <c r="I1141" s="122"/>
      <c r="J1141" s="122"/>
      <c r="K1141" s="122"/>
      <c r="L1141" s="122"/>
      <c r="M1141" s="74">
        <v>2000</v>
      </c>
      <c r="N1141" s="75" t="s">
        <v>19</v>
      </c>
      <c r="O1141" s="75" t="s">
        <v>54</v>
      </c>
      <c r="P1141" s="134" t="str">
        <f>IF(AND('331-CT'!$E$7=TH!H1141,OR(N1141="331",O1141="331")),"x","")</f>
        <v/>
      </c>
    </row>
    <row r="1142" spans="1:16">
      <c r="A1142" s="72">
        <f t="shared" si="47"/>
        <v>2015</v>
      </c>
      <c r="B1142" s="72">
        <f t="shared" si="48"/>
        <v>12</v>
      </c>
      <c r="C1142" s="73">
        <v>42366</v>
      </c>
      <c r="D1142" s="73" t="s">
        <v>78</v>
      </c>
      <c r="E1142" s="73">
        <v>42366</v>
      </c>
      <c r="F1142" s="76" t="s">
        <v>1114</v>
      </c>
      <c r="G1142" s="265" t="s">
        <v>1115</v>
      </c>
      <c r="H1142" s="122" t="s">
        <v>151</v>
      </c>
      <c r="I1142" s="122"/>
      <c r="J1142" s="122"/>
      <c r="K1142" s="122"/>
      <c r="L1142" s="122"/>
      <c r="M1142" s="74">
        <v>636500000</v>
      </c>
      <c r="N1142" s="75" t="s">
        <v>654</v>
      </c>
      <c r="O1142" s="75" t="s">
        <v>18</v>
      </c>
      <c r="P1142" s="134" t="str">
        <f>IF(AND('331-CT'!$E$7=TH!H1142,OR(N1142="331",O1142="331")),"x","")</f>
        <v/>
      </c>
    </row>
    <row r="1143" spans="1:16">
      <c r="A1143" s="72">
        <f t="shared" si="47"/>
        <v>2015</v>
      </c>
      <c r="B1143" s="72">
        <f t="shared" si="48"/>
        <v>12</v>
      </c>
      <c r="C1143" s="73">
        <v>42366</v>
      </c>
      <c r="D1143" s="73" t="s">
        <v>78</v>
      </c>
      <c r="E1143" s="73">
        <v>42366</v>
      </c>
      <c r="F1143" s="76" t="s">
        <v>1116</v>
      </c>
      <c r="G1143" s="265" t="s">
        <v>1115</v>
      </c>
      <c r="H1143" s="122" t="s">
        <v>151</v>
      </c>
      <c r="I1143" s="122"/>
      <c r="J1143" s="122"/>
      <c r="K1143" s="122"/>
      <c r="L1143" s="122"/>
      <c r="M1143" s="74">
        <v>63650000</v>
      </c>
      <c r="N1143" s="75" t="s">
        <v>19</v>
      </c>
      <c r="O1143" s="75" t="s">
        <v>18</v>
      </c>
      <c r="P1143" s="134" t="str">
        <f>IF(AND('331-CT'!$E$7=TH!H1143,OR(N1143="331",O1143="331")),"x","")</f>
        <v/>
      </c>
    </row>
    <row r="1144" spans="1:16">
      <c r="A1144" s="72">
        <f t="shared" si="47"/>
        <v>2015</v>
      </c>
      <c r="B1144" s="72">
        <f t="shared" si="48"/>
        <v>12</v>
      </c>
      <c r="C1144" s="73">
        <v>42366</v>
      </c>
      <c r="D1144" s="73" t="s">
        <v>1141</v>
      </c>
      <c r="E1144" s="73">
        <v>42366</v>
      </c>
      <c r="F1144" s="76" t="s">
        <v>835</v>
      </c>
      <c r="G1144" s="265" t="s">
        <v>1167</v>
      </c>
      <c r="H1144" s="122" t="s">
        <v>837</v>
      </c>
      <c r="I1144" s="122"/>
      <c r="J1144" s="122"/>
      <c r="K1144" s="122"/>
      <c r="L1144" s="122"/>
      <c r="M1144" s="74">
        <v>3636364</v>
      </c>
      <c r="N1144" s="75" t="s">
        <v>654</v>
      </c>
      <c r="O1144" s="75" t="s">
        <v>203</v>
      </c>
      <c r="P1144" s="134" t="str">
        <f>IF(AND('331-CT'!$E$7=TH!H1144,OR(N1144="331",O1144="331")),"x","")</f>
        <v/>
      </c>
    </row>
    <row r="1145" spans="1:16">
      <c r="A1145" s="72">
        <f t="shared" si="47"/>
        <v>2015</v>
      </c>
      <c r="B1145" s="72">
        <f t="shared" si="48"/>
        <v>12</v>
      </c>
      <c r="C1145" s="73">
        <v>42366</v>
      </c>
      <c r="D1145" s="73" t="s">
        <v>1141</v>
      </c>
      <c r="E1145" s="73">
        <v>42366</v>
      </c>
      <c r="F1145" s="76" t="s">
        <v>838</v>
      </c>
      <c r="G1145" s="265" t="s">
        <v>1167</v>
      </c>
      <c r="H1145" s="122" t="s">
        <v>837</v>
      </c>
      <c r="I1145" s="122"/>
      <c r="J1145" s="122"/>
      <c r="K1145" s="122"/>
      <c r="L1145" s="122"/>
      <c r="M1145" s="74">
        <v>363636</v>
      </c>
      <c r="N1145" s="75" t="s">
        <v>19</v>
      </c>
      <c r="O1145" s="75" t="s">
        <v>203</v>
      </c>
      <c r="P1145" s="134" t="str">
        <f>IF(AND('331-CT'!$E$7=TH!H1145,OR(N1145="331",O1145="331")),"x","")</f>
        <v/>
      </c>
    </row>
    <row r="1146" spans="1:16">
      <c r="A1146" s="72">
        <f t="shared" si="47"/>
        <v>2015</v>
      </c>
      <c r="B1146" s="72">
        <f t="shared" si="48"/>
        <v>12</v>
      </c>
      <c r="C1146" s="73">
        <v>42367</v>
      </c>
      <c r="D1146" s="73" t="s">
        <v>1142</v>
      </c>
      <c r="E1146" s="73">
        <v>42367</v>
      </c>
      <c r="F1146" s="76" t="s">
        <v>1118</v>
      </c>
      <c r="G1146" s="265" t="s">
        <v>1119</v>
      </c>
      <c r="H1146" s="122" t="s">
        <v>1120</v>
      </c>
      <c r="I1146" s="122"/>
      <c r="J1146" s="122"/>
      <c r="K1146" s="122"/>
      <c r="L1146" s="122"/>
      <c r="M1146" s="74">
        <v>840000</v>
      </c>
      <c r="N1146" s="75" t="s">
        <v>654</v>
      </c>
      <c r="O1146" s="75" t="s">
        <v>203</v>
      </c>
      <c r="P1146" s="134" t="str">
        <f>IF(AND('331-CT'!$E$7=TH!H1146,OR(N1146="331",O1146="331")),"x","")</f>
        <v/>
      </c>
    </row>
    <row r="1147" spans="1:16">
      <c r="A1147" s="72">
        <f t="shared" si="47"/>
        <v>2015</v>
      </c>
      <c r="B1147" s="72">
        <f t="shared" si="48"/>
        <v>12</v>
      </c>
      <c r="C1147" s="73">
        <v>42368</v>
      </c>
      <c r="D1147" s="73" t="s">
        <v>1143</v>
      </c>
      <c r="E1147" s="73">
        <v>42368</v>
      </c>
      <c r="F1147" s="76" t="s">
        <v>575</v>
      </c>
      <c r="G1147" s="265"/>
      <c r="H1147" s="122" t="s">
        <v>1074</v>
      </c>
      <c r="I1147" s="122"/>
      <c r="J1147" s="122"/>
      <c r="K1147" s="122"/>
      <c r="L1147" s="122"/>
      <c r="M1147" s="74">
        <v>10000000</v>
      </c>
      <c r="N1147" s="75" t="s">
        <v>54</v>
      </c>
      <c r="O1147" s="75" t="s">
        <v>203</v>
      </c>
      <c r="P1147" s="134" t="str">
        <f>IF(AND('331-CT'!$E$7=TH!H1147,OR(N1147="331",O1147="331")),"x","")</f>
        <v/>
      </c>
    </row>
    <row r="1148" spans="1:16">
      <c r="A1148" s="72">
        <f t="shared" si="47"/>
        <v>2015</v>
      </c>
      <c r="B1148" s="72">
        <f t="shared" si="48"/>
        <v>12</v>
      </c>
      <c r="C1148" s="73">
        <v>42368</v>
      </c>
      <c r="D1148" s="73" t="s">
        <v>17</v>
      </c>
      <c r="E1148" s="73">
        <v>42368</v>
      </c>
      <c r="F1148" s="76" t="s">
        <v>1075</v>
      </c>
      <c r="G1148" s="265"/>
      <c r="H1148" s="122" t="s">
        <v>648</v>
      </c>
      <c r="I1148" s="122"/>
      <c r="J1148" s="122"/>
      <c r="K1148" s="122"/>
      <c r="L1148" s="122"/>
      <c r="M1148" s="74">
        <v>37253040</v>
      </c>
      <c r="N1148" s="75" t="s">
        <v>18</v>
      </c>
      <c r="O1148" s="75" t="s">
        <v>54</v>
      </c>
      <c r="P1148" s="134" t="str">
        <f>IF(AND('331-CT'!$E$7=TH!H1148,OR(N1148="331",O1148="331")),"x","")</f>
        <v/>
      </c>
    </row>
    <row r="1149" spans="1:16">
      <c r="A1149" s="72">
        <f t="shared" si="47"/>
        <v>2015</v>
      </c>
      <c r="B1149" s="72">
        <f t="shared" si="48"/>
        <v>12</v>
      </c>
      <c r="C1149" s="73">
        <v>42368</v>
      </c>
      <c r="D1149" s="73" t="s">
        <v>17</v>
      </c>
      <c r="E1149" s="73">
        <v>42368</v>
      </c>
      <c r="F1149" s="76" t="s">
        <v>34</v>
      </c>
      <c r="G1149" s="265"/>
      <c r="H1149" s="122"/>
      <c r="I1149" s="122"/>
      <c r="J1149" s="122"/>
      <c r="K1149" s="122"/>
      <c r="L1149" s="122"/>
      <c r="M1149" s="74">
        <v>25000</v>
      </c>
      <c r="N1149" s="75" t="s">
        <v>241</v>
      </c>
      <c r="O1149" s="75" t="s">
        <v>54</v>
      </c>
      <c r="P1149" s="134" t="str">
        <f>IF(AND('331-CT'!$E$7=TH!H1149,OR(N1149="331",O1149="331")),"x","")</f>
        <v/>
      </c>
    </row>
    <row r="1150" spans="1:16">
      <c r="A1150" s="72">
        <f t="shared" si="47"/>
        <v>2015</v>
      </c>
      <c r="B1150" s="72">
        <f t="shared" si="48"/>
        <v>12</v>
      </c>
      <c r="C1150" s="73">
        <v>42368</v>
      </c>
      <c r="D1150" s="73" t="s">
        <v>17</v>
      </c>
      <c r="E1150" s="73">
        <v>42368</v>
      </c>
      <c r="F1150" s="76" t="s">
        <v>35</v>
      </c>
      <c r="G1150" s="265"/>
      <c r="H1150" s="122"/>
      <c r="I1150" s="122"/>
      <c r="J1150" s="122"/>
      <c r="K1150" s="122"/>
      <c r="L1150" s="122"/>
      <c r="M1150" s="74">
        <v>2500</v>
      </c>
      <c r="N1150" s="75" t="s">
        <v>19</v>
      </c>
      <c r="O1150" s="75" t="s">
        <v>54</v>
      </c>
      <c r="P1150" s="134" t="str">
        <f>IF(AND('331-CT'!$E$7=TH!H1150,OR(N1150="331",O1150="331")),"x","")</f>
        <v/>
      </c>
    </row>
    <row r="1151" spans="1:16">
      <c r="A1151" s="72">
        <f t="shared" si="47"/>
        <v>2015</v>
      </c>
      <c r="B1151" s="72">
        <f t="shared" si="48"/>
        <v>12</v>
      </c>
      <c r="C1151" s="73">
        <v>42368</v>
      </c>
      <c r="D1151" s="73" t="s">
        <v>1144</v>
      </c>
      <c r="E1151" s="73">
        <v>42368</v>
      </c>
      <c r="F1151" s="76" t="s">
        <v>575</v>
      </c>
      <c r="G1151" s="265"/>
      <c r="H1151" s="122" t="s">
        <v>271</v>
      </c>
      <c r="I1151" s="122"/>
      <c r="J1151" s="122"/>
      <c r="K1151" s="122"/>
      <c r="L1151" s="122"/>
      <c r="M1151" s="74">
        <v>200000000</v>
      </c>
      <c r="N1151" s="75" t="s">
        <v>54</v>
      </c>
      <c r="O1151" s="75" t="s">
        <v>203</v>
      </c>
      <c r="P1151" s="134" t="str">
        <f>IF(AND('331-CT'!$E$7=TH!H1151,OR(N1151="331",O1151="331")),"x","")</f>
        <v/>
      </c>
    </row>
    <row r="1152" spans="1:16">
      <c r="A1152" s="72">
        <f t="shared" si="47"/>
        <v>2015</v>
      </c>
      <c r="B1152" s="72">
        <f t="shared" si="48"/>
        <v>12</v>
      </c>
      <c r="C1152" s="73">
        <v>42368</v>
      </c>
      <c r="D1152" s="73" t="s">
        <v>17</v>
      </c>
      <c r="E1152" s="73">
        <v>42368</v>
      </c>
      <c r="F1152" s="76" t="s">
        <v>300</v>
      </c>
      <c r="G1152" s="265"/>
      <c r="H1152" s="122" t="s">
        <v>172</v>
      </c>
      <c r="I1152" s="122"/>
      <c r="J1152" s="122"/>
      <c r="K1152" s="122"/>
      <c r="L1152" s="122"/>
      <c r="M1152" s="74">
        <v>200000000</v>
      </c>
      <c r="N1152" s="75" t="s">
        <v>18</v>
      </c>
      <c r="O1152" s="75" t="s">
        <v>54</v>
      </c>
      <c r="P1152" s="134" t="str">
        <f>IF(AND('331-CT'!$E$7=TH!H1152,OR(N1152="331",O1152="331")),"x","")</f>
        <v/>
      </c>
    </row>
    <row r="1153" spans="1:16">
      <c r="A1153" s="72">
        <f t="shared" si="47"/>
        <v>2015</v>
      </c>
      <c r="B1153" s="72">
        <f t="shared" si="48"/>
        <v>12</v>
      </c>
      <c r="C1153" s="73">
        <v>42368</v>
      </c>
      <c r="D1153" s="73" t="s">
        <v>17</v>
      </c>
      <c r="E1153" s="73">
        <v>42368</v>
      </c>
      <c r="F1153" s="76" t="s">
        <v>34</v>
      </c>
      <c r="G1153" s="265"/>
      <c r="H1153" s="122"/>
      <c r="I1153" s="122"/>
      <c r="J1153" s="122"/>
      <c r="K1153" s="122"/>
      <c r="L1153" s="122"/>
      <c r="M1153" s="74">
        <v>158169</v>
      </c>
      <c r="N1153" s="75" t="s">
        <v>241</v>
      </c>
      <c r="O1153" s="75" t="s">
        <v>54</v>
      </c>
      <c r="P1153" s="134" t="str">
        <f>IF(AND('331-CT'!$E$7=TH!H1153,OR(N1153="331",O1153="331")),"x","")</f>
        <v/>
      </c>
    </row>
    <row r="1154" spans="1:16">
      <c r="A1154" s="72">
        <f t="shared" si="47"/>
        <v>2015</v>
      </c>
      <c r="B1154" s="72">
        <f t="shared" si="48"/>
        <v>12</v>
      </c>
      <c r="C1154" s="73">
        <v>42368</v>
      </c>
      <c r="D1154" s="73" t="s">
        <v>17</v>
      </c>
      <c r="E1154" s="73">
        <v>42368</v>
      </c>
      <c r="F1154" s="76" t="s">
        <v>35</v>
      </c>
      <c r="G1154" s="265"/>
      <c r="H1154" s="122"/>
      <c r="I1154" s="122"/>
      <c r="J1154" s="122"/>
      <c r="K1154" s="122"/>
      <c r="L1154" s="122"/>
      <c r="M1154" s="74">
        <v>15817</v>
      </c>
      <c r="N1154" s="75" t="s">
        <v>19</v>
      </c>
      <c r="O1154" s="75" t="s">
        <v>54</v>
      </c>
      <c r="P1154" s="134" t="str">
        <f>IF(AND('331-CT'!$E$7=TH!H1154,OR(N1154="331",O1154="331")),"x","")</f>
        <v/>
      </c>
    </row>
    <row r="1155" spans="1:16">
      <c r="A1155" s="72">
        <f t="shared" si="47"/>
        <v>2015</v>
      </c>
      <c r="B1155" s="72">
        <f t="shared" si="48"/>
        <v>12</v>
      </c>
      <c r="C1155" s="73">
        <v>42369</v>
      </c>
      <c r="D1155" s="73" t="s">
        <v>1166</v>
      </c>
      <c r="E1155" s="73">
        <v>42369</v>
      </c>
      <c r="F1155" s="76" t="s">
        <v>1110</v>
      </c>
      <c r="G1155" s="265" t="s">
        <v>1111</v>
      </c>
      <c r="H1155" s="122" t="s">
        <v>1112</v>
      </c>
      <c r="I1155" s="122"/>
      <c r="J1155" s="122"/>
      <c r="K1155" s="122"/>
      <c r="L1155" s="122"/>
      <c r="M1155" s="74">
        <v>7397273</v>
      </c>
      <c r="N1155" s="75" t="s">
        <v>654</v>
      </c>
      <c r="O1155" s="75" t="s">
        <v>203</v>
      </c>
      <c r="P1155" s="134" t="str">
        <f>IF(AND('331-CT'!$E$7=TH!H1155,OR(N1155="331",O1155="331")),"x","")</f>
        <v/>
      </c>
    </row>
    <row r="1156" spans="1:16">
      <c r="A1156" s="72">
        <f t="shared" si="47"/>
        <v>2015</v>
      </c>
      <c r="B1156" s="72">
        <f t="shared" si="48"/>
        <v>12</v>
      </c>
      <c r="C1156" s="73">
        <v>42369</v>
      </c>
      <c r="D1156" s="73" t="s">
        <v>1166</v>
      </c>
      <c r="E1156" s="73">
        <v>42369</v>
      </c>
      <c r="F1156" s="76" t="s">
        <v>1113</v>
      </c>
      <c r="G1156" s="265" t="s">
        <v>1111</v>
      </c>
      <c r="H1156" s="122" t="s">
        <v>1112</v>
      </c>
      <c r="I1156" s="122"/>
      <c r="J1156" s="122"/>
      <c r="K1156" s="122"/>
      <c r="L1156" s="122"/>
      <c r="M1156" s="74">
        <v>739727</v>
      </c>
      <c r="N1156" s="75" t="s">
        <v>19</v>
      </c>
      <c r="O1156" s="75" t="s">
        <v>203</v>
      </c>
      <c r="P1156" s="134" t="str">
        <f>IF(AND('331-CT'!$E$7=TH!H1156,OR(N1156="331",O1156="331")),"x","")</f>
        <v/>
      </c>
    </row>
    <row r="1157" spans="1:16">
      <c r="A1157" s="72">
        <f t="shared" si="47"/>
        <v>2015</v>
      </c>
      <c r="B1157" s="72">
        <f t="shared" si="48"/>
        <v>12</v>
      </c>
      <c r="C1157" s="73">
        <v>42369</v>
      </c>
      <c r="D1157" s="73" t="s">
        <v>21</v>
      </c>
      <c r="E1157" s="73">
        <v>42369</v>
      </c>
      <c r="F1157" s="76" t="s">
        <v>1076</v>
      </c>
      <c r="G1157" s="265"/>
      <c r="H1157" s="122" t="s">
        <v>519</v>
      </c>
      <c r="I1157" s="122"/>
      <c r="J1157" s="122"/>
      <c r="K1157" s="122"/>
      <c r="L1157" s="122"/>
      <c r="M1157" s="74">
        <v>1678844208</v>
      </c>
      <c r="N1157" s="75" t="s">
        <v>54</v>
      </c>
      <c r="O1157" s="75" t="s">
        <v>212</v>
      </c>
      <c r="P1157" s="134" t="str">
        <f>IF(AND('331-CT'!$E$7=TH!H1157,OR(N1157="331",O1157="331")),"x","")</f>
        <v/>
      </c>
    </row>
    <row r="1158" spans="1:16">
      <c r="A1158" s="72">
        <f t="shared" si="47"/>
        <v>2015</v>
      </c>
      <c r="B1158" s="72">
        <f t="shared" si="48"/>
        <v>12</v>
      </c>
      <c r="C1158" s="73">
        <v>42369</v>
      </c>
      <c r="D1158" s="73" t="s">
        <v>78</v>
      </c>
      <c r="E1158" s="73">
        <v>42369</v>
      </c>
      <c r="F1158" s="76" t="s">
        <v>1145</v>
      </c>
      <c r="G1158" s="265" t="s">
        <v>1146</v>
      </c>
      <c r="H1158" s="122" t="s">
        <v>109</v>
      </c>
      <c r="I1158" s="122"/>
      <c r="J1158" s="122"/>
      <c r="K1158" s="122"/>
      <c r="L1158" s="122"/>
      <c r="M1158" s="74">
        <v>181818182</v>
      </c>
      <c r="N1158" s="75" t="s">
        <v>654</v>
      </c>
      <c r="O1158" s="75" t="s">
        <v>18</v>
      </c>
      <c r="P1158" s="134" t="str">
        <f>IF(AND('331-CT'!$E$7=TH!H1158,OR(N1158="331",O1158="331")),"x","")</f>
        <v/>
      </c>
    </row>
    <row r="1159" spans="1:16">
      <c r="A1159" s="72">
        <f t="shared" si="47"/>
        <v>2015</v>
      </c>
      <c r="B1159" s="72">
        <f t="shared" si="48"/>
        <v>12</v>
      </c>
      <c r="C1159" s="73">
        <v>42369</v>
      </c>
      <c r="D1159" s="73" t="s">
        <v>78</v>
      </c>
      <c r="E1159" s="73">
        <v>42369</v>
      </c>
      <c r="F1159" s="76" t="s">
        <v>1147</v>
      </c>
      <c r="G1159" s="265" t="s">
        <v>1146</v>
      </c>
      <c r="H1159" s="122" t="s">
        <v>109</v>
      </c>
      <c r="I1159" s="122"/>
      <c r="J1159" s="122"/>
      <c r="K1159" s="122"/>
      <c r="L1159" s="122"/>
      <c r="M1159" s="74">
        <v>18181818</v>
      </c>
      <c r="N1159" s="75" t="s">
        <v>19</v>
      </c>
      <c r="O1159" s="75" t="s">
        <v>18</v>
      </c>
      <c r="P1159" s="134" t="str">
        <f>IF(AND('331-CT'!$E$7=TH!H1159,OR(N1159="331",O1159="331")),"x","")</f>
        <v/>
      </c>
    </row>
    <row r="1160" spans="1:16">
      <c r="A1160" s="72">
        <f t="shared" si="47"/>
        <v>2016</v>
      </c>
      <c r="B1160" s="72">
        <f t="shared" si="48"/>
        <v>1</v>
      </c>
      <c r="C1160" s="73">
        <v>42370</v>
      </c>
      <c r="D1160" s="73" t="s">
        <v>78</v>
      </c>
      <c r="E1160" s="73">
        <v>42370</v>
      </c>
      <c r="F1160" s="76" t="s">
        <v>739</v>
      </c>
      <c r="G1160" s="265" t="s">
        <v>1203</v>
      </c>
      <c r="H1160" s="122" t="s">
        <v>741</v>
      </c>
      <c r="I1160" s="122"/>
      <c r="J1160" s="122"/>
      <c r="K1160" s="122"/>
      <c r="L1160" s="122"/>
      <c r="M1160" s="74">
        <v>10490880</v>
      </c>
      <c r="N1160" s="75" t="s">
        <v>241</v>
      </c>
      <c r="O1160" s="75" t="s">
        <v>18</v>
      </c>
      <c r="P1160" s="134" t="str">
        <f>IF(AND('331-CT'!$E$7=TH!H1160,OR(N1160="331",O1160="331")),"x","")</f>
        <v/>
      </c>
    </row>
    <row r="1161" spans="1:16">
      <c r="A1161" s="72">
        <f t="shared" si="47"/>
        <v>2016</v>
      </c>
      <c r="B1161" s="72">
        <f t="shared" si="48"/>
        <v>1</v>
      </c>
      <c r="C1161" s="73">
        <v>42370</v>
      </c>
      <c r="D1161" s="73" t="s">
        <v>78</v>
      </c>
      <c r="E1161" s="73">
        <v>42370</v>
      </c>
      <c r="F1161" s="76" t="s">
        <v>742</v>
      </c>
      <c r="G1161" s="265" t="s">
        <v>1203</v>
      </c>
      <c r="H1161" s="122" t="s">
        <v>741</v>
      </c>
      <c r="I1161" s="122"/>
      <c r="J1161" s="122"/>
      <c r="K1161" s="122"/>
      <c r="L1161" s="122"/>
      <c r="M1161" s="74">
        <v>1049088</v>
      </c>
      <c r="N1161" s="75" t="s">
        <v>19</v>
      </c>
      <c r="O1161" s="75" t="s">
        <v>18</v>
      </c>
      <c r="P1161" s="134" t="str">
        <f>IF(AND('331-CT'!$E$7=TH!H1161,OR(N1161="331",O1161="331")),"x","")</f>
        <v/>
      </c>
    </row>
    <row r="1162" spans="1:16">
      <c r="A1162" s="72">
        <f t="shared" si="47"/>
        <v>2016</v>
      </c>
      <c r="B1162" s="72">
        <f t="shared" si="48"/>
        <v>1</v>
      </c>
      <c r="C1162" s="73">
        <v>42371</v>
      </c>
      <c r="D1162" s="73" t="s">
        <v>73</v>
      </c>
      <c r="E1162" s="73">
        <v>42371</v>
      </c>
      <c r="F1162" s="76" t="s">
        <v>1148</v>
      </c>
      <c r="G1162" s="265" t="s">
        <v>642</v>
      </c>
      <c r="H1162" s="122" t="s">
        <v>435</v>
      </c>
      <c r="I1162" s="122"/>
      <c r="J1162" s="122"/>
      <c r="K1162" s="122"/>
      <c r="L1162" s="122"/>
      <c r="M1162" s="74">
        <v>4500000</v>
      </c>
      <c r="N1162" s="75" t="s">
        <v>654</v>
      </c>
      <c r="O1162" s="75" t="s">
        <v>203</v>
      </c>
      <c r="P1162" s="134" t="str">
        <f>IF(AND('331-CT'!$E$7=TH!H1162,OR(N1162="331",O1162="331")),"x","")</f>
        <v/>
      </c>
    </row>
    <row r="1163" spans="1:16">
      <c r="A1163" s="72">
        <f t="shared" si="47"/>
        <v>2016</v>
      </c>
      <c r="B1163" s="72">
        <f t="shared" si="48"/>
        <v>1</v>
      </c>
      <c r="C1163" s="73">
        <v>42371</v>
      </c>
      <c r="D1163" s="73" t="s">
        <v>73</v>
      </c>
      <c r="E1163" s="73">
        <v>42371</v>
      </c>
      <c r="F1163" s="76" t="s">
        <v>1149</v>
      </c>
      <c r="G1163" s="265" t="s">
        <v>642</v>
      </c>
      <c r="H1163" s="122" t="s">
        <v>435</v>
      </c>
      <c r="I1163" s="122"/>
      <c r="J1163" s="122"/>
      <c r="K1163" s="122"/>
      <c r="L1163" s="122"/>
      <c r="M1163" s="74">
        <v>450000</v>
      </c>
      <c r="N1163" s="75" t="s">
        <v>19</v>
      </c>
      <c r="O1163" s="75" t="s">
        <v>203</v>
      </c>
      <c r="P1163" s="134" t="str">
        <f>IF(AND('331-CT'!$E$7=TH!H1163,OR(N1163="331",O1163="331")),"x","")</f>
        <v/>
      </c>
    </row>
    <row r="1164" spans="1:16">
      <c r="A1164" s="72">
        <f t="shared" si="47"/>
        <v>2016</v>
      </c>
      <c r="B1164" s="72">
        <f t="shared" si="48"/>
        <v>1</v>
      </c>
      <c r="C1164" s="73">
        <v>42373</v>
      </c>
      <c r="D1164" s="73" t="s">
        <v>92</v>
      </c>
      <c r="E1164" s="73">
        <v>42373</v>
      </c>
      <c r="F1164" s="76" t="s">
        <v>1148</v>
      </c>
      <c r="G1164" s="265" t="s">
        <v>645</v>
      </c>
      <c r="H1164" s="122" t="s">
        <v>435</v>
      </c>
      <c r="I1164" s="122"/>
      <c r="J1164" s="122"/>
      <c r="K1164" s="122"/>
      <c r="L1164" s="122"/>
      <c r="M1164" s="74">
        <v>18000000</v>
      </c>
      <c r="N1164" s="75" t="s">
        <v>654</v>
      </c>
      <c r="O1164" s="75" t="s">
        <v>203</v>
      </c>
      <c r="P1164" s="134" t="str">
        <f>IF(AND('331-CT'!$E$7=TH!H1164,OR(N1164="331",O1164="331")),"x","")</f>
        <v/>
      </c>
    </row>
    <row r="1165" spans="1:16">
      <c r="A1165" s="72">
        <f t="shared" si="47"/>
        <v>2016</v>
      </c>
      <c r="B1165" s="72">
        <f t="shared" si="48"/>
        <v>1</v>
      </c>
      <c r="C1165" s="73">
        <v>42373</v>
      </c>
      <c r="D1165" s="73" t="s">
        <v>92</v>
      </c>
      <c r="E1165" s="73">
        <v>42373</v>
      </c>
      <c r="F1165" s="76" t="s">
        <v>1149</v>
      </c>
      <c r="G1165" s="265" t="s">
        <v>645</v>
      </c>
      <c r="H1165" s="122" t="s">
        <v>435</v>
      </c>
      <c r="I1165" s="122"/>
      <c r="J1165" s="122"/>
      <c r="K1165" s="122"/>
      <c r="L1165" s="122"/>
      <c r="M1165" s="74">
        <v>1800000</v>
      </c>
      <c r="N1165" s="75" t="s">
        <v>19</v>
      </c>
      <c r="O1165" s="75" t="s">
        <v>203</v>
      </c>
      <c r="P1165" s="134" t="str">
        <f>IF(AND('331-CT'!$E$7=TH!H1165,OR(N1165="331",O1165="331")),"x","")</f>
        <v/>
      </c>
    </row>
    <row r="1166" spans="1:16">
      <c r="A1166" s="72">
        <f t="shared" si="47"/>
        <v>2016</v>
      </c>
      <c r="B1166" s="72">
        <f t="shared" si="48"/>
        <v>1</v>
      </c>
      <c r="C1166" s="73">
        <v>42374</v>
      </c>
      <c r="D1166" s="73" t="s">
        <v>17</v>
      </c>
      <c r="E1166" s="73">
        <v>42374</v>
      </c>
      <c r="F1166" s="76" t="s">
        <v>300</v>
      </c>
      <c r="G1166" s="270" t="s">
        <v>1244</v>
      </c>
      <c r="H1166" s="314" t="s">
        <v>305</v>
      </c>
      <c r="I1166" s="314"/>
      <c r="J1166" s="314"/>
      <c r="K1166" s="314"/>
      <c r="L1166" s="314"/>
      <c r="M1166" s="74">
        <v>300000000</v>
      </c>
      <c r="N1166" s="75" t="s">
        <v>18</v>
      </c>
      <c r="O1166" s="75" t="s">
        <v>54</v>
      </c>
      <c r="P1166" s="134" t="str">
        <f>IF(AND('331-CT'!$E$7=TH!H1166,OR(N1166="331",O1166="331")),"x","")</f>
        <v/>
      </c>
    </row>
    <row r="1167" spans="1:16">
      <c r="A1167" s="72">
        <f t="shared" si="47"/>
        <v>2016</v>
      </c>
      <c r="B1167" s="72">
        <f t="shared" si="48"/>
        <v>1</v>
      </c>
      <c r="C1167" s="73">
        <v>42374</v>
      </c>
      <c r="D1167" s="73" t="s">
        <v>17</v>
      </c>
      <c r="E1167" s="73">
        <v>42374</v>
      </c>
      <c r="F1167" s="76" t="s">
        <v>34</v>
      </c>
      <c r="G1167" s="270" t="s">
        <v>1244</v>
      </c>
      <c r="H1167" s="314"/>
      <c r="I1167" s="314"/>
      <c r="J1167" s="314"/>
      <c r="K1167" s="314"/>
      <c r="L1167" s="314"/>
      <c r="M1167" s="74">
        <v>150000</v>
      </c>
      <c r="N1167" s="75" t="s">
        <v>241</v>
      </c>
      <c r="O1167" s="75" t="s">
        <v>54</v>
      </c>
      <c r="P1167" s="134" t="str">
        <f>IF(AND('331-CT'!$E$7=TH!H1167,OR(N1167="331",O1167="331")),"x","")</f>
        <v/>
      </c>
    </row>
    <row r="1168" spans="1:16" ht="13.5" customHeight="1">
      <c r="A1168" s="72">
        <f t="shared" si="47"/>
        <v>2016</v>
      </c>
      <c r="B1168" s="72">
        <f t="shared" si="48"/>
        <v>1</v>
      </c>
      <c r="C1168" s="73">
        <v>42374</v>
      </c>
      <c r="D1168" s="73" t="s">
        <v>17</v>
      </c>
      <c r="E1168" s="73">
        <v>42374</v>
      </c>
      <c r="F1168" s="76" t="s">
        <v>35</v>
      </c>
      <c r="G1168" s="270" t="s">
        <v>1244</v>
      </c>
      <c r="H1168" s="314"/>
      <c r="I1168" s="314"/>
      <c r="J1168" s="314"/>
      <c r="K1168" s="314"/>
      <c r="L1168" s="314"/>
      <c r="M1168" s="74">
        <v>15000</v>
      </c>
      <c r="N1168" s="75" t="s">
        <v>19</v>
      </c>
      <c r="O1168" s="75" t="s">
        <v>54</v>
      </c>
      <c r="P1168" s="134" t="str">
        <f>IF(AND('331-CT'!$E$7=TH!H1168,OR(N1168="331",O1168="331")),"x","")</f>
        <v/>
      </c>
    </row>
    <row r="1169" spans="1:16" ht="13.5" customHeight="1">
      <c r="A1169" s="72">
        <f t="shared" si="47"/>
        <v>2016</v>
      </c>
      <c r="B1169" s="72">
        <f t="shared" si="48"/>
        <v>1</v>
      </c>
      <c r="C1169" s="73">
        <v>42374</v>
      </c>
      <c r="D1169" s="73" t="s">
        <v>93</v>
      </c>
      <c r="E1169" s="73">
        <v>42374</v>
      </c>
      <c r="F1169" s="76" t="s">
        <v>1150</v>
      </c>
      <c r="G1169" s="270" t="s">
        <v>1154</v>
      </c>
      <c r="H1169" s="314" t="s">
        <v>330</v>
      </c>
      <c r="I1169" s="314"/>
      <c r="J1169" s="314"/>
      <c r="K1169" s="314"/>
      <c r="L1169" s="314"/>
      <c r="M1169" s="74">
        <v>1653598</v>
      </c>
      <c r="N1169" s="75" t="s">
        <v>654</v>
      </c>
      <c r="O1169" s="75" t="s">
        <v>203</v>
      </c>
      <c r="P1169" s="134" t="str">
        <f>IF(AND('331-CT'!$E$7=TH!H1169,OR(N1169="331",O1169="331")),"x","")</f>
        <v/>
      </c>
    </row>
    <row r="1170" spans="1:16" ht="13.5" customHeight="1">
      <c r="A1170" s="72">
        <f t="shared" si="47"/>
        <v>2016</v>
      </c>
      <c r="B1170" s="72">
        <f t="shared" si="48"/>
        <v>1</v>
      </c>
      <c r="C1170" s="73">
        <v>42374</v>
      </c>
      <c r="D1170" s="73" t="s">
        <v>93</v>
      </c>
      <c r="E1170" s="73">
        <v>42374</v>
      </c>
      <c r="F1170" s="76" t="s">
        <v>1151</v>
      </c>
      <c r="G1170" s="270" t="s">
        <v>1154</v>
      </c>
      <c r="H1170" s="122" t="s">
        <v>330</v>
      </c>
      <c r="I1170" s="122"/>
      <c r="J1170" s="122"/>
      <c r="K1170" s="122"/>
      <c r="L1170" s="122"/>
      <c r="M1170" s="74">
        <v>165359</v>
      </c>
      <c r="N1170" s="75" t="s">
        <v>19</v>
      </c>
      <c r="O1170" s="75" t="s">
        <v>203</v>
      </c>
      <c r="P1170" s="134" t="str">
        <f>IF(AND('331-CT'!$E$7=TH!H1170,OR(N1170="331",O1170="331")),"x","")</f>
        <v/>
      </c>
    </row>
    <row r="1171" spans="1:16" ht="13.5" customHeight="1">
      <c r="A1171" s="72">
        <f t="shared" si="47"/>
        <v>2016</v>
      </c>
      <c r="B1171" s="72">
        <f t="shared" si="48"/>
        <v>1</v>
      </c>
      <c r="C1171" s="73">
        <v>42374</v>
      </c>
      <c r="D1171" s="73" t="s">
        <v>78</v>
      </c>
      <c r="E1171" s="73">
        <v>42374</v>
      </c>
      <c r="F1171" s="76" t="s">
        <v>1162</v>
      </c>
      <c r="G1171" s="270" t="s">
        <v>1158</v>
      </c>
      <c r="H1171" s="122" t="s">
        <v>172</v>
      </c>
      <c r="I1171" s="122"/>
      <c r="J1171" s="122"/>
      <c r="K1171" s="122"/>
      <c r="L1171" s="122"/>
      <c r="M1171" s="74">
        <v>809090909</v>
      </c>
      <c r="N1171" s="75" t="s">
        <v>654</v>
      </c>
      <c r="O1171" s="75" t="s">
        <v>18</v>
      </c>
      <c r="P1171" s="134" t="str">
        <f>IF(AND('331-CT'!$E$7=TH!H1171,OR(N1171="331",O1171="331")),"x","")</f>
        <v/>
      </c>
    </row>
    <row r="1172" spans="1:16" ht="13.5" customHeight="1">
      <c r="A1172" s="72">
        <f t="shared" si="47"/>
        <v>2016</v>
      </c>
      <c r="B1172" s="72">
        <f t="shared" si="48"/>
        <v>1</v>
      </c>
      <c r="C1172" s="73">
        <v>42374</v>
      </c>
      <c r="D1172" s="73" t="s">
        <v>78</v>
      </c>
      <c r="E1172" s="73">
        <v>42374</v>
      </c>
      <c r="F1172" s="76" t="s">
        <v>1163</v>
      </c>
      <c r="G1172" s="270" t="s">
        <v>1158</v>
      </c>
      <c r="H1172" s="122" t="s">
        <v>172</v>
      </c>
      <c r="I1172" s="122"/>
      <c r="J1172" s="122"/>
      <c r="K1172" s="122"/>
      <c r="L1172" s="122"/>
      <c r="M1172" s="74">
        <v>80909091</v>
      </c>
      <c r="N1172" s="75" t="s">
        <v>19</v>
      </c>
      <c r="O1172" s="75" t="s">
        <v>18</v>
      </c>
      <c r="P1172" s="134" t="str">
        <f>IF(AND('331-CT'!$E$7=TH!H1172,OR(N1172="331",O1172="331")),"x","")</f>
        <v/>
      </c>
    </row>
    <row r="1173" spans="1:16" ht="13.5" customHeight="1">
      <c r="A1173" s="72">
        <f t="shared" si="47"/>
        <v>2016</v>
      </c>
      <c r="B1173" s="72">
        <f t="shared" si="48"/>
        <v>1</v>
      </c>
      <c r="C1173" s="73">
        <v>42375</v>
      </c>
      <c r="D1173" s="73" t="s">
        <v>17</v>
      </c>
      <c r="E1173" s="73">
        <v>42375</v>
      </c>
      <c r="F1173" s="76" t="s">
        <v>300</v>
      </c>
      <c r="G1173" s="270" t="s">
        <v>1244</v>
      </c>
      <c r="H1173" s="122" t="s">
        <v>151</v>
      </c>
      <c r="I1173" s="122"/>
      <c r="J1173" s="122"/>
      <c r="K1173" s="122"/>
      <c r="L1173" s="122"/>
      <c r="M1173" s="74">
        <v>314955000</v>
      </c>
      <c r="N1173" s="75" t="s">
        <v>18</v>
      </c>
      <c r="O1173" s="75" t="s">
        <v>54</v>
      </c>
      <c r="P1173" s="134" t="str">
        <f>IF(AND('331-CT'!$E$7=TH!H1173,OR(N1173="331",O1173="331")),"x","")</f>
        <v/>
      </c>
    </row>
    <row r="1174" spans="1:16" ht="13.5" customHeight="1">
      <c r="A1174" s="72">
        <f t="shared" si="47"/>
        <v>2016</v>
      </c>
      <c r="B1174" s="72">
        <f t="shared" si="48"/>
        <v>1</v>
      </c>
      <c r="C1174" s="73">
        <v>42375</v>
      </c>
      <c r="D1174" s="73" t="s">
        <v>17</v>
      </c>
      <c r="E1174" s="73">
        <v>42375</v>
      </c>
      <c r="F1174" s="76" t="s">
        <v>34</v>
      </c>
      <c r="G1174" s="270" t="s">
        <v>1244</v>
      </c>
      <c r="H1174" s="122"/>
      <c r="I1174" s="122"/>
      <c r="J1174" s="122"/>
      <c r="K1174" s="122"/>
      <c r="L1174" s="122"/>
      <c r="M1174" s="74">
        <v>157478</v>
      </c>
      <c r="N1174" s="75" t="s">
        <v>241</v>
      </c>
      <c r="O1174" s="75" t="s">
        <v>54</v>
      </c>
      <c r="P1174" s="134" t="str">
        <f>IF(AND('331-CT'!$E$7=TH!H1174,OR(N1174="331",O1174="331")),"x","")</f>
        <v/>
      </c>
    </row>
    <row r="1175" spans="1:16" ht="13.5" customHeight="1">
      <c r="A1175" s="72">
        <f t="shared" si="47"/>
        <v>2016</v>
      </c>
      <c r="B1175" s="72">
        <f t="shared" si="48"/>
        <v>1</v>
      </c>
      <c r="C1175" s="73">
        <v>42375</v>
      </c>
      <c r="D1175" s="73" t="s">
        <v>17</v>
      </c>
      <c r="E1175" s="73">
        <v>42375</v>
      </c>
      <c r="F1175" s="76" t="s">
        <v>35</v>
      </c>
      <c r="G1175" s="270" t="s">
        <v>1244</v>
      </c>
      <c r="H1175" s="122"/>
      <c r="I1175" s="122"/>
      <c r="J1175" s="122"/>
      <c r="K1175" s="122"/>
      <c r="L1175" s="122"/>
      <c r="M1175" s="74">
        <v>15748</v>
      </c>
      <c r="N1175" s="75" t="s">
        <v>19</v>
      </c>
      <c r="O1175" s="75" t="s">
        <v>54</v>
      </c>
      <c r="P1175" s="134" t="str">
        <f>IF(AND('331-CT'!$E$7=TH!H1175,OR(N1175="331",O1175="331")),"x","")</f>
        <v/>
      </c>
    </row>
    <row r="1176" spans="1:16" ht="13.5" customHeight="1">
      <c r="A1176" s="72">
        <f t="shared" si="47"/>
        <v>2016</v>
      </c>
      <c r="B1176" s="72">
        <f t="shared" si="48"/>
        <v>1</v>
      </c>
      <c r="C1176" s="73">
        <v>42375</v>
      </c>
      <c r="D1176" s="73" t="s">
        <v>78</v>
      </c>
      <c r="E1176" s="73">
        <v>42375</v>
      </c>
      <c r="F1176" s="76" t="s">
        <v>1160</v>
      </c>
      <c r="G1176" s="270" t="s">
        <v>1157</v>
      </c>
      <c r="H1176" s="122" t="s">
        <v>301</v>
      </c>
      <c r="I1176" s="122"/>
      <c r="J1176" s="122"/>
      <c r="K1176" s="122"/>
      <c r="L1176" s="122"/>
      <c r="M1176" s="74">
        <v>155454545</v>
      </c>
      <c r="N1176" s="75" t="s">
        <v>654</v>
      </c>
      <c r="O1176" s="75" t="s">
        <v>18</v>
      </c>
      <c r="P1176" s="134" t="str">
        <f>IF(AND('331-CT'!$E$7=TH!H1176,OR(N1176="331",O1176="331")),"x","")</f>
        <v/>
      </c>
    </row>
    <row r="1177" spans="1:16" ht="13.5" customHeight="1">
      <c r="A1177" s="72">
        <f t="shared" si="47"/>
        <v>2016</v>
      </c>
      <c r="B1177" s="72">
        <f t="shared" si="48"/>
        <v>1</v>
      </c>
      <c r="C1177" s="73">
        <v>42375</v>
      </c>
      <c r="D1177" s="73" t="s">
        <v>78</v>
      </c>
      <c r="E1177" s="73">
        <v>42375</v>
      </c>
      <c r="F1177" s="76" t="s">
        <v>1161</v>
      </c>
      <c r="G1177" s="270" t="s">
        <v>1157</v>
      </c>
      <c r="H1177" s="122" t="s">
        <v>301</v>
      </c>
      <c r="I1177" s="122"/>
      <c r="J1177" s="122"/>
      <c r="K1177" s="122"/>
      <c r="L1177" s="122"/>
      <c r="M1177" s="74">
        <v>15545455</v>
      </c>
      <c r="N1177" s="75" t="s">
        <v>19</v>
      </c>
      <c r="O1177" s="75" t="s">
        <v>18</v>
      </c>
      <c r="P1177" s="134" t="str">
        <f>IF(AND('331-CT'!$E$7=TH!H1177,OR(N1177="331",O1177="331")),"x","")</f>
        <v/>
      </c>
    </row>
    <row r="1178" spans="1:16" ht="13.5" customHeight="1">
      <c r="A1178" s="72">
        <f t="shared" si="47"/>
        <v>2016</v>
      </c>
      <c r="B1178" s="72">
        <f t="shared" si="48"/>
        <v>1</v>
      </c>
      <c r="C1178" s="73">
        <v>42379</v>
      </c>
      <c r="D1178" s="73" t="s">
        <v>72</v>
      </c>
      <c r="E1178" s="73">
        <v>42379</v>
      </c>
      <c r="F1178" s="76" t="s">
        <v>1152</v>
      </c>
      <c r="G1178" s="270" t="s">
        <v>1155</v>
      </c>
      <c r="H1178" s="122" t="s">
        <v>782</v>
      </c>
      <c r="I1178" s="122"/>
      <c r="J1178" s="122"/>
      <c r="K1178" s="122"/>
      <c r="L1178" s="122"/>
      <c r="M1178" s="74">
        <v>6818182</v>
      </c>
      <c r="N1178" s="75" t="s">
        <v>241</v>
      </c>
      <c r="O1178" s="75" t="s">
        <v>203</v>
      </c>
      <c r="P1178" s="134" t="str">
        <f>IF(AND('331-CT'!$E$7=TH!H1178,OR(N1178="331",O1178="331")),"x","")</f>
        <v/>
      </c>
    </row>
    <row r="1179" spans="1:16" ht="13.5" customHeight="1">
      <c r="A1179" s="72">
        <f t="shared" si="47"/>
        <v>2016</v>
      </c>
      <c r="B1179" s="72">
        <f t="shared" si="48"/>
        <v>1</v>
      </c>
      <c r="C1179" s="73">
        <v>42379</v>
      </c>
      <c r="D1179" s="73" t="s">
        <v>72</v>
      </c>
      <c r="E1179" s="73">
        <v>42379</v>
      </c>
      <c r="F1179" s="76" t="s">
        <v>1153</v>
      </c>
      <c r="G1179" s="270" t="s">
        <v>1155</v>
      </c>
      <c r="H1179" s="122" t="s">
        <v>782</v>
      </c>
      <c r="I1179" s="122"/>
      <c r="J1179" s="122"/>
      <c r="K1179" s="122"/>
      <c r="L1179" s="122"/>
      <c r="M1179" s="74">
        <v>681818</v>
      </c>
      <c r="N1179" s="75" t="s">
        <v>19</v>
      </c>
      <c r="O1179" s="75" t="s">
        <v>203</v>
      </c>
      <c r="P1179" s="134" t="str">
        <f>IF(AND('331-CT'!$E$7=TH!H1179,OR(N1179="331",O1179="331")),"x","")</f>
        <v/>
      </c>
    </row>
    <row r="1180" spans="1:16" ht="13.5" customHeight="1">
      <c r="A1180" s="72">
        <f t="shared" si="47"/>
        <v>2016</v>
      </c>
      <c r="B1180" s="72">
        <f t="shared" si="48"/>
        <v>1</v>
      </c>
      <c r="C1180" s="73">
        <v>42380</v>
      </c>
      <c r="D1180" s="73" t="s">
        <v>71</v>
      </c>
      <c r="E1180" s="73">
        <v>42380</v>
      </c>
      <c r="F1180" s="76" t="s">
        <v>860</v>
      </c>
      <c r="G1180" s="270" t="s">
        <v>1156</v>
      </c>
      <c r="H1180" s="122" t="s">
        <v>279</v>
      </c>
      <c r="I1180" s="122"/>
      <c r="J1180" s="122"/>
      <c r="K1180" s="122"/>
      <c r="L1180" s="122"/>
      <c r="M1180" s="74">
        <v>497553</v>
      </c>
      <c r="N1180" s="75" t="s">
        <v>241</v>
      </c>
      <c r="O1180" s="75" t="s">
        <v>203</v>
      </c>
      <c r="P1180" s="134" t="str">
        <f>IF(AND('331-CT'!$E$7=TH!H1180,OR(N1180="331",O1180="331")),"x","")</f>
        <v/>
      </c>
    </row>
    <row r="1181" spans="1:16" ht="13.5" customHeight="1">
      <c r="A1181" s="72">
        <f t="shared" ref="A1181:A1202" si="49">IF(C1181&lt;&gt;"",YEAR(C1181),"")</f>
        <v>2016</v>
      </c>
      <c r="B1181" s="72">
        <f t="shared" ref="B1181:B1202" si="50">IF(C1181&lt;&gt;"",MONTH(C1181),"")</f>
        <v>1</v>
      </c>
      <c r="C1181" s="73">
        <v>42380</v>
      </c>
      <c r="D1181" s="73" t="s">
        <v>71</v>
      </c>
      <c r="E1181" s="73">
        <v>42380</v>
      </c>
      <c r="F1181" s="76" t="s">
        <v>1092</v>
      </c>
      <c r="G1181" s="270" t="s">
        <v>1156</v>
      </c>
      <c r="H1181" s="122" t="s">
        <v>279</v>
      </c>
      <c r="I1181" s="122"/>
      <c r="J1181" s="122"/>
      <c r="K1181" s="122"/>
      <c r="L1181" s="122"/>
      <c r="M1181" s="74">
        <v>49755</v>
      </c>
      <c r="N1181" s="75" t="s">
        <v>19</v>
      </c>
      <c r="O1181" s="75" t="s">
        <v>203</v>
      </c>
      <c r="P1181" s="134" t="str">
        <f>IF(AND('331-CT'!$E$7=TH!H1181,OR(N1181="331",O1181="331")),"x","")</f>
        <v/>
      </c>
    </row>
    <row r="1182" spans="1:16" ht="13.5" customHeight="1">
      <c r="A1182" s="72">
        <f t="shared" si="49"/>
        <v>2016</v>
      </c>
      <c r="B1182" s="72">
        <f t="shared" si="50"/>
        <v>1</v>
      </c>
      <c r="C1182" s="73">
        <v>42380</v>
      </c>
      <c r="D1182" s="73" t="s">
        <v>78</v>
      </c>
      <c r="E1182" s="73">
        <v>42380</v>
      </c>
      <c r="F1182" s="76" t="s">
        <v>1231</v>
      </c>
      <c r="G1182" s="73" t="s">
        <v>1230</v>
      </c>
      <c r="H1182" s="122" t="s">
        <v>648</v>
      </c>
      <c r="I1182" s="122"/>
      <c r="J1182" s="122"/>
      <c r="K1182" s="122"/>
      <c r="L1182" s="122"/>
      <c r="M1182" s="74">
        <v>28280100</v>
      </c>
      <c r="N1182" s="75" t="s">
        <v>241</v>
      </c>
      <c r="O1182" s="75" t="s">
        <v>18</v>
      </c>
      <c r="P1182" s="134" t="str">
        <f>IF(AND('331-CT'!$E$7=TH!H1182,OR(N1182="331",O1182="331")),"x","")</f>
        <v/>
      </c>
    </row>
    <row r="1183" spans="1:16" ht="13.5" customHeight="1">
      <c r="A1183" s="72">
        <f t="shared" si="49"/>
        <v>2016</v>
      </c>
      <c r="B1183" s="72">
        <f t="shared" si="50"/>
        <v>1</v>
      </c>
      <c r="C1183" s="73">
        <v>42380</v>
      </c>
      <c r="D1183" s="73" t="s">
        <v>78</v>
      </c>
      <c r="E1183" s="73">
        <v>42380</v>
      </c>
      <c r="F1183" s="76" t="s">
        <v>1232</v>
      </c>
      <c r="G1183" s="73" t="s">
        <v>1230</v>
      </c>
      <c r="H1183" s="122" t="s">
        <v>648</v>
      </c>
      <c r="I1183" s="122"/>
      <c r="J1183" s="122"/>
      <c r="K1183" s="122"/>
      <c r="L1183" s="122"/>
      <c r="M1183" s="74">
        <v>2828010</v>
      </c>
      <c r="N1183" s="75" t="s">
        <v>19</v>
      </c>
      <c r="O1183" s="75" t="s">
        <v>18</v>
      </c>
      <c r="P1183" s="134" t="str">
        <f>IF(AND('331-CT'!$E$7=TH!H1183,OR(N1183="331",O1183="331")),"x","")</f>
        <v/>
      </c>
    </row>
    <row r="1184" spans="1:16" ht="13.5" customHeight="1">
      <c r="A1184" s="72">
        <f t="shared" si="49"/>
        <v>2016</v>
      </c>
      <c r="B1184" s="72">
        <f t="shared" si="50"/>
        <v>1</v>
      </c>
      <c r="C1184" s="73">
        <v>42395</v>
      </c>
      <c r="D1184" s="73" t="s">
        <v>78</v>
      </c>
      <c r="E1184" s="73">
        <v>42395</v>
      </c>
      <c r="F1184" s="76" t="s">
        <v>1234</v>
      </c>
      <c r="G1184" s="73" t="s">
        <v>1233</v>
      </c>
      <c r="H1184" s="122" t="s">
        <v>648</v>
      </c>
      <c r="I1184" s="122"/>
      <c r="J1184" s="122"/>
      <c r="K1184" s="122"/>
      <c r="L1184" s="122"/>
      <c r="M1184" s="74">
        <v>37562900</v>
      </c>
      <c r="N1184" s="75" t="s">
        <v>241</v>
      </c>
      <c r="O1184" s="75" t="s">
        <v>18</v>
      </c>
      <c r="P1184" s="134" t="str">
        <f>IF(AND('331-CT'!$E$7=TH!H1184,OR(N1184="331",O1184="331")),"x","")</f>
        <v/>
      </c>
    </row>
    <row r="1185" spans="1:16" ht="13.5" customHeight="1">
      <c r="A1185" s="72">
        <f t="shared" si="49"/>
        <v>2016</v>
      </c>
      <c r="B1185" s="72">
        <f t="shared" si="50"/>
        <v>1</v>
      </c>
      <c r="C1185" s="73">
        <v>42395</v>
      </c>
      <c r="D1185" s="73" t="s">
        <v>78</v>
      </c>
      <c r="E1185" s="73">
        <v>42395</v>
      </c>
      <c r="F1185" s="76" t="s">
        <v>1235</v>
      </c>
      <c r="G1185" s="73" t="s">
        <v>1233</v>
      </c>
      <c r="H1185" s="122" t="s">
        <v>648</v>
      </c>
      <c r="I1185" s="122"/>
      <c r="J1185" s="122"/>
      <c r="K1185" s="122"/>
      <c r="L1185" s="122"/>
      <c r="M1185" s="74">
        <v>3756290</v>
      </c>
      <c r="N1185" s="75" t="s">
        <v>19</v>
      </c>
      <c r="O1185" s="75" t="s">
        <v>18</v>
      </c>
      <c r="P1185" s="134" t="str">
        <f>IF(AND('331-CT'!$E$7=TH!H1185,OR(N1185="331",O1185="331")),"x","")</f>
        <v/>
      </c>
    </row>
    <row r="1186" spans="1:16" ht="13.5" customHeight="1">
      <c r="A1186" s="72">
        <f t="shared" si="49"/>
        <v>2016</v>
      </c>
      <c r="B1186" s="72">
        <f t="shared" si="50"/>
        <v>1</v>
      </c>
      <c r="C1186" s="73">
        <v>42381</v>
      </c>
      <c r="D1186" s="73" t="s">
        <v>78</v>
      </c>
      <c r="E1186" s="73">
        <v>42381</v>
      </c>
      <c r="F1186" s="76" t="s">
        <v>1164</v>
      </c>
      <c r="G1186" s="270" t="s">
        <v>1159</v>
      </c>
      <c r="H1186" s="122" t="s">
        <v>152</v>
      </c>
      <c r="I1186" s="122"/>
      <c r="J1186" s="122"/>
      <c r="K1186" s="122"/>
      <c r="L1186" s="122"/>
      <c r="M1186" s="74">
        <v>358272727</v>
      </c>
      <c r="N1186" s="75" t="s">
        <v>654</v>
      </c>
      <c r="O1186" s="75" t="s">
        <v>18</v>
      </c>
      <c r="P1186" s="134" t="str">
        <f>IF(AND('331-CT'!$E$7=TH!H1186,OR(N1186="331",O1186="331")),"x","")</f>
        <v/>
      </c>
    </row>
    <row r="1187" spans="1:16" ht="13.5" customHeight="1">
      <c r="A1187" s="72">
        <f t="shared" si="49"/>
        <v>2016</v>
      </c>
      <c r="B1187" s="72">
        <f t="shared" si="50"/>
        <v>1</v>
      </c>
      <c r="C1187" s="73">
        <v>42381</v>
      </c>
      <c r="D1187" s="73" t="s">
        <v>78</v>
      </c>
      <c r="E1187" s="73">
        <v>42381</v>
      </c>
      <c r="F1187" s="76" t="s">
        <v>1165</v>
      </c>
      <c r="G1187" s="270" t="s">
        <v>1159</v>
      </c>
      <c r="H1187" s="122" t="s">
        <v>152</v>
      </c>
      <c r="I1187" s="122"/>
      <c r="J1187" s="122"/>
      <c r="K1187" s="122"/>
      <c r="L1187" s="122"/>
      <c r="M1187" s="74">
        <v>35827273</v>
      </c>
      <c r="N1187" s="75" t="s">
        <v>19</v>
      </c>
      <c r="O1187" s="75" t="s">
        <v>18</v>
      </c>
      <c r="P1187" s="134" t="str">
        <f>IF(AND('331-CT'!$E$7=TH!H1187,OR(N1187="331",O1187="331")),"x","")</f>
        <v/>
      </c>
    </row>
    <row r="1188" spans="1:16" ht="13.5" customHeight="1">
      <c r="A1188" s="72">
        <f t="shared" si="49"/>
        <v>2016</v>
      </c>
      <c r="B1188" s="72">
        <f t="shared" si="50"/>
        <v>1</v>
      </c>
      <c r="C1188" s="73">
        <v>42381</v>
      </c>
      <c r="D1188" s="73" t="s">
        <v>17</v>
      </c>
      <c r="E1188" s="73">
        <v>42381</v>
      </c>
      <c r="F1188" s="76" t="s">
        <v>300</v>
      </c>
      <c r="G1188" s="265" t="s">
        <v>1244</v>
      </c>
      <c r="H1188" s="122" t="s">
        <v>150</v>
      </c>
      <c r="I1188" s="122"/>
      <c r="J1188" s="122"/>
      <c r="K1188" s="122"/>
      <c r="L1188" s="122"/>
      <c r="M1188" s="74">
        <v>500000000</v>
      </c>
      <c r="N1188" s="75" t="s">
        <v>18</v>
      </c>
      <c r="O1188" s="75" t="s">
        <v>54</v>
      </c>
      <c r="P1188" s="134" t="str">
        <f>IF(AND('331-CT'!$E$7=TH!H1188,OR(N1188="331",O1188="331")),"x","")</f>
        <v/>
      </c>
    </row>
    <row r="1189" spans="1:16" ht="13.5" customHeight="1">
      <c r="A1189" s="72">
        <f t="shared" si="49"/>
        <v>2016</v>
      </c>
      <c r="B1189" s="72">
        <f t="shared" si="50"/>
        <v>1</v>
      </c>
      <c r="C1189" s="73">
        <v>42381</v>
      </c>
      <c r="D1189" s="73" t="s">
        <v>17</v>
      </c>
      <c r="E1189" s="73">
        <v>42381</v>
      </c>
      <c r="F1189" s="76" t="s">
        <v>300</v>
      </c>
      <c r="G1189" s="265" t="s">
        <v>1244</v>
      </c>
      <c r="H1189" s="122" t="s">
        <v>152</v>
      </c>
      <c r="I1189" s="122"/>
      <c r="J1189" s="122"/>
      <c r="K1189" s="122"/>
      <c r="L1189" s="122"/>
      <c r="M1189" s="74">
        <v>200000000</v>
      </c>
      <c r="N1189" s="75" t="s">
        <v>18</v>
      </c>
      <c r="O1189" s="75" t="s">
        <v>54</v>
      </c>
      <c r="P1189" s="134" t="str">
        <f>IF(AND('331-CT'!$E$7=TH!H1189,OR(N1189="331",O1189="331")),"x","")</f>
        <v/>
      </c>
    </row>
    <row r="1190" spans="1:16" ht="13.5" customHeight="1">
      <c r="A1190" s="72">
        <f t="shared" si="49"/>
        <v>2016</v>
      </c>
      <c r="B1190" s="72">
        <f t="shared" si="50"/>
        <v>1</v>
      </c>
      <c r="C1190" s="73">
        <v>42381</v>
      </c>
      <c r="D1190" s="73" t="s">
        <v>17</v>
      </c>
      <c r="E1190" s="73">
        <v>42381</v>
      </c>
      <c r="F1190" s="76" t="s">
        <v>34</v>
      </c>
      <c r="G1190" s="265" t="s">
        <v>1244</v>
      </c>
      <c r="H1190" s="122"/>
      <c r="I1190" s="122"/>
      <c r="J1190" s="122"/>
      <c r="K1190" s="122"/>
      <c r="L1190" s="122"/>
      <c r="M1190" s="74">
        <v>60000</v>
      </c>
      <c r="N1190" s="75" t="s">
        <v>241</v>
      </c>
      <c r="O1190" s="75" t="s">
        <v>54</v>
      </c>
      <c r="P1190" s="134" t="str">
        <f>IF(AND('331-CT'!$E$7=TH!H1190,OR(N1190="331",O1190="331")),"x","")</f>
        <v/>
      </c>
    </row>
    <row r="1191" spans="1:16" ht="13.5" customHeight="1">
      <c r="A1191" s="72">
        <f t="shared" si="49"/>
        <v>2016</v>
      </c>
      <c r="B1191" s="72">
        <f t="shared" si="50"/>
        <v>1</v>
      </c>
      <c r="C1191" s="73">
        <v>42381</v>
      </c>
      <c r="D1191" s="73" t="s">
        <v>17</v>
      </c>
      <c r="E1191" s="73">
        <v>42381</v>
      </c>
      <c r="F1191" s="76" t="s">
        <v>35</v>
      </c>
      <c r="G1191" s="265" t="s">
        <v>1244</v>
      </c>
      <c r="H1191" s="122"/>
      <c r="I1191" s="122"/>
      <c r="J1191" s="122"/>
      <c r="K1191" s="122"/>
      <c r="L1191" s="122"/>
      <c r="M1191" s="74">
        <v>6000</v>
      </c>
      <c r="N1191" s="75" t="s">
        <v>19</v>
      </c>
      <c r="O1191" s="75" t="s">
        <v>54</v>
      </c>
      <c r="P1191" s="134" t="str">
        <f>IF(AND('331-CT'!$E$7=TH!H1191,OR(N1191="331",O1191="331")),"x","")</f>
        <v/>
      </c>
    </row>
    <row r="1192" spans="1:16" ht="13.5" customHeight="1">
      <c r="A1192" s="72">
        <f t="shared" si="49"/>
        <v>2016</v>
      </c>
      <c r="B1192" s="72">
        <f t="shared" si="50"/>
        <v>1</v>
      </c>
      <c r="C1192" s="73">
        <v>42381</v>
      </c>
      <c r="D1192" s="73" t="s">
        <v>133</v>
      </c>
      <c r="E1192" s="73">
        <v>42381</v>
      </c>
      <c r="F1192" s="76" t="s">
        <v>766</v>
      </c>
      <c r="G1192" s="265" t="s">
        <v>1168</v>
      </c>
      <c r="H1192" s="122" t="s">
        <v>768</v>
      </c>
      <c r="I1192" s="122"/>
      <c r="J1192" s="122"/>
      <c r="K1192" s="122"/>
      <c r="L1192" s="122"/>
      <c r="M1192" s="74">
        <v>12150000</v>
      </c>
      <c r="N1192" s="75" t="s">
        <v>654</v>
      </c>
      <c r="O1192" s="75" t="s">
        <v>203</v>
      </c>
      <c r="P1192" s="134" t="str">
        <f>IF(AND('331-CT'!$E$7=TH!H1192,OR(N1192="331",O1192="331")),"x","")</f>
        <v/>
      </c>
    </row>
    <row r="1193" spans="1:16" ht="13.5" customHeight="1">
      <c r="A1193" s="72">
        <f t="shared" si="49"/>
        <v>2016</v>
      </c>
      <c r="B1193" s="72">
        <f t="shared" si="50"/>
        <v>1</v>
      </c>
      <c r="C1193" s="73">
        <v>42381</v>
      </c>
      <c r="D1193" s="73" t="s">
        <v>133</v>
      </c>
      <c r="E1193" s="73">
        <v>42381</v>
      </c>
      <c r="F1193" s="76" t="s">
        <v>769</v>
      </c>
      <c r="G1193" s="265" t="s">
        <v>1168</v>
      </c>
      <c r="H1193" s="122" t="s">
        <v>768</v>
      </c>
      <c r="I1193" s="122"/>
      <c r="J1193" s="122"/>
      <c r="K1193" s="122"/>
      <c r="L1193" s="122"/>
      <c r="M1193" s="74">
        <v>1215000</v>
      </c>
      <c r="N1193" s="75" t="s">
        <v>19</v>
      </c>
      <c r="O1193" s="75" t="s">
        <v>203</v>
      </c>
      <c r="P1193" s="134" t="str">
        <f>IF(AND('331-CT'!$E$7=TH!H1193,OR(N1193="331",O1193="331")),"x","")</f>
        <v/>
      </c>
    </row>
    <row r="1194" spans="1:16" ht="13.5" customHeight="1">
      <c r="A1194" s="72">
        <f t="shared" si="49"/>
        <v>2016</v>
      </c>
      <c r="B1194" s="72">
        <f t="shared" si="50"/>
        <v>1</v>
      </c>
      <c r="C1194" s="73">
        <v>42381</v>
      </c>
      <c r="D1194" s="73" t="s">
        <v>134</v>
      </c>
      <c r="E1194" s="73">
        <v>42381</v>
      </c>
      <c r="F1194" s="76" t="s">
        <v>1169</v>
      </c>
      <c r="G1194" s="265" t="s">
        <v>1170</v>
      </c>
      <c r="H1194" s="122" t="s">
        <v>1171</v>
      </c>
      <c r="I1194" s="122"/>
      <c r="J1194" s="122"/>
      <c r="K1194" s="122"/>
      <c r="L1194" s="122"/>
      <c r="M1194" s="74">
        <v>800000</v>
      </c>
      <c r="N1194" s="75" t="s">
        <v>654</v>
      </c>
      <c r="O1194" s="75" t="s">
        <v>203</v>
      </c>
      <c r="P1194" s="134" t="str">
        <f>IF(AND('331-CT'!$E$7=TH!H1194,OR(N1194="331",O1194="331")),"x","")</f>
        <v/>
      </c>
    </row>
    <row r="1195" spans="1:16" ht="13.5" customHeight="1">
      <c r="A1195" s="72">
        <f t="shared" si="49"/>
        <v>2016</v>
      </c>
      <c r="B1195" s="72">
        <f t="shared" si="50"/>
        <v>1</v>
      </c>
      <c r="C1195" s="73">
        <v>42382</v>
      </c>
      <c r="D1195" s="73" t="s">
        <v>78</v>
      </c>
      <c r="E1195" s="73">
        <v>42382</v>
      </c>
      <c r="F1195" s="76" t="s">
        <v>1173</v>
      </c>
      <c r="G1195" s="265" t="s">
        <v>1174</v>
      </c>
      <c r="H1195" s="122" t="s">
        <v>86</v>
      </c>
      <c r="I1195" s="122"/>
      <c r="J1195" s="122"/>
      <c r="K1195" s="122"/>
      <c r="L1195" s="122"/>
      <c r="M1195" s="74">
        <v>389090909</v>
      </c>
      <c r="N1195" s="75" t="s">
        <v>654</v>
      </c>
      <c r="O1195" s="75" t="s">
        <v>18</v>
      </c>
      <c r="P1195" s="134" t="str">
        <f>IF(AND('331-CT'!$E$7=TH!H1195,OR(N1195="331",O1195="331")),"x","")</f>
        <v/>
      </c>
    </row>
    <row r="1196" spans="1:16" ht="13.5" customHeight="1">
      <c r="A1196" s="72">
        <f t="shared" si="49"/>
        <v>2016</v>
      </c>
      <c r="B1196" s="72">
        <f t="shared" si="50"/>
        <v>1</v>
      </c>
      <c r="C1196" s="73">
        <v>42382</v>
      </c>
      <c r="D1196" s="73" t="s">
        <v>78</v>
      </c>
      <c r="E1196" s="73">
        <v>42382</v>
      </c>
      <c r="F1196" s="76" t="s">
        <v>1175</v>
      </c>
      <c r="G1196" s="265" t="s">
        <v>1174</v>
      </c>
      <c r="H1196" s="122" t="s">
        <v>86</v>
      </c>
      <c r="I1196" s="122"/>
      <c r="J1196" s="122"/>
      <c r="K1196" s="122"/>
      <c r="L1196" s="122"/>
      <c r="M1196" s="74">
        <v>38909091</v>
      </c>
      <c r="N1196" s="75" t="s">
        <v>19</v>
      </c>
      <c r="O1196" s="75" t="s">
        <v>18</v>
      </c>
      <c r="P1196" s="134" t="str">
        <f>IF(AND('331-CT'!$E$7=TH!H1196,OR(N1196="331",O1196="331")),"x","")</f>
        <v/>
      </c>
    </row>
    <row r="1197" spans="1:16" ht="13.5" customHeight="1">
      <c r="A1197" s="72">
        <f t="shared" si="49"/>
        <v>2016</v>
      </c>
      <c r="B1197" s="72">
        <f t="shared" si="50"/>
        <v>1</v>
      </c>
      <c r="C1197" s="73">
        <v>42383</v>
      </c>
      <c r="D1197" s="73" t="s">
        <v>17</v>
      </c>
      <c r="E1197" s="73">
        <v>42383</v>
      </c>
      <c r="F1197" s="76" t="s">
        <v>1192</v>
      </c>
      <c r="G1197" s="265" t="s">
        <v>1244</v>
      </c>
      <c r="H1197" s="122"/>
      <c r="I1197" s="122"/>
      <c r="J1197" s="122"/>
      <c r="K1197" s="122"/>
      <c r="L1197" s="122"/>
      <c r="M1197" s="74">
        <v>1500000</v>
      </c>
      <c r="N1197" s="75" t="s">
        <v>219</v>
      </c>
      <c r="O1197" s="75" t="s">
        <v>54</v>
      </c>
      <c r="P1197" s="134" t="str">
        <f>IF(AND('331-CT'!$E$7=TH!H1197,OR(N1197="331",O1197="331")),"x","")</f>
        <v/>
      </c>
    </row>
    <row r="1198" spans="1:16" ht="13.5" customHeight="1">
      <c r="A1198" s="72">
        <f t="shared" si="49"/>
        <v>2016</v>
      </c>
      <c r="B1198" s="72">
        <f t="shared" si="50"/>
        <v>1</v>
      </c>
      <c r="C1198" s="73">
        <v>42383</v>
      </c>
      <c r="D1198" s="73" t="s">
        <v>78</v>
      </c>
      <c r="E1198" s="73">
        <v>42383</v>
      </c>
      <c r="F1198" s="76" t="s">
        <v>1192</v>
      </c>
      <c r="G1198" s="265"/>
      <c r="H1198" s="122"/>
      <c r="I1198" s="122"/>
      <c r="J1198" s="122"/>
      <c r="K1198" s="122"/>
      <c r="L1198" s="122"/>
      <c r="M1198" s="74">
        <v>1500000</v>
      </c>
      <c r="N1198" s="75" t="s">
        <v>241</v>
      </c>
      <c r="O1198" s="75" t="s">
        <v>219</v>
      </c>
      <c r="P1198" s="134" t="str">
        <f>IF(AND('331-CT'!$E$7=TH!H1198,OR(N1198="331",O1198="331")),"x","")</f>
        <v/>
      </c>
    </row>
    <row r="1199" spans="1:16" ht="13.5" customHeight="1">
      <c r="A1199" s="72">
        <f t="shared" si="49"/>
        <v>2016</v>
      </c>
      <c r="B1199" s="72">
        <f t="shared" si="50"/>
        <v>1</v>
      </c>
      <c r="C1199" s="73">
        <v>42384</v>
      </c>
      <c r="D1199" s="73" t="s">
        <v>135</v>
      </c>
      <c r="E1199" s="73">
        <v>42384</v>
      </c>
      <c r="F1199" s="76" t="s">
        <v>462</v>
      </c>
      <c r="G1199" s="265" t="s">
        <v>1172</v>
      </c>
      <c r="H1199" s="122" t="s">
        <v>828</v>
      </c>
      <c r="I1199" s="122"/>
      <c r="J1199" s="122"/>
      <c r="K1199" s="122"/>
      <c r="L1199" s="122"/>
      <c r="M1199" s="74">
        <v>2010000</v>
      </c>
      <c r="N1199" s="75" t="s">
        <v>654</v>
      </c>
      <c r="O1199" s="75" t="s">
        <v>203</v>
      </c>
      <c r="P1199" s="134" t="str">
        <f>IF(AND('331-CT'!$E$7=TH!H1199,OR(N1199="331",O1199="331")),"x","")</f>
        <v/>
      </c>
    </row>
    <row r="1200" spans="1:16" ht="13.5" customHeight="1">
      <c r="A1200" s="72">
        <f t="shared" si="49"/>
        <v>2016</v>
      </c>
      <c r="B1200" s="72">
        <f t="shared" si="50"/>
        <v>1</v>
      </c>
      <c r="C1200" s="311">
        <v>42384</v>
      </c>
      <c r="D1200" s="311" t="s">
        <v>20</v>
      </c>
      <c r="E1200" s="311">
        <v>42384</v>
      </c>
      <c r="F1200" s="312" t="s">
        <v>1193</v>
      </c>
      <c r="G1200" s="406" t="s">
        <v>1244</v>
      </c>
      <c r="H1200" s="314" t="s">
        <v>271</v>
      </c>
      <c r="I1200" s="314"/>
      <c r="J1200" s="314"/>
      <c r="K1200" s="314"/>
      <c r="L1200" s="314"/>
      <c r="M1200" s="74">
        <v>350000000</v>
      </c>
      <c r="N1200" s="315" t="s">
        <v>203</v>
      </c>
      <c r="O1200" s="315" t="s">
        <v>54</v>
      </c>
      <c r="P1200" s="134" t="str">
        <f>IF(AND('331-CT'!$E$7=TH!H1200,OR(N1200="331",O1200="331")),"x","")</f>
        <v/>
      </c>
    </row>
    <row r="1201" spans="1:16" ht="13.5" customHeight="1">
      <c r="A1201" s="72">
        <f t="shared" si="49"/>
        <v>2016</v>
      </c>
      <c r="B1201" s="72">
        <f t="shared" si="50"/>
        <v>1</v>
      </c>
      <c r="C1201" s="311">
        <v>42385</v>
      </c>
      <c r="D1201" s="311" t="s">
        <v>154</v>
      </c>
      <c r="E1201" s="311">
        <v>42385</v>
      </c>
      <c r="F1201" s="312" t="s">
        <v>1176</v>
      </c>
      <c r="G1201" s="406" t="s">
        <v>570</v>
      </c>
      <c r="H1201" s="314" t="s">
        <v>1177</v>
      </c>
      <c r="I1201" s="314"/>
      <c r="J1201" s="314"/>
      <c r="K1201" s="314"/>
      <c r="L1201" s="314"/>
      <c r="M1201" s="74">
        <v>12750000</v>
      </c>
      <c r="N1201" s="315" t="s">
        <v>654</v>
      </c>
      <c r="O1201" s="315" t="s">
        <v>203</v>
      </c>
      <c r="P1201" s="134" t="str">
        <f>IF(AND('331-CT'!$E$7=TH!H1201,OR(N1201="331",O1201="331")),"x","")</f>
        <v/>
      </c>
    </row>
    <row r="1202" spans="1:16" ht="13.5" customHeight="1">
      <c r="A1202" s="72">
        <f t="shared" si="49"/>
        <v>2016</v>
      </c>
      <c r="B1202" s="72">
        <f t="shared" si="50"/>
        <v>1</v>
      </c>
      <c r="C1202" s="73">
        <v>42385</v>
      </c>
      <c r="D1202" s="73" t="s">
        <v>154</v>
      </c>
      <c r="E1202" s="73">
        <v>42385</v>
      </c>
      <c r="F1202" s="76" t="s">
        <v>1178</v>
      </c>
      <c r="G1202" s="265" t="s">
        <v>570</v>
      </c>
      <c r="H1202" s="122" t="s">
        <v>1177</v>
      </c>
      <c r="I1202" s="122"/>
      <c r="J1202" s="122"/>
      <c r="K1202" s="122"/>
      <c r="L1202" s="122"/>
      <c r="M1202" s="74">
        <v>1275000</v>
      </c>
      <c r="N1202" s="75" t="s">
        <v>19</v>
      </c>
      <c r="O1202" s="75" t="s">
        <v>203</v>
      </c>
      <c r="P1202" s="134" t="str">
        <f>IF(AND('331-CT'!$E$7=TH!H1202,OR(N1202="331",O1202="331")),"x","")</f>
        <v/>
      </c>
    </row>
    <row r="1203" spans="1:16" ht="13.5" customHeight="1">
      <c r="A1203" s="72">
        <f t="shared" ref="A1203:A1266" si="51">IF(C1203&lt;&gt;"",YEAR(C1203),"")</f>
        <v>2016</v>
      </c>
      <c r="B1203" s="72">
        <f t="shared" ref="B1203:B1266" si="52">IF(C1203&lt;&gt;"",MONTH(C1203),"")</f>
        <v>1</v>
      </c>
      <c r="C1203" s="73">
        <v>42387</v>
      </c>
      <c r="D1203" s="73" t="s">
        <v>157</v>
      </c>
      <c r="E1203" s="73">
        <v>42387</v>
      </c>
      <c r="F1203" s="76" t="s">
        <v>1179</v>
      </c>
      <c r="G1203" s="265" t="s">
        <v>1180</v>
      </c>
      <c r="H1203" s="122" t="s">
        <v>1177</v>
      </c>
      <c r="I1203" s="122"/>
      <c r="J1203" s="122"/>
      <c r="K1203" s="122"/>
      <c r="L1203" s="122"/>
      <c r="M1203" s="74">
        <v>16600000</v>
      </c>
      <c r="N1203" s="75" t="s">
        <v>654</v>
      </c>
      <c r="O1203" s="75" t="s">
        <v>203</v>
      </c>
      <c r="P1203" s="134" t="str">
        <f>IF(AND('331-CT'!$E$7=TH!H1203,OR(N1203="331",O1203="331")),"x","")</f>
        <v/>
      </c>
    </row>
    <row r="1204" spans="1:16" ht="13.5" customHeight="1">
      <c r="A1204" s="72">
        <f t="shared" si="51"/>
        <v>2016</v>
      </c>
      <c r="B1204" s="72">
        <f t="shared" si="52"/>
        <v>1</v>
      </c>
      <c r="C1204" s="73">
        <v>42387</v>
      </c>
      <c r="D1204" s="73" t="s">
        <v>157</v>
      </c>
      <c r="E1204" s="73">
        <v>42387</v>
      </c>
      <c r="F1204" s="76" t="s">
        <v>1181</v>
      </c>
      <c r="G1204" s="265" t="s">
        <v>1180</v>
      </c>
      <c r="H1204" s="122" t="s">
        <v>1177</v>
      </c>
      <c r="I1204" s="122"/>
      <c r="J1204" s="122"/>
      <c r="K1204" s="122"/>
      <c r="L1204" s="122"/>
      <c r="M1204" s="74">
        <v>1660000</v>
      </c>
      <c r="N1204" s="75" t="s">
        <v>19</v>
      </c>
      <c r="O1204" s="75" t="s">
        <v>203</v>
      </c>
      <c r="P1204" s="134" t="str">
        <f>IF(AND('331-CT'!$E$7=TH!H1204,OR(N1204="331",O1204="331")),"x","")</f>
        <v/>
      </c>
    </row>
    <row r="1205" spans="1:16" ht="13.5" customHeight="1">
      <c r="A1205" s="72">
        <f t="shared" si="51"/>
        <v>2016</v>
      </c>
      <c r="B1205" s="72">
        <f t="shared" si="52"/>
        <v>1</v>
      </c>
      <c r="C1205" s="73">
        <v>42388</v>
      </c>
      <c r="D1205" s="73" t="s">
        <v>158</v>
      </c>
      <c r="E1205" s="73">
        <v>42388</v>
      </c>
      <c r="F1205" s="76" t="s">
        <v>1182</v>
      </c>
      <c r="G1205" s="265" t="s">
        <v>1183</v>
      </c>
      <c r="H1205" s="122" t="s">
        <v>1177</v>
      </c>
      <c r="I1205" s="122"/>
      <c r="J1205" s="122"/>
      <c r="K1205" s="122"/>
      <c r="L1205" s="122"/>
      <c r="M1205" s="74">
        <v>16200000</v>
      </c>
      <c r="N1205" s="75" t="s">
        <v>654</v>
      </c>
      <c r="O1205" s="75" t="s">
        <v>203</v>
      </c>
      <c r="P1205" s="134" t="str">
        <f>IF(AND('331-CT'!$E$7=TH!H1205,OR(N1205="331",O1205="331")),"x","")</f>
        <v/>
      </c>
    </row>
    <row r="1206" spans="1:16" ht="13.5" customHeight="1">
      <c r="A1206" s="72">
        <f t="shared" si="51"/>
        <v>2016</v>
      </c>
      <c r="B1206" s="72">
        <f t="shared" si="52"/>
        <v>1</v>
      </c>
      <c r="C1206" s="73">
        <v>42388</v>
      </c>
      <c r="D1206" s="73" t="s">
        <v>158</v>
      </c>
      <c r="E1206" s="73">
        <v>42388</v>
      </c>
      <c r="F1206" s="76" t="s">
        <v>1184</v>
      </c>
      <c r="G1206" s="265" t="s">
        <v>1183</v>
      </c>
      <c r="H1206" s="122" t="s">
        <v>1177</v>
      </c>
      <c r="I1206" s="122"/>
      <c r="J1206" s="122"/>
      <c r="K1206" s="122"/>
      <c r="L1206" s="122"/>
      <c r="M1206" s="74">
        <v>1620000</v>
      </c>
      <c r="N1206" s="75" t="s">
        <v>19</v>
      </c>
      <c r="O1206" s="75" t="s">
        <v>203</v>
      </c>
      <c r="P1206" s="134" t="str">
        <f>IF(AND('331-CT'!$E$7=TH!H1206,OR(N1206="331",O1206="331")),"x","")</f>
        <v/>
      </c>
    </row>
    <row r="1207" spans="1:16" ht="13.5" customHeight="1">
      <c r="A1207" s="72">
        <f t="shared" si="51"/>
        <v>2016</v>
      </c>
      <c r="B1207" s="72">
        <f t="shared" si="52"/>
        <v>1</v>
      </c>
      <c r="C1207" s="73">
        <v>42389</v>
      </c>
      <c r="D1207" s="73" t="s">
        <v>163</v>
      </c>
      <c r="E1207" s="73">
        <v>42389</v>
      </c>
      <c r="F1207" s="76" t="s">
        <v>462</v>
      </c>
      <c r="G1207" s="265" t="s">
        <v>1185</v>
      </c>
      <c r="H1207" s="122" t="s">
        <v>828</v>
      </c>
      <c r="I1207" s="122"/>
      <c r="J1207" s="122"/>
      <c r="K1207" s="122"/>
      <c r="L1207" s="122"/>
      <c r="M1207" s="74">
        <v>1357000</v>
      </c>
      <c r="N1207" s="75" t="s">
        <v>654</v>
      </c>
      <c r="O1207" s="75" t="s">
        <v>203</v>
      </c>
      <c r="P1207" s="134" t="str">
        <f>IF(AND('331-CT'!$E$7=TH!H1207,OR(N1207="331",O1207="331")),"x","")</f>
        <v/>
      </c>
    </row>
    <row r="1208" spans="1:16" ht="13.5" customHeight="1">
      <c r="A1208" s="72">
        <f t="shared" si="51"/>
        <v>2016</v>
      </c>
      <c r="B1208" s="72">
        <f t="shared" si="52"/>
        <v>1</v>
      </c>
      <c r="C1208" s="73">
        <v>42389</v>
      </c>
      <c r="D1208" s="73" t="s">
        <v>164</v>
      </c>
      <c r="E1208" s="73">
        <v>42389</v>
      </c>
      <c r="F1208" s="76" t="s">
        <v>1186</v>
      </c>
      <c r="G1208" s="265" t="s">
        <v>1187</v>
      </c>
      <c r="H1208" s="122" t="s">
        <v>846</v>
      </c>
      <c r="I1208" s="122"/>
      <c r="J1208" s="122"/>
      <c r="K1208" s="122"/>
      <c r="L1208" s="122"/>
      <c r="M1208" s="74">
        <v>2589000</v>
      </c>
      <c r="N1208" s="75" t="s">
        <v>654</v>
      </c>
      <c r="O1208" s="75" t="s">
        <v>203</v>
      </c>
      <c r="P1208" s="134" t="str">
        <f>IF(AND('331-CT'!$E$7=TH!H1208,OR(N1208="331",O1208="331")),"x","")</f>
        <v/>
      </c>
    </row>
    <row r="1209" spans="1:16" ht="13.5" customHeight="1">
      <c r="A1209" s="72">
        <f t="shared" si="51"/>
        <v>2016</v>
      </c>
      <c r="B1209" s="72">
        <f t="shared" si="52"/>
        <v>1</v>
      </c>
      <c r="C1209" s="73">
        <v>42390</v>
      </c>
      <c r="D1209" s="73" t="s">
        <v>165</v>
      </c>
      <c r="E1209" s="73">
        <v>42343</v>
      </c>
      <c r="F1209" s="76" t="s">
        <v>1188</v>
      </c>
      <c r="G1209" s="265" t="s">
        <v>1189</v>
      </c>
      <c r="H1209" s="122" t="s">
        <v>1190</v>
      </c>
      <c r="I1209" s="122"/>
      <c r="J1209" s="122"/>
      <c r="K1209" s="122"/>
      <c r="L1209" s="122"/>
      <c r="M1209" s="74">
        <v>13804000</v>
      </c>
      <c r="N1209" s="75" t="s">
        <v>654</v>
      </c>
      <c r="O1209" s="75" t="s">
        <v>203</v>
      </c>
      <c r="P1209" s="134" t="str">
        <f>IF(AND('331-CT'!$E$7=TH!H1209,OR(N1209="331",O1209="331")),"x","")</f>
        <v/>
      </c>
    </row>
    <row r="1210" spans="1:16" ht="13.5" customHeight="1">
      <c r="A1210" s="72">
        <f t="shared" si="51"/>
        <v>2016</v>
      </c>
      <c r="B1210" s="72">
        <f t="shared" si="52"/>
        <v>1</v>
      </c>
      <c r="C1210" s="73">
        <v>42390</v>
      </c>
      <c r="D1210" s="73" t="s">
        <v>165</v>
      </c>
      <c r="E1210" s="73">
        <v>42343</v>
      </c>
      <c r="F1210" s="76" t="s">
        <v>1191</v>
      </c>
      <c r="G1210" s="265" t="s">
        <v>1189</v>
      </c>
      <c r="H1210" s="122" t="s">
        <v>1190</v>
      </c>
      <c r="I1210" s="122"/>
      <c r="J1210" s="122"/>
      <c r="K1210" s="122"/>
      <c r="L1210" s="122"/>
      <c r="M1210" s="74">
        <v>1380400</v>
      </c>
      <c r="N1210" s="75" t="s">
        <v>19</v>
      </c>
      <c r="O1210" s="75" t="s">
        <v>203</v>
      </c>
      <c r="P1210" s="134" t="str">
        <f>IF(AND('331-CT'!$E$7=TH!H1210,OR(N1210="331",O1210="331")),"x","")</f>
        <v/>
      </c>
    </row>
    <row r="1211" spans="1:16" ht="13.5" customHeight="1">
      <c r="A1211" s="72">
        <f t="shared" si="51"/>
        <v>2016</v>
      </c>
      <c r="B1211" s="72">
        <f t="shared" si="52"/>
        <v>1</v>
      </c>
      <c r="C1211" s="73">
        <v>42390</v>
      </c>
      <c r="D1211" s="73" t="s">
        <v>17</v>
      </c>
      <c r="E1211" s="73">
        <v>42390</v>
      </c>
      <c r="F1211" s="76" t="s">
        <v>1194</v>
      </c>
      <c r="G1211" s="265" t="s">
        <v>1244</v>
      </c>
      <c r="H1211" s="122" t="s">
        <v>313</v>
      </c>
      <c r="I1211" s="122"/>
      <c r="J1211" s="122"/>
      <c r="K1211" s="122"/>
      <c r="L1211" s="122"/>
      <c r="M1211" s="74">
        <v>8187032</v>
      </c>
      <c r="N1211" s="75" t="s">
        <v>239</v>
      </c>
      <c r="O1211" s="75" t="s">
        <v>54</v>
      </c>
      <c r="P1211" s="134" t="str">
        <f>IF(AND('331-CT'!$E$7=TH!H1211,OR(N1211="331",O1211="331")),"x","")</f>
        <v/>
      </c>
    </row>
    <row r="1212" spans="1:16" ht="13.5" customHeight="1">
      <c r="A1212" s="72">
        <f t="shared" si="51"/>
        <v>2016</v>
      </c>
      <c r="B1212" s="72">
        <f t="shared" si="52"/>
        <v>1</v>
      </c>
      <c r="C1212" s="73">
        <v>42390</v>
      </c>
      <c r="D1212" s="73" t="s">
        <v>17</v>
      </c>
      <c r="E1212" s="73">
        <v>42390</v>
      </c>
      <c r="F1212" s="76" t="s">
        <v>1194</v>
      </c>
      <c r="G1212" s="265" t="s">
        <v>1244</v>
      </c>
      <c r="H1212" s="122" t="s">
        <v>314</v>
      </c>
      <c r="I1212" s="122"/>
      <c r="J1212" s="122"/>
      <c r="K1212" s="122"/>
      <c r="L1212" s="122"/>
      <c r="M1212" s="74">
        <v>16374064</v>
      </c>
      <c r="N1212" s="75" t="s">
        <v>239</v>
      </c>
      <c r="O1212" s="75" t="s">
        <v>54</v>
      </c>
      <c r="P1212" s="134" t="str">
        <f>IF(AND('331-CT'!$E$7=TH!H1212,OR(N1212="331",O1212="331")),"x","")</f>
        <v/>
      </c>
    </row>
    <row r="1213" spans="1:16" ht="13.5" customHeight="1">
      <c r="A1213" s="72">
        <f t="shared" si="51"/>
        <v>2016</v>
      </c>
      <c r="B1213" s="72">
        <f t="shared" si="52"/>
        <v>1</v>
      </c>
      <c r="C1213" s="73">
        <v>42390</v>
      </c>
      <c r="D1213" s="73" t="s">
        <v>166</v>
      </c>
      <c r="E1213" s="73">
        <v>42390</v>
      </c>
      <c r="F1213" s="76" t="s">
        <v>1186</v>
      </c>
      <c r="G1213" s="265" t="s">
        <v>1204</v>
      </c>
      <c r="H1213" s="122" t="s">
        <v>828</v>
      </c>
      <c r="I1213" s="122"/>
      <c r="J1213" s="122"/>
      <c r="K1213" s="122"/>
      <c r="L1213" s="122"/>
      <c r="M1213" s="74">
        <v>2303000</v>
      </c>
      <c r="N1213" s="75" t="s">
        <v>654</v>
      </c>
      <c r="O1213" s="75" t="s">
        <v>203</v>
      </c>
      <c r="P1213" s="134" t="str">
        <f>IF(AND('331-CT'!$E$7=TH!H1213,OR(N1213="331",O1213="331")),"x","")</f>
        <v/>
      </c>
    </row>
    <row r="1214" spans="1:16" ht="13.5" customHeight="1">
      <c r="A1214" s="72">
        <f t="shared" si="51"/>
        <v>2016</v>
      </c>
      <c r="B1214" s="72">
        <f t="shared" si="52"/>
        <v>1</v>
      </c>
      <c r="C1214" s="73">
        <v>42390</v>
      </c>
      <c r="D1214" s="73" t="s">
        <v>167</v>
      </c>
      <c r="E1214" s="73">
        <v>42390</v>
      </c>
      <c r="F1214" s="76" t="s">
        <v>1205</v>
      </c>
      <c r="G1214" s="265" t="s">
        <v>1206</v>
      </c>
      <c r="H1214" s="122" t="s">
        <v>188</v>
      </c>
      <c r="I1214" s="122"/>
      <c r="J1214" s="122"/>
      <c r="K1214" s="122"/>
      <c r="L1214" s="122"/>
      <c r="M1214" s="74">
        <v>7333400</v>
      </c>
      <c r="N1214" s="75" t="s">
        <v>241</v>
      </c>
      <c r="O1214" s="75" t="s">
        <v>203</v>
      </c>
      <c r="P1214" s="134" t="str">
        <f>IF(AND('331-CT'!$E$7=TH!H1214,OR(N1214="331",O1214="331")),"x","")</f>
        <v/>
      </c>
    </row>
    <row r="1215" spans="1:16" ht="13.5" customHeight="1">
      <c r="A1215" s="72">
        <f t="shared" si="51"/>
        <v>2016</v>
      </c>
      <c r="B1215" s="72">
        <f t="shared" si="52"/>
        <v>1</v>
      </c>
      <c r="C1215" s="73">
        <v>42390</v>
      </c>
      <c r="D1215" s="73" t="s">
        <v>167</v>
      </c>
      <c r="E1215" s="73">
        <v>42390</v>
      </c>
      <c r="F1215" s="76" t="s">
        <v>1207</v>
      </c>
      <c r="G1215" s="265" t="s">
        <v>1206</v>
      </c>
      <c r="H1215" s="122" t="s">
        <v>188</v>
      </c>
      <c r="I1215" s="122"/>
      <c r="J1215" s="122"/>
      <c r="K1215" s="122"/>
      <c r="L1215" s="122"/>
      <c r="M1215" s="74">
        <v>366670</v>
      </c>
      <c r="N1215" s="75" t="s">
        <v>19</v>
      </c>
      <c r="O1215" s="75" t="s">
        <v>203</v>
      </c>
      <c r="P1215" s="134" t="str">
        <f>IF(AND('331-CT'!$E$7=TH!H1215,OR(N1215="331",O1215="331")),"x","")</f>
        <v/>
      </c>
    </row>
    <row r="1216" spans="1:16" ht="13.5" customHeight="1">
      <c r="A1216" s="72">
        <f t="shared" si="51"/>
        <v>2016</v>
      </c>
      <c r="B1216" s="72">
        <f t="shared" si="52"/>
        <v>1</v>
      </c>
      <c r="C1216" s="73">
        <v>42391</v>
      </c>
      <c r="D1216" s="73" t="s">
        <v>168</v>
      </c>
      <c r="E1216" s="73">
        <v>42391</v>
      </c>
      <c r="F1216" s="76" t="s">
        <v>1195</v>
      </c>
      <c r="G1216" s="265" t="s">
        <v>1244</v>
      </c>
      <c r="H1216" s="122" t="s">
        <v>271</v>
      </c>
      <c r="I1216" s="122"/>
      <c r="J1216" s="122"/>
      <c r="K1216" s="122"/>
      <c r="L1216" s="122"/>
      <c r="M1216" s="74">
        <v>170000000</v>
      </c>
      <c r="N1216" s="75" t="s">
        <v>54</v>
      </c>
      <c r="O1216" s="75" t="s">
        <v>203</v>
      </c>
      <c r="P1216" s="134" t="str">
        <f>IF(AND('331-CT'!$E$7=TH!H1216,OR(N1216="331",O1216="331")),"x","")</f>
        <v/>
      </c>
    </row>
    <row r="1217" spans="1:16" ht="13.5" customHeight="1">
      <c r="A1217" s="72">
        <f t="shared" si="51"/>
        <v>2016</v>
      </c>
      <c r="B1217" s="72">
        <f t="shared" si="52"/>
        <v>1</v>
      </c>
      <c r="C1217" s="73">
        <v>42391</v>
      </c>
      <c r="D1217" s="73" t="s">
        <v>17</v>
      </c>
      <c r="E1217" s="73">
        <v>42391</v>
      </c>
      <c r="F1217" s="76" t="s">
        <v>1194</v>
      </c>
      <c r="G1217" s="265" t="s">
        <v>1244</v>
      </c>
      <c r="H1217" s="122" t="s">
        <v>316</v>
      </c>
      <c r="I1217" s="122"/>
      <c r="J1217" s="122"/>
      <c r="K1217" s="122"/>
      <c r="L1217" s="122"/>
      <c r="M1217" s="74">
        <v>13104432</v>
      </c>
      <c r="N1217" s="75" t="s">
        <v>239</v>
      </c>
      <c r="O1217" s="75" t="s">
        <v>54</v>
      </c>
      <c r="P1217" s="134" t="str">
        <f>IF(AND('331-CT'!$E$7=TH!H1217,OR(N1217="331",O1217="331")),"x","")</f>
        <v/>
      </c>
    </row>
    <row r="1218" spans="1:16" ht="13.5" customHeight="1">
      <c r="A1218" s="72">
        <f t="shared" si="51"/>
        <v>2016</v>
      </c>
      <c r="B1218" s="72">
        <f t="shared" si="52"/>
        <v>1</v>
      </c>
      <c r="C1218" s="73">
        <v>42391</v>
      </c>
      <c r="D1218" s="73" t="s">
        <v>17</v>
      </c>
      <c r="E1218" s="73">
        <v>42391</v>
      </c>
      <c r="F1218" s="76" t="s">
        <v>1194</v>
      </c>
      <c r="G1218" s="265" t="s">
        <v>1244</v>
      </c>
      <c r="H1218" s="122" t="s">
        <v>315</v>
      </c>
      <c r="I1218" s="122"/>
      <c r="J1218" s="122"/>
      <c r="K1218" s="122"/>
      <c r="L1218" s="122"/>
      <c r="M1218" s="74">
        <v>12285405</v>
      </c>
      <c r="N1218" s="75" t="s">
        <v>239</v>
      </c>
      <c r="O1218" s="75" t="s">
        <v>54</v>
      </c>
      <c r="P1218" s="134" t="str">
        <f>IF(AND('331-CT'!$E$7=TH!H1218,OR(N1218="331",O1218="331")),"x","")</f>
        <v/>
      </c>
    </row>
    <row r="1219" spans="1:16" ht="13.5" customHeight="1">
      <c r="A1219" s="72">
        <f t="shared" si="51"/>
        <v>2016</v>
      </c>
      <c r="B1219" s="72">
        <f t="shared" si="52"/>
        <v>1</v>
      </c>
      <c r="C1219" s="73">
        <v>42391</v>
      </c>
      <c r="D1219" s="73" t="s">
        <v>17</v>
      </c>
      <c r="E1219" s="73">
        <v>42391</v>
      </c>
      <c r="F1219" s="76" t="s">
        <v>1194</v>
      </c>
      <c r="G1219" s="265" t="s">
        <v>1244</v>
      </c>
      <c r="H1219" s="122" t="s">
        <v>317</v>
      </c>
      <c r="I1219" s="122"/>
      <c r="J1219" s="122"/>
      <c r="K1219" s="122"/>
      <c r="L1219" s="122"/>
      <c r="M1219" s="74">
        <v>8190270</v>
      </c>
      <c r="N1219" s="75" t="s">
        <v>239</v>
      </c>
      <c r="O1219" s="75" t="s">
        <v>54</v>
      </c>
      <c r="P1219" s="134" t="str">
        <f>IF(AND('331-CT'!$E$7=TH!H1219,OR(N1219="331",O1219="331")),"x","")</f>
        <v/>
      </c>
    </row>
    <row r="1220" spans="1:16" ht="13.5" customHeight="1">
      <c r="A1220" s="72">
        <f t="shared" si="51"/>
        <v>2016</v>
      </c>
      <c r="B1220" s="72">
        <f t="shared" si="52"/>
        <v>1</v>
      </c>
      <c r="C1220" s="73">
        <v>42391</v>
      </c>
      <c r="D1220" s="73" t="s">
        <v>17</v>
      </c>
      <c r="E1220" s="73">
        <v>42391</v>
      </c>
      <c r="F1220" s="76" t="s">
        <v>1194</v>
      </c>
      <c r="G1220" s="265" t="s">
        <v>1244</v>
      </c>
      <c r="H1220" s="122" t="s">
        <v>318</v>
      </c>
      <c r="I1220" s="122"/>
      <c r="J1220" s="122"/>
      <c r="K1220" s="122"/>
      <c r="L1220" s="122"/>
      <c r="M1220" s="74">
        <v>12285405</v>
      </c>
      <c r="N1220" s="75" t="s">
        <v>239</v>
      </c>
      <c r="O1220" s="75" t="s">
        <v>54</v>
      </c>
      <c r="P1220" s="134" t="str">
        <f>IF(AND('331-CT'!$E$7=TH!H1220,OR(N1220="331",O1220="331")),"x","")</f>
        <v/>
      </c>
    </row>
    <row r="1221" spans="1:16" ht="13.5" customHeight="1">
      <c r="A1221" s="72">
        <f t="shared" si="51"/>
        <v>2016</v>
      </c>
      <c r="B1221" s="72">
        <f t="shared" si="52"/>
        <v>1</v>
      </c>
      <c r="C1221" s="73">
        <v>42391</v>
      </c>
      <c r="D1221" s="73" t="s">
        <v>17</v>
      </c>
      <c r="E1221" s="73">
        <v>42391</v>
      </c>
      <c r="F1221" s="76" t="s">
        <v>1194</v>
      </c>
      <c r="G1221" s="265" t="s">
        <v>1244</v>
      </c>
      <c r="H1221" s="122" t="s">
        <v>319</v>
      </c>
      <c r="I1221" s="122"/>
      <c r="J1221" s="122"/>
      <c r="K1221" s="122"/>
      <c r="L1221" s="122"/>
      <c r="M1221" s="74">
        <v>16380540</v>
      </c>
      <c r="N1221" s="75" t="s">
        <v>239</v>
      </c>
      <c r="O1221" s="75" t="s">
        <v>54</v>
      </c>
      <c r="P1221" s="134" t="str">
        <f>IF(AND('331-CT'!$E$7=TH!H1221,OR(N1221="331",O1221="331")),"x","")</f>
        <v/>
      </c>
    </row>
    <row r="1222" spans="1:16" ht="13.5" customHeight="1">
      <c r="A1222" s="72">
        <f t="shared" si="51"/>
        <v>2016</v>
      </c>
      <c r="B1222" s="72">
        <f t="shared" si="52"/>
        <v>1</v>
      </c>
      <c r="C1222" s="73">
        <v>42391</v>
      </c>
      <c r="D1222" s="73" t="s">
        <v>17</v>
      </c>
      <c r="E1222" s="73">
        <v>42391</v>
      </c>
      <c r="F1222" s="76" t="s">
        <v>1194</v>
      </c>
      <c r="G1222" s="265" t="s">
        <v>1244</v>
      </c>
      <c r="H1222" s="122" t="s">
        <v>320</v>
      </c>
      <c r="I1222" s="122"/>
      <c r="J1222" s="122"/>
      <c r="K1222" s="122"/>
      <c r="L1222" s="122"/>
      <c r="M1222" s="74">
        <v>11466378</v>
      </c>
      <c r="N1222" s="75" t="s">
        <v>239</v>
      </c>
      <c r="O1222" s="75" t="s">
        <v>54</v>
      </c>
      <c r="P1222" s="134" t="str">
        <f>IF(AND('331-CT'!$E$7=TH!H1222,OR(N1222="331",O1222="331")),"x","")</f>
        <v/>
      </c>
    </row>
    <row r="1223" spans="1:16" ht="13.5" customHeight="1">
      <c r="A1223" s="72">
        <f t="shared" si="51"/>
        <v>2016</v>
      </c>
      <c r="B1223" s="72">
        <f t="shared" si="52"/>
        <v>1</v>
      </c>
      <c r="C1223" s="73">
        <v>42391</v>
      </c>
      <c r="D1223" s="73" t="s">
        <v>17</v>
      </c>
      <c r="E1223" s="73">
        <v>42391</v>
      </c>
      <c r="F1223" s="76" t="s">
        <v>1194</v>
      </c>
      <c r="G1223" s="265" t="s">
        <v>1244</v>
      </c>
      <c r="H1223" s="122" t="s">
        <v>321</v>
      </c>
      <c r="I1223" s="122"/>
      <c r="J1223" s="122"/>
      <c r="K1223" s="122"/>
      <c r="L1223" s="122"/>
      <c r="M1223" s="74">
        <v>12285405</v>
      </c>
      <c r="N1223" s="75" t="s">
        <v>239</v>
      </c>
      <c r="O1223" s="75" t="s">
        <v>54</v>
      </c>
      <c r="P1223" s="134" t="str">
        <f>IF(AND('331-CT'!$E$7=TH!H1223,OR(N1223="331",O1223="331")),"x","")</f>
        <v/>
      </c>
    </row>
    <row r="1224" spans="1:16" ht="13.5" customHeight="1">
      <c r="A1224" s="72">
        <f t="shared" si="51"/>
        <v>2016</v>
      </c>
      <c r="B1224" s="72">
        <f t="shared" si="52"/>
        <v>1</v>
      </c>
      <c r="C1224" s="73">
        <v>42391</v>
      </c>
      <c r="D1224" s="73" t="s">
        <v>17</v>
      </c>
      <c r="E1224" s="73">
        <v>42391</v>
      </c>
      <c r="F1224" s="76" t="s">
        <v>1194</v>
      </c>
      <c r="G1224" s="265" t="s">
        <v>1244</v>
      </c>
      <c r="H1224" s="122" t="s">
        <v>325</v>
      </c>
      <c r="I1224" s="122"/>
      <c r="J1224" s="122"/>
      <c r="K1224" s="122"/>
      <c r="L1224" s="122"/>
      <c r="M1224" s="74">
        <v>12285405</v>
      </c>
      <c r="N1224" s="75" t="s">
        <v>239</v>
      </c>
      <c r="O1224" s="75" t="s">
        <v>54</v>
      </c>
      <c r="P1224" s="134" t="str">
        <f>IF(AND('331-CT'!$E$7=TH!H1224,OR(N1224="331",O1224="331")),"x","")</f>
        <v/>
      </c>
    </row>
    <row r="1225" spans="1:16" ht="13.5" customHeight="1">
      <c r="A1225" s="72">
        <f t="shared" si="51"/>
        <v>2016</v>
      </c>
      <c r="B1225" s="72">
        <f t="shared" si="52"/>
        <v>1</v>
      </c>
      <c r="C1225" s="73">
        <v>42391</v>
      </c>
      <c r="D1225" s="73" t="s">
        <v>17</v>
      </c>
      <c r="E1225" s="73">
        <v>42391</v>
      </c>
      <c r="F1225" s="76" t="s">
        <v>1194</v>
      </c>
      <c r="G1225" s="265" t="s">
        <v>1244</v>
      </c>
      <c r="H1225" s="122" t="s">
        <v>416</v>
      </c>
      <c r="I1225" s="122"/>
      <c r="J1225" s="122"/>
      <c r="K1225" s="122"/>
      <c r="L1225" s="122"/>
      <c r="M1225" s="74">
        <v>12285405</v>
      </c>
      <c r="N1225" s="75" t="s">
        <v>239</v>
      </c>
      <c r="O1225" s="75" t="s">
        <v>54</v>
      </c>
      <c r="P1225" s="134" t="str">
        <f>IF(AND('331-CT'!$E$7=TH!H1225,OR(N1225="331",O1225="331")),"x","")</f>
        <v/>
      </c>
    </row>
    <row r="1226" spans="1:16" ht="13.5" customHeight="1">
      <c r="A1226" s="72">
        <f t="shared" si="51"/>
        <v>2016</v>
      </c>
      <c r="B1226" s="72">
        <f t="shared" si="52"/>
        <v>1</v>
      </c>
      <c r="C1226" s="73">
        <v>42391</v>
      </c>
      <c r="D1226" s="73" t="s">
        <v>17</v>
      </c>
      <c r="E1226" s="73">
        <v>42391</v>
      </c>
      <c r="F1226" s="76" t="s">
        <v>1194</v>
      </c>
      <c r="G1226" s="265" t="s">
        <v>1244</v>
      </c>
      <c r="H1226" s="122" t="s">
        <v>421</v>
      </c>
      <c r="I1226" s="122"/>
      <c r="J1226" s="122"/>
      <c r="K1226" s="122"/>
      <c r="L1226" s="122"/>
      <c r="M1226" s="74">
        <v>8190270</v>
      </c>
      <c r="N1226" s="75" t="s">
        <v>239</v>
      </c>
      <c r="O1226" s="75" t="s">
        <v>54</v>
      </c>
      <c r="P1226" s="134" t="str">
        <f>IF(AND('331-CT'!$E$7=TH!H1226,OR(N1226="331",O1226="331")),"x","")</f>
        <v/>
      </c>
    </row>
    <row r="1227" spans="1:16" ht="13.5" customHeight="1">
      <c r="A1227" s="72">
        <f t="shared" si="51"/>
        <v>2016</v>
      </c>
      <c r="B1227" s="72">
        <f t="shared" si="52"/>
        <v>1</v>
      </c>
      <c r="C1227" s="73">
        <v>42391</v>
      </c>
      <c r="D1227" s="73" t="s">
        <v>17</v>
      </c>
      <c r="E1227" s="73">
        <v>42391</v>
      </c>
      <c r="F1227" s="76" t="s">
        <v>1194</v>
      </c>
      <c r="G1227" s="265" t="s">
        <v>1244</v>
      </c>
      <c r="H1227" s="122" t="s">
        <v>455</v>
      </c>
      <c r="I1227" s="122"/>
      <c r="J1227" s="122"/>
      <c r="K1227" s="122"/>
      <c r="L1227" s="122"/>
      <c r="M1227" s="74">
        <v>8190270</v>
      </c>
      <c r="N1227" s="75" t="s">
        <v>239</v>
      </c>
      <c r="O1227" s="75" t="s">
        <v>54</v>
      </c>
      <c r="P1227" s="134" t="str">
        <f>IF(AND('331-CT'!$E$7=TH!H1227,OR(N1227="331",O1227="331")),"x","")</f>
        <v/>
      </c>
    </row>
    <row r="1228" spans="1:16" ht="13.5" customHeight="1">
      <c r="A1228" s="72">
        <f t="shared" si="51"/>
        <v>2016</v>
      </c>
      <c r="B1228" s="72">
        <f t="shared" si="52"/>
        <v>1</v>
      </c>
      <c r="C1228" s="73">
        <v>42391</v>
      </c>
      <c r="D1228" s="73" t="s">
        <v>17</v>
      </c>
      <c r="E1228" s="73">
        <v>42391</v>
      </c>
      <c r="F1228" s="76" t="s">
        <v>1194</v>
      </c>
      <c r="G1228" s="265" t="s">
        <v>1244</v>
      </c>
      <c r="H1228" s="122" t="s">
        <v>323</v>
      </c>
      <c r="I1228" s="122"/>
      <c r="J1228" s="122"/>
      <c r="K1228" s="122"/>
      <c r="L1228" s="122"/>
      <c r="M1228" s="74">
        <v>12285405</v>
      </c>
      <c r="N1228" s="75" t="s">
        <v>239</v>
      </c>
      <c r="O1228" s="75" t="s">
        <v>54</v>
      </c>
      <c r="P1228" s="134" t="str">
        <f>IF(AND('331-CT'!$E$7=TH!H1228,OR(N1228="331",O1228="331")),"x","")</f>
        <v/>
      </c>
    </row>
    <row r="1229" spans="1:16" ht="13.5" customHeight="1">
      <c r="A1229" s="72">
        <f t="shared" si="51"/>
        <v>2016</v>
      </c>
      <c r="B1229" s="72">
        <f t="shared" si="52"/>
        <v>1</v>
      </c>
      <c r="C1229" s="73">
        <v>42391</v>
      </c>
      <c r="D1229" s="73" t="s">
        <v>169</v>
      </c>
      <c r="E1229" s="73">
        <v>42391</v>
      </c>
      <c r="F1229" s="76" t="s">
        <v>1208</v>
      </c>
      <c r="G1229" s="265" t="s">
        <v>1209</v>
      </c>
      <c r="H1229" s="122" t="s">
        <v>856</v>
      </c>
      <c r="I1229" s="122"/>
      <c r="J1229" s="122"/>
      <c r="K1229" s="122"/>
      <c r="L1229" s="122"/>
      <c r="M1229" s="74">
        <v>3195000</v>
      </c>
      <c r="N1229" s="75" t="s">
        <v>654</v>
      </c>
      <c r="O1229" s="75" t="s">
        <v>203</v>
      </c>
      <c r="P1229" s="134" t="str">
        <f>IF(AND('331-CT'!$E$7=TH!H1229,OR(N1229="331",O1229="331")),"x","")</f>
        <v/>
      </c>
    </row>
    <row r="1230" spans="1:16" ht="13.5" customHeight="1">
      <c r="A1230" s="72">
        <f t="shared" si="51"/>
        <v>2016</v>
      </c>
      <c r="B1230" s="72">
        <f t="shared" si="52"/>
        <v>1</v>
      </c>
      <c r="C1230" s="73">
        <v>42392</v>
      </c>
      <c r="D1230" s="73" t="s">
        <v>17</v>
      </c>
      <c r="E1230" s="73">
        <v>42392</v>
      </c>
      <c r="F1230" s="76" t="s">
        <v>98</v>
      </c>
      <c r="G1230" s="265" t="s">
        <v>1244</v>
      </c>
      <c r="H1230" s="122"/>
      <c r="I1230" s="122"/>
      <c r="J1230" s="122"/>
      <c r="K1230" s="122"/>
      <c r="L1230" s="122"/>
      <c r="M1230" s="74">
        <v>163571</v>
      </c>
      <c r="N1230" s="75" t="s">
        <v>54</v>
      </c>
      <c r="O1230" s="75" t="s">
        <v>99</v>
      </c>
      <c r="P1230" s="134" t="str">
        <f>IF(AND('331-CT'!$E$7=TH!H1230,OR(N1230="331",O1230="331")),"x","")</f>
        <v/>
      </c>
    </row>
    <row r="1231" spans="1:16" ht="13.5" customHeight="1">
      <c r="A1231" s="72">
        <f t="shared" si="51"/>
        <v>2016</v>
      </c>
      <c r="B1231" s="72">
        <f t="shared" si="52"/>
        <v>1</v>
      </c>
      <c r="C1231" s="73">
        <v>42392</v>
      </c>
      <c r="D1231" s="73" t="s">
        <v>170</v>
      </c>
      <c r="E1231" s="73">
        <v>42392</v>
      </c>
      <c r="F1231" s="76" t="s">
        <v>1210</v>
      </c>
      <c r="G1231" s="265" t="s">
        <v>1211</v>
      </c>
      <c r="H1231" s="122" t="s">
        <v>1212</v>
      </c>
      <c r="I1231" s="122"/>
      <c r="J1231" s="122"/>
      <c r="K1231" s="122"/>
      <c r="L1231" s="122"/>
      <c r="M1231" s="74">
        <v>12000000</v>
      </c>
      <c r="N1231" s="75" t="s">
        <v>654</v>
      </c>
      <c r="O1231" s="75" t="s">
        <v>203</v>
      </c>
      <c r="P1231" s="134" t="str">
        <f>IF(AND('331-CT'!$E$7=TH!H1231,OR(N1231="331",O1231="331")),"x","")</f>
        <v/>
      </c>
    </row>
    <row r="1232" spans="1:16" ht="13.5" customHeight="1">
      <c r="A1232" s="72">
        <f t="shared" si="51"/>
        <v>2016</v>
      </c>
      <c r="B1232" s="72">
        <f t="shared" si="52"/>
        <v>1</v>
      </c>
      <c r="C1232" s="73">
        <v>42392</v>
      </c>
      <c r="D1232" s="73" t="s">
        <v>171</v>
      </c>
      <c r="E1232" s="73">
        <v>42392</v>
      </c>
      <c r="F1232" s="76" t="s">
        <v>1186</v>
      </c>
      <c r="G1232" s="265" t="s">
        <v>1213</v>
      </c>
      <c r="H1232" s="122" t="s">
        <v>1214</v>
      </c>
      <c r="I1232" s="122"/>
      <c r="J1232" s="122"/>
      <c r="K1232" s="122"/>
      <c r="L1232" s="122"/>
      <c r="M1232" s="74">
        <v>2080000</v>
      </c>
      <c r="N1232" s="75" t="s">
        <v>654</v>
      </c>
      <c r="O1232" s="75" t="s">
        <v>203</v>
      </c>
      <c r="P1232" s="134" t="str">
        <f>IF(AND('331-CT'!$E$7=TH!H1232,OR(N1232="331",O1232="331")),"x","")</f>
        <v/>
      </c>
    </row>
    <row r="1233" spans="1:16" ht="13.5" customHeight="1">
      <c r="A1233" s="72">
        <f t="shared" si="51"/>
        <v>2016</v>
      </c>
      <c r="B1233" s="72">
        <f t="shared" si="52"/>
        <v>1</v>
      </c>
      <c r="C1233" s="73">
        <v>42395</v>
      </c>
      <c r="D1233" s="73" t="s">
        <v>494</v>
      </c>
      <c r="E1233" s="73">
        <v>42395</v>
      </c>
      <c r="F1233" s="76" t="s">
        <v>1215</v>
      </c>
      <c r="G1233" s="265"/>
      <c r="H1233" s="122" t="s">
        <v>514</v>
      </c>
      <c r="I1233" s="122"/>
      <c r="J1233" s="122"/>
      <c r="K1233" s="122"/>
      <c r="L1233" s="122"/>
      <c r="M1233" s="74">
        <v>449822</v>
      </c>
      <c r="N1233" s="75" t="s">
        <v>654</v>
      </c>
      <c r="O1233" s="75" t="s">
        <v>203</v>
      </c>
      <c r="P1233" s="134" t="str">
        <f>IF(AND('331-CT'!$E$7=TH!H1233,OR(N1233="331",O1233="331")),"x","")</f>
        <v/>
      </c>
    </row>
    <row r="1234" spans="1:16" ht="13.5" customHeight="1">
      <c r="A1234" s="72">
        <f t="shared" si="51"/>
        <v>2016</v>
      </c>
      <c r="B1234" s="72">
        <f t="shared" si="52"/>
        <v>1</v>
      </c>
      <c r="C1234" s="73">
        <v>42396</v>
      </c>
      <c r="D1234" s="73" t="s">
        <v>495</v>
      </c>
      <c r="E1234" s="73">
        <v>42392</v>
      </c>
      <c r="F1234" s="76" t="s">
        <v>1216</v>
      </c>
      <c r="G1234" s="265" t="s">
        <v>1217</v>
      </c>
      <c r="H1234" s="122" t="s">
        <v>1212</v>
      </c>
      <c r="I1234" s="122"/>
      <c r="J1234" s="122"/>
      <c r="K1234" s="122"/>
      <c r="L1234" s="122"/>
      <c r="M1234" s="74">
        <v>15000000</v>
      </c>
      <c r="N1234" s="75" t="s">
        <v>654</v>
      </c>
      <c r="O1234" s="75" t="s">
        <v>203</v>
      </c>
      <c r="P1234" s="134" t="str">
        <f>IF(AND('331-CT'!$E$7=TH!H1234,OR(N1234="331",O1234="331")),"x","")</f>
        <v/>
      </c>
    </row>
    <row r="1235" spans="1:16" ht="13.5" customHeight="1">
      <c r="A1235" s="72">
        <f t="shared" si="51"/>
        <v>2016</v>
      </c>
      <c r="B1235" s="72">
        <f t="shared" si="52"/>
        <v>1</v>
      </c>
      <c r="C1235" s="73">
        <v>42398</v>
      </c>
      <c r="D1235" s="73" t="s">
        <v>496</v>
      </c>
      <c r="E1235" s="73">
        <v>42398</v>
      </c>
      <c r="F1235" s="76" t="s">
        <v>1195</v>
      </c>
      <c r="G1235" s="265" t="s">
        <v>1244</v>
      </c>
      <c r="H1235" s="122" t="s">
        <v>271</v>
      </c>
      <c r="I1235" s="122"/>
      <c r="J1235" s="122"/>
      <c r="K1235" s="122"/>
      <c r="L1235" s="122"/>
      <c r="M1235" s="74">
        <v>370000000</v>
      </c>
      <c r="N1235" s="75" t="s">
        <v>54</v>
      </c>
      <c r="O1235" s="75" t="s">
        <v>203</v>
      </c>
      <c r="P1235" s="134" t="str">
        <f>IF(AND('331-CT'!$E$7=TH!H1235,OR(N1235="331",O1235="331")),"x","")</f>
        <v/>
      </c>
    </row>
    <row r="1236" spans="1:16" ht="13.5" customHeight="1">
      <c r="A1236" s="72">
        <f t="shared" si="51"/>
        <v>2016</v>
      </c>
      <c r="B1236" s="72">
        <f t="shared" si="52"/>
        <v>1</v>
      </c>
      <c r="C1236" s="73">
        <v>42399</v>
      </c>
      <c r="D1236" s="73" t="s">
        <v>17</v>
      </c>
      <c r="E1236" s="73">
        <v>42399</v>
      </c>
      <c r="F1236" s="76" t="s">
        <v>300</v>
      </c>
      <c r="G1236" s="265" t="s">
        <v>1244</v>
      </c>
      <c r="H1236" s="122" t="s">
        <v>301</v>
      </c>
      <c r="I1236" s="122"/>
      <c r="J1236" s="122"/>
      <c r="K1236" s="122"/>
      <c r="L1236" s="122"/>
      <c r="M1236" s="74">
        <v>171000000</v>
      </c>
      <c r="N1236" s="75" t="s">
        <v>18</v>
      </c>
      <c r="O1236" s="75" t="s">
        <v>54</v>
      </c>
      <c r="P1236" s="134" t="str">
        <f>IF(AND('331-CT'!$E$7=TH!H1236,OR(N1236="331",O1236="331")),"x","")</f>
        <v/>
      </c>
    </row>
    <row r="1237" spans="1:16" ht="13.5" customHeight="1">
      <c r="A1237" s="72">
        <f t="shared" si="51"/>
        <v>2016</v>
      </c>
      <c r="B1237" s="72">
        <f t="shared" si="52"/>
        <v>1</v>
      </c>
      <c r="C1237" s="73">
        <v>42399</v>
      </c>
      <c r="D1237" s="73" t="s">
        <v>17</v>
      </c>
      <c r="E1237" s="73">
        <v>42399</v>
      </c>
      <c r="F1237" s="76" t="s">
        <v>34</v>
      </c>
      <c r="G1237" s="265" t="s">
        <v>1244</v>
      </c>
      <c r="H1237" s="122"/>
      <c r="I1237" s="122"/>
      <c r="J1237" s="122"/>
      <c r="K1237" s="122"/>
      <c r="L1237" s="122"/>
      <c r="M1237" s="74">
        <v>126515</v>
      </c>
      <c r="N1237" s="75" t="s">
        <v>241</v>
      </c>
      <c r="O1237" s="75" t="s">
        <v>54</v>
      </c>
      <c r="P1237" s="134" t="str">
        <f>IF(AND('331-CT'!$E$7=TH!H1237,OR(N1237="331",O1237="331")),"x","")</f>
        <v/>
      </c>
    </row>
    <row r="1238" spans="1:16" ht="13.5" customHeight="1">
      <c r="A1238" s="72">
        <f t="shared" si="51"/>
        <v>2016</v>
      </c>
      <c r="B1238" s="72">
        <f t="shared" si="52"/>
        <v>1</v>
      </c>
      <c r="C1238" s="73">
        <v>42399</v>
      </c>
      <c r="D1238" s="73" t="s">
        <v>17</v>
      </c>
      <c r="E1238" s="73">
        <v>42399</v>
      </c>
      <c r="F1238" s="76" t="s">
        <v>35</v>
      </c>
      <c r="G1238" s="265" t="s">
        <v>1244</v>
      </c>
      <c r="H1238" s="122"/>
      <c r="I1238" s="122"/>
      <c r="J1238" s="122"/>
      <c r="K1238" s="122"/>
      <c r="L1238" s="122"/>
      <c r="M1238" s="74">
        <v>12651</v>
      </c>
      <c r="N1238" s="75" t="s">
        <v>19</v>
      </c>
      <c r="O1238" s="75" t="s">
        <v>54</v>
      </c>
      <c r="P1238" s="134" t="str">
        <f>IF(AND('331-CT'!$E$7=TH!H1238,OR(N1238="331",O1238="331")),"x","")</f>
        <v/>
      </c>
    </row>
    <row r="1239" spans="1:16" ht="13.5" customHeight="1">
      <c r="A1239" s="72">
        <f t="shared" si="51"/>
        <v>2016</v>
      </c>
      <c r="B1239" s="72">
        <f t="shared" si="52"/>
        <v>1</v>
      </c>
      <c r="C1239" s="73">
        <v>42399</v>
      </c>
      <c r="D1239" s="73" t="s">
        <v>17</v>
      </c>
      <c r="E1239" s="73">
        <v>42399</v>
      </c>
      <c r="F1239" s="76" t="s">
        <v>300</v>
      </c>
      <c r="G1239" s="265" t="s">
        <v>1244</v>
      </c>
      <c r="H1239" s="122" t="s">
        <v>85</v>
      </c>
      <c r="I1239" s="122"/>
      <c r="J1239" s="122"/>
      <c r="K1239" s="122"/>
      <c r="L1239" s="122"/>
      <c r="M1239" s="74">
        <v>200000000</v>
      </c>
      <c r="N1239" s="75" t="s">
        <v>18</v>
      </c>
      <c r="O1239" s="75" t="s">
        <v>54</v>
      </c>
      <c r="P1239" s="134" t="str">
        <f>IF(AND('331-CT'!$E$7=TH!H1239,OR(N1239="331",O1239="331")),"x","")</f>
        <v/>
      </c>
    </row>
    <row r="1240" spans="1:16" ht="13.5" customHeight="1">
      <c r="A1240" s="72">
        <f t="shared" si="51"/>
        <v>2016</v>
      </c>
      <c r="B1240" s="72">
        <f t="shared" si="52"/>
        <v>1</v>
      </c>
      <c r="C1240" s="73">
        <v>42399</v>
      </c>
      <c r="D1240" s="73" t="s">
        <v>17</v>
      </c>
      <c r="E1240" s="73">
        <v>42399</v>
      </c>
      <c r="F1240" s="76" t="s">
        <v>34</v>
      </c>
      <c r="G1240" s="265" t="s">
        <v>1244</v>
      </c>
      <c r="H1240" s="122"/>
      <c r="I1240" s="122"/>
      <c r="J1240" s="122"/>
      <c r="K1240" s="122"/>
      <c r="L1240" s="122"/>
      <c r="M1240" s="74">
        <v>160000</v>
      </c>
      <c r="N1240" s="75" t="s">
        <v>241</v>
      </c>
      <c r="O1240" s="75" t="s">
        <v>54</v>
      </c>
      <c r="P1240" s="134" t="str">
        <f>IF(AND('331-CT'!$E$7=TH!H1240,OR(N1240="331",O1240="331")),"x","")</f>
        <v/>
      </c>
    </row>
    <row r="1241" spans="1:16" ht="13.5" customHeight="1">
      <c r="A1241" s="72">
        <f t="shared" si="51"/>
        <v>2016</v>
      </c>
      <c r="B1241" s="72">
        <f t="shared" si="52"/>
        <v>1</v>
      </c>
      <c r="C1241" s="73">
        <v>42399</v>
      </c>
      <c r="D1241" s="73" t="s">
        <v>17</v>
      </c>
      <c r="E1241" s="73">
        <v>42399</v>
      </c>
      <c r="F1241" s="76" t="s">
        <v>35</v>
      </c>
      <c r="G1241" s="265" t="s">
        <v>1244</v>
      </c>
      <c r="H1241" s="122"/>
      <c r="I1241" s="122"/>
      <c r="J1241" s="122"/>
      <c r="K1241" s="122"/>
      <c r="L1241" s="122"/>
      <c r="M1241" s="74">
        <v>16000</v>
      </c>
      <c r="N1241" s="75" t="s">
        <v>19</v>
      </c>
      <c r="O1241" s="75" t="s">
        <v>54</v>
      </c>
      <c r="P1241" s="134" t="str">
        <f>IF(AND('331-CT'!$E$7=TH!H1241,OR(N1241="331",O1241="331")),"x","")</f>
        <v/>
      </c>
    </row>
    <row r="1242" spans="1:16" ht="13.5" customHeight="1">
      <c r="A1242" s="72">
        <f t="shared" si="51"/>
        <v>2016</v>
      </c>
      <c r="B1242" s="72">
        <f t="shared" si="52"/>
        <v>1</v>
      </c>
      <c r="C1242" s="73">
        <v>42399</v>
      </c>
      <c r="D1242" s="73" t="s">
        <v>17</v>
      </c>
      <c r="E1242" s="73">
        <v>42399</v>
      </c>
      <c r="F1242" s="76" t="s">
        <v>1196</v>
      </c>
      <c r="G1242" s="265" t="s">
        <v>1244</v>
      </c>
      <c r="H1242" s="122" t="s">
        <v>648</v>
      </c>
      <c r="I1242" s="122"/>
      <c r="J1242" s="122"/>
      <c r="K1242" s="122"/>
      <c r="L1242" s="122"/>
      <c r="M1242" s="74">
        <v>31108110</v>
      </c>
      <c r="N1242" s="75" t="s">
        <v>18</v>
      </c>
      <c r="O1242" s="75" t="s">
        <v>54</v>
      </c>
      <c r="P1242" s="134" t="str">
        <f>IF(AND('331-CT'!$E$7=TH!H1242,OR(N1242="331",O1242="331")),"x","")</f>
        <v/>
      </c>
    </row>
    <row r="1243" spans="1:16" ht="13.5" customHeight="1">
      <c r="A1243" s="72">
        <f t="shared" si="51"/>
        <v>2016</v>
      </c>
      <c r="B1243" s="72">
        <f t="shared" si="52"/>
        <v>1</v>
      </c>
      <c r="C1243" s="73">
        <v>42399</v>
      </c>
      <c r="D1243" s="73" t="s">
        <v>17</v>
      </c>
      <c r="E1243" s="73">
        <v>42399</v>
      </c>
      <c r="F1243" s="76" t="s">
        <v>34</v>
      </c>
      <c r="G1243" s="265" t="s">
        <v>1244</v>
      </c>
      <c r="H1243" s="122"/>
      <c r="I1243" s="122"/>
      <c r="J1243" s="122"/>
      <c r="K1243" s="122"/>
      <c r="L1243" s="122"/>
      <c r="M1243" s="74">
        <v>45000</v>
      </c>
      <c r="N1243" s="75" t="s">
        <v>241</v>
      </c>
      <c r="O1243" s="75" t="s">
        <v>54</v>
      </c>
      <c r="P1243" s="134" t="str">
        <f>IF(AND('331-CT'!$E$7=TH!H1243,OR(N1243="331",O1243="331")),"x","")</f>
        <v/>
      </c>
    </row>
    <row r="1244" spans="1:16" ht="13.5" customHeight="1">
      <c r="A1244" s="72">
        <f t="shared" si="51"/>
        <v>2016</v>
      </c>
      <c r="B1244" s="72">
        <f t="shared" si="52"/>
        <v>1</v>
      </c>
      <c r="C1244" s="73">
        <v>42399</v>
      </c>
      <c r="D1244" s="73" t="s">
        <v>17</v>
      </c>
      <c r="E1244" s="73">
        <v>42399</v>
      </c>
      <c r="F1244" s="76" t="s">
        <v>35</v>
      </c>
      <c r="G1244" s="265" t="s">
        <v>1244</v>
      </c>
      <c r="H1244" s="122"/>
      <c r="I1244" s="122"/>
      <c r="J1244" s="122"/>
      <c r="K1244" s="122"/>
      <c r="L1244" s="122"/>
      <c r="M1244" s="74">
        <v>4500</v>
      </c>
      <c r="N1244" s="75" t="s">
        <v>19</v>
      </c>
      <c r="O1244" s="75" t="s">
        <v>54</v>
      </c>
      <c r="P1244" s="134" t="str">
        <f>IF(AND('331-CT'!$E$7=TH!H1244,OR(N1244="331",O1244="331")),"x","")</f>
        <v/>
      </c>
    </row>
    <row r="1245" spans="1:16" ht="13.5" customHeight="1">
      <c r="A1245" s="72">
        <f t="shared" si="51"/>
        <v>2016</v>
      </c>
      <c r="B1245" s="72">
        <f t="shared" si="52"/>
        <v>1</v>
      </c>
      <c r="C1245" s="73">
        <v>42400</v>
      </c>
      <c r="D1245" s="73" t="s">
        <v>497</v>
      </c>
      <c r="E1245" s="73">
        <v>42400</v>
      </c>
      <c r="F1245" s="76" t="s">
        <v>835</v>
      </c>
      <c r="G1245" s="265" t="s">
        <v>1218</v>
      </c>
      <c r="H1245" s="122" t="s">
        <v>1219</v>
      </c>
      <c r="I1245" s="122"/>
      <c r="J1245" s="122"/>
      <c r="K1245" s="122"/>
      <c r="L1245" s="122"/>
      <c r="M1245" s="74">
        <v>1454545</v>
      </c>
      <c r="N1245" s="75" t="s">
        <v>654</v>
      </c>
      <c r="O1245" s="75" t="s">
        <v>203</v>
      </c>
      <c r="P1245" s="134" t="str">
        <f>IF(AND('331-CT'!$E$7=TH!H1245,OR(N1245="331",O1245="331")),"x","")</f>
        <v/>
      </c>
    </row>
    <row r="1246" spans="1:16" ht="13.5" customHeight="1">
      <c r="A1246" s="72">
        <f t="shared" si="51"/>
        <v>2016</v>
      </c>
      <c r="B1246" s="72">
        <f t="shared" si="52"/>
        <v>1</v>
      </c>
      <c r="C1246" s="73">
        <v>42400</v>
      </c>
      <c r="D1246" s="73" t="s">
        <v>497</v>
      </c>
      <c r="E1246" s="73">
        <v>42400</v>
      </c>
      <c r="F1246" s="76" t="s">
        <v>838</v>
      </c>
      <c r="G1246" s="265" t="s">
        <v>1218</v>
      </c>
      <c r="H1246" s="122" t="s">
        <v>1219</v>
      </c>
      <c r="I1246" s="122"/>
      <c r="J1246" s="122"/>
      <c r="K1246" s="122"/>
      <c r="L1246" s="122"/>
      <c r="M1246" s="74">
        <v>145455</v>
      </c>
      <c r="N1246" s="75" t="s">
        <v>19</v>
      </c>
      <c r="O1246" s="75" t="s">
        <v>203</v>
      </c>
      <c r="P1246" s="134" t="str">
        <f>IF(AND('331-CT'!$E$7=TH!H1246,OR(N1246="331",O1246="331")),"x","")</f>
        <v/>
      </c>
    </row>
    <row r="1247" spans="1:16" ht="13.5" customHeight="1">
      <c r="A1247" s="72">
        <f t="shared" si="51"/>
        <v>2016</v>
      </c>
      <c r="B1247" s="72">
        <f t="shared" si="52"/>
        <v>2</v>
      </c>
      <c r="C1247" s="73">
        <v>42401</v>
      </c>
      <c r="D1247" s="73" t="s">
        <v>498</v>
      </c>
      <c r="E1247" s="73">
        <v>42401</v>
      </c>
      <c r="F1247" s="76" t="s">
        <v>1186</v>
      </c>
      <c r="G1247" s="265" t="s">
        <v>1220</v>
      </c>
      <c r="H1247" s="122" t="s">
        <v>828</v>
      </c>
      <c r="I1247" s="122"/>
      <c r="J1247" s="122"/>
      <c r="K1247" s="122"/>
      <c r="L1247" s="122"/>
      <c r="M1247" s="74">
        <v>3228000</v>
      </c>
      <c r="N1247" s="75" t="s">
        <v>654</v>
      </c>
      <c r="O1247" s="75" t="s">
        <v>203</v>
      </c>
      <c r="P1247" s="134" t="str">
        <f>IF(AND('331-CT'!$E$7=TH!H1247,OR(N1247="331",O1247="331")),"x","")</f>
        <v/>
      </c>
    </row>
    <row r="1248" spans="1:16" ht="13.5" customHeight="1">
      <c r="A1248" s="72">
        <f t="shared" si="51"/>
        <v>2016</v>
      </c>
      <c r="B1248" s="72">
        <f t="shared" si="52"/>
        <v>2</v>
      </c>
      <c r="C1248" s="73">
        <v>42403</v>
      </c>
      <c r="D1248" s="73" t="s">
        <v>499</v>
      </c>
      <c r="E1248" s="73">
        <v>42403</v>
      </c>
      <c r="F1248" s="76" t="s">
        <v>1195</v>
      </c>
      <c r="G1248" s="265" t="s">
        <v>1244</v>
      </c>
      <c r="H1248" s="122" t="s">
        <v>271</v>
      </c>
      <c r="I1248" s="122"/>
      <c r="J1248" s="122"/>
      <c r="K1248" s="122"/>
      <c r="L1248" s="122"/>
      <c r="M1248" s="74">
        <v>600000000</v>
      </c>
      <c r="N1248" s="75" t="s">
        <v>54</v>
      </c>
      <c r="O1248" s="75" t="s">
        <v>203</v>
      </c>
      <c r="P1248" s="134" t="str">
        <f>IF(AND('331-CT'!$E$7=TH!H1248,OR(N1248="331",O1248="331")),"x","")</f>
        <v/>
      </c>
    </row>
    <row r="1249" spans="1:16" ht="13.5" customHeight="1">
      <c r="A1249" s="72">
        <f t="shared" si="51"/>
        <v>2016</v>
      </c>
      <c r="B1249" s="72">
        <f t="shared" si="52"/>
        <v>2</v>
      </c>
      <c r="C1249" s="73">
        <v>42403</v>
      </c>
      <c r="D1249" s="73" t="s">
        <v>17</v>
      </c>
      <c r="E1249" s="73">
        <v>42403</v>
      </c>
      <c r="F1249" s="76" t="s">
        <v>1197</v>
      </c>
      <c r="G1249" s="265" t="s">
        <v>1244</v>
      </c>
      <c r="H1249" s="122" t="s">
        <v>648</v>
      </c>
      <c r="I1249" s="122"/>
      <c r="J1249" s="122"/>
      <c r="K1249" s="122"/>
      <c r="L1249" s="122"/>
      <c r="M1249" s="74">
        <v>41319190</v>
      </c>
      <c r="N1249" s="75" t="s">
        <v>18</v>
      </c>
      <c r="O1249" s="75" t="s">
        <v>54</v>
      </c>
      <c r="P1249" s="134" t="str">
        <f>IF(AND('331-CT'!$E$7=TH!H1249,OR(N1249="331",O1249="331")),"x","")</f>
        <v/>
      </c>
    </row>
    <row r="1250" spans="1:16" ht="13.5" customHeight="1">
      <c r="A1250" s="72">
        <f t="shared" si="51"/>
        <v>2016</v>
      </c>
      <c r="B1250" s="72">
        <f t="shared" si="52"/>
        <v>2</v>
      </c>
      <c r="C1250" s="73">
        <v>42403</v>
      </c>
      <c r="D1250" s="73" t="s">
        <v>17</v>
      </c>
      <c r="E1250" s="73">
        <v>42403</v>
      </c>
      <c r="F1250" s="76" t="s">
        <v>34</v>
      </c>
      <c r="G1250" s="265" t="s">
        <v>1244</v>
      </c>
      <c r="H1250" s="122"/>
      <c r="I1250" s="122"/>
      <c r="J1250" s="122"/>
      <c r="K1250" s="122"/>
      <c r="L1250" s="122"/>
      <c r="M1250" s="74">
        <v>45000</v>
      </c>
      <c r="N1250" s="75" t="s">
        <v>241</v>
      </c>
      <c r="O1250" s="75" t="s">
        <v>54</v>
      </c>
      <c r="P1250" s="134" t="str">
        <f>IF(AND('331-CT'!$E$7=TH!H1250,OR(N1250="331",O1250="331")),"x","")</f>
        <v/>
      </c>
    </row>
    <row r="1251" spans="1:16" ht="13.5" customHeight="1">
      <c r="A1251" s="72">
        <f t="shared" si="51"/>
        <v>2016</v>
      </c>
      <c r="B1251" s="72">
        <f t="shared" si="52"/>
        <v>2</v>
      </c>
      <c r="C1251" s="73">
        <v>42403</v>
      </c>
      <c r="D1251" s="73" t="s">
        <v>17</v>
      </c>
      <c r="E1251" s="73">
        <v>42403</v>
      </c>
      <c r="F1251" s="76" t="s">
        <v>35</v>
      </c>
      <c r="G1251" s="265" t="s">
        <v>1244</v>
      </c>
      <c r="H1251" s="122"/>
      <c r="I1251" s="122"/>
      <c r="J1251" s="122"/>
      <c r="K1251" s="122"/>
      <c r="L1251" s="122"/>
      <c r="M1251" s="74">
        <v>4500</v>
      </c>
      <c r="N1251" s="75" t="s">
        <v>19</v>
      </c>
      <c r="O1251" s="75" t="s">
        <v>54</v>
      </c>
      <c r="P1251" s="134" t="str">
        <f>IF(AND('331-CT'!$E$7=TH!H1251,OR(N1251="331",O1251="331")),"x","")</f>
        <v/>
      </c>
    </row>
    <row r="1252" spans="1:16" ht="13.5" customHeight="1">
      <c r="A1252" s="72">
        <f t="shared" si="51"/>
        <v>2016</v>
      </c>
      <c r="B1252" s="72">
        <f t="shared" si="52"/>
        <v>2</v>
      </c>
      <c r="C1252" s="73">
        <v>42403</v>
      </c>
      <c r="D1252" s="73" t="s">
        <v>17</v>
      </c>
      <c r="E1252" s="73">
        <v>42403</v>
      </c>
      <c r="F1252" s="76" t="s">
        <v>1198</v>
      </c>
      <c r="G1252" s="265" t="s">
        <v>1244</v>
      </c>
      <c r="H1252" s="122" t="s">
        <v>190</v>
      </c>
      <c r="I1252" s="122"/>
      <c r="J1252" s="122"/>
      <c r="K1252" s="122"/>
      <c r="L1252" s="122"/>
      <c r="M1252" s="74">
        <v>37981566</v>
      </c>
      <c r="N1252" s="75" t="s">
        <v>18</v>
      </c>
      <c r="O1252" s="75" t="s">
        <v>54</v>
      </c>
      <c r="P1252" s="134" t="str">
        <f>IF(AND('331-CT'!$E$7=TH!H1252,OR(N1252="331",O1252="331")),"x","")</f>
        <v/>
      </c>
    </row>
    <row r="1253" spans="1:16" ht="13.5" customHeight="1">
      <c r="A1253" s="72">
        <f t="shared" si="51"/>
        <v>2016</v>
      </c>
      <c r="B1253" s="72">
        <f t="shared" si="52"/>
        <v>2</v>
      </c>
      <c r="C1253" s="73">
        <v>42403</v>
      </c>
      <c r="D1253" s="73" t="s">
        <v>17</v>
      </c>
      <c r="E1253" s="73">
        <v>42403</v>
      </c>
      <c r="F1253" s="76" t="s">
        <v>34</v>
      </c>
      <c r="G1253" s="265" t="s">
        <v>1244</v>
      </c>
      <c r="H1253" s="122"/>
      <c r="I1253" s="122"/>
      <c r="J1253" s="122"/>
      <c r="K1253" s="122"/>
      <c r="L1253" s="122"/>
      <c r="M1253" s="74">
        <v>45000</v>
      </c>
      <c r="N1253" s="75" t="s">
        <v>241</v>
      </c>
      <c r="O1253" s="75" t="s">
        <v>54</v>
      </c>
      <c r="P1253" s="134" t="str">
        <f>IF(AND('331-CT'!$E$7=TH!H1253,OR(N1253="331",O1253="331")),"x","")</f>
        <v/>
      </c>
    </row>
    <row r="1254" spans="1:16" ht="13.5" customHeight="1">
      <c r="A1254" s="72">
        <f t="shared" si="51"/>
        <v>2016</v>
      </c>
      <c r="B1254" s="72">
        <f t="shared" si="52"/>
        <v>2</v>
      </c>
      <c r="C1254" s="73">
        <v>42403</v>
      </c>
      <c r="D1254" s="73" t="s">
        <v>17</v>
      </c>
      <c r="E1254" s="73">
        <v>42403</v>
      </c>
      <c r="F1254" s="76" t="s">
        <v>35</v>
      </c>
      <c r="G1254" s="265" t="s">
        <v>1244</v>
      </c>
      <c r="H1254" s="122"/>
      <c r="I1254" s="122"/>
      <c r="J1254" s="122"/>
      <c r="K1254" s="122"/>
      <c r="L1254" s="122"/>
      <c r="M1254" s="74">
        <v>4500</v>
      </c>
      <c r="N1254" s="75" t="s">
        <v>19</v>
      </c>
      <c r="O1254" s="75" t="s">
        <v>54</v>
      </c>
      <c r="P1254" s="134" t="str">
        <f>IF(AND('331-CT'!$E$7=TH!H1254,OR(N1254="331",O1254="331")),"x","")</f>
        <v/>
      </c>
    </row>
    <row r="1255" spans="1:16" ht="13.5" customHeight="1">
      <c r="A1255" s="72">
        <f t="shared" si="51"/>
        <v>2016</v>
      </c>
      <c r="B1255" s="72">
        <f t="shared" si="52"/>
        <v>2</v>
      </c>
      <c r="C1255" s="73">
        <v>42403</v>
      </c>
      <c r="D1255" s="73" t="s">
        <v>17</v>
      </c>
      <c r="E1255" s="73">
        <v>42403</v>
      </c>
      <c r="F1255" s="76" t="s">
        <v>1199</v>
      </c>
      <c r="G1255" s="265" t="s">
        <v>1244</v>
      </c>
      <c r="H1255" s="122" t="s">
        <v>109</v>
      </c>
      <c r="I1255" s="122"/>
      <c r="J1255" s="122"/>
      <c r="K1255" s="122"/>
      <c r="L1255" s="122"/>
      <c r="M1255" s="74">
        <v>50000000</v>
      </c>
      <c r="N1255" s="75" t="s">
        <v>18</v>
      </c>
      <c r="O1255" s="75" t="s">
        <v>54</v>
      </c>
      <c r="P1255" s="134" t="str">
        <f>IF(AND('331-CT'!$E$7=TH!H1255,OR(N1255="331",O1255="331")),"x","")</f>
        <v/>
      </c>
    </row>
    <row r="1256" spans="1:16" ht="13.5" customHeight="1">
      <c r="A1256" s="72">
        <f t="shared" si="51"/>
        <v>2016</v>
      </c>
      <c r="B1256" s="72">
        <f t="shared" si="52"/>
        <v>2</v>
      </c>
      <c r="C1256" s="73">
        <v>42403</v>
      </c>
      <c r="D1256" s="73" t="s">
        <v>17</v>
      </c>
      <c r="E1256" s="73">
        <v>42403</v>
      </c>
      <c r="F1256" s="76" t="s">
        <v>34</v>
      </c>
      <c r="G1256" s="265" t="s">
        <v>1244</v>
      </c>
      <c r="H1256" s="122"/>
      <c r="I1256" s="122"/>
      <c r="J1256" s="122"/>
      <c r="K1256" s="122"/>
      <c r="L1256" s="122"/>
      <c r="M1256" s="74">
        <v>45000</v>
      </c>
      <c r="N1256" s="75" t="s">
        <v>241</v>
      </c>
      <c r="O1256" s="75" t="s">
        <v>54</v>
      </c>
      <c r="P1256" s="134" t="str">
        <f>IF(AND('331-CT'!$E$7=TH!H1256,OR(N1256="331",O1256="331")),"x","")</f>
        <v/>
      </c>
    </row>
    <row r="1257" spans="1:16" ht="13.5" customHeight="1">
      <c r="A1257" s="72">
        <f t="shared" si="51"/>
        <v>2016</v>
      </c>
      <c r="B1257" s="72">
        <f t="shared" si="52"/>
        <v>2</v>
      </c>
      <c r="C1257" s="73">
        <v>42403</v>
      </c>
      <c r="D1257" s="73" t="s">
        <v>17</v>
      </c>
      <c r="E1257" s="73">
        <v>42403</v>
      </c>
      <c r="F1257" s="76" t="s">
        <v>35</v>
      </c>
      <c r="G1257" s="265" t="s">
        <v>1244</v>
      </c>
      <c r="H1257" s="122"/>
      <c r="I1257" s="122"/>
      <c r="J1257" s="122"/>
      <c r="K1257" s="122"/>
      <c r="L1257" s="122"/>
      <c r="M1257" s="74">
        <v>4500</v>
      </c>
      <c r="N1257" s="75" t="s">
        <v>19</v>
      </c>
      <c r="O1257" s="75" t="s">
        <v>54</v>
      </c>
      <c r="P1257" s="134" t="str">
        <f>IF(AND('331-CT'!$E$7=TH!H1257,OR(N1257="331",O1257="331")),"x","")</f>
        <v/>
      </c>
    </row>
    <row r="1258" spans="1:16" ht="13.5" customHeight="1">
      <c r="A1258" s="72">
        <f t="shared" si="51"/>
        <v>2016</v>
      </c>
      <c r="B1258" s="72">
        <f t="shared" si="52"/>
        <v>2</v>
      </c>
      <c r="C1258" s="73">
        <v>42403</v>
      </c>
      <c r="D1258" s="73" t="s">
        <v>17</v>
      </c>
      <c r="E1258" s="73">
        <v>42403</v>
      </c>
      <c r="F1258" s="76" t="s">
        <v>300</v>
      </c>
      <c r="G1258" s="265" t="s">
        <v>1244</v>
      </c>
      <c r="H1258" s="122" t="s">
        <v>406</v>
      </c>
      <c r="I1258" s="122"/>
      <c r="J1258" s="122"/>
      <c r="K1258" s="122"/>
      <c r="L1258" s="122"/>
      <c r="M1258" s="74">
        <v>60000000</v>
      </c>
      <c r="N1258" s="75" t="s">
        <v>18</v>
      </c>
      <c r="O1258" s="75" t="s">
        <v>54</v>
      </c>
      <c r="P1258" s="134" t="str">
        <f>IF(AND('331-CT'!$E$7=TH!H1258,OR(N1258="331",O1258="331")),"x","")</f>
        <v/>
      </c>
    </row>
    <row r="1259" spans="1:16" ht="13.5" customHeight="1">
      <c r="A1259" s="72">
        <f t="shared" si="51"/>
        <v>2016</v>
      </c>
      <c r="B1259" s="72">
        <f t="shared" si="52"/>
        <v>2</v>
      </c>
      <c r="C1259" s="73">
        <v>42403</v>
      </c>
      <c r="D1259" s="73" t="s">
        <v>17</v>
      </c>
      <c r="E1259" s="73">
        <v>42403</v>
      </c>
      <c r="F1259" s="76" t="s">
        <v>34</v>
      </c>
      <c r="G1259" s="265" t="s">
        <v>1244</v>
      </c>
      <c r="H1259" s="122"/>
      <c r="I1259" s="122"/>
      <c r="J1259" s="122"/>
      <c r="K1259" s="122"/>
      <c r="L1259" s="122"/>
      <c r="M1259" s="74">
        <v>50000</v>
      </c>
      <c r="N1259" s="75" t="s">
        <v>241</v>
      </c>
      <c r="O1259" s="75" t="s">
        <v>54</v>
      </c>
      <c r="P1259" s="134" t="str">
        <f>IF(AND('331-CT'!$E$7=TH!H1259,OR(N1259="331",O1259="331")),"x","")</f>
        <v/>
      </c>
    </row>
    <row r="1260" spans="1:16" ht="13.5" customHeight="1">
      <c r="A1260" s="72">
        <f t="shared" si="51"/>
        <v>2016</v>
      </c>
      <c r="B1260" s="72">
        <f t="shared" si="52"/>
        <v>2</v>
      </c>
      <c r="C1260" s="73">
        <v>42403</v>
      </c>
      <c r="D1260" s="73" t="s">
        <v>17</v>
      </c>
      <c r="E1260" s="73">
        <v>42403</v>
      </c>
      <c r="F1260" s="76" t="s">
        <v>35</v>
      </c>
      <c r="G1260" s="265" t="s">
        <v>1244</v>
      </c>
      <c r="H1260" s="122"/>
      <c r="I1260" s="122"/>
      <c r="J1260" s="122"/>
      <c r="K1260" s="122"/>
      <c r="L1260" s="122"/>
      <c r="M1260" s="74">
        <v>5000</v>
      </c>
      <c r="N1260" s="75" t="s">
        <v>19</v>
      </c>
      <c r="O1260" s="75" t="s">
        <v>54</v>
      </c>
      <c r="P1260" s="134" t="str">
        <f>IF(AND('331-CT'!$E$7=TH!H1260,OR(N1260="331",O1260="331")),"x","")</f>
        <v/>
      </c>
    </row>
    <row r="1261" spans="1:16" ht="13.5" customHeight="1">
      <c r="A1261" s="72">
        <f t="shared" si="51"/>
        <v>2016</v>
      </c>
      <c r="B1261" s="72">
        <f t="shared" si="52"/>
        <v>2</v>
      </c>
      <c r="C1261" s="73">
        <v>42403</v>
      </c>
      <c r="D1261" s="73" t="s">
        <v>17</v>
      </c>
      <c r="E1261" s="73">
        <v>42403</v>
      </c>
      <c r="F1261" s="76" t="s">
        <v>300</v>
      </c>
      <c r="G1261" s="265" t="s">
        <v>1244</v>
      </c>
      <c r="H1261" s="122" t="s">
        <v>85</v>
      </c>
      <c r="I1261" s="122"/>
      <c r="J1261" s="122"/>
      <c r="K1261" s="122"/>
      <c r="L1261" s="122"/>
      <c r="M1261" s="74">
        <v>300000000</v>
      </c>
      <c r="N1261" s="75" t="s">
        <v>18</v>
      </c>
      <c r="O1261" s="75" t="s">
        <v>54</v>
      </c>
      <c r="P1261" s="134" t="str">
        <f>IF(AND('331-CT'!$E$7=TH!H1261,OR(N1261="331",O1261="331")),"x","")</f>
        <v/>
      </c>
    </row>
    <row r="1262" spans="1:16" ht="13.5" customHeight="1">
      <c r="A1262" s="72">
        <f t="shared" si="51"/>
        <v>2016</v>
      </c>
      <c r="B1262" s="72">
        <f t="shared" si="52"/>
        <v>2</v>
      </c>
      <c r="C1262" s="73">
        <v>42403</v>
      </c>
      <c r="D1262" s="73" t="s">
        <v>17</v>
      </c>
      <c r="E1262" s="73">
        <v>42403</v>
      </c>
      <c r="F1262" s="76" t="s">
        <v>34</v>
      </c>
      <c r="G1262" s="265" t="s">
        <v>1244</v>
      </c>
      <c r="H1262" s="122"/>
      <c r="I1262" s="122"/>
      <c r="J1262" s="122"/>
      <c r="K1262" s="122"/>
      <c r="L1262" s="122"/>
      <c r="M1262" s="74">
        <v>240000</v>
      </c>
      <c r="N1262" s="75" t="s">
        <v>241</v>
      </c>
      <c r="O1262" s="75" t="s">
        <v>54</v>
      </c>
      <c r="P1262" s="134" t="str">
        <f>IF(AND('331-CT'!$E$7=TH!H1262,OR(N1262="331",O1262="331")),"x","")</f>
        <v/>
      </c>
    </row>
    <row r="1263" spans="1:16" ht="13.5" customHeight="1">
      <c r="A1263" s="72">
        <f t="shared" si="51"/>
        <v>2016</v>
      </c>
      <c r="B1263" s="72">
        <f t="shared" si="52"/>
        <v>2</v>
      </c>
      <c r="C1263" s="73">
        <v>42403</v>
      </c>
      <c r="D1263" s="73" t="s">
        <v>17</v>
      </c>
      <c r="E1263" s="73">
        <v>42403</v>
      </c>
      <c r="F1263" s="76" t="s">
        <v>35</v>
      </c>
      <c r="G1263" s="265" t="s">
        <v>1244</v>
      </c>
      <c r="H1263" s="122"/>
      <c r="I1263" s="122"/>
      <c r="J1263" s="122"/>
      <c r="K1263" s="122"/>
      <c r="L1263" s="122"/>
      <c r="M1263" s="74">
        <v>24000</v>
      </c>
      <c r="N1263" s="75" t="s">
        <v>19</v>
      </c>
      <c r="O1263" s="75" t="s">
        <v>54</v>
      </c>
      <c r="P1263" s="134" t="str">
        <f>IF(AND('331-CT'!$E$7=TH!H1263,OR(N1263="331",O1263="331")),"x","")</f>
        <v/>
      </c>
    </row>
    <row r="1264" spans="1:16" ht="13.5" customHeight="1">
      <c r="A1264" s="72">
        <f t="shared" si="51"/>
        <v>2016</v>
      </c>
      <c r="B1264" s="72">
        <f t="shared" si="52"/>
        <v>2</v>
      </c>
      <c r="C1264" s="73">
        <v>42403</v>
      </c>
      <c r="D1264" s="73" t="s">
        <v>17</v>
      </c>
      <c r="E1264" s="73">
        <v>42403</v>
      </c>
      <c r="F1264" s="76" t="s">
        <v>1200</v>
      </c>
      <c r="G1264" s="265" t="s">
        <v>1244</v>
      </c>
      <c r="H1264" s="122" t="s">
        <v>1201</v>
      </c>
      <c r="I1264" s="122"/>
      <c r="J1264" s="122"/>
      <c r="K1264" s="122"/>
      <c r="L1264" s="122"/>
      <c r="M1264" s="74">
        <v>110000000</v>
      </c>
      <c r="N1264" s="75" t="s">
        <v>212</v>
      </c>
      <c r="O1264" s="75" t="s">
        <v>54</v>
      </c>
      <c r="P1264" s="134" t="str">
        <f>IF(AND('331-CT'!$E$7=TH!H1264,OR(N1264="331",O1264="331")),"x","")</f>
        <v/>
      </c>
    </row>
    <row r="1265" spans="1:16" ht="13.5" customHeight="1">
      <c r="A1265" s="72">
        <f t="shared" si="51"/>
        <v>2016</v>
      </c>
      <c r="B1265" s="72">
        <f t="shared" si="52"/>
        <v>2</v>
      </c>
      <c r="C1265" s="73">
        <v>42403</v>
      </c>
      <c r="D1265" s="73" t="s">
        <v>22</v>
      </c>
      <c r="E1265" s="73">
        <v>42403</v>
      </c>
      <c r="F1265" s="76" t="s">
        <v>1221</v>
      </c>
      <c r="G1265" s="265"/>
      <c r="H1265" s="122" t="s">
        <v>1201</v>
      </c>
      <c r="I1265" s="122"/>
      <c r="J1265" s="122"/>
      <c r="K1265" s="122"/>
      <c r="L1265" s="122"/>
      <c r="M1265" s="74">
        <v>110000000</v>
      </c>
      <c r="N1265" s="75" t="s">
        <v>203</v>
      </c>
      <c r="O1265" s="75" t="s">
        <v>212</v>
      </c>
      <c r="P1265" s="134" t="str">
        <f>IF(AND('331-CT'!$E$7=TH!H1265,OR(N1265="331",O1265="331")),"x","")</f>
        <v/>
      </c>
    </row>
    <row r="1266" spans="1:16" ht="13.5" customHeight="1">
      <c r="A1266" s="72">
        <f t="shared" si="51"/>
        <v>2016</v>
      </c>
      <c r="B1266" s="72">
        <f t="shared" si="52"/>
        <v>2</v>
      </c>
      <c r="C1266" s="73">
        <v>42403</v>
      </c>
      <c r="D1266" s="73" t="s">
        <v>17</v>
      </c>
      <c r="E1266" s="73">
        <v>42403</v>
      </c>
      <c r="F1266" s="76" t="s">
        <v>34</v>
      </c>
      <c r="G1266" s="265" t="s">
        <v>1244</v>
      </c>
      <c r="H1266" s="122"/>
      <c r="I1266" s="122"/>
      <c r="J1266" s="122"/>
      <c r="K1266" s="122"/>
      <c r="L1266" s="122"/>
      <c r="M1266" s="74">
        <v>33000</v>
      </c>
      <c r="N1266" s="75" t="s">
        <v>241</v>
      </c>
      <c r="O1266" s="75" t="s">
        <v>54</v>
      </c>
      <c r="P1266" s="134" t="str">
        <f>IF(AND('331-CT'!$E$7=TH!H1266,OR(N1266="331",O1266="331")),"x","")</f>
        <v/>
      </c>
    </row>
    <row r="1267" spans="1:16" ht="13.5" customHeight="1">
      <c r="A1267" s="72">
        <f t="shared" ref="A1267:A1330" si="53">IF(C1267&lt;&gt;"",YEAR(C1267),"")</f>
        <v>2016</v>
      </c>
      <c r="B1267" s="72">
        <f t="shared" ref="B1267:B1330" si="54">IF(C1267&lt;&gt;"",MONTH(C1267),"")</f>
        <v>2</v>
      </c>
      <c r="C1267" s="73">
        <v>42403</v>
      </c>
      <c r="D1267" s="73" t="s">
        <v>17</v>
      </c>
      <c r="E1267" s="73">
        <v>42403</v>
      </c>
      <c r="F1267" s="76" t="s">
        <v>35</v>
      </c>
      <c r="G1267" s="265" t="s">
        <v>1244</v>
      </c>
      <c r="H1267" s="122"/>
      <c r="I1267" s="122"/>
      <c r="J1267" s="122"/>
      <c r="K1267" s="122"/>
      <c r="L1267" s="122"/>
      <c r="M1267" s="74">
        <v>3300</v>
      </c>
      <c r="N1267" s="75" t="s">
        <v>19</v>
      </c>
      <c r="O1267" s="75" t="s">
        <v>54</v>
      </c>
      <c r="P1267" s="134" t="str">
        <f>IF(AND('331-CT'!$E$7=TH!H1267,OR(N1267="331",O1267="331")),"x","")</f>
        <v/>
      </c>
    </row>
    <row r="1268" spans="1:16" ht="13.5" customHeight="1">
      <c r="A1268" s="72">
        <f t="shared" si="53"/>
        <v>2016</v>
      </c>
      <c r="B1268" s="72">
        <f t="shared" si="54"/>
        <v>2</v>
      </c>
      <c r="C1268" s="73">
        <v>42410</v>
      </c>
      <c r="D1268" s="73" t="s">
        <v>500</v>
      </c>
      <c r="E1268" s="73">
        <v>42410</v>
      </c>
      <c r="F1268" s="76" t="s">
        <v>1222</v>
      </c>
      <c r="G1268" s="265" t="s">
        <v>1223</v>
      </c>
      <c r="H1268" s="122" t="s">
        <v>782</v>
      </c>
      <c r="I1268" s="122"/>
      <c r="J1268" s="122"/>
      <c r="K1268" s="122"/>
      <c r="L1268" s="122"/>
      <c r="M1268" s="74">
        <v>6818182</v>
      </c>
      <c r="N1268" s="75" t="s">
        <v>241</v>
      </c>
      <c r="O1268" s="75" t="s">
        <v>203</v>
      </c>
      <c r="P1268" s="134" t="str">
        <f>IF(AND('331-CT'!$E$7=TH!H1268,OR(N1268="331",O1268="331")),"x","")</f>
        <v/>
      </c>
    </row>
    <row r="1269" spans="1:16" ht="13.5" customHeight="1">
      <c r="A1269" s="72">
        <f t="shared" si="53"/>
        <v>2016</v>
      </c>
      <c r="B1269" s="72">
        <f t="shared" si="54"/>
        <v>2</v>
      </c>
      <c r="C1269" s="73">
        <v>42410</v>
      </c>
      <c r="D1269" s="73" t="s">
        <v>500</v>
      </c>
      <c r="E1269" s="73">
        <v>42410</v>
      </c>
      <c r="F1269" s="76" t="s">
        <v>1224</v>
      </c>
      <c r="G1269" s="265" t="s">
        <v>1223</v>
      </c>
      <c r="H1269" s="122" t="s">
        <v>782</v>
      </c>
      <c r="I1269" s="122"/>
      <c r="J1269" s="122"/>
      <c r="K1269" s="122"/>
      <c r="L1269" s="122"/>
      <c r="M1269" s="74">
        <v>681818</v>
      </c>
      <c r="N1269" s="75" t="s">
        <v>19</v>
      </c>
      <c r="O1269" s="75" t="s">
        <v>203</v>
      </c>
      <c r="P1269" s="134" t="str">
        <f>IF(AND('331-CT'!$E$7=TH!H1269,OR(N1269="331",O1269="331")),"x","")</f>
        <v/>
      </c>
    </row>
    <row r="1270" spans="1:16" ht="13.5" customHeight="1">
      <c r="A1270" s="72">
        <f t="shared" si="53"/>
        <v>2016</v>
      </c>
      <c r="B1270" s="72">
        <f t="shared" si="54"/>
        <v>2</v>
      </c>
      <c r="C1270" s="73">
        <v>42419</v>
      </c>
      <c r="D1270" s="73" t="s">
        <v>501</v>
      </c>
      <c r="E1270" s="73">
        <v>42419</v>
      </c>
      <c r="F1270" s="76" t="s">
        <v>1225</v>
      </c>
      <c r="G1270" s="265" t="s">
        <v>1226</v>
      </c>
      <c r="H1270" s="122" t="s">
        <v>279</v>
      </c>
      <c r="I1270" s="122"/>
      <c r="J1270" s="122"/>
      <c r="K1270" s="122"/>
      <c r="L1270" s="122"/>
      <c r="M1270" s="74">
        <v>514077</v>
      </c>
      <c r="N1270" s="75" t="s">
        <v>241</v>
      </c>
      <c r="O1270" s="75" t="s">
        <v>203</v>
      </c>
      <c r="P1270" s="134" t="str">
        <f>IF(AND('331-CT'!$E$7=TH!H1270,OR(N1270="331",O1270="331")),"x","")</f>
        <v/>
      </c>
    </row>
    <row r="1271" spans="1:16" ht="13.5" customHeight="1">
      <c r="A1271" s="72">
        <f t="shared" si="53"/>
        <v>2016</v>
      </c>
      <c r="B1271" s="72">
        <f t="shared" si="54"/>
        <v>2</v>
      </c>
      <c r="C1271" s="73">
        <v>42419</v>
      </c>
      <c r="D1271" s="73" t="s">
        <v>501</v>
      </c>
      <c r="E1271" s="73">
        <v>42419</v>
      </c>
      <c r="F1271" s="76" t="s">
        <v>1227</v>
      </c>
      <c r="G1271" s="265" t="s">
        <v>1226</v>
      </c>
      <c r="H1271" s="122" t="s">
        <v>279</v>
      </c>
      <c r="I1271" s="122"/>
      <c r="J1271" s="122"/>
      <c r="K1271" s="122"/>
      <c r="L1271" s="122"/>
      <c r="M1271" s="74">
        <v>51408</v>
      </c>
      <c r="N1271" s="75" t="s">
        <v>19</v>
      </c>
      <c r="O1271" s="75" t="s">
        <v>203</v>
      </c>
      <c r="P1271" s="134" t="str">
        <f>IF(AND('331-CT'!$E$7=TH!H1271,OR(N1271="331",O1271="331")),"x","")</f>
        <v/>
      </c>
    </row>
    <row r="1272" spans="1:16" ht="13.5" customHeight="1">
      <c r="A1272" s="72">
        <f t="shared" si="53"/>
        <v>2016</v>
      </c>
      <c r="B1272" s="72">
        <f t="shared" si="54"/>
        <v>2</v>
      </c>
      <c r="C1272" s="73">
        <v>42424</v>
      </c>
      <c r="D1272" s="73" t="s">
        <v>502</v>
      </c>
      <c r="E1272" s="73">
        <v>42424</v>
      </c>
      <c r="F1272" s="76" t="s">
        <v>1195</v>
      </c>
      <c r="G1272" s="265" t="s">
        <v>1244</v>
      </c>
      <c r="H1272" s="122" t="s">
        <v>271</v>
      </c>
      <c r="I1272" s="122"/>
      <c r="J1272" s="122"/>
      <c r="K1272" s="122"/>
      <c r="L1272" s="122"/>
      <c r="M1272" s="74">
        <v>170000000</v>
      </c>
      <c r="N1272" s="75" t="s">
        <v>54</v>
      </c>
      <c r="O1272" s="75" t="s">
        <v>203</v>
      </c>
      <c r="P1272" s="134" t="str">
        <f>IF(AND('331-CT'!$E$7=TH!H1272,OR(N1272="331",O1272="331")),"x","")</f>
        <v/>
      </c>
    </row>
    <row r="1273" spans="1:16" ht="13.5" customHeight="1">
      <c r="A1273" s="72">
        <f t="shared" si="53"/>
        <v>2016</v>
      </c>
      <c r="B1273" s="72">
        <f t="shared" si="54"/>
        <v>2</v>
      </c>
      <c r="C1273" s="73">
        <v>42424</v>
      </c>
      <c r="D1273" s="73" t="s">
        <v>17</v>
      </c>
      <c r="E1273" s="73">
        <v>42424</v>
      </c>
      <c r="F1273" s="76" t="s">
        <v>1194</v>
      </c>
      <c r="G1273" s="265" t="s">
        <v>1244</v>
      </c>
      <c r="H1273" s="122" t="s">
        <v>313</v>
      </c>
      <c r="I1273" s="122"/>
      <c r="J1273" s="122"/>
      <c r="K1273" s="122"/>
      <c r="L1273" s="122"/>
      <c r="M1273" s="74">
        <v>8196747</v>
      </c>
      <c r="N1273" s="75" t="s">
        <v>239</v>
      </c>
      <c r="O1273" s="75" t="s">
        <v>54</v>
      </c>
      <c r="P1273" s="134" t="str">
        <f>IF(AND('331-CT'!$E$7=TH!H1273,OR(N1273="331",O1273="331")),"x","")</f>
        <v/>
      </c>
    </row>
    <row r="1274" spans="1:16" ht="13.5" customHeight="1">
      <c r="A1274" s="72">
        <f t="shared" si="53"/>
        <v>2016</v>
      </c>
      <c r="B1274" s="72">
        <f t="shared" si="54"/>
        <v>2</v>
      </c>
      <c r="C1274" s="73">
        <v>42424</v>
      </c>
      <c r="D1274" s="73" t="s">
        <v>17</v>
      </c>
      <c r="E1274" s="73">
        <v>42424</v>
      </c>
      <c r="F1274" s="76" t="s">
        <v>1194</v>
      </c>
      <c r="G1274" s="265" t="s">
        <v>1244</v>
      </c>
      <c r="H1274" s="122" t="s">
        <v>314</v>
      </c>
      <c r="I1274" s="122"/>
      <c r="J1274" s="122"/>
      <c r="K1274" s="122"/>
      <c r="L1274" s="122"/>
      <c r="M1274" s="74">
        <v>16393492</v>
      </c>
      <c r="N1274" s="75" t="s">
        <v>239</v>
      </c>
      <c r="O1274" s="75" t="s">
        <v>54</v>
      </c>
      <c r="P1274" s="134" t="str">
        <f>IF(AND('331-CT'!$E$7=TH!H1274,OR(N1274="331",O1274="331")),"x","")</f>
        <v/>
      </c>
    </row>
    <row r="1275" spans="1:16" ht="13.5" customHeight="1">
      <c r="A1275" s="72">
        <f t="shared" si="53"/>
        <v>2016</v>
      </c>
      <c r="B1275" s="72">
        <f t="shared" si="54"/>
        <v>2</v>
      </c>
      <c r="C1275" s="73">
        <v>42424</v>
      </c>
      <c r="D1275" s="73" t="s">
        <v>17</v>
      </c>
      <c r="E1275" s="73">
        <v>42424</v>
      </c>
      <c r="F1275" s="76" t="s">
        <v>1194</v>
      </c>
      <c r="G1275" s="265" t="s">
        <v>1244</v>
      </c>
      <c r="H1275" s="122" t="s">
        <v>316</v>
      </c>
      <c r="I1275" s="122"/>
      <c r="J1275" s="122"/>
      <c r="K1275" s="122"/>
      <c r="L1275" s="122"/>
      <c r="M1275" s="74">
        <v>13114794</v>
      </c>
      <c r="N1275" s="75" t="s">
        <v>239</v>
      </c>
      <c r="O1275" s="75" t="s">
        <v>54</v>
      </c>
      <c r="P1275" s="134" t="str">
        <f>IF(AND('331-CT'!$E$7=TH!H1275,OR(N1275="331",O1275="331")),"x","")</f>
        <v/>
      </c>
    </row>
    <row r="1276" spans="1:16" ht="13.5" customHeight="1">
      <c r="A1276" s="72">
        <f t="shared" si="53"/>
        <v>2016</v>
      </c>
      <c r="B1276" s="72">
        <f t="shared" si="54"/>
        <v>2</v>
      </c>
      <c r="C1276" s="73">
        <v>42424</v>
      </c>
      <c r="D1276" s="73" t="s">
        <v>17</v>
      </c>
      <c r="E1276" s="73">
        <v>42424</v>
      </c>
      <c r="F1276" s="76" t="s">
        <v>1194</v>
      </c>
      <c r="G1276" s="265" t="s">
        <v>1244</v>
      </c>
      <c r="H1276" s="122" t="s">
        <v>315</v>
      </c>
      <c r="I1276" s="122"/>
      <c r="J1276" s="122"/>
      <c r="K1276" s="122"/>
      <c r="L1276" s="122"/>
      <c r="M1276" s="74">
        <v>12295119</v>
      </c>
      <c r="N1276" s="75" t="s">
        <v>239</v>
      </c>
      <c r="O1276" s="75" t="s">
        <v>54</v>
      </c>
      <c r="P1276" s="134" t="str">
        <f>IF(AND('331-CT'!$E$7=TH!H1276,OR(N1276="331",O1276="331")),"x","")</f>
        <v/>
      </c>
    </row>
    <row r="1277" spans="1:16" ht="13.5" customHeight="1">
      <c r="A1277" s="72">
        <f t="shared" si="53"/>
        <v>2016</v>
      </c>
      <c r="B1277" s="72">
        <f t="shared" si="54"/>
        <v>2</v>
      </c>
      <c r="C1277" s="73">
        <v>42424</v>
      </c>
      <c r="D1277" s="73" t="s">
        <v>17</v>
      </c>
      <c r="E1277" s="73">
        <v>42424</v>
      </c>
      <c r="F1277" s="76" t="s">
        <v>1194</v>
      </c>
      <c r="G1277" s="265" t="s">
        <v>1244</v>
      </c>
      <c r="H1277" s="122" t="s">
        <v>1058</v>
      </c>
      <c r="I1277" s="122"/>
      <c r="J1277" s="122"/>
      <c r="K1277" s="122"/>
      <c r="L1277" s="122"/>
      <c r="M1277" s="74">
        <v>8196747</v>
      </c>
      <c r="N1277" s="75" t="s">
        <v>239</v>
      </c>
      <c r="O1277" s="75" t="s">
        <v>54</v>
      </c>
      <c r="P1277" s="134" t="str">
        <f>IF(AND('331-CT'!$E$7=TH!H1277,OR(N1277="331",O1277="331")),"x","")</f>
        <v/>
      </c>
    </row>
    <row r="1278" spans="1:16" ht="13.5" customHeight="1">
      <c r="A1278" s="72">
        <f t="shared" si="53"/>
        <v>2016</v>
      </c>
      <c r="B1278" s="72">
        <f t="shared" si="54"/>
        <v>2</v>
      </c>
      <c r="C1278" s="73">
        <v>42424</v>
      </c>
      <c r="D1278" s="73" t="s">
        <v>17</v>
      </c>
      <c r="E1278" s="73">
        <v>42424</v>
      </c>
      <c r="F1278" s="76" t="s">
        <v>1194</v>
      </c>
      <c r="G1278" s="265" t="s">
        <v>1244</v>
      </c>
      <c r="H1278" s="122" t="s">
        <v>317</v>
      </c>
      <c r="I1278" s="122"/>
      <c r="J1278" s="122"/>
      <c r="K1278" s="122"/>
      <c r="L1278" s="122"/>
      <c r="M1278" s="74">
        <v>11615220</v>
      </c>
      <c r="N1278" s="75" t="s">
        <v>239</v>
      </c>
      <c r="O1278" s="75" t="s">
        <v>54</v>
      </c>
      <c r="P1278" s="134" t="str">
        <f>IF(AND('331-CT'!$E$7=TH!H1278,OR(N1278="331",O1278="331")),"x","")</f>
        <v/>
      </c>
    </row>
    <row r="1279" spans="1:16" ht="13.5" customHeight="1">
      <c r="A1279" s="72">
        <f t="shared" si="53"/>
        <v>2016</v>
      </c>
      <c r="B1279" s="72">
        <f t="shared" si="54"/>
        <v>2</v>
      </c>
      <c r="C1279" s="73">
        <v>42424</v>
      </c>
      <c r="D1279" s="73" t="s">
        <v>17</v>
      </c>
      <c r="E1279" s="73">
        <v>42424</v>
      </c>
      <c r="F1279" s="76" t="s">
        <v>1194</v>
      </c>
      <c r="G1279" s="265" t="s">
        <v>1244</v>
      </c>
      <c r="H1279" s="122" t="s">
        <v>318</v>
      </c>
      <c r="I1279" s="122"/>
      <c r="J1279" s="122"/>
      <c r="K1279" s="122"/>
      <c r="L1279" s="122"/>
      <c r="M1279" s="74">
        <v>12295119</v>
      </c>
      <c r="N1279" s="75" t="s">
        <v>239</v>
      </c>
      <c r="O1279" s="75" t="s">
        <v>54</v>
      </c>
      <c r="P1279" s="134" t="str">
        <f>IF(AND('331-CT'!$E$7=TH!H1279,OR(N1279="331",O1279="331")),"x","")</f>
        <v/>
      </c>
    </row>
    <row r="1280" spans="1:16" ht="13.5" customHeight="1">
      <c r="A1280" s="72">
        <f t="shared" si="53"/>
        <v>2016</v>
      </c>
      <c r="B1280" s="72">
        <f t="shared" si="54"/>
        <v>2</v>
      </c>
      <c r="C1280" s="73">
        <v>42424</v>
      </c>
      <c r="D1280" s="73" t="s">
        <v>17</v>
      </c>
      <c r="E1280" s="73">
        <v>42424</v>
      </c>
      <c r="F1280" s="76" t="s">
        <v>1194</v>
      </c>
      <c r="G1280" s="265" t="s">
        <v>1244</v>
      </c>
      <c r="H1280" s="122" t="s">
        <v>319</v>
      </c>
      <c r="I1280" s="122"/>
      <c r="J1280" s="122"/>
      <c r="K1280" s="122"/>
      <c r="L1280" s="122"/>
      <c r="M1280" s="74">
        <v>16393492</v>
      </c>
      <c r="N1280" s="75" t="s">
        <v>239</v>
      </c>
      <c r="O1280" s="75" t="s">
        <v>54</v>
      </c>
      <c r="P1280" s="134" t="str">
        <f>IF(AND('331-CT'!$E$7=TH!H1280,OR(N1280="331",O1280="331")),"x","")</f>
        <v/>
      </c>
    </row>
    <row r="1281" spans="1:16" ht="13.5" customHeight="1">
      <c r="A1281" s="72">
        <f t="shared" si="53"/>
        <v>2016</v>
      </c>
      <c r="B1281" s="72">
        <f t="shared" si="54"/>
        <v>2</v>
      </c>
      <c r="C1281" s="73">
        <v>42424</v>
      </c>
      <c r="D1281" s="73" t="s">
        <v>17</v>
      </c>
      <c r="E1281" s="73">
        <v>42424</v>
      </c>
      <c r="F1281" s="76" t="s">
        <v>1194</v>
      </c>
      <c r="G1281" s="265" t="s">
        <v>1244</v>
      </c>
      <c r="H1281" s="122" t="s">
        <v>320</v>
      </c>
      <c r="I1281" s="122"/>
      <c r="J1281" s="122"/>
      <c r="K1281" s="122"/>
      <c r="L1281" s="122"/>
      <c r="M1281" s="74">
        <v>11475445</v>
      </c>
      <c r="N1281" s="75" t="s">
        <v>239</v>
      </c>
      <c r="O1281" s="75" t="s">
        <v>54</v>
      </c>
      <c r="P1281" s="134" t="str">
        <f>IF(AND('331-CT'!$E$7=TH!H1281,OR(N1281="331",O1281="331")),"x","")</f>
        <v/>
      </c>
    </row>
    <row r="1282" spans="1:16" ht="13.5" customHeight="1">
      <c r="A1282" s="72">
        <f t="shared" si="53"/>
        <v>2016</v>
      </c>
      <c r="B1282" s="72">
        <f t="shared" si="54"/>
        <v>2</v>
      </c>
      <c r="C1282" s="73">
        <v>42424</v>
      </c>
      <c r="D1282" s="73" t="s">
        <v>17</v>
      </c>
      <c r="E1282" s="73">
        <v>42424</v>
      </c>
      <c r="F1282" s="76" t="s">
        <v>1194</v>
      </c>
      <c r="G1282" s="265" t="s">
        <v>1244</v>
      </c>
      <c r="H1282" s="122" t="s">
        <v>321</v>
      </c>
      <c r="I1282" s="122"/>
      <c r="J1282" s="122"/>
      <c r="K1282" s="122"/>
      <c r="L1282" s="122"/>
      <c r="M1282" s="74">
        <v>12295119</v>
      </c>
      <c r="N1282" s="75" t="s">
        <v>239</v>
      </c>
      <c r="O1282" s="75" t="s">
        <v>54</v>
      </c>
      <c r="P1282" s="134" t="str">
        <f>IF(AND('331-CT'!$E$7=TH!H1282,OR(N1282="331",O1282="331")),"x","")</f>
        <v/>
      </c>
    </row>
    <row r="1283" spans="1:16" ht="13.5" customHeight="1">
      <c r="A1283" s="72">
        <f t="shared" si="53"/>
        <v>2016</v>
      </c>
      <c r="B1283" s="72">
        <f t="shared" si="54"/>
        <v>2</v>
      </c>
      <c r="C1283" s="73">
        <v>42424</v>
      </c>
      <c r="D1283" s="73" t="s">
        <v>17</v>
      </c>
      <c r="E1283" s="73">
        <v>42424</v>
      </c>
      <c r="F1283" s="76" t="s">
        <v>1194</v>
      </c>
      <c r="G1283" s="265" t="s">
        <v>1244</v>
      </c>
      <c r="H1283" s="122" t="s">
        <v>323</v>
      </c>
      <c r="I1283" s="122"/>
      <c r="J1283" s="122"/>
      <c r="K1283" s="122"/>
      <c r="L1283" s="122"/>
      <c r="M1283" s="74">
        <v>12295119</v>
      </c>
      <c r="N1283" s="75" t="s">
        <v>239</v>
      </c>
      <c r="O1283" s="75" t="s">
        <v>54</v>
      </c>
      <c r="P1283" s="134" t="str">
        <f>IF(AND('331-CT'!$E$7=TH!H1283,OR(N1283="331",O1283="331")),"x","")</f>
        <v/>
      </c>
    </row>
    <row r="1284" spans="1:16" ht="13.5" customHeight="1">
      <c r="A1284" s="72">
        <f t="shared" si="53"/>
        <v>2016</v>
      </c>
      <c r="B1284" s="72">
        <f t="shared" si="54"/>
        <v>2</v>
      </c>
      <c r="C1284" s="73">
        <v>42424</v>
      </c>
      <c r="D1284" s="73" t="s">
        <v>17</v>
      </c>
      <c r="E1284" s="73">
        <v>42424</v>
      </c>
      <c r="F1284" s="76" t="s">
        <v>1194</v>
      </c>
      <c r="G1284" s="265" t="s">
        <v>1244</v>
      </c>
      <c r="H1284" s="122" t="s">
        <v>325</v>
      </c>
      <c r="I1284" s="122"/>
      <c r="J1284" s="122"/>
      <c r="K1284" s="122"/>
      <c r="L1284" s="122"/>
      <c r="M1284" s="74">
        <v>12295119</v>
      </c>
      <c r="N1284" s="75" t="s">
        <v>239</v>
      </c>
      <c r="O1284" s="75" t="s">
        <v>54</v>
      </c>
      <c r="P1284" s="134" t="str">
        <f>IF(AND('331-CT'!$E$7=TH!H1284,OR(N1284="331",O1284="331")),"x","")</f>
        <v/>
      </c>
    </row>
    <row r="1285" spans="1:16" ht="13.5" customHeight="1">
      <c r="A1285" s="72">
        <f t="shared" si="53"/>
        <v>2016</v>
      </c>
      <c r="B1285" s="72">
        <f t="shared" si="54"/>
        <v>2</v>
      </c>
      <c r="C1285" s="73">
        <v>42424</v>
      </c>
      <c r="D1285" s="73" t="s">
        <v>17</v>
      </c>
      <c r="E1285" s="73">
        <v>42424</v>
      </c>
      <c r="F1285" s="76" t="s">
        <v>1194</v>
      </c>
      <c r="G1285" s="265" t="s">
        <v>1244</v>
      </c>
      <c r="H1285" s="122" t="s">
        <v>416</v>
      </c>
      <c r="I1285" s="122"/>
      <c r="J1285" s="122"/>
      <c r="K1285" s="122"/>
      <c r="L1285" s="122"/>
      <c r="M1285" s="74">
        <v>12295119</v>
      </c>
      <c r="N1285" s="75" t="s">
        <v>239</v>
      </c>
      <c r="O1285" s="75" t="s">
        <v>54</v>
      </c>
      <c r="P1285" s="134" t="str">
        <f>IF(AND('331-CT'!$E$7=TH!H1285,OR(N1285="331",O1285="331")),"x","")</f>
        <v/>
      </c>
    </row>
    <row r="1286" spans="1:16" ht="13.5" customHeight="1">
      <c r="A1286" s="72">
        <f t="shared" si="53"/>
        <v>2016</v>
      </c>
      <c r="B1286" s="72">
        <f t="shared" si="54"/>
        <v>2</v>
      </c>
      <c r="C1286" s="73">
        <v>42424</v>
      </c>
      <c r="D1286" s="73" t="s">
        <v>17</v>
      </c>
      <c r="E1286" s="73">
        <v>42424</v>
      </c>
      <c r="F1286" s="76" t="s">
        <v>1194</v>
      </c>
      <c r="G1286" s="265" t="s">
        <v>1244</v>
      </c>
      <c r="H1286" s="122" t="s">
        <v>421</v>
      </c>
      <c r="I1286" s="122"/>
      <c r="J1286" s="122"/>
      <c r="K1286" s="122"/>
      <c r="L1286" s="122"/>
      <c r="M1286" s="74">
        <v>8196747</v>
      </c>
      <c r="N1286" s="75" t="s">
        <v>239</v>
      </c>
      <c r="O1286" s="75" t="s">
        <v>54</v>
      </c>
      <c r="P1286" s="134" t="str">
        <f>IF(AND('331-CT'!$E$7=TH!H1286,OR(N1286="331",O1286="331")),"x","")</f>
        <v/>
      </c>
    </row>
    <row r="1287" spans="1:16" ht="13.5" customHeight="1">
      <c r="A1287" s="72">
        <f t="shared" si="53"/>
        <v>2016</v>
      </c>
      <c r="B1287" s="72">
        <f t="shared" si="54"/>
        <v>2</v>
      </c>
      <c r="C1287" s="73">
        <v>42424</v>
      </c>
      <c r="D1287" s="73" t="s">
        <v>21</v>
      </c>
      <c r="E1287" s="73">
        <v>42424</v>
      </c>
      <c r="F1287" s="76" t="s">
        <v>98</v>
      </c>
      <c r="G1287" s="265" t="s">
        <v>1244</v>
      </c>
      <c r="H1287" s="122"/>
      <c r="I1287" s="122"/>
      <c r="J1287" s="122"/>
      <c r="K1287" s="122"/>
      <c r="L1287" s="122"/>
      <c r="M1287" s="74">
        <v>5248</v>
      </c>
      <c r="N1287" s="75" t="s">
        <v>54</v>
      </c>
      <c r="O1287" s="75" t="s">
        <v>99</v>
      </c>
      <c r="P1287" s="134" t="str">
        <f>IF(AND('331-CT'!$E$7=TH!H1287,OR(N1287="331",O1287="331")),"x","")</f>
        <v/>
      </c>
    </row>
    <row r="1288" spans="1:16" ht="13.5" customHeight="1">
      <c r="A1288" s="72">
        <f t="shared" si="53"/>
        <v>2016</v>
      </c>
      <c r="B1288" s="72">
        <f t="shared" si="54"/>
        <v>2</v>
      </c>
      <c r="C1288" s="73">
        <v>42425</v>
      </c>
      <c r="D1288" s="73" t="s">
        <v>21</v>
      </c>
      <c r="E1288" s="73">
        <v>42425</v>
      </c>
      <c r="F1288" s="76" t="s">
        <v>1200</v>
      </c>
      <c r="G1288" s="265" t="s">
        <v>1244</v>
      </c>
      <c r="H1288" s="122" t="s">
        <v>1201</v>
      </c>
      <c r="I1288" s="122"/>
      <c r="J1288" s="122"/>
      <c r="K1288" s="122"/>
      <c r="L1288" s="122"/>
      <c r="M1288" s="74">
        <v>5000000</v>
      </c>
      <c r="N1288" s="75" t="s">
        <v>54</v>
      </c>
      <c r="O1288" s="75" t="s">
        <v>212</v>
      </c>
      <c r="P1288" s="134" t="str">
        <f>IF(AND('331-CT'!$E$7=TH!H1288,OR(N1288="331",O1288="331")),"x","")</f>
        <v/>
      </c>
    </row>
    <row r="1289" spans="1:16" ht="13.5" customHeight="1">
      <c r="A1289" s="72">
        <f t="shared" si="53"/>
        <v>2016</v>
      </c>
      <c r="B1289" s="72">
        <f t="shared" si="54"/>
        <v>2</v>
      </c>
      <c r="C1289" s="73">
        <v>42425</v>
      </c>
      <c r="D1289" s="73" t="s">
        <v>503</v>
      </c>
      <c r="E1289" s="73">
        <v>42425</v>
      </c>
      <c r="F1289" s="76" t="s">
        <v>1228</v>
      </c>
      <c r="G1289" s="265"/>
      <c r="H1289" s="122" t="s">
        <v>1201</v>
      </c>
      <c r="I1289" s="122"/>
      <c r="J1289" s="122"/>
      <c r="K1289" s="122"/>
      <c r="L1289" s="122"/>
      <c r="M1289" s="74">
        <v>5000000</v>
      </c>
      <c r="N1289" s="75" t="s">
        <v>212</v>
      </c>
      <c r="O1289" s="75" t="s">
        <v>203</v>
      </c>
      <c r="P1289" s="134" t="str">
        <f>IF(AND('331-CT'!$E$7=TH!H1289,OR(N1289="331",O1289="331")),"x","")</f>
        <v/>
      </c>
    </row>
    <row r="1290" spans="1:16" ht="13.5" customHeight="1">
      <c r="A1290" s="72">
        <f t="shared" si="53"/>
        <v>2016</v>
      </c>
      <c r="B1290" s="72">
        <f t="shared" si="54"/>
        <v>2</v>
      </c>
      <c r="C1290" s="73">
        <v>42425</v>
      </c>
      <c r="D1290" s="73" t="s">
        <v>17</v>
      </c>
      <c r="E1290" s="73">
        <v>42425</v>
      </c>
      <c r="F1290" s="76" t="s">
        <v>1194</v>
      </c>
      <c r="G1290" s="265" t="s">
        <v>1244</v>
      </c>
      <c r="H1290" s="122" t="s">
        <v>455</v>
      </c>
      <c r="I1290" s="122"/>
      <c r="J1290" s="122"/>
      <c r="K1290" s="122"/>
      <c r="L1290" s="122"/>
      <c r="M1290" s="74">
        <v>8199985</v>
      </c>
      <c r="N1290" s="75" t="s">
        <v>239</v>
      </c>
      <c r="O1290" s="75" t="s">
        <v>54</v>
      </c>
      <c r="P1290" s="134" t="str">
        <f>IF(AND('331-CT'!$E$7=TH!H1290,OR(N1290="331",O1290="331")),"x","")</f>
        <v/>
      </c>
    </row>
    <row r="1291" spans="1:16" ht="13.5" customHeight="1">
      <c r="A1291" s="72">
        <f t="shared" si="53"/>
        <v>2016</v>
      </c>
      <c r="B1291" s="72">
        <f t="shared" si="54"/>
        <v>2</v>
      </c>
      <c r="C1291" s="73">
        <v>42425</v>
      </c>
      <c r="D1291" s="73" t="s">
        <v>504</v>
      </c>
      <c r="E1291" s="73">
        <v>42425</v>
      </c>
      <c r="F1291" s="76" t="s">
        <v>1236</v>
      </c>
      <c r="G1291" s="265" t="s">
        <v>1245</v>
      </c>
      <c r="H1291" s="122" t="s">
        <v>83</v>
      </c>
      <c r="I1291" s="122"/>
      <c r="J1291" s="122"/>
      <c r="K1291" s="122"/>
      <c r="L1291" s="122"/>
      <c r="M1291" s="74">
        <v>4324364</v>
      </c>
      <c r="N1291" s="75" t="s">
        <v>241</v>
      </c>
      <c r="O1291" s="75" t="s">
        <v>203</v>
      </c>
      <c r="P1291" s="134" t="str">
        <f>IF(AND('331-CT'!$E$7=TH!H1291,OR(N1291="331",O1291="331")),"x","")</f>
        <v/>
      </c>
    </row>
    <row r="1292" spans="1:16" ht="13.5" customHeight="1">
      <c r="A1292" s="72">
        <f t="shared" si="53"/>
        <v>2016</v>
      </c>
      <c r="B1292" s="72">
        <f t="shared" si="54"/>
        <v>2</v>
      </c>
      <c r="C1292" s="73">
        <v>42425</v>
      </c>
      <c r="D1292" s="73" t="s">
        <v>504</v>
      </c>
      <c r="E1292" s="73">
        <v>42425</v>
      </c>
      <c r="F1292" s="76" t="s">
        <v>1237</v>
      </c>
      <c r="G1292" s="265" t="s">
        <v>1245</v>
      </c>
      <c r="H1292" s="122" t="s">
        <v>83</v>
      </c>
      <c r="I1292" s="122"/>
      <c r="J1292" s="122"/>
      <c r="K1292" s="122"/>
      <c r="L1292" s="122"/>
      <c r="M1292" s="74">
        <v>432436</v>
      </c>
      <c r="N1292" s="75" t="s">
        <v>19</v>
      </c>
      <c r="O1292" s="75" t="s">
        <v>203</v>
      </c>
      <c r="P1292" s="134" t="str">
        <f>IF(AND('331-CT'!$E$7=TH!H1292,OR(N1292="331",O1292="331")),"x","")</f>
        <v/>
      </c>
    </row>
    <row r="1293" spans="1:16" ht="13.5" customHeight="1">
      <c r="A1293" s="72">
        <f t="shared" si="53"/>
        <v>2016</v>
      </c>
      <c r="B1293" s="72">
        <f t="shared" si="54"/>
        <v>2</v>
      </c>
      <c r="C1293" s="73">
        <v>42425</v>
      </c>
      <c r="D1293" s="73" t="s">
        <v>505</v>
      </c>
      <c r="E1293" s="73">
        <v>42425</v>
      </c>
      <c r="F1293" s="76" t="s">
        <v>1246</v>
      </c>
      <c r="G1293" s="265" t="s">
        <v>564</v>
      </c>
      <c r="H1293" s="122" t="s">
        <v>1238</v>
      </c>
      <c r="I1293" s="122"/>
      <c r="J1293" s="122"/>
      <c r="K1293" s="122"/>
      <c r="L1293" s="122"/>
      <c r="M1293" s="74">
        <v>3000000</v>
      </c>
      <c r="N1293" s="75" t="s">
        <v>241</v>
      </c>
      <c r="O1293" s="75" t="s">
        <v>203</v>
      </c>
      <c r="P1293" s="134" t="str">
        <f>IF(AND('331-CT'!$E$7=TH!H1293,OR(N1293="331",O1293="331")),"x","")</f>
        <v/>
      </c>
    </row>
    <row r="1294" spans="1:16" ht="13.5" customHeight="1">
      <c r="A1294" s="72">
        <f t="shared" si="53"/>
        <v>2016</v>
      </c>
      <c r="B1294" s="72">
        <f t="shared" si="54"/>
        <v>2</v>
      </c>
      <c r="C1294" s="73">
        <v>42425</v>
      </c>
      <c r="D1294" s="73" t="s">
        <v>505</v>
      </c>
      <c r="E1294" s="73">
        <v>42425</v>
      </c>
      <c r="F1294" s="76" t="s">
        <v>1247</v>
      </c>
      <c r="G1294" s="265" t="s">
        <v>564</v>
      </c>
      <c r="H1294" s="122" t="s">
        <v>1238</v>
      </c>
      <c r="I1294" s="122"/>
      <c r="J1294" s="122"/>
      <c r="K1294" s="122"/>
      <c r="L1294" s="122"/>
      <c r="M1294" s="74">
        <v>300000</v>
      </c>
      <c r="N1294" s="75" t="s">
        <v>19</v>
      </c>
      <c r="O1294" s="75" t="s">
        <v>203</v>
      </c>
      <c r="P1294" s="134" t="str">
        <f>IF(AND('331-CT'!$E$7=TH!H1294,OR(N1294="331",O1294="331")),"x","")</f>
        <v/>
      </c>
    </row>
    <row r="1295" spans="1:16" ht="13.5" customHeight="1">
      <c r="A1295" s="72">
        <f t="shared" si="53"/>
        <v>2016</v>
      </c>
      <c r="B1295" s="72">
        <f t="shared" si="54"/>
        <v>2</v>
      </c>
      <c r="C1295" s="73">
        <v>42425</v>
      </c>
      <c r="D1295" s="73" t="s">
        <v>506</v>
      </c>
      <c r="E1295" s="73">
        <v>42425</v>
      </c>
      <c r="F1295" s="76" t="s">
        <v>1248</v>
      </c>
      <c r="G1295" s="265" t="s">
        <v>1249</v>
      </c>
      <c r="H1295" s="122" t="s">
        <v>188</v>
      </c>
      <c r="I1295" s="122"/>
      <c r="J1295" s="122"/>
      <c r="K1295" s="122"/>
      <c r="L1295" s="122"/>
      <c r="M1295" s="74">
        <v>7022600</v>
      </c>
      <c r="N1295" s="75" t="s">
        <v>241</v>
      </c>
      <c r="O1295" s="75" t="s">
        <v>203</v>
      </c>
      <c r="P1295" s="134" t="str">
        <f>IF(AND('331-CT'!$E$7=TH!H1295,OR(N1295="331",O1295="331")),"x","")</f>
        <v/>
      </c>
    </row>
    <row r="1296" spans="1:16" ht="13.5" customHeight="1">
      <c r="A1296" s="72">
        <f t="shared" si="53"/>
        <v>2016</v>
      </c>
      <c r="B1296" s="72">
        <f t="shared" si="54"/>
        <v>2</v>
      </c>
      <c r="C1296" s="73">
        <v>42425</v>
      </c>
      <c r="D1296" s="73" t="s">
        <v>506</v>
      </c>
      <c r="E1296" s="73">
        <v>42425</v>
      </c>
      <c r="F1296" s="76" t="s">
        <v>1250</v>
      </c>
      <c r="G1296" s="265" t="s">
        <v>1249</v>
      </c>
      <c r="H1296" s="122" t="s">
        <v>188</v>
      </c>
      <c r="I1296" s="122"/>
      <c r="J1296" s="122"/>
      <c r="K1296" s="122"/>
      <c r="L1296" s="122"/>
      <c r="M1296" s="74">
        <v>351130</v>
      </c>
      <c r="N1296" s="75" t="s">
        <v>19</v>
      </c>
      <c r="O1296" s="75" t="s">
        <v>203</v>
      </c>
      <c r="P1296" s="134" t="str">
        <f>IF(AND('331-CT'!$E$7=TH!H1296,OR(N1296="331",O1296="331")),"x","")</f>
        <v/>
      </c>
    </row>
    <row r="1297" spans="1:16" ht="13.5" customHeight="1">
      <c r="A1297" s="72">
        <f t="shared" si="53"/>
        <v>2016</v>
      </c>
      <c r="B1297" s="72">
        <f t="shared" si="54"/>
        <v>3</v>
      </c>
      <c r="C1297" s="73">
        <v>42430</v>
      </c>
      <c r="D1297" s="73" t="s">
        <v>507</v>
      </c>
      <c r="E1297" s="73">
        <v>42430</v>
      </c>
      <c r="F1297" s="76" t="s">
        <v>1195</v>
      </c>
      <c r="G1297" s="265" t="s">
        <v>1244</v>
      </c>
      <c r="H1297" s="122" t="s">
        <v>271</v>
      </c>
      <c r="I1297" s="122"/>
      <c r="J1297" s="122"/>
      <c r="K1297" s="122"/>
      <c r="L1297" s="122"/>
      <c r="M1297" s="74">
        <v>41000000</v>
      </c>
      <c r="N1297" s="75" t="s">
        <v>54</v>
      </c>
      <c r="O1297" s="75" t="s">
        <v>203</v>
      </c>
      <c r="P1297" s="134" t="str">
        <f>IF(AND('331-CT'!$E$7=TH!H1297,OR(N1297="331",O1297="331")),"x","")</f>
        <v/>
      </c>
    </row>
    <row r="1298" spans="1:16" ht="13.5" customHeight="1">
      <c r="A1298" s="72">
        <f t="shared" si="53"/>
        <v>2016</v>
      </c>
      <c r="B1298" s="72">
        <f t="shared" si="54"/>
        <v>3</v>
      </c>
      <c r="C1298" s="73">
        <v>42430</v>
      </c>
      <c r="D1298" s="73" t="s">
        <v>17</v>
      </c>
      <c r="E1298" s="73">
        <v>42430</v>
      </c>
      <c r="F1298" s="76" t="s">
        <v>1229</v>
      </c>
      <c r="G1298" s="265" t="s">
        <v>1244</v>
      </c>
      <c r="H1298" s="122" t="s">
        <v>648</v>
      </c>
      <c r="I1298" s="122"/>
      <c r="J1298" s="122"/>
      <c r="K1298" s="122"/>
      <c r="L1298" s="122"/>
      <c r="M1298" s="74">
        <v>40435780</v>
      </c>
      <c r="N1298" s="75" t="s">
        <v>18</v>
      </c>
      <c r="O1298" s="75" t="s">
        <v>54</v>
      </c>
      <c r="P1298" s="134" t="str">
        <f>IF(AND('331-CT'!$E$7=TH!H1298,OR(N1298="331",O1298="331")),"x","")</f>
        <v/>
      </c>
    </row>
    <row r="1299" spans="1:16" ht="13.5" customHeight="1">
      <c r="A1299" s="72">
        <f t="shared" si="53"/>
        <v>2016</v>
      </c>
      <c r="B1299" s="72">
        <f t="shared" si="54"/>
        <v>3</v>
      </c>
      <c r="C1299" s="73">
        <v>42430</v>
      </c>
      <c r="D1299" s="73" t="s">
        <v>17</v>
      </c>
      <c r="E1299" s="73">
        <v>42430</v>
      </c>
      <c r="F1299" s="76" t="s">
        <v>34</v>
      </c>
      <c r="G1299" s="265" t="s">
        <v>1244</v>
      </c>
      <c r="H1299" s="122"/>
      <c r="I1299" s="122"/>
      <c r="J1299" s="122"/>
      <c r="K1299" s="122"/>
      <c r="L1299" s="122"/>
      <c r="M1299" s="74">
        <v>45000</v>
      </c>
      <c r="N1299" s="75" t="s">
        <v>241</v>
      </c>
      <c r="O1299" s="75" t="s">
        <v>54</v>
      </c>
      <c r="P1299" s="134" t="str">
        <f>IF(AND('331-CT'!$E$7=TH!H1299,OR(N1299="331",O1299="331")),"x","")</f>
        <v/>
      </c>
    </row>
    <row r="1300" spans="1:16" ht="13.5" customHeight="1">
      <c r="A1300" s="72">
        <f t="shared" si="53"/>
        <v>2016</v>
      </c>
      <c r="B1300" s="72">
        <f t="shared" si="54"/>
        <v>3</v>
      </c>
      <c r="C1300" s="73">
        <v>42430</v>
      </c>
      <c r="D1300" s="73" t="s">
        <v>17</v>
      </c>
      <c r="E1300" s="73">
        <v>42430</v>
      </c>
      <c r="F1300" s="76" t="s">
        <v>35</v>
      </c>
      <c r="G1300" s="265" t="s">
        <v>1244</v>
      </c>
      <c r="H1300" s="122"/>
      <c r="I1300" s="122"/>
      <c r="J1300" s="122"/>
      <c r="K1300" s="122"/>
      <c r="L1300" s="122"/>
      <c r="M1300" s="74">
        <v>4500</v>
      </c>
      <c r="N1300" s="75" t="s">
        <v>19</v>
      </c>
      <c r="O1300" s="75" t="s">
        <v>54</v>
      </c>
      <c r="P1300" s="134" t="str">
        <f>IF(AND('331-CT'!$E$7=TH!H1300,OR(N1300="331",O1300="331")),"x","")</f>
        <v/>
      </c>
    </row>
    <row r="1301" spans="1:16" ht="13.5" customHeight="1">
      <c r="A1301" s="72">
        <f t="shared" si="53"/>
        <v>2016</v>
      </c>
      <c r="B1301" s="72">
        <f t="shared" si="54"/>
        <v>3</v>
      </c>
      <c r="C1301" s="73">
        <v>42432</v>
      </c>
      <c r="D1301" s="73" t="s">
        <v>17</v>
      </c>
      <c r="E1301" s="73">
        <v>42432</v>
      </c>
      <c r="F1301" s="76" t="s">
        <v>1251</v>
      </c>
      <c r="G1301" s="265" t="s">
        <v>1244</v>
      </c>
      <c r="H1301" s="122"/>
      <c r="I1301" s="122"/>
      <c r="J1301" s="122"/>
      <c r="K1301" s="122"/>
      <c r="L1301" s="122"/>
      <c r="M1301" s="74">
        <v>10000</v>
      </c>
      <c r="N1301" s="75" t="s">
        <v>241</v>
      </c>
      <c r="O1301" s="75" t="s">
        <v>54</v>
      </c>
      <c r="P1301" s="134" t="str">
        <f>IF(AND('331-CT'!$E$7=TH!H1301,OR(N1301="331",O1301="331")),"x","")</f>
        <v/>
      </c>
    </row>
    <row r="1302" spans="1:16" ht="13.5" customHeight="1">
      <c r="A1302" s="72">
        <f t="shared" si="53"/>
        <v>2016</v>
      </c>
      <c r="B1302" s="72">
        <f t="shared" si="54"/>
        <v>3</v>
      </c>
      <c r="C1302" s="73">
        <v>42432</v>
      </c>
      <c r="D1302" s="73" t="s">
        <v>17</v>
      </c>
      <c r="E1302" s="73">
        <v>42432</v>
      </c>
      <c r="F1302" s="76" t="s">
        <v>1252</v>
      </c>
      <c r="G1302" s="265" t="s">
        <v>1244</v>
      </c>
      <c r="H1302" s="122"/>
      <c r="I1302" s="122"/>
      <c r="J1302" s="122"/>
      <c r="K1302" s="122"/>
      <c r="L1302" s="122"/>
      <c r="M1302" s="74">
        <v>1000</v>
      </c>
      <c r="N1302" s="75" t="s">
        <v>19</v>
      </c>
      <c r="O1302" s="75" t="s">
        <v>54</v>
      </c>
      <c r="P1302" s="134" t="str">
        <f>IF(AND('331-CT'!$E$7=TH!H1302,OR(N1302="331",O1302="331")),"x","")</f>
        <v/>
      </c>
    </row>
    <row r="1303" spans="1:16" ht="13.5" customHeight="1">
      <c r="A1303" s="72">
        <f t="shared" si="53"/>
        <v>2016</v>
      </c>
      <c r="B1303" s="72">
        <f t="shared" si="54"/>
        <v>3</v>
      </c>
      <c r="C1303" s="73">
        <v>42436</v>
      </c>
      <c r="D1303" s="73" t="s">
        <v>508</v>
      </c>
      <c r="E1303" s="73">
        <v>42436</v>
      </c>
      <c r="F1303" s="76" t="s">
        <v>1253</v>
      </c>
      <c r="G1303" s="265" t="s">
        <v>1254</v>
      </c>
      <c r="H1303" s="122" t="s">
        <v>846</v>
      </c>
      <c r="I1303" s="122"/>
      <c r="J1303" s="122"/>
      <c r="K1303" s="122"/>
      <c r="L1303" s="122"/>
      <c r="M1303" s="74">
        <v>330000</v>
      </c>
      <c r="N1303" s="75" t="s">
        <v>654</v>
      </c>
      <c r="O1303" s="75" t="s">
        <v>203</v>
      </c>
      <c r="P1303" s="134" t="str">
        <f>IF(AND('331-CT'!$E$7=TH!H1303,OR(N1303="331",O1303="331")),"x","")</f>
        <v/>
      </c>
    </row>
    <row r="1304" spans="1:16" ht="13.5" customHeight="1">
      <c r="A1304" s="72">
        <f t="shared" si="53"/>
        <v>2016</v>
      </c>
      <c r="B1304" s="72">
        <f t="shared" si="54"/>
        <v>3</v>
      </c>
      <c r="C1304" s="73">
        <v>42436</v>
      </c>
      <c r="D1304" s="73" t="s">
        <v>509</v>
      </c>
      <c r="E1304" s="73">
        <v>42436</v>
      </c>
      <c r="F1304" s="76" t="s">
        <v>1186</v>
      </c>
      <c r="G1304" s="265" t="s">
        <v>1255</v>
      </c>
      <c r="H1304" s="122" t="s">
        <v>828</v>
      </c>
      <c r="I1304" s="122"/>
      <c r="J1304" s="122"/>
      <c r="K1304" s="122"/>
      <c r="L1304" s="122"/>
      <c r="M1304" s="74">
        <v>2810000</v>
      </c>
      <c r="N1304" s="75" t="s">
        <v>654</v>
      </c>
      <c r="O1304" s="75" t="s">
        <v>203</v>
      </c>
      <c r="P1304" s="134" t="str">
        <f>IF(AND('331-CT'!$E$7=TH!H1304,OR(N1304="331",O1304="331")),"x","")</f>
        <v/>
      </c>
    </row>
    <row r="1305" spans="1:16" ht="13.5" customHeight="1">
      <c r="A1305" s="72">
        <f t="shared" si="53"/>
        <v>2016</v>
      </c>
      <c r="B1305" s="72">
        <f t="shared" si="54"/>
        <v>3</v>
      </c>
      <c r="C1305" s="73">
        <v>42439</v>
      </c>
      <c r="D1305" s="73" t="s">
        <v>510</v>
      </c>
      <c r="E1305" s="73">
        <v>42439</v>
      </c>
      <c r="F1305" s="76" t="s">
        <v>1256</v>
      </c>
      <c r="G1305" s="265" t="s">
        <v>1257</v>
      </c>
      <c r="H1305" s="122" t="s">
        <v>782</v>
      </c>
      <c r="I1305" s="122"/>
      <c r="J1305" s="122"/>
      <c r="K1305" s="122"/>
      <c r="L1305" s="122"/>
      <c r="M1305" s="74">
        <v>6818182</v>
      </c>
      <c r="N1305" s="75" t="s">
        <v>241</v>
      </c>
      <c r="O1305" s="75" t="s">
        <v>203</v>
      </c>
      <c r="P1305" s="134" t="str">
        <f>IF(AND('331-CT'!$E$7=TH!H1305,OR(N1305="331",O1305="331")),"x","")</f>
        <v/>
      </c>
    </row>
    <row r="1306" spans="1:16" ht="13.5" customHeight="1">
      <c r="A1306" s="72">
        <f t="shared" si="53"/>
        <v>2016</v>
      </c>
      <c r="B1306" s="72">
        <f t="shared" si="54"/>
        <v>3</v>
      </c>
      <c r="C1306" s="73">
        <v>42439</v>
      </c>
      <c r="D1306" s="73" t="s">
        <v>510</v>
      </c>
      <c r="E1306" s="73">
        <v>42439</v>
      </c>
      <c r="F1306" s="76" t="s">
        <v>1258</v>
      </c>
      <c r="G1306" s="265" t="s">
        <v>1257</v>
      </c>
      <c r="H1306" s="122" t="s">
        <v>782</v>
      </c>
      <c r="I1306" s="122"/>
      <c r="J1306" s="122"/>
      <c r="K1306" s="122"/>
      <c r="L1306" s="122"/>
      <c r="M1306" s="74">
        <v>681818</v>
      </c>
      <c r="N1306" s="75" t="s">
        <v>19</v>
      </c>
      <c r="O1306" s="75" t="s">
        <v>203</v>
      </c>
      <c r="P1306" s="134" t="str">
        <f>IF(AND('331-CT'!$E$7=TH!H1306,OR(N1306="331",O1306="331")),"x","")</f>
        <v/>
      </c>
    </row>
    <row r="1307" spans="1:16" ht="13.5" customHeight="1">
      <c r="A1307" s="72">
        <f t="shared" si="53"/>
        <v>2016</v>
      </c>
      <c r="B1307" s="72">
        <f t="shared" si="54"/>
        <v>3</v>
      </c>
      <c r="C1307" s="73">
        <v>42441</v>
      </c>
      <c r="D1307" s="73" t="s">
        <v>1259</v>
      </c>
      <c r="E1307" s="73">
        <v>42441</v>
      </c>
      <c r="F1307" s="76" t="s">
        <v>1260</v>
      </c>
      <c r="G1307" s="265" t="s">
        <v>1261</v>
      </c>
      <c r="H1307" s="122" t="s">
        <v>1262</v>
      </c>
      <c r="I1307" s="122">
        <v>500</v>
      </c>
      <c r="J1307" s="122">
        <v>33000</v>
      </c>
      <c r="K1307" s="122"/>
      <c r="L1307" s="122"/>
      <c r="M1307" s="74">
        <v>16500000</v>
      </c>
      <c r="N1307" s="75" t="s">
        <v>1263</v>
      </c>
      <c r="O1307" s="75" t="s">
        <v>18</v>
      </c>
      <c r="P1307" s="134" t="str">
        <f>IF(AND('331-CT'!$E$7=TH!H1307,OR(N1307="331",O1307="331")),"x","")</f>
        <v/>
      </c>
    </row>
    <row r="1308" spans="1:16" ht="13.5" customHeight="1">
      <c r="A1308" s="72">
        <f t="shared" si="53"/>
        <v>2016</v>
      </c>
      <c r="B1308" s="72">
        <f t="shared" si="54"/>
        <v>3</v>
      </c>
      <c r="C1308" s="73">
        <v>42441</v>
      </c>
      <c r="D1308" s="73" t="s">
        <v>1259</v>
      </c>
      <c r="E1308" s="73">
        <v>42441</v>
      </c>
      <c r="F1308" s="76" t="s">
        <v>1264</v>
      </c>
      <c r="G1308" s="265" t="s">
        <v>1261</v>
      </c>
      <c r="H1308" s="122" t="s">
        <v>1262</v>
      </c>
      <c r="I1308" s="122">
        <v>500</v>
      </c>
      <c r="J1308" s="122">
        <v>33000</v>
      </c>
      <c r="K1308" s="122"/>
      <c r="L1308" s="122"/>
      <c r="M1308" s="74">
        <v>16500000</v>
      </c>
      <c r="N1308" s="75" t="s">
        <v>1263</v>
      </c>
      <c r="O1308" s="75" t="s">
        <v>18</v>
      </c>
      <c r="P1308" s="134" t="str">
        <f>IF(AND('331-CT'!$E$7=TH!H1308,OR(N1308="331",O1308="331")),"x","")</f>
        <v/>
      </c>
    </row>
    <row r="1309" spans="1:16" ht="13.5" customHeight="1">
      <c r="A1309" s="72">
        <f t="shared" si="53"/>
        <v>2016</v>
      </c>
      <c r="B1309" s="72">
        <f t="shared" si="54"/>
        <v>3</v>
      </c>
      <c r="C1309" s="73">
        <v>42441</v>
      </c>
      <c r="D1309" s="73" t="s">
        <v>1259</v>
      </c>
      <c r="E1309" s="73">
        <v>42441</v>
      </c>
      <c r="F1309" s="76" t="s">
        <v>1265</v>
      </c>
      <c r="G1309" s="265" t="s">
        <v>1261</v>
      </c>
      <c r="H1309" s="122" t="s">
        <v>1262</v>
      </c>
      <c r="I1309" s="122"/>
      <c r="J1309" s="122"/>
      <c r="K1309" s="122"/>
      <c r="L1309" s="122"/>
      <c r="M1309" s="74">
        <v>3300000</v>
      </c>
      <c r="N1309" s="75" t="s">
        <v>19</v>
      </c>
      <c r="O1309" s="75" t="s">
        <v>18</v>
      </c>
      <c r="P1309" s="134" t="str">
        <f>IF(AND('331-CT'!$E$7=TH!H1309,OR(N1309="331",O1309="331")),"x","")</f>
        <v/>
      </c>
    </row>
    <row r="1310" spans="1:16" ht="13.5" customHeight="1">
      <c r="A1310" s="72">
        <f t="shared" si="53"/>
        <v>2016</v>
      </c>
      <c r="B1310" s="72">
        <f t="shared" si="54"/>
        <v>3</v>
      </c>
      <c r="C1310" s="73">
        <v>42444</v>
      </c>
      <c r="D1310" s="73" t="s">
        <v>761</v>
      </c>
      <c r="E1310" s="73">
        <v>42444</v>
      </c>
      <c r="F1310" s="76" t="s">
        <v>1225</v>
      </c>
      <c r="G1310" s="265" t="s">
        <v>1266</v>
      </c>
      <c r="H1310" s="122" t="s">
        <v>279</v>
      </c>
      <c r="I1310" s="122"/>
      <c r="J1310" s="122"/>
      <c r="K1310" s="122"/>
      <c r="L1310" s="122"/>
      <c r="M1310" s="74">
        <v>429415</v>
      </c>
      <c r="N1310" s="75" t="s">
        <v>241</v>
      </c>
      <c r="O1310" s="75" t="s">
        <v>203</v>
      </c>
      <c r="P1310" s="134" t="str">
        <f>IF(AND('331-CT'!$E$7=TH!H1310,OR(N1310="331",O1310="331")),"x","")</f>
        <v/>
      </c>
    </row>
    <row r="1311" spans="1:16" ht="13.5" customHeight="1">
      <c r="A1311" s="72">
        <f t="shared" si="53"/>
        <v>2016</v>
      </c>
      <c r="B1311" s="72">
        <f t="shared" si="54"/>
        <v>3</v>
      </c>
      <c r="C1311" s="73">
        <v>42444</v>
      </c>
      <c r="D1311" s="73" t="s">
        <v>761</v>
      </c>
      <c r="E1311" s="73">
        <v>42444</v>
      </c>
      <c r="F1311" s="76" t="s">
        <v>1227</v>
      </c>
      <c r="G1311" s="265" t="s">
        <v>1266</v>
      </c>
      <c r="H1311" s="122" t="s">
        <v>279</v>
      </c>
      <c r="I1311" s="122"/>
      <c r="J1311" s="122"/>
      <c r="K1311" s="122"/>
      <c r="L1311" s="122"/>
      <c r="M1311" s="74">
        <v>42942</v>
      </c>
      <c r="N1311" s="75" t="s">
        <v>19</v>
      </c>
      <c r="O1311" s="75" t="s">
        <v>203</v>
      </c>
      <c r="P1311" s="134" t="str">
        <f>IF(AND('331-CT'!$E$7=TH!H1311,OR(N1311="331",O1311="331")),"x","")</f>
        <v/>
      </c>
    </row>
    <row r="1312" spans="1:16" ht="13.5" customHeight="1">
      <c r="A1312" s="72">
        <f t="shared" si="53"/>
        <v>2016</v>
      </c>
      <c r="B1312" s="72">
        <f t="shared" si="54"/>
        <v>3</v>
      </c>
      <c r="C1312" s="73">
        <v>42444</v>
      </c>
      <c r="D1312" s="73" t="s">
        <v>762</v>
      </c>
      <c r="E1312" s="73">
        <v>42444</v>
      </c>
      <c r="F1312" s="76" t="s">
        <v>826</v>
      </c>
      <c r="G1312" s="265" t="s">
        <v>1267</v>
      </c>
      <c r="H1312" s="122" t="s">
        <v>846</v>
      </c>
      <c r="I1312" s="122"/>
      <c r="J1312" s="122"/>
      <c r="K1312" s="122"/>
      <c r="L1312" s="122"/>
      <c r="M1312" s="74">
        <v>348000</v>
      </c>
      <c r="N1312" s="75" t="s">
        <v>654</v>
      </c>
      <c r="O1312" s="75" t="s">
        <v>203</v>
      </c>
      <c r="P1312" s="134" t="str">
        <f>IF(AND('331-CT'!$E$7=TH!H1312,OR(N1312="331",O1312="331")),"x","")</f>
        <v/>
      </c>
    </row>
    <row r="1313" spans="1:16" ht="13.5" customHeight="1">
      <c r="A1313" s="72">
        <f t="shared" si="53"/>
        <v>2016</v>
      </c>
      <c r="B1313" s="72">
        <f t="shared" si="54"/>
        <v>3</v>
      </c>
      <c r="C1313" s="73">
        <v>42444</v>
      </c>
      <c r="D1313" s="73" t="s">
        <v>1054</v>
      </c>
      <c r="E1313" s="73">
        <v>42444</v>
      </c>
      <c r="F1313" s="76" t="s">
        <v>1268</v>
      </c>
      <c r="G1313" s="265"/>
      <c r="H1313" s="122" t="s">
        <v>430</v>
      </c>
      <c r="I1313" s="122"/>
      <c r="J1313" s="122"/>
      <c r="K1313" s="122"/>
      <c r="L1313" s="122"/>
      <c r="M1313" s="74">
        <v>1000000000</v>
      </c>
      <c r="N1313" s="75" t="s">
        <v>203</v>
      </c>
      <c r="O1313" s="75" t="s">
        <v>39</v>
      </c>
      <c r="P1313" s="134" t="str">
        <f>IF(AND('331-CT'!$E$7=TH!H1313,OR(N1313="331",O1313="331")),"x","")</f>
        <v/>
      </c>
    </row>
    <row r="1314" spans="1:16" ht="13.5" customHeight="1">
      <c r="A1314" s="72">
        <f t="shared" si="53"/>
        <v>2016</v>
      </c>
      <c r="B1314" s="72">
        <f t="shared" si="54"/>
        <v>3</v>
      </c>
      <c r="C1314" s="73">
        <v>42444</v>
      </c>
      <c r="D1314" s="73" t="s">
        <v>763</v>
      </c>
      <c r="E1314" s="73">
        <v>42444</v>
      </c>
      <c r="F1314" s="76" t="s">
        <v>1195</v>
      </c>
      <c r="G1314" s="265" t="s">
        <v>1244</v>
      </c>
      <c r="H1314" s="122" t="s">
        <v>271</v>
      </c>
      <c r="I1314" s="122"/>
      <c r="J1314" s="122"/>
      <c r="K1314" s="122"/>
      <c r="L1314" s="122"/>
      <c r="M1314" s="74">
        <v>380000000</v>
      </c>
      <c r="N1314" s="75" t="s">
        <v>54</v>
      </c>
      <c r="O1314" s="75" t="s">
        <v>203</v>
      </c>
      <c r="P1314" s="134" t="str">
        <f>IF(AND('331-CT'!$E$7=TH!H1314,OR(N1314="331",O1314="331")),"x","")</f>
        <v/>
      </c>
    </row>
    <row r="1315" spans="1:16" ht="13.5" customHeight="1">
      <c r="A1315" s="72">
        <f t="shared" si="53"/>
        <v>2016</v>
      </c>
      <c r="B1315" s="72">
        <f t="shared" si="54"/>
        <v>3</v>
      </c>
      <c r="C1315" s="73">
        <v>42444</v>
      </c>
      <c r="D1315" s="73" t="s">
        <v>17</v>
      </c>
      <c r="E1315" s="73">
        <v>42444</v>
      </c>
      <c r="F1315" s="76" t="s">
        <v>1194</v>
      </c>
      <c r="G1315" s="265" t="s">
        <v>1244</v>
      </c>
      <c r="H1315" s="122" t="s">
        <v>1058</v>
      </c>
      <c r="I1315" s="122"/>
      <c r="J1315" s="122"/>
      <c r="K1315" s="122"/>
      <c r="L1315" s="122"/>
      <c r="M1315" s="74">
        <v>6331895</v>
      </c>
      <c r="N1315" s="75" t="s">
        <v>239</v>
      </c>
      <c r="O1315" s="75" t="s">
        <v>54</v>
      </c>
      <c r="P1315" s="134" t="str">
        <f>IF(AND('331-CT'!$E$7=TH!H1315,OR(N1315="331",O1315="331")),"x","")</f>
        <v/>
      </c>
    </row>
    <row r="1316" spans="1:16" ht="13.5" customHeight="1">
      <c r="A1316" s="72">
        <f t="shared" si="53"/>
        <v>2016</v>
      </c>
      <c r="B1316" s="72">
        <f t="shared" si="54"/>
        <v>3</v>
      </c>
      <c r="C1316" s="73">
        <v>42445</v>
      </c>
      <c r="D1316" s="73" t="s">
        <v>17</v>
      </c>
      <c r="E1316" s="73">
        <v>42445</v>
      </c>
      <c r="F1316" s="76" t="s">
        <v>1269</v>
      </c>
      <c r="G1316" s="265" t="s">
        <v>1244</v>
      </c>
      <c r="H1316" s="122" t="s">
        <v>83</v>
      </c>
      <c r="I1316" s="122"/>
      <c r="J1316" s="122"/>
      <c r="K1316" s="122"/>
      <c r="L1316" s="122"/>
      <c r="M1316" s="74">
        <v>34408000</v>
      </c>
      <c r="N1316" s="75" t="s">
        <v>18</v>
      </c>
      <c r="O1316" s="75" t="s">
        <v>54</v>
      </c>
      <c r="P1316" s="134" t="str">
        <f>IF(AND('331-CT'!$E$7=TH!H1316,OR(N1316="331",O1316="331")),"x","")</f>
        <v>x</v>
      </c>
    </row>
    <row r="1317" spans="1:16" ht="13.5" customHeight="1">
      <c r="A1317" s="72">
        <f t="shared" si="53"/>
        <v>2016</v>
      </c>
      <c r="B1317" s="72">
        <f t="shared" si="54"/>
        <v>3</v>
      </c>
      <c r="C1317" s="73">
        <v>42445</v>
      </c>
      <c r="D1317" s="73" t="s">
        <v>17</v>
      </c>
      <c r="E1317" s="73">
        <v>42445</v>
      </c>
      <c r="F1317" s="76" t="s">
        <v>34</v>
      </c>
      <c r="G1317" s="265" t="s">
        <v>1244</v>
      </c>
      <c r="H1317" s="122"/>
      <c r="I1317" s="122"/>
      <c r="J1317" s="122"/>
      <c r="K1317" s="122"/>
      <c r="L1317" s="122"/>
      <c r="M1317" s="74">
        <v>25000</v>
      </c>
      <c r="N1317" s="75" t="s">
        <v>241</v>
      </c>
      <c r="O1317" s="75" t="s">
        <v>54</v>
      </c>
      <c r="P1317" s="134" t="str">
        <f>IF(AND('331-CT'!$E$7=TH!H1317,OR(N1317="331",O1317="331")),"x","")</f>
        <v/>
      </c>
    </row>
    <row r="1318" spans="1:16" ht="13.5" customHeight="1">
      <c r="A1318" s="72">
        <f t="shared" si="53"/>
        <v>2016</v>
      </c>
      <c r="B1318" s="72">
        <f t="shared" si="54"/>
        <v>3</v>
      </c>
      <c r="C1318" s="73">
        <v>42445</v>
      </c>
      <c r="D1318" s="73" t="s">
        <v>17</v>
      </c>
      <c r="E1318" s="73">
        <v>42445</v>
      </c>
      <c r="F1318" s="76" t="s">
        <v>35</v>
      </c>
      <c r="G1318" s="265" t="s">
        <v>1244</v>
      </c>
      <c r="H1318" s="122"/>
      <c r="I1318" s="122"/>
      <c r="J1318" s="122"/>
      <c r="K1318" s="122"/>
      <c r="L1318" s="122"/>
      <c r="M1318" s="74">
        <v>2500</v>
      </c>
      <c r="N1318" s="75" t="s">
        <v>19</v>
      </c>
      <c r="O1318" s="75" t="s">
        <v>54</v>
      </c>
      <c r="P1318" s="134" t="str">
        <f>IF(AND('331-CT'!$E$7=TH!H1318,OR(N1318="331",O1318="331")),"x","")</f>
        <v/>
      </c>
    </row>
    <row r="1319" spans="1:16" ht="13.5" customHeight="1">
      <c r="A1319" s="72">
        <f t="shared" si="53"/>
        <v>2016</v>
      </c>
      <c r="B1319" s="72">
        <f t="shared" si="54"/>
        <v>3</v>
      </c>
      <c r="C1319" s="73">
        <v>42445</v>
      </c>
      <c r="D1319" s="73" t="s">
        <v>17</v>
      </c>
      <c r="E1319" s="73">
        <v>42445</v>
      </c>
      <c r="F1319" s="76" t="s">
        <v>23</v>
      </c>
      <c r="G1319" s="265" t="s">
        <v>1244</v>
      </c>
      <c r="H1319" s="122"/>
      <c r="I1319" s="122"/>
      <c r="J1319" s="122"/>
      <c r="K1319" s="122"/>
      <c r="L1319" s="122"/>
      <c r="M1319" s="74">
        <v>20000</v>
      </c>
      <c r="N1319" s="75" t="s">
        <v>241</v>
      </c>
      <c r="O1319" s="75" t="s">
        <v>54</v>
      </c>
      <c r="P1319" s="134" t="str">
        <f>IF(AND('331-CT'!$E$7=TH!H1319,OR(N1319="331",O1319="331")),"x","")</f>
        <v/>
      </c>
    </row>
    <row r="1320" spans="1:16" ht="13.5" customHeight="1">
      <c r="A1320" s="72">
        <f t="shared" si="53"/>
        <v>2016</v>
      </c>
      <c r="B1320" s="72">
        <f t="shared" si="54"/>
        <v>3</v>
      </c>
      <c r="C1320" s="73">
        <v>42445</v>
      </c>
      <c r="D1320" s="73" t="s">
        <v>17</v>
      </c>
      <c r="E1320" s="73">
        <v>42445</v>
      </c>
      <c r="F1320" s="76" t="s">
        <v>24</v>
      </c>
      <c r="G1320" s="265" t="s">
        <v>1244</v>
      </c>
      <c r="H1320" s="122"/>
      <c r="I1320" s="122"/>
      <c r="J1320" s="122"/>
      <c r="K1320" s="122"/>
      <c r="L1320" s="122"/>
      <c r="M1320" s="74">
        <v>2000</v>
      </c>
      <c r="N1320" s="75" t="s">
        <v>19</v>
      </c>
      <c r="O1320" s="75" t="s">
        <v>54</v>
      </c>
      <c r="P1320" s="134" t="str">
        <f>IF(AND('331-CT'!$E$7=TH!H1320,OR(N1320="331",O1320="331")),"x","")</f>
        <v/>
      </c>
    </row>
    <row r="1321" spans="1:16" ht="13.5" customHeight="1">
      <c r="A1321" s="72">
        <f t="shared" si="53"/>
        <v>2016</v>
      </c>
      <c r="B1321" s="72">
        <f t="shared" si="54"/>
        <v>3</v>
      </c>
      <c r="C1321" s="73">
        <v>42445</v>
      </c>
      <c r="D1321" s="73" t="s">
        <v>17</v>
      </c>
      <c r="E1321" s="73">
        <v>42445</v>
      </c>
      <c r="F1321" s="76" t="s">
        <v>839</v>
      </c>
      <c r="G1321" s="265" t="s">
        <v>1244</v>
      </c>
      <c r="H1321" s="122" t="s">
        <v>741</v>
      </c>
      <c r="I1321" s="122"/>
      <c r="J1321" s="122"/>
      <c r="K1321" s="122"/>
      <c r="L1321" s="122"/>
      <c r="M1321" s="74">
        <v>11539968</v>
      </c>
      <c r="N1321" s="75" t="s">
        <v>18</v>
      </c>
      <c r="O1321" s="75" t="s">
        <v>54</v>
      </c>
      <c r="P1321" s="134" t="str">
        <f>IF(AND('331-CT'!$E$7=TH!H1321,OR(N1321="331",O1321="331")),"x","")</f>
        <v/>
      </c>
    </row>
    <row r="1322" spans="1:16" ht="13.5" customHeight="1">
      <c r="A1322" s="72">
        <f t="shared" si="53"/>
        <v>2016</v>
      </c>
      <c r="B1322" s="72">
        <f t="shared" si="54"/>
        <v>3</v>
      </c>
      <c r="C1322" s="73">
        <v>42445</v>
      </c>
      <c r="D1322" s="73" t="s">
        <v>17</v>
      </c>
      <c r="E1322" s="73">
        <v>42445</v>
      </c>
      <c r="F1322" s="76" t="s">
        <v>34</v>
      </c>
      <c r="G1322" s="265" t="s">
        <v>1244</v>
      </c>
      <c r="H1322" s="122"/>
      <c r="I1322" s="122"/>
      <c r="J1322" s="122"/>
      <c r="K1322" s="122"/>
      <c r="L1322" s="122"/>
      <c r="M1322" s="74">
        <v>25000</v>
      </c>
      <c r="N1322" s="75" t="s">
        <v>241</v>
      </c>
      <c r="O1322" s="75" t="s">
        <v>54</v>
      </c>
      <c r="P1322" s="134" t="str">
        <f>IF(AND('331-CT'!$E$7=TH!H1322,OR(N1322="331",O1322="331")),"x","")</f>
        <v/>
      </c>
    </row>
    <row r="1323" spans="1:16" ht="13.5" customHeight="1">
      <c r="A1323" s="72">
        <f t="shared" si="53"/>
        <v>2016</v>
      </c>
      <c r="B1323" s="72">
        <f t="shared" si="54"/>
        <v>3</v>
      </c>
      <c r="C1323" s="73">
        <v>42445</v>
      </c>
      <c r="D1323" s="73" t="s">
        <v>17</v>
      </c>
      <c r="E1323" s="73">
        <v>42445</v>
      </c>
      <c r="F1323" s="76" t="s">
        <v>35</v>
      </c>
      <c r="G1323" s="265" t="s">
        <v>1244</v>
      </c>
      <c r="H1323" s="122"/>
      <c r="I1323" s="122"/>
      <c r="J1323" s="122"/>
      <c r="K1323" s="122"/>
      <c r="L1323" s="122"/>
      <c r="M1323" s="74">
        <v>2500</v>
      </c>
      <c r="N1323" s="75" t="s">
        <v>19</v>
      </c>
      <c r="O1323" s="75" t="s">
        <v>54</v>
      </c>
      <c r="P1323" s="134" t="str">
        <f>IF(AND('331-CT'!$E$7=TH!H1323,OR(N1323="331",O1323="331")),"x","")</f>
        <v/>
      </c>
    </row>
    <row r="1324" spans="1:16" ht="13.5" customHeight="1">
      <c r="A1324" s="72">
        <f t="shared" si="53"/>
        <v>2016</v>
      </c>
      <c r="B1324" s="72">
        <f t="shared" si="54"/>
        <v>3</v>
      </c>
      <c r="C1324" s="73">
        <v>42445</v>
      </c>
      <c r="D1324" s="73" t="s">
        <v>17</v>
      </c>
      <c r="E1324" s="73">
        <v>42445</v>
      </c>
      <c r="F1324" s="76" t="s">
        <v>23</v>
      </c>
      <c r="G1324" s="265" t="s">
        <v>1244</v>
      </c>
      <c r="H1324" s="122"/>
      <c r="I1324" s="122"/>
      <c r="J1324" s="122"/>
      <c r="K1324" s="122"/>
      <c r="L1324" s="122"/>
      <c r="M1324" s="74">
        <v>20000</v>
      </c>
      <c r="N1324" s="75" t="s">
        <v>241</v>
      </c>
      <c r="O1324" s="75" t="s">
        <v>54</v>
      </c>
      <c r="P1324" s="134" t="str">
        <f>IF(AND('331-CT'!$E$7=TH!H1324,OR(N1324="331",O1324="331")),"x","")</f>
        <v/>
      </c>
    </row>
    <row r="1325" spans="1:16" ht="13.5" customHeight="1">
      <c r="A1325" s="72">
        <f t="shared" si="53"/>
        <v>2016</v>
      </c>
      <c r="B1325" s="72">
        <f t="shared" si="54"/>
        <v>3</v>
      </c>
      <c r="C1325" s="73">
        <v>42445</v>
      </c>
      <c r="D1325" s="73" t="s">
        <v>17</v>
      </c>
      <c r="E1325" s="73">
        <v>42445</v>
      </c>
      <c r="F1325" s="76" t="s">
        <v>24</v>
      </c>
      <c r="G1325" s="265" t="s">
        <v>1244</v>
      </c>
      <c r="H1325" s="122"/>
      <c r="I1325" s="122"/>
      <c r="J1325" s="122"/>
      <c r="K1325" s="122"/>
      <c r="L1325" s="122"/>
      <c r="M1325" s="74">
        <v>2000</v>
      </c>
      <c r="N1325" s="75" t="s">
        <v>19</v>
      </c>
      <c r="O1325" s="75" t="s">
        <v>54</v>
      </c>
      <c r="P1325" s="134" t="str">
        <f>IF(AND('331-CT'!$E$7=TH!H1325,OR(N1325="331",O1325="331")),"x","")</f>
        <v/>
      </c>
    </row>
    <row r="1326" spans="1:16" ht="13.5" customHeight="1">
      <c r="A1326" s="72">
        <f t="shared" si="53"/>
        <v>2016</v>
      </c>
      <c r="B1326" s="72">
        <f t="shared" si="54"/>
        <v>3</v>
      </c>
      <c r="C1326" s="73">
        <v>42445</v>
      </c>
      <c r="D1326" s="73" t="s">
        <v>17</v>
      </c>
      <c r="E1326" s="73">
        <v>42445</v>
      </c>
      <c r="F1326" s="76" t="s">
        <v>1270</v>
      </c>
      <c r="G1326" s="265" t="s">
        <v>1244</v>
      </c>
      <c r="H1326" s="122" t="s">
        <v>648</v>
      </c>
      <c r="I1326" s="122"/>
      <c r="J1326" s="122"/>
      <c r="K1326" s="122"/>
      <c r="L1326" s="122"/>
      <c r="M1326" s="74">
        <v>32387300</v>
      </c>
      <c r="N1326" s="75" t="s">
        <v>18</v>
      </c>
      <c r="O1326" s="75" t="s">
        <v>54</v>
      </c>
      <c r="P1326" s="134" t="str">
        <f>IF(AND('331-CT'!$E$7=TH!H1326,OR(N1326="331",O1326="331")),"x","")</f>
        <v/>
      </c>
    </row>
    <row r="1327" spans="1:16" ht="13.5" customHeight="1">
      <c r="A1327" s="72">
        <f t="shared" si="53"/>
        <v>2016</v>
      </c>
      <c r="B1327" s="72">
        <f t="shared" si="54"/>
        <v>3</v>
      </c>
      <c r="C1327" s="73">
        <v>42445</v>
      </c>
      <c r="D1327" s="73" t="s">
        <v>17</v>
      </c>
      <c r="E1327" s="73">
        <v>42445</v>
      </c>
      <c r="F1327" s="76" t="s">
        <v>34</v>
      </c>
      <c r="G1327" s="265" t="s">
        <v>1244</v>
      </c>
      <c r="H1327" s="122"/>
      <c r="I1327" s="122"/>
      <c r="J1327" s="122"/>
      <c r="K1327" s="122"/>
      <c r="L1327" s="122"/>
      <c r="M1327" s="74">
        <v>25000</v>
      </c>
      <c r="N1327" s="75" t="s">
        <v>241</v>
      </c>
      <c r="O1327" s="75" t="s">
        <v>54</v>
      </c>
      <c r="P1327" s="134" t="str">
        <f>IF(AND('331-CT'!$E$7=TH!H1327,OR(N1327="331",O1327="331")),"x","")</f>
        <v/>
      </c>
    </row>
    <row r="1328" spans="1:16" ht="13.5" customHeight="1">
      <c r="A1328" s="72">
        <f t="shared" si="53"/>
        <v>2016</v>
      </c>
      <c r="B1328" s="72">
        <f t="shared" si="54"/>
        <v>3</v>
      </c>
      <c r="C1328" s="73">
        <v>42445</v>
      </c>
      <c r="D1328" s="73" t="s">
        <v>17</v>
      </c>
      <c r="E1328" s="73">
        <v>42445</v>
      </c>
      <c r="F1328" s="76" t="s">
        <v>35</v>
      </c>
      <c r="G1328" s="265" t="s">
        <v>1244</v>
      </c>
      <c r="H1328" s="122"/>
      <c r="I1328" s="122"/>
      <c r="J1328" s="122"/>
      <c r="K1328" s="122"/>
      <c r="L1328" s="122"/>
      <c r="M1328" s="74">
        <v>2500</v>
      </c>
      <c r="N1328" s="75" t="s">
        <v>19</v>
      </c>
      <c r="O1328" s="75" t="s">
        <v>54</v>
      </c>
      <c r="P1328" s="134" t="str">
        <f>IF(AND('331-CT'!$E$7=TH!H1328,OR(N1328="331",O1328="331")),"x","")</f>
        <v/>
      </c>
    </row>
    <row r="1329" spans="1:16" ht="13.5" customHeight="1">
      <c r="A1329" s="72">
        <f t="shared" si="53"/>
        <v>2016</v>
      </c>
      <c r="B1329" s="72">
        <f t="shared" si="54"/>
        <v>3</v>
      </c>
      <c r="C1329" s="73">
        <v>42445</v>
      </c>
      <c r="D1329" s="73" t="s">
        <v>17</v>
      </c>
      <c r="E1329" s="73">
        <v>42445</v>
      </c>
      <c r="F1329" s="76" t="s">
        <v>23</v>
      </c>
      <c r="G1329" s="265" t="s">
        <v>1244</v>
      </c>
      <c r="H1329" s="122"/>
      <c r="I1329" s="122"/>
      <c r="J1329" s="122"/>
      <c r="K1329" s="122"/>
      <c r="L1329" s="122"/>
      <c r="M1329" s="74">
        <v>20000</v>
      </c>
      <c r="N1329" s="75" t="s">
        <v>241</v>
      </c>
      <c r="O1329" s="75" t="s">
        <v>54</v>
      </c>
      <c r="P1329" s="134" t="str">
        <f>IF(AND('331-CT'!$E$7=TH!H1329,OR(N1329="331",O1329="331")),"x","")</f>
        <v/>
      </c>
    </row>
    <row r="1330" spans="1:16" ht="13.5" customHeight="1">
      <c r="A1330" s="72">
        <f t="shared" si="53"/>
        <v>2016</v>
      </c>
      <c r="B1330" s="72">
        <f t="shared" si="54"/>
        <v>3</v>
      </c>
      <c r="C1330" s="73">
        <v>42445</v>
      </c>
      <c r="D1330" s="73" t="s">
        <v>17</v>
      </c>
      <c r="E1330" s="73">
        <v>42445</v>
      </c>
      <c r="F1330" s="76" t="s">
        <v>24</v>
      </c>
      <c r="G1330" s="265" t="s">
        <v>1244</v>
      </c>
      <c r="H1330" s="122"/>
      <c r="I1330" s="122"/>
      <c r="J1330" s="122"/>
      <c r="K1330" s="122"/>
      <c r="L1330" s="122"/>
      <c r="M1330" s="74">
        <v>2000</v>
      </c>
      <c r="N1330" s="75" t="s">
        <v>19</v>
      </c>
      <c r="O1330" s="75" t="s">
        <v>54</v>
      </c>
      <c r="P1330" s="134" t="str">
        <f>IF(AND('331-CT'!$E$7=TH!H1330,OR(N1330="331",O1330="331")),"x","")</f>
        <v/>
      </c>
    </row>
    <row r="1331" spans="1:16" ht="13.5" customHeight="1">
      <c r="A1331" s="72">
        <f t="shared" ref="A1331:A1394" si="55">IF(C1331&lt;&gt;"",YEAR(C1331),"")</f>
        <v>2016</v>
      </c>
      <c r="B1331" s="72">
        <f t="shared" ref="B1331:B1394" si="56">IF(C1331&lt;&gt;"",MONTH(C1331),"")</f>
        <v>3</v>
      </c>
      <c r="C1331" s="73">
        <v>42445</v>
      </c>
      <c r="D1331" s="73" t="s">
        <v>17</v>
      </c>
      <c r="E1331" s="73">
        <v>42445</v>
      </c>
      <c r="F1331" s="76" t="s">
        <v>1271</v>
      </c>
      <c r="G1331" s="265" t="s">
        <v>1244</v>
      </c>
      <c r="H1331" s="122" t="s">
        <v>299</v>
      </c>
      <c r="I1331" s="122"/>
      <c r="J1331" s="122"/>
      <c r="K1331" s="122"/>
      <c r="L1331" s="122"/>
      <c r="M1331" s="74">
        <v>92291900</v>
      </c>
      <c r="N1331" s="75" t="s">
        <v>18</v>
      </c>
      <c r="O1331" s="75" t="s">
        <v>54</v>
      </c>
      <c r="P1331" s="134" t="str">
        <f>IF(AND('331-CT'!$E$7=TH!H1331,OR(N1331="331",O1331="331")),"x","")</f>
        <v/>
      </c>
    </row>
    <row r="1332" spans="1:16" ht="13.5" customHeight="1">
      <c r="A1332" s="72">
        <f t="shared" si="55"/>
        <v>2016</v>
      </c>
      <c r="B1332" s="72">
        <f t="shared" si="56"/>
        <v>3</v>
      </c>
      <c r="C1332" s="73">
        <v>42445</v>
      </c>
      <c r="D1332" s="73" t="s">
        <v>17</v>
      </c>
      <c r="E1332" s="73">
        <v>42445</v>
      </c>
      <c r="F1332" s="76" t="s">
        <v>34</v>
      </c>
      <c r="G1332" s="265" t="s">
        <v>1244</v>
      </c>
      <c r="H1332" s="122"/>
      <c r="I1332" s="122"/>
      <c r="J1332" s="122"/>
      <c r="K1332" s="122"/>
      <c r="L1332" s="122"/>
      <c r="M1332" s="74">
        <v>46146</v>
      </c>
      <c r="N1332" s="75" t="s">
        <v>241</v>
      </c>
      <c r="O1332" s="75" t="s">
        <v>54</v>
      </c>
      <c r="P1332" s="134" t="str">
        <f>IF(AND('331-CT'!$E$7=TH!H1332,OR(N1332="331",O1332="331")),"x","")</f>
        <v/>
      </c>
    </row>
    <row r="1333" spans="1:16" ht="13.5" customHeight="1">
      <c r="A1333" s="72">
        <f t="shared" si="55"/>
        <v>2016</v>
      </c>
      <c r="B1333" s="72">
        <f t="shared" si="56"/>
        <v>3</v>
      </c>
      <c r="C1333" s="73">
        <v>42445</v>
      </c>
      <c r="D1333" s="73" t="s">
        <v>17</v>
      </c>
      <c r="E1333" s="73">
        <v>42445</v>
      </c>
      <c r="F1333" s="76" t="s">
        <v>35</v>
      </c>
      <c r="G1333" s="265" t="s">
        <v>1244</v>
      </c>
      <c r="H1333" s="122"/>
      <c r="I1333" s="122"/>
      <c r="J1333" s="122"/>
      <c r="K1333" s="122"/>
      <c r="L1333" s="122"/>
      <c r="M1333" s="74">
        <v>4615</v>
      </c>
      <c r="N1333" s="75" t="s">
        <v>19</v>
      </c>
      <c r="O1333" s="75" t="s">
        <v>54</v>
      </c>
      <c r="P1333" s="134" t="str">
        <f>IF(AND('331-CT'!$E$7=TH!H1333,OR(N1333="331",O1333="331")),"x","")</f>
        <v/>
      </c>
    </row>
    <row r="1334" spans="1:16" ht="13.5" customHeight="1">
      <c r="A1334" s="72">
        <f t="shared" si="55"/>
        <v>2016</v>
      </c>
      <c r="B1334" s="72">
        <f t="shared" si="56"/>
        <v>3</v>
      </c>
      <c r="C1334" s="73">
        <v>42445</v>
      </c>
      <c r="D1334" s="73" t="s">
        <v>17</v>
      </c>
      <c r="E1334" s="73">
        <v>42445</v>
      </c>
      <c r="F1334" s="76" t="s">
        <v>23</v>
      </c>
      <c r="G1334" s="265" t="s">
        <v>1244</v>
      </c>
      <c r="H1334" s="122"/>
      <c r="I1334" s="122"/>
      <c r="J1334" s="122"/>
      <c r="K1334" s="122"/>
      <c r="L1334" s="122"/>
      <c r="M1334" s="74">
        <v>27688</v>
      </c>
      <c r="N1334" s="75" t="s">
        <v>241</v>
      </c>
      <c r="O1334" s="75" t="s">
        <v>54</v>
      </c>
      <c r="P1334" s="134" t="str">
        <f>IF(AND('331-CT'!$E$7=TH!H1334,OR(N1334="331",O1334="331")),"x","")</f>
        <v/>
      </c>
    </row>
    <row r="1335" spans="1:16" ht="13.5" customHeight="1">
      <c r="A1335" s="72">
        <f t="shared" si="55"/>
        <v>2016</v>
      </c>
      <c r="B1335" s="72">
        <f t="shared" si="56"/>
        <v>3</v>
      </c>
      <c r="C1335" s="73">
        <v>42445</v>
      </c>
      <c r="D1335" s="73" t="s">
        <v>17</v>
      </c>
      <c r="E1335" s="73">
        <v>42445</v>
      </c>
      <c r="F1335" s="76" t="s">
        <v>24</v>
      </c>
      <c r="G1335" s="265" t="s">
        <v>1244</v>
      </c>
      <c r="H1335" s="122"/>
      <c r="I1335" s="122"/>
      <c r="J1335" s="122"/>
      <c r="K1335" s="122"/>
      <c r="L1335" s="122"/>
      <c r="M1335" s="74">
        <v>2769</v>
      </c>
      <c r="N1335" s="75" t="s">
        <v>19</v>
      </c>
      <c r="O1335" s="75" t="s">
        <v>54</v>
      </c>
      <c r="P1335" s="134" t="str">
        <f>IF(AND('331-CT'!$E$7=TH!H1335,OR(N1335="331",O1335="331")),"x","")</f>
        <v/>
      </c>
    </row>
    <row r="1336" spans="1:16" ht="13.5" customHeight="1">
      <c r="A1336" s="72">
        <f t="shared" si="55"/>
        <v>2016</v>
      </c>
      <c r="B1336" s="72">
        <f t="shared" si="56"/>
        <v>3</v>
      </c>
      <c r="C1336" s="73">
        <v>42448</v>
      </c>
      <c r="D1336" s="73" t="s">
        <v>17</v>
      </c>
      <c r="E1336" s="73">
        <v>42448</v>
      </c>
      <c r="F1336" s="76" t="s">
        <v>1194</v>
      </c>
      <c r="G1336" s="265" t="s">
        <v>1244</v>
      </c>
      <c r="H1336" s="122" t="s">
        <v>313</v>
      </c>
      <c r="I1336" s="122"/>
      <c r="J1336" s="122"/>
      <c r="K1336" s="122"/>
      <c r="L1336" s="122"/>
      <c r="M1336" s="74">
        <v>7652778</v>
      </c>
      <c r="N1336" s="75" t="s">
        <v>239</v>
      </c>
      <c r="O1336" s="75" t="s">
        <v>54</v>
      </c>
      <c r="P1336" s="134" t="str">
        <f>IF(AND('331-CT'!$E$7=TH!H1336,OR(N1336="331",O1336="331")),"x","")</f>
        <v/>
      </c>
    </row>
    <row r="1337" spans="1:16" ht="13.5" customHeight="1">
      <c r="A1337" s="72">
        <f t="shared" si="55"/>
        <v>2016</v>
      </c>
      <c r="B1337" s="72">
        <f t="shared" si="56"/>
        <v>3</v>
      </c>
      <c r="C1337" s="73">
        <v>42448</v>
      </c>
      <c r="D1337" s="73" t="s">
        <v>17</v>
      </c>
      <c r="E1337" s="73">
        <v>42448</v>
      </c>
      <c r="F1337" s="76" t="s">
        <v>1194</v>
      </c>
      <c r="G1337" s="265" t="s">
        <v>1244</v>
      </c>
      <c r="H1337" s="122" t="s">
        <v>314</v>
      </c>
      <c r="I1337" s="122"/>
      <c r="J1337" s="122"/>
      <c r="K1337" s="122"/>
      <c r="L1337" s="122"/>
      <c r="M1337" s="74">
        <v>15305556</v>
      </c>
      <c r="N1337" s="75" t="s">
        <v>239</v>
      </c>
      <c r="O1337" s="75" t="s">
        <v>54</v>
      </c>
      <c r="P1337" s="134" t="str">
        <f>IF(AND('331-CT'!$E$7=TH!H1337,OR(N1337="331",O1337="331")),"x","")</f>
        <v/>
      </c>
    </row>
    <row r="1338" spans="1:16" ht="13.5" customHeight="1">
      <c r="A1338" s="72">
        <f t="shared" si="55"/>
        <v>2016</v>
      </c>
      <c r="B1338" s="72">
        <f t="shared" si="56"/>
        <v>3</v>
      </c>
      <c r="C1338" s="73">
        <v>42448</v>
      </c>
      <c r="D1338" s="73" t="s">
        <v>17</v>
      </c>
      <c r="E1338" s="73">
        <v>42448</v>
      </c>
      <c r="F1338" s="76" t="s">
        <v>1194</v>
      </c>
      <c r="G1338" s="265" t="s">
        <v>1244</v>
      </c>
      <c r="H1338" s="122" t="s">
        <v>316</v>
      </c>
      <c r="I1338" s="122"/>
      <c r="J1338" s="122"/>
      <c r="K1338" s="122"/>
      <c r="L1338" s="122"/>
      <c r="M1338" s="74">
        <v>12244444</v>
      </c>
      <c r="N1338" s="75" t="s">
        <v>239</v>
      </c>
      <c r="O1338" s="75" t="s">
        <v>54</v>
      </c>
      <c r="P1338" s="134" t="str">
        <f>IF(AND('331-CT'!$E$7=TH!H1338,OR(N1338="331",O1338="331")),"x","")</f>
        <v/>
      </c>
    </row>
    <row r="1339" spans="1:16" ht="13.5" customHeight="1">
      <c r="A1339" s="72">
        <f t="shared" si="55"/>
        <v>2016</v>
      </c>
      <c r="B1339" s="72">
        <f t="shared" si="56"/>
        <v>3</v>
      </c>
      <c r="C1339" s="73">
        <v>42448</v>
      </c>
      <c r="D1339" s="73" t="s">
        <v>17</v>
      </c>
      <c r="E1339" s="73">
        <v>42448</v>
      </c>
      <c r="F1339" s="76" t="s">
        <v>1194</v>
      </c>
      <c r="G1339" s="265" t="s">
        <v>1244</v>
      </c>
      <c r="H1339" s="122" t="s">
        <v>315</v>
      </c>
      <c r="I1339" s="122"/>
      <c r="J1339" s="122"/>
      <c r="K1339" s="122"/>
      <c r="L1339" s="122"/>
      <c r="M1339" s="74">
        <v>11479167</v>
      </c>
      <c r="N1339" s="75" t="s">
        <v>239</v>
      </c>
      <c r="O1339" s="75" t="s">
        <v>54</v>
      </c>
      <c r="P1339" s="134" t="str">
        <f>IF(AND('331-CT'!$E$7=TH!H1339,OR(N1339="331",O1339="331")),"x","")</f>
        <v/>
      </c>
    </row>
    <row r="1340" spans="1:16" ht="13.5" customHeight="1">
      <c r="A1340" s="72">
        <f t="shared" si="55"/>
        <v>2016</v>
      </c>
      <c r="B1340" s="72">
        <f t="shared" si="56"/>
        <v>3</v>
      </c>
      <c r="C1340" s="73">
        <v>42448</v>
      </c>
      <c r="D1340" s="73" t="s">
        <v>17</v>
      </c>
      <c r="E1340" s="73">
        <v>42448</v>
      </c>
      <c r="F1340" s="76" t="s">
        <v>1194</v>
      </c>
      <c r="G1340" s="265" t="s">
        <v>1244</v>
      </c>
      <c r="H1340" s="122" t="s">
        <v>317</v>
      </c>
      <c r="I1340" s="122"/>
      <c r="J1340" s="122"/>
      <c r="K1340" s="122"/>
      <c r="L1340" s="122"/>
      <c r="M1340" s="74">
        <v>7652778</v>
      </c>
      <c r="N1340" s="75" t="s">
        <v>239</v>
      </c>
      <c r="O1340" s="75" t="s">
        <v>54</v>
      </c>
      <c r="P1340" s="134" t="str">
        <f>IF(AND('331-CT'!$E$7=TH!H1340,OR(N1340="331",O1340="331")),"x","")</f>
        <v/>
      </c>
    </row>
    <row r="1341" spans="1:16" ht="13.5" customHeight="1">
      <c r="A1341" s="72">
        <f t="shared" si="55"/>
        <v>2016</v>
      </c>
      <c r="B1341" s="72">
        <f t="shared" si="56"/>
        <v>3</v>
      </c>
      <c r="C1341" s="73">
        <v>42448</v>
      </c>
      <c r="D1341" s="73" t="s">
        <v>17</v>
      </c>
      <c r="E1341" s="73">
        <v>42448</v>
      </c>
      <c r="F1341" s="76" t="s">
        <v>1194</v>
      </c>
      <c r="G1341" s="265" t="s">
        <v>1244</v>
      </c>
      <c r="H1341" s="122" t="s">
        <v>318</v>
      </c>
      <c r="I1341" s="122"/>
      <c r="J1341" s="122"/>
      <c r="K1341" s="122"/>
      <c r="L1341" s="122"/>
      <c r="M1341" s="74">
        <v>11479167</v>
      </c>
      <c r="N1341" s="75" t="s">
        <v>239</v>
      </c>
      <c r="O1341" s="75" t="s">
        <v>54</v>
      </c>
      <c r="P1341" s="134" t="str">
        <f>IF(AND('331-CT'!$E$7=TH!H1341,OR(N1341="331",O1341="331")),"x","")</f>
        <v/>
      </c>
    </row>
    <row r="1342" spans="1:16" ht="13.5" customHeight="1">
      <c r="A1342" s="72">
        <f t="shared" si="55"/>
        <v>2016</v>
      </c>
      <c r="B1342" s="72">
        <f t="shared" si="56"/>
        <v>3</v>
      </c>
      <c r="C1342" s="73">
        <v>42448</v>
      </c>
      <c r="D1342" s="73" t="s">
        <v>17</v>
      </c>
      <c r="E1342" s="73">
        <v>42448</v>
      </c>
      <c r="F1342" s="76" t="s">
        <v>1194</v>
      </c>
      <c r="G1342" s="265" t="s">
        <v>1244</v>
      </c>
      <c r="H1342" s="122" t="s">
        <v>319</v>
      </c>
      <c r="I1342" s="122"/>
      <c r="J1342" s="122"/>
      <c r="K1342" s="122"/>
      <c r="L1342" s="122"/>
      <c r="M1342" s="74">
        <v>15305556</v>
      </c>
      <c r="N1342" s="75" t="s">
        <v>239</v>
      </c>
      <c r="O1342" s="75" t="s">
        <v>54</v>
      </c>
      <c r="P1342" s="134" t="str">
        <f>IF(AND('331-CT'!$E$7=TH!H1342,OR(N1342="331",O1342="331")),"x","")</f>
        <v/>
      </c>
    </row>
    <row r="1343" spans="1:16" ht="13.5" customHeight="1">
      <c r="A1343" s="72">
        <f t="shared" si="55"/>
        <v>2016</v>
      </c>
      <c r="B1343" s="72">
        <f t="shared" si="56"/>
        <v>3</v>
      </c>
      <c r="C1343" s="73">
        <v>42448</v>
      </c>
      <c r="D1343" s="73" t="s">
        <v>17</v>
      </c>
      <c r="E1343" s="73">
        <v>42448</v>
      </c>
      <c r="F1343" s="76" t="s">
        <v>1194</v>
      </c>
      <c r="G1343" s="265" t="s">
        <v>1244</v>
      </c>
      <c r="H1343" s="122" t="s">
        <v>320</v>
      </c>
      <c r="I1343" s="122"/>
      <c r="J1343" s="122"/>
      <c r="K1343" s="122"/>
      <c r="L1343" s="122"/>
      <c r="M1343" s="74">
        <v>10713889</v>
      </c>
      <c r="N1343" s="75" t="s">
        <v>239</v>
      </c>
      <c r="O1343" s="75" t="s">
        <v>54</v>
      </c>
      <c r="P1343" s="134" t="str">
        <f>IF(AND('331-CT'!$E$7=TH!H1343,OR(N1343="331",O1343="331")),"x","")</f>
        <v/>
      </c>
    </row>
    <row r="1344" spans="1:16" ht="13.5" customHeight="1">
      <c r="A1344" s="72">
        <f t="shared" si="55"/>
        <v>2016</v>
      </c>
      <c r="B1344" s="72">
        <f t="shared" si="56"/>
        <v>3</v>
      </c>
      <c r="C1344" s="73">
        <v>42448</v>
      </c>
      <c r="D1344" s="73" t="s">
        <v>17</v>
      </c>
      <c r="E1344" s="73">
        <v>42448</v>
      </c>
      <c r="F1344" s="76" t="s">
        <v>1194</v>
      </c>
      <c r="G1344" s="265" t="s">
        <v>1244</v>
      </c>
      <c r="H1344" s="122" t="s">
        <v>321</v>
      </c>
      <c r="I1344" s="122"/>
      <c r="J1344" s="122"/>
      <c r="K1344" s="122"/>
      <c r="L1344" s="122"/>
      <c r="M1344" s="74">
        <v>11479167</v>
      </c>
      <c r="N1344" s="75" t="s">
        <v>239</v>
      </c>
      <c r="O1344" s="75" t="s">
        <v>54</v>
      </c>
      <c r="P1344" s="134" t="str">
        <f>IF(AND('331-CT'!$E$7=TH!H1344,OR(N1344="331",O1344="331")),"x","")</f>
        <v/>
      </c>
    </row>
    <row r="1345" spans="1:16" ht="13.5" customHeight="1">
      <c r="A1345" s="72">
        <f t="shared" si="55"/>
        <v>2016</v>
      </c>
      <c r="B1345" s="72">
        <f t="shared" si="56"/>
        <v>3</v>
      </c>
      <c r="C1345" s="73">
        <v>42448</v>
      </c>
      <c r="D1345" s="73" t="s">
        <v>17</v>
      </c>
      <c r="E1345" s="73">
        <v>42448</v>
      </c>
      <c r="F1345" s="76" t="s">
        <v>1194</v>
      </c>
      <c r="G1345" s="265" t="s">
        <v>1244</v>
      </c>
      <c r="H1345" s="122" t="s">
        <v>325</v>
      </c>
      <c r="I1345" s="122"/>
      <c r="J1345" s="122"/>
      <c r="K1345" s="122"/>
      <c r="L1345" s="122"/>
      <c r="M1345" s="74">
        <v>11479167</v>
      </c>
      <c r="N1345" s="75" t="s">
        <v>239</v>
      </c>
      <c r="O1345" s="75" t="s">
        <v>54</v>
      </c>
      <c r="P1345" s="134" t="str">
        <f>IF(AND('331-CT'!$E$7=TH!H1345,OR(N1345="331",O1345="331")),"x","")</f>
        <v/>
      </c>
    </row>
    <row r="1346" spans="1:16" ht="13.5" customHeight="1">
      <c r="A1346" s="72">
        <f t="shared" si="55"/>
        <v>2016</v>
      </c>
      <c r="B1346" s="72">
        <f t="shared" si="56"/>
        <v>3</v>
      </c>
      <c r="C1346" s="73">
        <v>42448</v>
      </c>
      <c r="D1346" s="73" t="s">
        <v>17</v>
      </c>
      <c r="E1346" s="73">
        <v>42448</v>
      </c>
      <c r="F1346" s="76" t="s">
        <v>1194</v>
      </c>
      <c r="G1346" s="265" t="s">
        <v>1244</v>
      </c>
      <c r="H1346" s="122" t="s">
        <v>416</v>
      </c>
      <c r="I1346" s="122"/>
      <c r="J1346" s="122"/>
      <c r="K1346" s="122"/>
      <c r="L1346" s="122"/>
      <c r="M1346" s="74">
        <v>11479167</v>
      </c>
      <c r="N1346" s="75" t="s">
        <v>239</v>
      </c>
      <c r="O1346" s="75" t="s">
        <v>54</v>
      </c>
      <c r="P1346" s="134" t="str">
        <f>IF(AND('331-CT'!$E$7=TH!H1346,OR(N1346="331",O1346="331")),"x","")</f>
        <v/>
      </c>
    </row>
    <row r="1347" spans="1:16" ht="13.5" customHeight="1">
      <c r="A1347" s="72">
        <f t="shared" si="55"/>
        <v>2016</v>
      </c>
      <c r="B1347" s="72">
        <f t="shared" si="56"/>
        <v>3</v>
      </c>
      <c r="C1347" s="73">
        <v>42448</v>
      </c>
      <c r="D1347" s="73" t="s">
        <v>17</v>
      </c>
      <c r="E1347" s="73">
        <v>42448</v>
      </c>
      <c r="F1347" s="76" t="s">
        <v>1194</v>
      </c>
      <c r="G1347" s="265" t="s">
        <v>1244</v>
      </c>
      <c r="H1347" s="122" t="s">
        <v>323</v>
      </c>
      <c r="I1347" s="122"/>
      <c r="J1347" s="122"/>
      <c r="K1347" s="122"/>
      <c r="L1347" s="122"/>
      <c r="M1347" s="74">
        <v>11479167</v>
      </c>
      <c r="N1347" s="75" t="s">
        <v>239</v>
      </c>
      <c r="O1347" s="75" t="s">
        <v>54</v>
      </c>
      <c r="P1347" s="134" t="str">
        <f>IF(AND('331-CT'!$E$7=TH!H1347,OR(N1347="331",O1347="331")),"x","")</f>
        <v/>
      </c>
    </row>
    <row r="1348" spans="1:16" ht="13.5" customHeight="1">
      <c r="A1348" s="72">
        <f t="shared" si="55"/>
        <v>2016</v>
      </c>
      <c r="B1348" s="72">
        <f t="shared" si="56"/>
        <v>3</v>
      </c>
      <c r="C1348" s="73">
        <v>42448</v>
      </c>
      <c r="D1348" s="73" t="s">
        <v>17</v>
      </c>
      <c r="E1348" s="73">
        <v>42448</v>
      </c>
      <c r="F1348" s="76" t="s">
        <v>1194</v>
      </c>
      <c r="G1348" s="265" t="s">
        <v>1244</v>
      </c>
      <c r="H1348" s="122" t="s">
        <v>421</v>
      </c>
      <c r="I1348" s="122"/>
      <c r="J1348" s="122"/>
      <c r="K1348" s="122"/>
      <c r="L1348" s="122"/>
      <c r="M1348" s="74">
        <v>7652778</v>
      </c>
      <c r="N1348" s="75" t="s">
        <v>239</v>
      </c>
      <c r="O1348" s="75" t="s">
        <v>54</v>
      </c>
      <c r="P1348" s="134" t="str">
        <f>IF(AND('331-CT'!$E$7=TH!H1348,OR(N1348="331",O1348="331")),"x","")</f>
        <v/>
      </c>
    </row>
    <row r="1349" spans="1:16" ht="13.5" customHeight="1">
      <c r="A1349" s="72">
        <f t="shared" si="55"/>
        <v>2016</v>
      </c>
      <c r="B1349" s="72">
        <f t="shared" si="56"/>
        <v>3</v>
      </c>
      <c r="C1349" s="73">
        <v>42448</v>
      </c>
      <c r="D1349" s="73" t="s">
        <v>17</v>
      </c>
      <c r="E1349" s="73">
        <v>42448</v>
      </c>
      <c r="F1349" s="76" t="s">
        <v>1194</v>
      </c>
      <c r="G1349" s="265" t="s">
        <v>1244</v>
      </c>
      <c r="H1349" s="122" t="s">
        <v>455</v>
      </c>
      <c r="I1349" s="122"/>
      <c r="J1349" s="122"/>
      <c r="K1349" s="122"/>
      <c r="L1349" s="122"/>
      <c r="M1349" s="74">
        <v>7652778</v>
      </c>
      <c r="N1349" s="75" t="s">
        <v>239</v>
      </c>
      <c r="O1349" s="75" t="s">
        <v>54</v>
      </c>
      <c r="P1349" s="134" t="str">
        <f>IF(AND('331-CT'!$E$7=TH!H1349,OR(N1349="331",O1349="331")),"x","")</f>
        <v/>
      </c>
    </row>
    <row r="1350" spans="1:16" ht="13.5" customHeight="1">
      <c r="A1350" s="72">
        <f t="shared" si="55"/>
        <v>2016</v>
      </c>
      <c r="B1350" s="72">
        <f t="shared" si="56"/>
        <v>3</v>
      </c>
      <c r="C1350" s="73">
        <v>42448</v>
      </c>
      <c r="D1350" s="73" t="s">
        <v>17</v>
      </c>
      <c r="E1350" s="73">
        <v>42448</v>
      </c>
      <c r="F1350" s="76" t="s">
        <v>1200</v>
      </c>
      <c r="G1350" s="265" t="s">
        <v>1244</v>
      </c>
      <c r="H1350" s="122" t="s">
        <v>1201</v>
      </c>
      <c r="I1350" s="122"/>
      <c r="J1350" s="122"/>
      <c r="K1350" s="122"/>
      <c r="L1350" s="122"/>
      <c r="M1350" s="74">
        <v>50000000</v>
      </c>
      <c r="N1350" s="75" t="s">
        <v>212</v>
      </c>
      <c r="O1350" s="75" t="s">
        <v>54</v>
      </c>
      <c r="P1350" s="134" t="str">
        <f>IF(AND('331-CT'!$E$7=TH!H1350,OR(N1350="331",O1350="331")),"x","")</f>
        <v/>
      </c>
    </row>
    <row r="1351" spans="1:16" ht="13.5" customHeight="1">
      <c r="A1351" s="72">
        <f t="shared" si="55"/>
        <v>2016</v>
      </c>
      <c r="B1351" s="72">
        <f t="shared" si="56"/>
        <v>3</v>
      </c>
      <c r="C1351" s="73">
        <v>42448</v>
      </c>
      <c r="D1351" s="73" t="s">
        <v>17</v>
      </c>
      <c r="E1351" s="73">
        <v>42448</v>
      </c>
      <c r="F1351" s="76" t="s">
        <v>1272</v>
      </c>
      <c r="G1351" s="265"/>
      <c r="H1351" s="122" t="s">
        <v>1201</v>
      </c>
      <c r="I1351" s="122"/>
      <c r="J1351" s="122"/>
      <c r="K1351" s="122"/>
      <c r="L1351" s="122"/>
      <c r="M1351" s="74">
        <v>50000000</v>
      </c>
      <c r="N1351" s="75" t="s">
        <v>203</v>
      </c>
      <c r="O1351" s="75" t="s">
        <v>212</v>
      </c>
      <c r="P1351" s="134" t="str">
        <f>IF(AND('331-CT'!$E$7=TH!H1351,OR(N1351="331",O1351="331")),"x","")</f>
        <v/>
      </c>
    </row>
    <row r="1352" spans="1:16" ht="13.5" customHeight="1">
      <c r="A1352" s="72" t="str">
        <f t="shared" si="55"/>
        <v/>
      </c>
      <c r="B1352" s="72" t="str">
        <f t="shared" si="56"/>
        <v/>
      </c>
      <c r="C1352" s="73"/>
      <c r="D1352" s="73"/>
      <c r="E1352" s="73"/>
      <c r="F1352" s="76"/>
      <c r="G1352" s="265"/>
      <c r="H1352" s="122"/>
      <c r="I1352" s="122"/>
      <c r="J1352" s="122"/>
      <c r="K1352" s="122"/>
      <c r="L1352" s="122"/>
      <c r="M1352" s="74"/>
      <c r="N1352" s="75"/>
      <c r="O1352" s="75"/>
      <c r="P1352" s="134" t="str">
        <f>IF(AND('331-CT'!$E$7=TH!H1352,OR(N1352="331",O1352="331")),"x","")</f>
        <v/>
      </c>
    </row>
    <row r="1353" spans="1:16" ht="13.5" customHeight="1">
      <c r="A1353" s="72" t="str">
        <f t="shared" si="55"/>
        <v/>
      </c>
      <c r="B1353" s="72" t="str">
        <f t="shared" si="56"/>
        <v/>
      </c>
      <c r="C1353" s="73"/>
      <c r="D1353" s="73"/>
      <c r="E1353" s="73"/>
      <c r="F1353" s="76"/>
      <c r="G1353" s="265"/>
      <c r="H1353" s="122"/>
      <c r="I1353" s="122"/>
      <c r="J1353" s="122"/>
      <c r="K1353" s="122"/>
      <c r="L1353" s="122"/>
      <c r="M1353" s="74"/>
      <c r="N1353" s="75"/>
      <c r="O1353" s="75"/>
      <c r="P1353" s="134" t="str">
        <f>IF(AND('331-CT'!$E$7=TH!H1353,OR(N1353="331",O1353="331")),"x","")</f>
        <v/>
      </c>
    </row>
    <row r="1354" spans="1:16" ht="13.5" customHeight="1">
      <c r="A1354" s="72" t="str">
        <f t="shared" si="55"/>
        <v/>
      </c>
      <c r="B1354" s="72" t="str">
        <f t="shared" si="56"/>
        <v/>
      </c>
      <c r="C1354" s="73"/>
      <c r="D1354" s="73"/>
      <c r="E1354" s="73"/>
      <c r="F1354" s="76"/>
      <c r="G1354" s="265"/>
      <c r="H1354" s="122"/>
      <c r="I1354" s="122"/>
      <c r="J1354" s="122"/>
      <c r="K1354" s="122"/>
      <c r="L1354" s="122"/>
      <c r="M1354" s="74"/>
      <c r="N1354" s="75"/>
      <c r="O1354" s="75"/>
      <c r="P1354" s="134" t="str">
        <f>IF(AND('331-CT'!$E$7=TH!H1354,OR(N1354="331",O1354="331")),"x","")</f>
        <v/>
      </c>
    </row>
    <row r="1355" spans="1:16" ht="13.5" customHeight="1">
      <c r="A1355" s="72" t="str">
        <f t="shared" si="55"/>
        <v/>
      </c>
      <c r="B1355" s="72" t="str">
        <f t="shared" si="56"/>
        <v/>
      </c>
      <c r="C1355" s="73"/>
      <c r="D1355" s="73"/>
      <c r="E1355" s="73"/>
      <c r="F1355" s="76"/>
      <c r="G1355" s="265"/>
      <c r="H1355" s="122"/>
      <c r="I1355" s="122"/>
      <c r="J1355" s="122"/>
      <c r="K1355" s="122"/>
      <c r="L1355" s="122"/>
      <c r="M1355" s="74"/>
      <c r="N1355" s="75"/>
      <c r="O1355" s="75"/>
      <c r="P1355" s="134" t="str">
        <f>IF(AND('331-CT'!$E$7=TH!H1355,OR(N1355="331",O1355="331")),"x","")</f>
        <v/>
      </c>
    </row>
    <row r="1356" spans="1:16" ht="13.5" customHeight="1">
      <c r="A1356" s="72" t="str">
        <f t="shared" si="55"/>
        <v/>
      </c>
      <c r="B1356" s="72" t="str">
        <f t="shared" si="56"/>
        <v/>
      </c>
      <c r="C1356" s="73"/>
      <c r="D1356" s="73"/>
      <c r="E1356" s="73"/>
      <c r="F1356" s="76"/>
      <c r="G1356" s="265"/>
      <c r="H1356" s="122"/>
      <c r="I1356" s="122"/>
      <c r="J1356" s="122"/>
      <c r="K1356" s="122"/>
      <c r="L1356" s="122"/>
      <c r="M1356" s="74"/>
      <c r="N1356" s="75"/>
      <c r="O1356" s="75"/>
      <c r="P1356" s="134" t="str">
        <f>IF(AND('331-CT'!$E$7=TH!H1356,OR(N1356="331",O1356="331")),"x","")</f>
        <v/>
      </c>
    </row>
    <row r="1357" spans="1:16" ht="13.5" customHeight="1">
      <c r="A1357" s="72" t="str">
        <f t="shared" si="55"/>
        <v/>
      </c>
      <c r="B1357" s="72" t="str">
        <f t="shared" si="56"/>
        <v/>
      </c>
      <c r="C1357" s="73"/>
      <c r="D1357" s="73"/>
      <c r="E1357" s="73"/>
      <c r="F1357" s="76"/>
      <c r="G1357" s="265"/>
      <c r="H1357" s="122"/>
      <c r="I1357" s="122"/>
      <c r="J1357" s="122"/>
      <c r="K1357" s="122"/>
      <c r="L1357" s="122"/>
      <c r="M1357" s="74"/>
      <c r="N1357" s="75"/>
      <c r="O1357" s="75"/>
      <c r="P1357" s="134" t="str">
        <f>IF(AND('331-CT'!$E$7=TH!H1357,OR(N1357="331",O1357="331")),"x","")</f>
        <v/>
      </c>
    </row>
    <row r="1358" spans="1:16" ht="13.5" customHeight="1">
      <c r="A1358" s="72" t="str">
        <f t="shared" si="55"/>
        <v/>
      </c>
      <c r="B1358" s="72" t="str">
        <f t="shared" si="56"/>
        <v/>
      </c>
      <c r="C1358" s="73"/>
      <c r="D1358" s="73"/>
      <c r="E1358" s="73"/>
      <c r="F1358" s="76"/>
      <c r="G1358" s="265"/>
      <c r="H1358" s="122"/>
      <c r="I1358" s="122"/>
      <c r="J1358" s="122"/>
      <c r="K1358" s="122"/>
      <c r="L1358" s="122"/>
      <c r="M1358" s="74"/>
      <c r="N1358" s="75"/>
      <c r="O1358" s="75"/>
      <c r="P1358" s="134" t="str">
        <f>IF(AND('331-CT'!$E$7=TH!H1358,OR(N1358="331",O1358="331")),"x","")</f>
        <v/>
      </c>
    </row>
    <row r="1359" spans="1:16" ht="13.5" customHeight="1">
      <c r="A1359" s="72" t="str">
        <f t="shared" si="55"/>
        <v/>
      </c>
      <c r="B1359" s="72" t="str">
        <f t="shared" si="56"/>
        <v/>
      </c>
      <c r="C1359" s="73"/>
      <c r="D1359" s="73"/>
      <c r="E1359" s="73"/>
      <c r="F1359" s="76"/>
      <c r="G1359" s="265"/>
      <c r="H1359" s="122"/>
      <c r="I1359" s="122"/>
      <c r="J1359" s="122"/>
      <c r="K1359" s="122"/>
      <c r="L1359" s="122"/>
      <c r="M1359" s="74"/>
      <c r="N1359" s="75"/>
      <c r="O1359" s="75"/>
      <c r="P1359" s="134" t="str">
        <f>IF(AND('331-CT'!$E$7=TH!H1359,OR(N1359="331",O1359="331")),"x","")</f>
        <v/>
      </c>
    </row>
    <row r="1360" spans="1:16" ht="13.5" customHeight="1">
      <c r="A1360" s="72" t="str">
        <f t="shared" si="55"/>
        <v/>
      </c>
      <c r="B1360" s="72" t="str">
        <f t="shared" si="56"/>
        <v/>
      </c>
      <c r="C1360" s="73"/>
      <c r="D1360" s="73"/>
      <c r="E1360" s="73"/>
      <c r="F1360" s="76"/>
      <c r="G1360" s="265"/>
      <c r="H1360" s="122"/>
      <c r="I1360" s="122"/>
      <c r="J1360" s="122"/>
      <c r="K1360" s="122"/>
      <c r="L1360" s="122"/>
      <c r="M1360" s="74"/>
      <c r="N1360" s="75"/>
      <c r="O1360" s="75"/>
      <c r="P1360" s="134" t="str">
        <f>IF(AND('331-CT'!$E$7=TH!H1360,OR(N1360="331",O1360="331")),"x","")</f>
        <v/>
      </c>
    </row>
    <row r="1361" spans="1:16" ht="13.5" customHeight="1">
      <c r="A1361" s="72" t="str">
        <f t="shared" si="55"/>
        <v/>
      </c>
      <c r="B1361" s="72" t="str">
        <f t="shared" si="56"/>
        <v/>
      </c>
      <c r="C1361" s="73"/>
      <c r="D1361" s="73"/>
      <c r="E1361" s="73"/>
      <c r="F1361" s="76"/>
      <c r="G1361" s="265"/>
      <c r="H1361" s="122"/>
      <c r="I1361" s="122"/>
      <c r="J1361" s="122"/>
      <c r="K1361" s="122"/>
      <c r="L1361" s="122"/>
      <c r="M1361" s="74"/>
      <c r="N1361" s="75"/>
      <c r="O1361" s="75"/>
      <c r="P1361" s="134" t="str">
        <f>IF(AND('331-CT'!$E$7=TH!H1361,OR(N1361="331",O1361="331")),"x","")</f>
        <v/>
      </c>
    </row>
    <row r="1362" spans="1:16" ht="13.5" customHeight="1">
      <c r="A1362" s="72" t="str">
        <f t="shared" si="55"/>
        <v/>
      </c>
      <c r="B1362" s="72" t="str">
        <f t="shared" si="56"/>
        <v/>
      </c>
      <c r="C1362" s="73"/>
      <c r="D1362" s="73"/>
      <c r="E1362" s="73"/>
      <c r="F1362" s="76"/>
      <c r="G1362" s="265"/>
      <c r="H1362" s="122"/>
      <c r="I1362" s="122"/>
      <c r="J1362" s="122"/>
      <c r="K1362" s="122"/>
      <c r="L1362" s="122"/>
      <c r="M1362" s="74"/>
      <c r="N1362" s="75"/>
      <c r="O1362" s="75"/>
      <c r="P1362" s="134" t="str">
        <f>IF(AND('331-CT'!$E$7=TH!H1362,OR(N1362="331",O1362="331")),"x","")</f>
        <v/>
      </c>
    </row>
    <row r="1363" spans="1:16" ht="13.5" customHeight="1">
      <c r="A1363" s="72" t="str">
        <f t="shared" si="55"/>
        <v/>
      </c>
      <c r="B1363" s="72" t="str">
        <f t="shared" si="56"/>
        <v/>
      </c>
      <c r="C1363" s="73"/>
      <c r="D1363" s="73"/>
      <c r="E1363" s="73"/>
      <c r="F1363" s="76"/>
      <c r="G1363" s="265"/>
      <c r="H1363" s="122"/>
      <c r="I1363" s="122"/>
      <c r="J1363" s="122"/>
      <c r="K1363" s="122"/>
      <c r="L1363" s="122"/>
      <c r="M1363" s="74"/>
      <c r="N1363" s="75"/>
      <c r="O1363" s="75"/>
      <c r="P1363" s="134" t="str">
        <f>IF(AND('331-CT'!$E$7=TH!H1363,OR(N1363="331",O1363="331")),"x","")</f>
        <v/>
      </c>
    </row>
    <row r="1364" spans="1:16" ht="13.5" customHeight="1">
      <c r="A1364" s="72" t="str">
        <f t="shared" si="55"/>
        <v/>
      </c>
      <c r="B1364" s="72" t="str">
        <f t="shared" si="56"/>
        <v/>
      </c>
      <c r="C1364" s="73"/>
      <c r="D1364" s="73"/>
      <c r="E1364" s="73"/>
      <c r="F1364" s="76"/>
      <c r="G1364" s="265"/>
      <c r="H1364" s="122"/>
      <c r="I1364" s="122"/>
      <c r="J1364" s="122"/>
      <c r="K1364" s="122"/>
      <c r="L1364" s="122"/>
      <c r="M1364" s="74"/>
      <c r="N1364" s="75"/>
      <c r="O1364" s="75"/>
      <c r="P1364" s="134" t="str">
        <f>IF(AND('331-CT'!$E$7=TH!H1364,OR(N1364="331",O1364="331")),"x","")</f>
        <v/>
      </c>
    </row>
    <row r="1365" spans="1:16" ht="13.5" customHeight="1">
      <c r="A1365" s="72" t="str">
        <f t="shared" si="55"/>
        <v/>
      </c>
      <c r="B1365" s="72" t="str">
        <f t="shared" si="56"/>
        <v/>
      </c>
      <c r="C1365" s="73"/>
      <c r="D1365" s="73"/>
      <c r="E1365" s="73"/>
      <c r="F1365" s="76"/>
      <c r="G1365" s="265"/>
      <c r="H1365" s="122"/>
      <c r="I1365" s="122"/>
      <c r="J1365" s="122"/>
      <c r="K1365" s="122"/>
      <c r="L1365" s="122"/>
      <c r="M1365" s="74"/>
      <c r="N1365" s="75"/>
      <c r="O1365" s="75"/>
      <c r="P1365" s="134" t="str">
        <f>IF(AND('331-CT'!$E$7=TH!H1365,OR(N1365="331",O1365="331")),"x","")</f>
        <v/>
      </c>
    </row>
    <row r="1366" spans="1:16" ht="13.5" customHeight="1">
      <c r="A1366" s="72" t="str">
        <f t="shared" si="55"/>
        <v/>
      </c>
      <c r="B1366" s="72" t="str">
        <f t="shared" si="56"/>
        <v/>
      </c>
      <c r="C1366" s="73"/>
      <c r="D1366" s="73"/>
      <c r="E1366" s="73"/>
      <c r="F1366" s="76"/>
      <c r="G1366" s="265"/>
      <c r="H1366" s="122"/>
      <c r="I1366" s="122"/>
      <c r="J1366" s="122"/>
      <c r="K1366" s="122"/>
      <c r="L1366" s="122"/>
      <c r="M1366" s="74"/>
      <c r="N1366" s="75"/>
      <c r="O1366" s="75"/>
      <c r="P1366" s="134" t="str">
        <f>IF(AND('331-CT'!$E$7=TH!H1366,OR(N1366="331",O1366="331")),"x","")</f>
        <v/>
      </c>
    </row>
    <row r="1367" spans="1:16" ht="13.5" customHeight="1">
      <c r="A1367" s="72" t="str">
        <f t="shared" si="55"/>
        <v/>
      </c>
      <c r="B1367" s="72" t="str">
        <f t="shared" si="56"/>
        <v/>
      </c>
      <c r="C1367" s="73"/>
      <c r="D1367" s="73"/>
      <c r="E1367" s="73"/>
      <c r="F1367" s="76"/>
      <c r="G1367" s="265"/>
      <c r="H1367" s="122"/>
      <c r="I1367" s="122"/>
      <c r="J1367" s="122"/>
      <c r="K1367" s="122"/>
      <c r="L1367" s="122"/>
      <c r="M1367" s="74"/>
      <c r="N1367" s="75"/>
      <c r="O1367" s="75"/>
      <c r="P1367" s="134" t="str">
        <f>IF(AND('331-CT'!$E$7=TH!H1367,OR(N1367="331",O1367="331")),"x","")</f>
        <v/>
      </c>
    </row>
    <row r="1368" spans="1:16" ht="13.5" customHeight="1">
      <c r="A1368" s="72" t="str">
        <f t="shared" si="55"/>
        <v/>
      </c>
      <c r="B1368" s="72" t="str">
        <f t="shared" si="56"/>
        <v/>
      </c>
      <c r="C1368" s="73"/>
      <c r="D1368" s="73"/>
      <c r="E1368" s="73"/>
      <c r="F1368" s="76"/>
      <c r="G1368" s="265"/>
      <c r="H1368" s="122"/>
      <c r="I1368" s="122"/>
      <c r="J1368" s="122"/>
      <c r="K1368" s="122"/>
      <c r="L1368" s="122"/>
      <c r="M1368" s="74"/>
      <c r="N1368" s="75"/>
      <c r="O1368" s="75"/>
      <c r="P1368" s="134" t="str">
        <f>IF(AND('331-CT'!$E$7=TH!H1368,OR(N1368="331",O1368="331")),"x","")</f>
        <v/>
      </c>
    </row>
    <row r="1369" spans="1:16" ht="13.5" customHeight="1">
      <c r="A1369" s="72" t="str">
        <f t="shared" si="55"/>
        <v/>
      </c>
      <c r="B1369" s="72" t="str">
        <f t="shared" si="56"/>
        <v/>
      </c>
      <c r="C1369" s="73"/>
      <c r="D1369" s="73"/>
      <c r="E1369" s="73"/>
      <c r="F1369" s="76"/>
      <c r="G1369" s="265"/>
      <c r="H1369" s="122"/>
      <c r="I1369" s="122"/>
      <c r="J1369" s="122"/>
      <c r="K1369" s="122"/>
      <c r="L1369" s="122"/>
      <c r="M1369" s="74"/>
      <c r="N1369" s="75"/>
      <c r="O1369" s="75"/>
      <c r="P1369" s="134" t="str">
        <f>IF(AND('331-CT'!$E$7=TH!H1369,OR(N1369="331",O1369="331")),"x","")</f>
        <v/>
      </c>
    </row>
    <row r="1370" spans="1:16" ht="13.5" customHeight="1">
      <c r="A1370" s="72" t="str">
        <f t="shared" si="55"/>
        <v/>
      </c>
      <c r="B1370" s="72" t="str">
        <f t="shared" si="56"/>
        <v/>
      </c>
      <c r="C1370" s="73"/>
      <c r="D1370" s="73"/>
      <c r="E1370" s="73"/>
      <c r="F1370" s="76"/>
      <c r="G1370" s="265"/>
      <c r="H1370" s="122"/>
      <c r="I1370" s="122"/>
      <c r="J1370" s="122"/>
      <c r="K1370" s="122"/>
      <c r="L1370" s="122"/>
      <c r="M1370" s="74"/>
      <c r="N1370" s="75"/>
      <c r="O1370" s="75"/>
      <c r="P1370" s="134" t="str">
        <f>IF(AND('331-CT'!$E$7=TH!H1370,OR(N1370="331",O1370="331")),"x","")</f>
        <v/>
      </c>
    </row>
    <row r="1371" spans="1:16" ht="13.5" customHeight="1">
      <c r="A1371" s="72" t="str">
        <f t="shared" si="55"/>
        <v/>
      </c>
      <c r="B1371" s="72" t="str">
        <f t="shared" si="56"/>
        <v/>
      </c>
      <c r="C1371" s="73"/>
      <c r="D1371" s="73"/>
      <c r="E1371" s="73"/>
      <c r="F1371" s="76"/>
      <c r="G1371" s="265"/>
      <c r="H1371" s="122"/>
      <c r="I1371" s="122"/>
      <c r="J1371" s="122"/>
      <c r="K1371" s="122"/>
      <c r="L1371" s="122"/>
      <c r="M1371" s="74"/>
      <c r="N1371" s="75"/>
      <c r="O1371" s="75"/>
      <c r="P1371" s="134" t="str">
        <f>IF(AND('331-CT'!$E$7=TH!H1371,OR(N1371="331",O1371="331")),"x","")</f>
        <v/>
      </c>
    </row>
    <row r="1372" spans="1:16" ht="13.5" customHeight="1">
      <c r="A1372" s="72" t="str">
        <f t="shared" si="55"/>
        <v/>
      </c>
      <c r="B1372" s="72" t="str">
        <f t="shared" si="56"/>
        <v/>
      </c>
      <c r="C1372" s="73"/>
      <c r="D1372" s="73"/>
      <c r="E1372" s="73"/>
      <c r="F1372" s="76"/>
      <c r="G1372" s="265"/>
      <c r="H1372" s="122"/>
      <c r="I1372" s="122"/>
      <c r="J1372" s="122"/>
      <c r="K1372" s="122"/>
      <c r="L1372" s="122"/>
      <c r="M1372" s="74"/>
      <c r="N1372" s="75"/>
      <c r="O1372" s="75"/>
      <c r="P1372" s="134" t="str">
        <f>IF(AND('331-CT'!$E$7=TH!H1372,OR(N1372="331",O1372="331")),"x","")</f>
        <v/>
      </c>
    </row>
    <row r="1373" spans="1:16" ht="13.5" customHeight="1">
      <c r="A1373" s="72" t="str">
        <f t="shared" si="55"/>
        <v/>
      </c>
      <c r="B1373" s="72" t="str">
        <f t="shared" si="56"/>
        <v/>
      </c>
      <c r="C1373" s="73"/>
      <c r="D1373" s="73"/>
      <c r="E1373" s="73"/>
      <c r="F1373" s="76"/>
      <c r="G1373" s="265"/>
      <c r="H1373" s="122"/>
      <c r="I1373" s="122"/>
      <c r="J1373" s="122"/>
      <c r="K1373" s="122"/>
      <c r="L1373" s="122"/>
      <c r="M1373" s="74"/>
      <c r="N1373" s="75"/>
      <c r="O1373" s="75"/>
      <c r="P1373" s="134" t="str">
        <f>IF(AND('331-CT'!$E$7=TH!H1373,OR(N1373="331",O1373="331")),"x","")</f>
        <v/>
      </c>
    </row>
    <row r="1374" spans="1:16" ht="13.5" customHeight="1">
      <c r="A1374" s="72" t="str">
        <f t="shared" si="55"/>
        <v/>
      </c>
      <c r="B1374" s="72" t="str">
        <f t="shared" si="56"/>
        <v/>
      </c>
      <c r="C1374" s="73"/>
      <c r="D1374" s="73"/>
      <c r="E1374" s="73"/>
      <c r="F1374" s="76"/>
      <c r="G1374" s="265"/>
      <c r="H1374" s="122"/>
      <c r="I1374" s="122"/>
      <c r="J1374" s="122"/>
      <c r="K1374" s="122"/>
      <c r="L1374" s="122"/>
      <c r="M1374" s="74"/>
      <c r="N1374" s="75"/>
      <c r="O1374" s="75"/>
      <c r="P1374" s="134" t="str">
        <f>IF(AND('331-CT'!$E$7=TH!H1374,OR(N1374="331",O1374="331")),"x","")</f>
        <v/>
      </c>
    </row>
    <row r="1375" spans="1:16" ht="13.5" customHeight="1">
      <c r="A1375" s="72" t="str">
        <f t="shared" si="55"/>
        <v/>
      </c>
      <c r="B1375" s="72" t="str">
        <f t="shared" si="56"/>
        <v/>
      </c>
      <c r="C1375" s="73"/>
      <c r="D1375" s="73"/>
      <c r="E1375" s="73"/>
      <c r="F1375" s="76"/>
      <c r="G1375" s="265"/>
      <c r="H1375" s="122"/>
      <c r="I1375" s="122"/>
      <c r="J1375" s="122"/>
      <c r="K1375" s="122"/>
      <c r="L1375" s="122"/>
      <c r="M1375" s="74"/>
      <c r="N1375" s="75"/>
      <c r="O1375" s="75"/>
      <c r="P1375" s="134" t="str">
        <f>IF(AND('331-CT'!$E$7=TH!H1375,OR(N1375="331",O1375="331")),"x","")</f>
        <v/>
      </c>
    </row>
    <row r="1376" spans="1:16" ht="13.5" customHeight="1">
      <c r="A1376" s="72" t="str">
        <f t="shared" si="55"/>
        <v/>
      </c>
      <c r="B1376" s="72" t="str">
        <f t="shared" si="56"/>
        <v/>
      </c>
      <c r="C1376" s="73"/>
      <c r="D1376" s="73"/>
      <c r="E1376" s="73"/>
      <c r="F1376" s="76"/>
      <c r="G1376" s="265"/>
      <c r="H1376" s="122"/>
      <c r="I1376" s="122"/>
      <c r="J1376" s="122"/>
      <c r="K1376" s="122"/>
      <c r="L1376" s="122"/>
      <c r="M1376" s="74"/>
      <c r="N1376" s="75"/>
      <c r="O1376" s="75"/>
      <c r="P1376" s="134" t="str">
        <f>IF(AND('331-CT'!$E$7=TH!H1376,OR(N1376="331",O1376="331")),"x","")</f>
        <v/>
      </c>
    </row>
    <row r="1377" spans="1:16" ht="13.5" customHeight="1">
      <c r="A1377" s="72" t="str">
        <f t="shared" si="55"/>
        <v/>
      </c>
      <c r="B1377" s="72" t="str">
        <f t="shared" si="56"/>
        <v/>
      </c>
      <c r="C1377" s="73"/>
      <c r="D1377" s="73"/>
      <c r="E1377" s="73"/>
      <c r="F1377" s="76"/>
      <c r="G1377" s="265"/>
      <c r="H1377" s="122"/>
      <c r="I1377" s="122"/>
      <c r="J1377" s="122"/>
      <c r="K1377" s="122"/>
      <c r="L1377" s="122"/>
      <c r="M1377" s="74"/>
      <c r="N1377" s="75"/>
      <c r="O1377" s="75"/>
      <c r="P1377" s="134" t="str">
        <f>IF(AND('331-CT'!$E$7=TH!H1377,OR(N1377="331",O1377="331")),"x","")</f>
        <v/>
      </c>
    </row>
    <row r="1378" spans="1:16" ht="13.5" customHeight="1">
      <c r="A1378" s="72" t="str">
        <f t="shared" si="55"/>
        <v/>
      </c>
      <c r="B1378" s="72" t="str">
        <f t="shared" si="56"/>
        <v/>
      </c>
      <c r="C1378" s="73"/>
      <c r="D1378" s="73"/>
      <c r="E1378" s="73"/>
      <c r="F1378" s="76"/>
      <c r="G1378" s="265"/>
      <c r="H1378" s="122"/>
      <c r="I1378" s="122"/>
      <c r="J1378" s="122"/>
      <c r="K1378" s="122"/>
      <c r="L1378" s="122"/>
      <c r="M1378" s="74"/>
      <c r="N1378" s="75"/>
      <c r="O1378" s="75"/>
      <c r="P1378" s="134" t="str">
        <f>IF(AND('331-CT'!$E$7=TH!H1378,OR(N1378="331",O1378="331")),"x","")</f>
        <v/>
      </c>
    </row>
    <row r="1379" spans="1:16" ht="13.5" customHeight="1">
      <c r="A1379" s="72" t="str">
        <f t="shared" si="55"/>
        <v/>
      </c>
      <c r="B1379" s="72" t="str">
        <f t="shared" si="56"/>
        <v/>
      </c>
      <c r="C1379" s="73"/>
      <c r="D1379" s="73"/>
      <c r="E1379" s="73"/>
      <c r="F1379" s="76"/>
      <c r="G1379" s="265"/>
      <c r="H1379" s="122"/>
      <c r="I1379" s="122"/>
      <c r="J1379" s="122"/>
      <c r="K1379" s="122"/>
      <c r="L1379" s="122"/>
      <c r="M1379" s="74"/>
      <c r="N1379" s="75"/>
      <c r="O1379" s="75"/>
      <c r="P1379" s="134" t="str">
        <f>IF(AND('331-CT'!$E$7=TH!H1379,OR(N1379="331",O1379="331")),"x","")</f>
        <v/>
      </c>
    </row>
    <row r="1380" spans="1:16" ht="13.5" customHeight="1">
      <c r="A1380" s="72" t="str">
        <f t="shared" si="55"/>
        <v/>
      </c>
      <c r="B1380" s="72" t="str">
        <f t="shared" si="56"/>
        <v/>
      </c>
      <c r="C1380" s="73"/>
      <c r="D1380" s="73"/>
      <c r="E1380" s="73"/>
      <c r="F1380" s="76"/>
      <c r="G1380" s="265"/>
      <c r="H1380" s="122"/>
      <c r="I1380" s="122"/>
      <c r="J1380" s="122"/>
      <c r="K1380" s="122"/>
      <c r="L1380" s="122"/>
      <c r="M1380" s="74"/>
      <c r="N1380" s="75"/>
      <c r="O1380" s="75"/>
      <c r="P1380" s="134" t="str">
        <f>IF(AND('331-CT'!$E$7=TH!H1380,OR(N1380="331",O1380="331")),"x","")</f>
        <v/>
      </c>
    </row>
    <row r="1381" spans="1:16" ht="13.5" customHeight="1">
      <c r="A1381" s="72" t="str">
        <f t="shared" si="55"/>
        <v/>
      </c>
      <c r="B1381" s="72" t="str">
        <f t="shared" si="56"/>
        <v/>
      </c>
      <c r="C1381" s="73"/>
      <c r="D1381" s="73"/>
      <c r="E1381" s="73"/>
      <c r="F1381" s="76"/>
      <c r="G1381" s="265"/>
      <c r="H1381" s="122"/>
      <c r="I1381" s="122"/>
      <c r="J1381" s="122"/>
      <c r="K1381" s="122"/>
      <c r="L1381" s="122"/>
      <c r="M1381" s="74"/>
      <c r="N1381" s="75"/>
      <c r="O1381" s="75"/>
      <c r="P1381" s="134" t="str">
        <f>IF(AND('331-CT'!$E$7=TH!H1381,OR(N1381="331",O1381="331")),"x","")</f>
        <v/>
      </c>
    </row>
    <row r="1382" spans="1:16" ht="13.5" customHeight="1">
      <c r="A1382" s="72" t="str">
        <f t="shared" si="55"/>
        <v/>
      </c>
      <c r="B1382" s="72" t="str">
        <f t="shared" si="56"/>
        <v/>
      </c>
      <c r="C1382" s="73"/>
      <c r="D1382" s="73"/>
      <c r="E1382" s="73"/>
      <c r="F1382" s="76"/>
      <c r="G1382" s="265"/>
      <c r="H1382" s="122"/>
      <c r="I1382" s="122"/>
      <c r="J1382" s="122"/>
      <c r="K1382" s="122"/>
      <c r="L1382" s="122"/>
      <c r="M1382" s="74"/>
      <c r="N1382" s="75"/>
      <c r="O1382" s="75"/>
      <c r="P1382" s="134" t="str">
        <f>IF(AND('331-CT'!$E$7=TH!H1382,OR(N1382="331",O1382="331")),"x","")</f>
        <v/>
      </c>
    </row>
    <row r="1383" spans="1:16" ht="13.5" customHeight="1">
      <c r="A1383" s="72" t="str">
        <f t="shared" si="55"/>
        <v/>
      </c>
      <c r="B1383" s="72" t="str">
        <f t="shared" si="56"/>
        <v/>
      </c>
      <c r="C1383" s="73"/>
      <c r="D1383" s="73"/>
      <c r="E1383" s="73"/>
      <c r="F1383" s="76"/>
      <c r="G1383" s="265"/>
      <c r="H1383" s="122"/>
      <c r="I1383" s="122"/>
      <c r="J1383" s="122"/>
      <c r="K1383" s="122"/>
      <c r="L1383" s="122"/>
      <c r="M1383" s="74"/>
      <c r="N1383" s="75"/>
      <c r="O1383" s="75"/>
      <c r="P1383" s="134" t="str">
        <f>IF(AND('331-CT'!$E$7=TH!H1383,OR(N1383="331",O1383="331")),"x","")</f>
        <v/>
      </c>
    </row>
    <row r="1384" spans="1:16" ht="13.5" customHeight="1">
      <c r="A1384" s="72" t="str">
        <f t="shared" si="55"/>
        <v/>
      </c>
      <c r="B1384" s="72" t="str">
        <f t="shared" si="56"/>
        <v/>
      </c>
      <c r="C1384" s="73"/>
      <c r="D1384" s="73"/>
      <c r="E1384" s="73"/>
      <c r="F1384" s="76"/>
      <c r="G1384" s="265"/>
      <c r="H1384" s="122"/>
      <c r="I1384" s="122"/>
      <c r="J1384" s="122"/>
      <c r="K1384" s="122"/>
      <c r="L1384" s="122"/>
      <c r="M1384" s="74"/>
      <c r="N1384" s="75"/>
      <c r="O1384" s="75"/>
      <c r="P1384" s="134" t="str">
        <f>IF(AND('331-CT'!$E$7=TH!H1384,OR(N1384="331",O1384="331")),"x","")</f>
        <v/>
      </c>
    </row>
    <row r="1385" spans="1:16" ht="13.5" customHeight="1">
      <c r="A1385" s="72" t="str">
        <f t="shared" si="55"/>
        <v/>
      </c>
      <c r="B1385" s="72" t="str">
        <f t="shared" si="56"/>
        <v/>
      </c>
      <c r="C1385" s="73"/>
      <c r="D1385" s="73"/>
      <c r="E1385" s="73"/>
      <c r="F1385" s="76"/>
      <c r="G1385" s="265"/>
      <c r="H1385" s="122"/>
      <c r="I1385" s="122"/>
      <c r="J1385" s="122"/>
      <c r="K1385" s="122"/>
      <c r="L1385" s="122"/>
      <c r="M1385" s="74"/>
      <c r="N1385" s="75"/>
      <c r="O1385" s="75"/>
      <c r="P1385" s="134" t="str">
        <f>IF(AND('331-CT'!$E$7=TH!H1385,OR(N1385="331",O1385="331")),"x","")</f>
        <v/>
      </c>
    </row>
    <row r="1386" spans="1:16" ht="13.5" customHeight="1">
      <c r="A1386" s="72" t="str">
        <f t="shared" si="55"/>
        <v/>
      </c>
      <c r="B1386" s="72" t="str">
        <f t="shared" si="56"/>
        <v/>
      </c>
      <c r="C1386" s="73"/>
      <c r="D1386" s="73"/>
      <c r="E1386" s="73"/>
      <c r="F1386" s="76"/>
      <c r="G1386" s="265"/>
      <c r="H1386" s="122"/>
      <c r="I1386" s="122"/>
      <c r="J1386" s="122"/>
      <c r="K1386" s="122"/>
      <c r="L1386" s="122"/>
      <c r="M1386" s="74"/>
      <c r="N1386" s="75"/>
      <c r="O1386" s="75"/>
      <c r="P1386" s="134" t="str">
        <f>IF(AND('331-CT'!$E$7=TH!H1386,OR(N1386="331",O1386="331")),"x","")</f>
        <v/>
      </c>
    </row>
    <row r="1387" spans="1:16" ht="13.5" customHeight="1">
      <c r="A1387" s="72" t="str">
        <f t="shared" si="55"/>
        <v/>
      </c>
      <c r="B1387" s="72" t="str">
        <f t="shared" si="56"/>
        <v/>
      </c>
      <c r="C1387" s="73"/>
      <c r="D1387" s="73"/>
      <c r="E1387" s="73"/>
      <c r="F1387" s="76"/>
      <c r="G1387" s="265"/>
      <c r="H1387" s="122"/>
      <c r="I1387" s="122"/>
      <c r="J1387" s="122"/>
      <c r="K1387" s="122"/>
      <c r="L1387" s="122"/>
      <c r="M1387" s="74"/>
      <c r="N1387" s="75"/>
      <c r="O1387" s="75"/>
      <c r="P1387" s="134" t="str">
        <f>IF(AND('331-CT'!$E$7=TH!H1387,OR(N1387="331",O1387="331")),"x","")</f>
        <v/>
      </c>
    </row>
    <row r="1388" spans="1:16" ht="13.5" customHeight="1">
      <c r="A1388" s="72" t="str">
        <f t="shared" si="55"/>
        <v/>
      </c>
      <c r="B1388" s="72" t="str">
        <f t="shared" si="56"/>
        <v/>
      </c>
      <c r="C1388" s="73"/>
      <c r="D1388" s="73"/>
      <c r="E1388" s="73"/>
      <c r="F1388" s="76"/>
      <c r="G1388" s="265"/>
      <c r="H1388" s="122"/>
      <c r="I1388" s="122"/>
      <c r="J1388" s="122"/>
      <c r="K1388" s="122"/>
      <c r="L1388" s="122"/>
      <c r="M1388" s="74"/>
      <c r="N1388" s="75"/>
      <c r="O1388" s="75"/>
      <c r="P1388" s="134" t="str">
        <f>IF(AND('331-CT'!$E$7=TH!H1388,OR(N1388="331",O1388="331")),"x","")</f>
        <v/>
      </c>
    </row>
    <row r="1389" spans="1:16" ht="13.5" customHeight="1">
      <c r="A1389" s="72" t="str">
        <f t="shared" si="55"/>
        <v/>
      </c>
      <c r="B1389" s="72" t="str">
        <f t="shared" si="56"/>
        <v/>
      </c>
      <c r="C1389" s="73"/>
      <c r="D1389" s="73"/>
      <c r="E1389" s="73"/>
      <c r="F1389" s="76"/>
      <c r="G1389" s="265"/>
      <c r="H1389" s="122"/>
      <c r="I1389" s="122"/>
      <c r="J1389" s="122"/>
      <c r="K1389" s="122"/>
      <c r="L1389" s="122"/>
      <c r="M1389" s="74"/>
      <c r="N1389" s="75"/>
      <c r="O1389" s="75"/>
      <c r="P1389" s="134" t="str">
        <f>IF(AND('331-CT'!$E$7=TH!H1389,OR(N1389="331",O1389="331")),"x","")</f>
        <v/>
      </c>
    </row>
    <row r="1390" spans="1:16" ht="13.5" customHeight="1">
      <c r="A1390" s="72" t="str">
        <f t="shared" si="55"/>
        <v/>
      </c>
      <c r="B1390" s="72" t="str">
        <f t="shared" si="56"/>
        <v/>
      </c>
      <c r="C1390" s="73"/>
      <c r="D1390" s="73"/>
      <c r="E1390" s="73"/>
      <c r="F1390" s="76"/>
      <c r="G1390" s="265"/>
      <c r="H1390" s="122"/>
      <c r="I1390" s="122"/>
      <c r="J1390" s="122"/>
      <c r="K1390" s="122"/>
      <c r="L1390" s="122"/>
      <c r="M1390" s="74"/>
      <c r="N1390" s="75"/>
      <c r="O1390" s="75"/>
      <c r="P1390" s="134" t="str">
        <f>IF(AND('331-CT'!$E$7=TH!H1390,OR(N1390="331",O1390="331")),"x","")</f>
        <v/>
      </c>
    </row>
    <row r="1391" spans="1:16" ht="13.5" customHeight="1">
      <c r="A1391" s="72" t="str">
        <f t="shared" si="55"/>
        <v/>
      </c>
      <c r="B1391" s="72" t="str">
        <f t="shared" si="56"/>
        <v/>
      </c>
      <c r="C1391" s="73"/>
      <c r="D1391" s="73"/>
      <c r="E1391" s="73"/>
      <c r="F1391" s="76"/>
      <c r="G1391" s="265"/>
      <c r="H1391" s="122"/>
      <c r="I1391" s="122"/>
      <c r="J1391" s="122"/>
      <c r="K1391" s="122"/>
      <c r="L1391" s="122"/>
      <c r="M1391" s="74"/>
      <c r="N1391" s="75"/>
      <c r="O1391" s="75"/>
      <c r="P1391" s="134" t="str">
        <f>IF(AND('331-CT'!$E$7=TH!H1391,OR(N1391="331",O1391="331")),"x","")</f>
        <v/>
      </c>
    </row>
    <row r="1392" spans="1:16" ht="13.5" customHeight="1">
      <c r="A1392" s="72" t="str">
        <f t="shared" si="55"/>
        <v/>
      </c>
      <c r="B1392" s="72" t="str">
        <f t="shared" si="56"/>
        <v/>
      </c>
      <c r="C1392" s="73"/>
      <c r="D1392" s="73"/>
      <c r="E1392" s="73"/>
      <c r="F1392" s="76"/>
      <c r="G1392" s="265"/>
      <c r="H1392" s="122"/>
      <c r="I1392" s="122"/>
      <c r="J1392" s="122"/>
      <c r="K1392" s="122"/>
      <c r="L1392" s="122"/>
      <c r="M1392" s="74"/>
      <c r="N1392" s="75"/>
      <c r="O1392" s="75"/>
      <c r="P1392" s="134" t="str">
        <f>IF(AND('331-CT'!$E$7=TH!H1392,OR(N1392="331",O1392="331")),"x","")</f>
        <v/>
      </c>
    </row>
    <row r="1393" spans="1:16" ht="13.5" customHeight="1">
      <c r="A1393" s="72" t="str">
        <f t="shared" si="55"/>
        <v/>
      </c>
      <c r="B1393" s="72" t="str">
        <f t="shared" si="56"/>
        <v/>
      </c>
      <c r="C1393" s="73"/>
      <c r="D1393" s="73"/>
      <c r="E1393" s="73"/>
      <c r="F1393" s="76"/>
      <c r="G1393" s="265"/>
      <c r="H1393" s="122"/>
      <c r="I1393" s="122"/>
      <c r="J1393" s="122"/>
      <c r="K1393" s="122"/>
      <c r="L1393" s="122"/>
      <c r="M1393" s="74"/>
      <c r="N1393" s="75"/>
      <c r="O1393" s="75"/>
      <c r="P1393" s="134" t="str">
        <f>IF(AND('331-CT'!$E$7=TH!H1393,OR(N1393="331",O1393="331")),"x","")</f>
        <v/>
      </c>
    </row>
    <row r="1394" spans="1:16" ht="13.5" customHeight="1">
      <c r="A1394" s="72" t="str">
        <f t="shared" si="55"/>
        <v/>
      </c>
      <c r="B1394" s="72" t="str">
        <f t="shared" si="56"/>
        <v/>
      </c>
      <c r="C1394" s="73"/>
      <c r="D1394" s="73"/>
      <c r="E1394" s="73"/>
      <c r="F1394" s="76"/>
      <c r="G1394" s="265"/>
      <c r="H1394" s="122"/>
      <c r="I1394" s="122"/>
      <c r="J1394" s="122"/>
      <c r="K1394" s="122"/>
      <c r="L1394" s="122"/>
      <c r="M1394" s="74"/>
      <c r="N1394" s="75"/>
      <c r="O1394" s="75"/>
      <c r="P1394" s="134" t="str">
        <f>IF(AND('331-CT'!$E$7=TH!H1394,OR(N1394="331",O1394="331")),"x","")</f>
        <v/>
      </c>
    </row>
    <row r="1395" spans="1:16" ht="13.5" customHeight="1">
      <c r="A1395" s="72" t="str">
        <f t="shared" ref="A1395:A1458" si="57">IF(C1395&lt;&gt;"",YEAR(C1395),"")</f>
        <v/>
      </c>
      <c r="B1395" s="72" t="str">
        <f t="shared" ref="B1395:B1458" si="58">IF(C1395&lt;&gt;"",MONTH(C1395),"")</f>
        <v/>
      </c>
      <c r="C1395" s="73"/>
      <c r="D1395" s="73"/>
      <c r="E1395" s="73"/>
      <c r="F1395" s="76"/>
      <c r="G1395" s="265"/>
      <c r="H1395" s="122"/>
      <c r="I1395" s="122"/>
      <c r="J1395" s="122"/>
      <c r="K1395" s="122"/>
      <c r="L1395" s="122"/>
      <c r="M1395" s="74"/>
      <c r="N1395" s="75"/>
      <c r="O1395" s="75"/>
      <c r="P1395" s="134" t="str">
        <f>IF(AND('331-CT'!$E$7=TH!H1395,OR(N1395="331",O1395="331")),"x","")</f>
        <v/>
      </c>
    </row>
    <row r="1396" spans="1:16" ht="13.5" customHeight="1">
      <c r="A1396" s="72" t="str">
        <f t="shared" si="57"/>
        <v/>
      </c>
      <c r="B1396" s="72" t="str">
        <f t="shared" si="58"/>
        <v/>
      </c>
      <c r="C1396" s="73"/>
      <c r="D1396" s="73"/>
      <c r="E1396" s="73"/>
      <c r="F1396" s="76"/>
      <c r="G1396" s="265"/>
      <c r="H1396" s="122"/>
      <c r="I1396" s="122"/>
      <c r="J1396" s="122"/>
      <c r="K1396" s="122"/>
      <c r="L1396" s="122"/>
      <c r="M1396" s="74"/>
      <c r="N1396" s="75"/>
      <c r="O1396" s="75"/>
      <c r="P1396" s="134" t="str">
        <f>IF(AND('331-CT'!$E$7=TH!H1396,OR(N1396="331",O1396="331")),"x","")</f>
        <v/>
      </c>
    </row>
    <row r="1397" spans="1:16" ht="13.5" customHeight="1">
      <c r="A1397" s="72" t="str">
        <f t="shared" si="57"/>
        <v/>
      </c>
      <c r="B1397" s="72" t="str">
        <f t="shared" si="58"/>
        <v/>
      </c>
      <c r="C1397" s="73"/>
      <c r="D1397" s="73"/>
      <c r="E1397" s="73"/>
      <c r="F1397" s="76"/>
      <c r="G1397" s="265"/>
      <c r="H1397" s="122"/>
      <c r="I1397" s="122"/>
      <c r="J1397" s="122"/>
      <c r="K1397" s="122"/>
      <c r="L1397" s="122"/>
      <c r="M1397" s="74"/>
      <c r="N1397" s="75"/>
      <c r="O1397" s="75"/>
      <c r="P1397" s="134" t="str">
        <f>IF(AND('331-CT'!$E$7=TH!H1397,OR(N1397="331",O1397="331")),"x","")</f>
        <v/>
      </c>
    </row>
    <row r="1398" spans="1:16" ht="13.5" customHeight="1">
      <c r="A1398" s="72" t="str">
        <f t="shared" si="57"/>
        <v/>
      </c>
      <c r="B1398" s="72" t="str">
        <f t="shared" si="58"/>
        <v/>
      </c>
      <c r="C1398" s="73"/>
      <c r="D1398" s="73"/>
      <c r="E1398" s="73"/>
      <c r="F1398" s="76"/>
      <c r="G1398" s="265"/>
      <c r="H1398" s="122"/>
      <c r="I1398" s="122"/>
      <c r="J1398" s="122"/>
      <c r="K1398" s="122"/>
      <c r="L1398" s="122"/>
      <c r="M1398" s="74"/>
      <c r="N1398" s="75"/>
      <c r="O1398" s="75"/>
      <c r="P1398" s="134" t="str">
        <f>IF(AND('331-CT'!$E$7=TH!H1398,OR(N1398="331",O1398="331")),"x","")</f>
        <v/>
      </c>
    </row>
    <row r="1399" spans="1:16" ht="13.5" customHeight="1">
      <c r="A1399" s="72" t="str">
        <f t="shared" si="57"/>
        <v/>
      </c>
      <c r="B1399" s="72" t="str">
        <f t="shared" si="58"/>
        <v/>
      </c>
      <c r="C1399" s="73"/>
      <c r="D1399" s="73"/>
      <c r="E1399" s="73"/>
      <c r="F1399" s="76"/>
      <c r="G1399" s="265"/>
      <c r="H1399" s="122"/>
      <c r="I1399" s="122"/>
      <c r="J1399" s="122"/>
      <c r="K1399" s="122"/>
      <c r="L1399" s="122"/>
      <c r="M1399" s="74"/>
      <c r="N1399" s="75"/>
      <c r="O1399" s="75"/>
      <c r="P1399" s="134" t="str">
        <f>IF(AND('331-CT'!$E$7=TH!H1399,OR(N1399="331",O1399="331")),"x","")</f>
        <v/>
      </c>
    </row>
    <row r="1400" spans="1:16" ht="13.5" customHeight="1">
      <c r="A1400" s="72" t="str">
        <f t="shared" si="57"/>
        <v/>
      </c>
      <c r="B1400" s="72" t="str">
        <f t="shared" si="58"/>
        <v/>
      </c>
      <c r="C1400" s="73"/>
      <c r="D1400" s="73"/>
      <c r="E1400" s="73"/>
      <c r="F1400" s="76"/>
      <c r="G1400" s="265"/>
      <c r="H1400" s="122"/>
      <c r="I1400" s="122"/>
      <c r="J1400" s="122"/>
      <c r="K1400" s="122"/>
      <c r="L1400" s="122"/>
      <c r="M1400" s="74"/>
      <c r="N1400" s="75"/>
      <c r="O1400" s="75"/>
      <c r="P1400" s="134" t="str">
        <f>IF(AND('331-CT'!$E$7=TH!H1400,OR(N1400="331",O1400="331")),"x","")</f>
        <v/>
      </c>
    </row>
    <row r="1401" spans="1:16" ht="13.5" customHeight="1">
      <c r="A1401" s="72" t="str">
        <f t="shared" si="57"/>
        <v/>
      </c>
      <c r="B1401" s="72" t="str">
        <f t="shared" si="58"/>
        <v/>
      </c>
      <c r="C1401" s="73"/>
      <c r="D1401" s="73"/>
      <c r="E1401" s="73"/>
      <c r="F1401" s="76"/>
      <c r="G1401" s="265"/>
      <c r="H1401" s="122"/>
      <c r="I1401" s="122"/>
      <c r="J1401" s="122"/>
      <c r="K1401" s="122"/>
      <c r="L1401" s="122"/>
      <c r="M1401" s="74"/>
      <c r="N1401" s="75"/>
      <c r="O1401" s="75"/>
      <c r="P1401" s="134" t="str">
        <f>IF(AND('331-CT'!$E$7=TH!H1401,OR(N1401="331",O1401="331")),"x","")</f>
        <v/>
      </c>
    </row>
    <row r="1402" spans="1:16" ht="13.5" customHeight="1">
      <c r="A1402" s="72" t="str">
        <f t="shared" si="57"/>
        <v/>
      </c>
      <c r="B1402" s="72" t="str">
        <f t="shared" si="58"/>
        <v/>
      </c>
      <c r="C1402" s="73"/>
      <c r="D1402" s="73"/>
      <c r="E1402" s="73"/>
      <c r="F1402" s="76"/>
      <c r="G1402" s="265"/>
      <c r="H1402" s="122"/>
      <c r="I1402" s="122"/>
      <c r="J1402" s="122"/>
      <c r="K1402" s="122"/>
      <c r="L1402" s="122"/>
      <c r="M1402" s="74"/>
      <c r="N1402" s="75"/>
      <c r="O1402" s="75"/>
      <c r="P1402" s="134" t="str">
        <f>IF(AND('331-CT'!$E$7=TH!H1402,OR(N1402="331",O1402="331")),"x","")</f>
        <v/>
      </c>
    </row>
    <row r="1403" spans="1:16" ht="13.5" customHeight="1">
      <c r="A1403" s="72" t="str">
        <f t="shared" si="57"/>
        <v/>
      </c>
      <c r="B1403" s="72" t="str">
        <f t="shared" si="58"/>
        <v/>
      </c>
      <c r="C1403" s="73"/>
      <c r="D1403" s="73"/>
      <c r="E1403" s="73"/>
      <c r="F1403" s="76"/>
      <c r="G1403" s="265"/>
      <c r="H1403" s="122"/>
      <c r="I1403" s="122"/>
      <c r="J1403" s="122"/>
      <c r="K1403" s="122"/>
      <c r="L1403" s="122"/>
      <c r="M1403" s="74"/>
      <c r="N1403" s="75"/>
      <c r="O1403" s="75"/>
      <c r="P1403" s="134" t="str">
        <f>IF(AND('331-CT'!$E$7=TH!H1403,OR(N1403="331",O1403="331")),"x","")</f>
        <v/>
      </c>
    </row>
    <row r="1404" spans="1:16" ht="13.5" customHeight="1">
      <c r="A1404" s="72" t="str">
        <f t="shared" si="57"/>
        <v/>
      </c>
      <c r="B1404" s="72" t="str">
        <f t="shared" si="58"/>
        <v/>
      </c>
      <c r="C1404" s="73"/>
      <c r="D1404" s="73"/>
      <c r="E1404" s="73"/>
      <c r="F1404" s="76"/>
      <c r="G1404" s="265"/>
      <c r="H1404" s="122"/>
      <c r="I1404" s="122"/>
      <c r="J1404" s="122"/>
      <c r="K1404" s="122"/>
      <c r="L1404" s="122"/>
      <c r="M1404" s="74"/>
      <c r="N1404" s="75"/>
      <c r="O1404" s="75"/>
      <c r="P1404" s="134" t="str">
        <f>IF(AND('331-CT'!$E$7=TH!H1404,OR(N1404="331",O1404="331")),"x","")</f>
        <v/>
      </c>
    </row>
    <row r="1405" spans="1:16" ht="13.5" customHeight="1">
      <c r="A1405" s="72" t="str">
        <f t="shared" si="57"/>
        <v/>
      </c>
      <c r="B1405" s="72" t="str">
        <f t="shared" si="58"/>
        <v/>
      </c>
      <c r="C1405" s="73"/>
      <c r="D1405" s="73"/>
      <c r="E1405" s="73"/>
      <c r="F1405" s="76"/>
      <c r="G1405" s="265"/>
      <c r="H1405" s="122"/>
      <c r="I1405" s="122"/>
      <c r="J1405" s="122"/>
      <c r="K1405" s="122"/>
      <c r="L1405" s="122"/>
      <c r="M1405" s="74"/>
      <c r="N1405" s="75"/>
      <c r="O1405" s="75"/>
      <c r="P1405" s="134" t="str">
        <f>IF(AND('331-CT'!$E$7=TH!H1405,OR(N1405="331",O1405="331")),"x","")</f>
        <v/>
      </c>
    </row>
    <row r="1406" spans="1:16" ht="13.5" customHeight="1">
      <c r="A1406" s="72" t="str">
        <f t="shared" si="57"/>
        <v/>
      </c>
      <c r="B1406" s="72" t="str">
        <f t="shared" si="58"/>
        <v/>
      </c>
      <c r="C1406" s="73"/>
      <c r="D1406" s="73"/>
      <c r="E1406" s="73"/>
      <c r="F1406" s="76"/>
      <c r="G1406" s="265"/>
      <c r="H1406" s="122"/>
      <c r="I1406" s="122"/>
      <c r="J1406" s="122"/>
      <c r="K1406" s="122"/>
      <c r="L1406" s="122"/>
      <c r="M1406" s="74"/>
      <c r="N1406" s="75"/>
      <c r="O1406" s="75"/>
      <c r="P1406" s="134" t="str">
        <f>IF(AND('331-CT'!$E$7=TH!H1406,OR(N1406="331",O1406="331")),"x","")</f>
        <v/>
      </c>
    </row>
    <row r="1407" spans="1:16" ht="13.5" customHeight="1">
      <c r="A1407" s="72" t="str">
        <f t="shared" si="57"/>
        <v/>
      </c>
      <c r="B1407" s="72" t="str">
        <f t="shared" si="58"/>
        <v/>
      </c>
      <c r="C1407" s="73"/>
      <c r="D1407" s="73"/>
      <c r="E1407" s="73"/>
      <c r="F1407" s="76"/>
      <c r="G1407" s="265"/>
      <c r="H1407" s="122"/>
      <c r="I1407" s="122"/>
      <c r="J1407" s="122"/>
      <c r="K1407" s="122"/>
      <c r="L1407" s="122"/>
      <c r="M1407" s="74"/>
      <c r="N1407" s="75"/>
      <c r="O1407" s="75"/>
      <c r="P1407" s="134" t="str">
        <f>IF(AND('331-CT'!$E$7=TH!H1407,OR(N1407="331",O1407="331")),"x","")</f>
        <v/>
      </c>
    </row>
    <row r="1408" spans="1:16" ht="13.5" customHeight="1">
      <c r="A1408" s="72" t="str">
        <f t="shared" si="57"/>
        <v/>
      </c>
      <c r="B1408" s="72" t="str">
        <f t="shared" si="58"/>
        <v/>
      </c>
      <c r="C1408" s="73"/>
      <c r="D1408" s="73"/>
      <c r="E1408" s="73"/>
      <c r="F1408" s="76"/>
      <c r="G1408" s="265"/>
      <c r="H1408" s="122"/>
      <c r="I1408" s="122"/>
      <c r="J1408" s="122"/>
      <c r="K1408" s="122"/>
      <c r="L1408" s="122"/>
      <c r="M1408" s="74"/>
      <c r="N1408" s="75"/>
      <c r="O1408" s="75"/>
      <c r="P1408" s="134" t="str">
        <f>IF(AND('331-CT'!$E$7=TH!H1408,OR(N1408="331",O1408="331")),"x","")</f>
        <v/>
      </c>
    </row>
    <row r="1409" spans="1:16" ht="13.5" customHeight="1">
      <c r="A1409" s="72" t="str">
        <f t="shared" si="57"/>
        <v/>
      </c>
      <c r="B1409" s="72" t="str">
        <f t="shared" si="58"/>
        <v/>
      </c>
      <c r="C1409" s="73"/>
      <c r="D1409" s="73"/>
      <c r="E1409" s="73"/>
      <c r="F1409" s="76"/>
      <c r="G1409" s="265"/>
      <c r="H1409" s="122"/>
      <c r="I1409" s="122"/>
      <c r="J1409" s="122"/>
      <c r="K1409" s="122"/>
      <c r="L1409" s="122"/>
      <c r="M1409" s="74"/>
      <c r="N1409" s="75"/>
      <c r="O1409" s="75"/>
      <c r="P1409" s="134" t="str">
        <f>IF(AND('331-CT'!$E$7=TH!H1409,OR(N1409="331",O1409="331")),"x","")</f>
        <v/>
      </c>
    </row>
    <row r="1410" spans="1:16" ht="13.5" customHeight="1">
      <c r="A1410" s="72" t="str">
        <f t="shared" si="57"/>
        <v/>
      </c>
      <c r="B1410" s="72" t="str">
        <f t="shared" si="58"/>
        <v/>
      </c>
      <c r="C1410" s="73"/>
      <c r="D1410" s="73"/>
      <c r="E1410" s="73"/>
      <c r="F1410" s="76"/>
      <c r="G1410" s="265"/>
      <c r="H1410" s="122"/>
      <c r="I1410" s="122"/>
      <c r="J1410" s="122"/>
      <c r="K1410" s="122"/>
      <c r="L1410" s="122"/>
      <c r="M1410" s="74"/>
      <c r="N1410" s="75"/>
      <c r="O1410" s="75"/>
      <c r="P1410" s="134" t="str">
        <f>IF(AND('331-CT'!$E$7=TH!H1410,OR(N1410="331",O1410="331")),"x","")</f>
        <v/>
      </c>
    </row>
    <row r="1411" spans="1:16" ht="13.5" customHeight="1">
      <c r="A1411" s="72" t="str">
        <f t="shared" si="57"/>
        <v/>
      </c>
      <c r="B1411" s="72" t="str">
        <f t="shared" si="58"/>
        <v/>
      </c>
      <c r="C1411" s="73"/>
      <c r="D1411" s="73"/>
      <c r="E1411" s="73"/>
      <c r="F1411" s="76"/>
      <c r="G1411" s="265"/>
      <c r="H1411" s="122"/>
      <c r="I1411" s="122"/>
      <c r="J1411" s="122"/>
      <c r="K1411" s="122"/>
      <c r="L1411" s="122"/>
      <c r="M1411" s="74"/>
      <c r="N1411" s="75"/>
      <c r="O1411" s="75"/>
      <c r="P1411" s="134" t="str">
        <f>IF(AND('331-CT'!$E$7=TH!H1411,OR(N1411="331",O1411="331")),"x","")</f>
        <v/>
      </c>
    </row>
    <row r="1412" spans="1:16" ht="13.5" customHeight="1">
      <c r="A1412" s="72" t="str">
        <f t="shared" si="57"/>
        <v/>
      </c>
      <c r="B1412" s="72" t="str">
        <f t="shared" si="58"/>
        <v/>
      </c>
      <c r="C1412" s="73"/>
      <c r="D1412" s="73"/>
      <c r="E1412" s="73"/>
      <c r="F1412" s="76"/>
      <c r="G1412" s="265"/>
      <c r="H1412" s="122"/>
      <c r="I1412" s="122"/>
      <c r="J1412" s="122"/>
      <c r="K1412" s="122"/>
      <c r="L1412" s="122"/>
      <c r="M1412" s="74"/>
      <c r="N1412" s="75"/>
      <c r="O1412" s="75"/>
      <c r="P1412" s="134" t="str">
        <f>IF(AND('331-CT'!$E$7=TH!H1412,OR(N1412="331",O1412="331")),"x","")</f>
        <v/>
      </c>
    </row>
    <row r="1413" spans="1:16" ht="13.5" customHeight="1">
      <c r="A1413" s="72" t="str">
        <f t="shared" si="57"/>
        <v/>
      </c>
      <c r="B1413" s="72" t="str">
        <f t="shared" si="58"/>
        <v/>
      </c>
      <c r="C1413" s="73"/>
      <c r="D1413" s="73"/>
      <c r="E1413" s="73"/>
      <c r="F1413" s="76"/>
      <c r="G1413" s="265"/>
      <c r="H1413" s="122"/>
      <c r="I1413" s="122"/>
      <c r="J1413" s="122"/>
      <c r="K1413" s="122"/>
      <c r="L1413" s="122"/>
      <c r="M1413" s="74"/>
      <c r="N1413" s="75"/>
      <c r="O1413" s="75"/>
      <c r="P1413" s="134" t="str">
        <f>IF(AND('331-CT'!$E$7=TH!H1413,OR(N1413="331",O1413="331")),"x","")</f>
        <v/>
      </c>
    </row>
    <row r="1414" spans="1:16" ht="13.5" customHeight="1">
      <c r="A1414" s="72" t="str">
        <f t="shared" si="57"/>
        <v/>
      </c>
      <c r="B1414" s="72" t="str">
        <f t="shared" si="58"/>
        <v/>
      </c>
      <c r="C1414" s="73"/>
      <c r="D1414" s="73"/>
      <c r="E1414" s="73"/>
      <c r="F1414" s="76"/>
      <c r="G1414" s="265"/>
      <c r="H1414" s="122"/>
      <c r="I1414" s="122"/>
      <c r="J1414" s="122"/>
      <c r="K1414" s="122"/>
      <c r="L1414" s="122"/>
      <c r="M1414" s="74"/>
      <c r="N1414" s="75"/>
      <c r="O1414" s="75"/>
      <c r="P1414" s="134" t="str">
        <f>IF(AND('331-CT'!$E$7=TH!H1414,OR(N1414="331",O1414="331")),"x","")</f>
        <v/>
      </c>
    </row>
    <row r="1415" spans="1:16" ht="13.5" customHeight="1">
      <c r="A1415" s="72" t="str">
        <f t="shared" si="57"/>
        <v/>
      </c>
      <c r="B1415" s="72" t="str">
        <f t="shared" si="58"/>
        <v/>
      </c>
      <c r="C1415" s="73"/>
      <c r="D1415" s="73"/>
      <c r="E1415" s="73"/>
      <c r="F1415" s="76"/>
      <c r="G1415" s="265"/>
      <c r="H1415" s="122"/>
      <c r="I1415" s="122"/>
      <c r="J1415" s="122"/>
      <c r="K1415" s="122"/>
      <c r="L1415" s="122"/>
      <c r="M1415" s="74"/>
      <c r="N1415" s="75"/>
      <c r="O1415" s="75"/>
      <c r="P1415" s="134" t="str">
        <f>IF(AND('331-CT'!$E$7=TH!H1415,OR(N1415="331",O1415="331")),"x","")</f>
        <v/>
      </c>
    </row>
    <row r="1416" spans="1:16" ht="13.5" customHeight="1">
      <c r="A1416" s="72" t="str">
        <f t="shared" si="57"/>
        <v/>
      </c>
      <c r="B1416" s="72" t="str">
        <f t="shared" si="58"/>
        <v/>
      </c>
      <c r="C1416" s="73"/>
      <c r="D1416" s="73"/>
      <c r="E1416" s="73"/>
      <c r="F1416" s="76"/>
      <c r="G1416" s="265"/>
      <c r="H1416" s="122"/>
      <c r="I1416" s="122"/>
      <c r="J1416" s="122"/>
      <c r="K1416" s="122"/>
      <c r="L1416" s="122"/>
      <c r="M1416" s="74"/>
      <c r="N1416" s="75"/>
      <c r="O1416" s="75"/>
      <c r="P1416" s="134" t="str">
        <f>IF(AND('331-CT'!$E$7=TH!H1416,OR(N1416="331",O1416="331")),"x","")</f>
        <v/>
      </c>
    </row>
    <row r="1417" spans="1:16" ht="13.5" customHeight="1">
      <c r="A1417" s="72" t="str">
        <f t="shared" si="57"/>
        <v/>
      </c>
      <c r="B1417" s="72" t="str">
        <f t="shared" si="58"/>
        <v/>
      </c>
      <c r="C1417" s="73"/>
      <c r="D1417" s="73"/>
      <c r="E1417" s="73"/>
      <c r="F1417" s="76"/>
      <c r="G1417" s="265"/>
      <c r="H1417" s="122"/>
      <c r="I1417" s="122"/>
      <c r="J1417" s="122"/>
      <c r="K1417" s="122"/>
      <c r="L1417" s="122"/>
      <c r="M1417" s="74"/>
      <c r="N1417" s="75"/>
      <c r="O1417" s="75"/>
      <c r="P1417" s="134" t="str">
        <f>IF(AND('331-CT'!$E$7=TH!H1417,OR(N1417="331",O1417="331")),"x","")</f>
        <v/>
      </c>
    </row>
    <row r="1418" spans="1:16" ht="13.5" customHeight="1">
      <c r="A1418" s="72" t="str">
        <f t="shared" si="57"/>
        <v/>
      </c>
      <c r="B1418" s="72" t="str">
        <f t="shared" si="58"/>
        <v/>
      </c>
      <c r="C1418" s="73"/>
      <c r="D1418" s="73"/>
      <c r="E1418" s="73"/>
      <c r="F1418" s="76"/>
      <c r="G1418" s="265"/>
      <c r="H1418" s="122"/>
      <c r="I1418" s="122"/>
      <c r="J1418" s="122"/>
      <c r="K1418" s="122"/>
      <c r="L1418" s="122"/>
      <c r="M1418" s="74"/>
      <c r="N1418" s="75"/>
      <c r="O1418" s="75"/>
      <c r="P1418" s="134" t="str">
        <f>IF(AND('331-CT'!$E$7=TH!H1418,OR(N1418="331",O1418="331")),"x","")</f>
        <v/>
      </c>
    </row>
    <row r="1419" spans="1:16" ht="13.5" customHeight="1">
      <c r="A1419" s="72" t="str">
        <f t="shared" si="57"/>
        <v/>
      </c>
      <c r="B1419" s="72" t="str">
        <f t="shared" si="58"/>
        <v/>
      </c>
      <c r="C1419" s="73"/>
      <c r="D1419" s="73"/>
      <c r="E1419" s="73"/>
      <c r="F1419" s="76"/>
      <c r="G1419" s="265"/>
      <c r="H1419" s="122"/>
      <c r="I1419" s="122"/>
      <c r="J1419" s="122"/>
      <c r="K1419" s="122"/>
      <c r="L1419" s="122"/>
      <c r="M1419" s="74"/>
      <c r="N1419" s="75"/>
      <c r="O1419" s="75"/>
      <c r="P1419" s="134" t="str">
        <f>IF(AND('331-CT'!$E$7=TH!H1419,OR(N1419="331",O1419="331")),"x","")</f>
        <v/>
      </c>
    </row>
    <row r="1420" spans="1:16" ht="13.5" customHeight="1">
      <c r="A1420" s="72" t="str">
        <f t="shared" si="57"/>
        <v/>
      </c>
      <c r="B1420" s="72" t="str">
        <f t="shared" si="58"/>
        <v/>
      </c>
      <c r="C1420" s="73"/>
      <c r="D1420" s="73"/>
      <c r="E1420" s="73"/>
      <c r="F1420" s="76"/>
      <c r="G1420" s="265"/>
      <c r="H1420" s="122"/>
      <c r="I1420" s="122"/>
      <c r="J1420" s="122"/>
      <c r="K1420" s="122"/>
      <c r="L1420" s="122"/>
      <c r="M1420" s="74"/>
      <c r="N1420" s="75"/>
      <c r="O1420" s="75"/>
      <c r="P1420" s="134" t="str">
        <f>IF(AND('331-CT'!$E$7=TH!H1420,OR(N1420="331",O1420="331")),"x","")</f>
        <v/>
      </c>
    </row>
    <row r="1421" spans="1:16" ht="13.5" customHeight="1">
      <c r="A1421" s="72" t="str">
        <f t="shared" si="57"/>
        <v/>
      </c>
      <c r="B1421" s="72" t="str">
        <f t="shared" si="58"/>
        <v/>
      </c>
      <c r="C1421" s="73"/>
      <c r="D1421" s="73"/>
      <c r="E1421" s="73"/>
      <c r="F1421" s="76"/>
      <c r="G1421" s="265"/>
      <c r="H1421" s="122"/>
      <c r="I1421" s="122"/>
      <c r="J1421" s="122"/>
      <c r="K1421" s="122"/>
      <c r="L1421" s="122"/>
      <c r="M1421" s="74"/>
      <c r="N1421" s="75"/>
      <c r="O1421" s="75"/>
      <c r="P1421" s="134" t="str">
        <f>IF(AND('331-CT'!$E$7=TH!H1421,OR(N1421="331",O1421="331")),"x","")</f>
        <v/>
      </c>
    </row>
    <row r="1422" spans="1:16" ht="13.5" customHeight="1">
      <c r="A1422" s="72" t="str">
        <f t="shared" si="57"/>
        <v/>
      </c>
      <c r="B1422" s="72" t="str">
        <f t="shared" si="58"/>
        <v/>
      </c>
      <c r="C1422" s="73"/>
      <c r="D1422" s="73"/>
      <c r="E1422" s="73"/>
      <c r="F1422" s="76"/>
      <c r="G1422" s="265"/>
      <c r="H1422" s="122"/>
      <c r="I1422" s="122"/>
      <c r="J1422" s="122"/>
      <c r="K1422" s="122"/>
      <c r="L1422" s="122"/>
      <c r="M1422" s="74"/>
      <c r="N1422" s="75"/>
      <c r="O1422" s="75"/>
      <c r="P1422" s="134" t="str">
        <f>IF(AND('331-CT'!$E$7=TH!H1422,OR(N1422="331",O1422="331")),"x","")</f>
        <v/>
      </c>
    </row>
    <row r="1423" spans="1:16" ht="13.5" customHeight="1">
      <c r="A1423" s="72" t="str">
        <f t="shared" si="57"/>
        <v/>
      </c>
      <c r="B1423" s="72" t="str">
        <f t="shared" si="58"/>
        <v/>
      </c>
      <c r="C1423" s="73"/>
      <c r="D1423" s="73"/>
      <c r="E1423" s="73"/>
      <c r="F1423" s="76"/>
      <c r="G1423" s="265"/>
      <c r="H1423" s="122"/>
      <c r="I1423" s="122"/>
      <c r="J1423" s="122"/>
      <c r="K1423" s="122"/>
      <c r="L1423" s="122"/>
      <c r="M1423" s="74"/>
      <c r="N1423" s="75"/>
      <c r="O1423" s="75"/>
      <c r="P1423" s="134" t="str">
        <f>IF(AND('331-CT'!$E$7=TH!H1423,OR(N1423="331",O1423="331")),"x","")</f>
        <v/>
      </c>
    </row>
    <row r="1424" spans="1:16" ht="13.5" customHeight="1">
      <c r="A1424" s="72" t="str">
        <f t="shared" si="57"/>
        <v/>
      </c>
      <c r="B1424" s="72" t="str">
        <f t="shared" si="58"/>
        <v/>
      </c>
      <c r="C1424" s="73"/>
      <c r="D1424" s="73"/>
      <c r="E1424" s="73"/>
      <c r="F1424" s="76"/>
      <c r="G1424" s="265"/>
      <c r="H1424" s="122"/>
      <c r="I1424" s="122"/>
      <c r="J1424" s="122"/>
      <c r="K1424" s="122"/>
      <c r="L1424" s="122"/>
      <c r="M1424" s="74"/>
      <c r="N1424" s="75"/>
      <c r="O1424" s="75"/>
      <c r="P1424" s="134" t="str">
        <f>IF(AND('331-CT'!$E$7=TH!H1424,OR(N1424="331",O1424="331")),"x","")</f>
        <v/>
      </c>
    </row>
    <row r="1425" spans="1:16" ht="13.5" customHeight="1">
      <c r="A1425" s="72" t="str">
        <f t="shared" si="57"/>
        <v/>
      </c>
      <c r="B1425" s="72" t="str">
        <f t="shared" si="58"/>
        <v/>
      </c>
      <c r="C1425" s="73"/>
      <c r="D1425" s="73"/>
      <c r="E1425" s="73"/>
      <c r="F1425" s="76"/>
      <c r="G1425" s="265"/>
      <c r="H1425" s="122"/>
      <c r="I1425" s="122"/>
      <c r="J1425" s="122"/>
      <c r="K1425" s="122"/>
      <c r="L1425" s="122"/>
      <c r="M1425" s="74"/>
      <c r="N1425" s="75"/>
      <c r="O1425" s="75"/>
      <c r="P1425" s="134" t="str">
        <f>IF(AND('331-CT'!$E$7=TH!H1425,OR(N1425="331",O1425="331")),"x","")</f>
        <v/>
      </c>
    </row>
    <row r="1426" spans="1:16" ht="13.5" customHeight="1">
      <c r="A1426" s="72" t="str">
        <f t="shared" si="57"/>
        <v/>
      </c>
      <c r="B1426" s="72" t="str">
        <f t="shared" si="58"/>
        <v/>
      </c>
      <c r="C1426" s="73"/>
      <c r="D1426" s="73"/>
      <c r="E1426" s="73"/>
      <c r="F1426" s="76"/>
      <c r="G1426" s="265"/>
      <c r="H1426" s="122"/>
      <c r="I1426" s="122"/>
      <c r="J1426" s="122"/>
      <c r="K1426" s="122"/>
      <c r="L1426" s="122"/>
      <c r="M1426" s="74"/>
      <c r="N1426" s="75"/>
      <c r="O1426" s="75"/>
      <c r="P1426" s="134" t="str">
        <f>IF(AND('331-CT'!$E$7=TH!H1426,OR(N1426="331",O1426="331")),"x","")</f>
        <v/>
      </c>
    </row>
    <row r="1427" spans="1:16" ht="13.5" customHeight="1">
      <c r="A1427" s="72" t="str">
        <f t="shared" si="57"/>
        <v/>
      </c>
      <c r="B1427" s="72" t="str">
        <f t="shared" si="58"/>
        <v/>
      </c>
      <c r="C1427" s="73"/>
      <c r="D1427" s="73"/>
      <c r="E1427" s="73"/>
      <c r="F1427" s="76"/>
      <c r="G1427" s="265"/>
      <c r="H1427" s="122"/>
      <c r="I1427" s="122"/>
      <c r="J1427" s="122"/>
      <c r="K1427" s="122"/>
      <c r="L1427" s="122"/>
      <c r="M1427" s="74"/>
      <c r="N1427" s="75"/>
      <c r="O1427" s="75"/>
      <c r="P1427" s="134" t="str">
        <f>IF(AND('331-CT'!$E$7=TH!H1427,OR(N1427="331",O1427="331")),"x","")</f>
        <v/>
      </c>
    </row>
    <row r="1428" spans="1:16" ht="13.5" customHeight="1">
      <c r="A1428" s="72" t="str">
        <f t="shared" si="57"/>
        <v/>
      </c>
      <c r="B1428" s="72" t="str">
        <f t="shared" si="58"/>
        <v/>
      </c>
      <c r="C1428" s="73"/>
      <c r="D1428" s="73"/>
      <c r="E1428" s="73"/>
      <c r="F1428" s="76"/>
      <c r="G1428" s="265"/>
      <c r="H1428" s="122"/>
      <c r="I1428" s="122"/>
      <c r="J1428" s="122"/>
      <c r="K1428" s="122"/>
      <c r="L1428" s="122"/>
      <c r="M1428" s="74"/>
      <c r="N1428" s="75"/>
      <c r="O1428" s="75"/>
      <c r="P1428" s="134" t="str">
        <f>IF(AND('331-CT'!$E$7=TH!H1428,OR(N1428="331",O1428="331")),"x","")</f>
        <v/>
      </c>
    </row>
    <row r="1429" spans="1:16" ht="13.5" customHeight="1">
      <c r="A1429" s="72" t="str">
        <f t="shared" si="57"/>
        <v/>
      </c>
      <c r="B1429" s="72" t="str">
        <f t="shared" si="58"/>
        <v/>
      </c>
      <c r="C1429" s="73"/>
      <c r="D1429" s="73"/>
      <c r="E1429" s="73"/>
      <c r="F1429" s="76"/>
      <c r="G1429" s="265"/>
      <c r="H1429" s="122"/>
      <c r="I1429" s="122"/>
      <c r="J1429" s="122"/>
      <c r="K1429" s="122"/>
      <c r="L1429" s="122"/>
      <c r="M1429" s="74"/>
      <c r="N1429" s="75"/>
      <c r="O1429" s="75"/>
      <c r="P1429" s="134" t="str">
        <f>IF(AND('331-CT'!$E$7=TH!H1429,OR(N1429="331",O1429="331")),"x","")</f>
        <v/>
      </c>
    </row>
    <row r="1430" spans="1:16" ht="13.5" customHeight="1">
      <c r="A1430" s="72" t="str">
        <f t="shared" si="57"/>
        <v/>
      </c>
      <c r="B1430" s="72" t="str">
        <f t="shared" si="58"/>
        <v/>
      </c>
      <c r="C1430" s="73"/>
      <c r="D1430" s="73"/>
      <c r="E1430" s="73"/>
      <c r="F1430" s="76"/>
      <c r="G1430" s="265"/>
      <c r="H1430" s="122"/>
      <c r="I1430" s="122"/>
      <c r="J1430" s="122"/>
      <c r="K1430" s="122"/>
      <c r="L1430" s="122"/>
      <c r="M1430" s="74"/>
      <c r="N1430" s="75"/>
      <c r="O1430" s="75"/>
      <c r="P1430" s="134" t="str">
        <f>IF(AND('331-CT'!$E$7=TH!H1430,OR(N1430="331",O1430="331")),"x","")</f>
        <v/>
      </c>
    </row>
    <row r="1431" spans="1:16" ht="13.5" customHeight="1">
      <c r="A1431" s="72" t="str">
        <f t="shared" si="57"/>
        <v/>
      </c>
      <c r="B1431" s="72" t="str">
        <f t="shared" si="58"/>
        <v/>
      </c>
      <c r="C1431" s="73"/>
      <c r="D1431" s="73"/>
      <c r="E1431" s="73"/>
      <c r="F1431" s="76"/>
      <c r="G1431" s="265"/>
      <c r="H1431" s="122"/>
      <c r="I1431" s="122"/>
      <c r="J1431" s="122"/>
      <c r="K1431" s="122"/>
      <c r="L1431" s="122"/>
      <c r="M1431" s="74"/>
      <c r="N1431" s="75"/>
      <c r="O1431" s="75"/>
      <c r="P1431" s="134" t="str">
        <f>IF(AND('331-CT'!$E$7=TH!H1431,OR(N1431="331",O1431="331")),"x","")</f>
        <v/>
      </c>
    </row>
    <row r="1432" spans="1:16" ht="13.5" customHeight="1">
      <c r="A1432" s="72" t="str">
        <f t="shared" si="57"/>
        <v/>
      </c>
      <c r="B1432" s="72" t="str">
        <f t="shared" si="58"/>
        <v/>
      </c>
      <c r="C1432" s="73"/>
      <c r="D1432" s="73"/>
      <c r="E1432" s="73"/>
      <c r="F1432" s="76"/>
      <c r="G1432" s="265"/>
      <c r="H1432" s="122"/>
      <c r="I1432" s="122"/>
      <c r="J1432" s="122"/>
      <c r="K1432" s="122"/>
      <c r="L1432" s="122"/>
      <c r="M1432" s="74"/>
      <c r="N1432" s="75"/>
      <c r="O1432" s="75"/>
      <c r="P1432" s="134" t="str">
        <f>IF(AND('331-CT'!$E$7=TH!H1432,OR(N1432="331",O1432="331")),"x","")</f>
        <v/>
      </c>
    </row>
    <row r="1433" spans="1:16" ht="13.5" customHeight="1">
      <c r="A1433" s="72" t="str">
        <f t="shared" si="57"/>
        <v/>
      </c>
      <c r="B1433" s="72" t="str">
        <f t="shared" si="58"/>
        <v/>
      </c>
      <c r="C1433" s="73"/>
      <c r="D1433" s="73"/>
      <c r="E1433" s="73"/>
      <c r="F1433" s="76"/>
      <c r="G1433" s="265"/>
      <c r="H1433" s="122"/>
      <c r="I1433" s="122"/>
      <c r="J1433" s="122"/>
      <c r="K1433" s="122"/>
      <c r="L1433" s="122"/>
      <c r="M1433" s="74"/>
      <c r="N1433" s="75"/>
      <c r="O1433" s="75"/>
      <c r="P1433" s="134" t="str">
        <f>IF(AND('331-CT'!$E$7=TH!H1433,OR(N1433="331",O1433="331")),"x","")</f>
        <v/>
      </c>
    </row>
    <row r="1434" spans="1:16" ht="13.5" customHeight="1">
      <c r="A1434" s="72" t="str">
        <f t="shared" si="57"/>
        <v/>
      </c>
      <c r="B1434" s="72" t="str">
        <f t="shared" si="58"/>
        <v/>
      </c>
      <c r="C1434" s="73"/>
      <c r="D1434" s="73"/>
      <c r="E1434" s="73"/>
      <c r="F1434" s="76"/>
      <c r="G1434" s="265"/>
      <c r="H1434" s="122"/>
      <c r="I1434" s="122"/>
      <c r="J1434" s="122"/>
      <c r="K1434" s="122"/>
      <c r="L1434" s="122"/>
      <c r="M1434" s="74"/>
      <c r="N1434" s="75"/>
      <c r="O1434" s="75"/>
      <c r="P1434" s="134" t="str">
        <f>IF(AND('331-CT'!$E$7=TH!H1434,OR(N1434="331",O1434="331")),"x","")</f>
        <v/>
      </c>
    </row>
    <row r="1435" spans="1:16" ht="13.5" customHeight="1">
      <c r="A1435" s="72" t="str">
        <f t="shared" si="57"/>
        <v/>
      </c>
      <c r="B1435" s="72" t="str">
        <f t="shared" si="58"/>
        <v/>
      </c>
      <c r="C1435" s="73"/>
      <c r="D1435" s="73"/>
      <c r="E1435" s="73"/>
      <c r="F1435" s="76"/>
      <c r="G1435" s="265"/>
      <c r="H1435" s="122"/>
      <c r="I1435" s="122"/>
      <c r="J1435" s="122"/>
      <c r="K1435" s="122"/>
      <c r="L1435" s="122"/>
      <c r="M1435" s="74"/>
      <c r="N1435" s="75"/>
      <c r="O1435" s="75"/>
      <c r="P1435" s="134" t="str">
        <f>IF(AND('331-CT'!$E$7=TH!H1435,OR(N1435="331",O1435="331")),"x","")</f>
        <v/>
      </c>
    </row>
    <row r="1436" spans="1:16" ht="13.5" customHeight="1">
      <c r="A1436" s="72" t="str">
        <f t="shared" si="57"/>
        <v/>
      </c>
      <c r="B1436" s="72" t="str">
        <f t="shared" si="58"/>
        <v/>
      </c>
      <c r="C1436" s="73"/>
      <c r="D1436" s="73"/>
      <c r="E1436" s="73"/>
      <c r="F1436" s="76"/>
      <c r="G1436" s="265"/>
      <c r="H1436" s="122"/>
      <c r="I1436" s="122"/>
      <c r="J1436" s="122"/>
      <c r="K1436" s="122"/>
      <c r="L1436" s="122"/>
      <c r="M1436" s="74"/>
      <c r="N1436" s="75"/>
      <c r="O1436" s="75"/>
      <c r="P1436" s="134" t="str">
        <f>IF(AND('331-CT'!$E$7=TH!H1436,OR(N1436="331",O1436="331")),"x","")</f>
        <v/>
      </c>
    </row>
    <row r="1437" spans="1:16" ht="13.5" customHeight="1">
      <c r="A1437" s="72" t="str">
        <f t="shared" si="57"/>
        <v/>
      </c>
      <c r="B1437" s="72" t="str">
        <f t="shared" si="58"/>
        <v/>
      </c>
      <c r="C1437" s="73"/>
      <c r="D1437" s="73"/>
      <c r="E1437" s="73"/>
      <c r="F1437" s="76"/>
      <c r="G1437" s="265"/>
      <c r="H1437" s="122"/>
      <c r="I1437" s="122"/>
      <c r="J1437" s="122"/>
      <c r="K1437" s="122"/>
      <c r="L1437" s="122"/>
      <c r="M1437" s="74"/>
      <c r="N1437" s="75"/>
      <c r="O1437" s="75"/>
      <c r="P1437" s="134" t="str">
        <f>IF(AND('331-CT'!$E$7=TH!H1437,OR(N1437="331",O1437="331")),"x","")</f>
        <v/>
      </c>
    </row>
    <row r="1438" spans="1:16" ht="13.5" customHeight="1">
      <c r="A1438" s="72" t="str">
        <f t="shared" si="57"/>
        <v/>
      </c>
      <c r="B1438" s="72" t="str">
        <f t="shared" si="58"/>
        <v/>
      </c>
      <c r="C1438" s="73"/>
      <c r="D1438" s="73"/>
      <c r="E1438" s="73"/>
      <c r="F1438" s="76"/>
      <c r="G1438" s="265"/>
      <c r="H1438" s="122"/>
      <c r="I1438" s="122"/>
      <c r="J1438" s="122"/>
      <c r="K1438" s="122"/>
      <c r="L1438" s="122"/>
      <c r="M1438" s="74"/>
      <c r="N1438" s="75"/>
      <c r="O1438" s="75"/>
      <c r="P1438" s="134" t="str">
        <f>IF(AND('331-CT'!$E$7=TH!H1438,OR(N1438="331",O1438="331")),"x","")</f>
        <v/>
      </c>
    </row>
    <row r="1439" spans="1:16" ht="13.5" customHeight="1">
      <c r="A1439" s="72" t="str">
        <f t="shared" si="57"/>
        <v/>
      </c>
      <c r="B1439" s="72" t="str">
        <f t="shared" si="58"/>
        <v/>
      </c>
      <c r="C1439" s="73"/>
      <c r="D1439" s="73"/>
      <c r="E1439" s="73"/>
      <c r="F1439" s="76"/>
      <c r="G1439" s="265"/>
      <c r="H1439" s="122"/>
      <c r="I1439" s="122"/>
      <c r="J1439" s="122"/>
      <c r="K1439" s="122"/>
      <c r="L1439" s="122"/>
      <c r="M1439" s="74"/>
      <c r="N1439" s="75"/>
      <c r="O1439" s="75"/>
      <c r="P1439" s="134" t="str">
        <f>IF(AND('331-CT'!$E$7=TH!H1439,OR(N1439="331",O1439="331")),"x","")</f>
        <v/>
      </c>
    </row>
    <row r="1440" spans="1:16" ht="13.5" customHeight="1">
      <c r="A1440" s="72" t="str">
        <f t="shared" si="57"/>
        <v/>
      </c>
      <c r="B1440" s="72" t="str">
        <f t="shared" si="58"/>
        <v/>
      </c>
      <c r="C1440" s="73"/>
      <c r="D1440" s="73"/>
      <c r="E1440" s="73"/>
      <c r="F1440" s="76"/>
      <c r="G1440" s="265"/>
      <c r="H1440" s="122"/>
      <c r="I1440" s="122"/>
      <c r="J1440" s="122"/>
      <c r="K1440" s="122"/>
      <c r="L1440" s="122"/>
      <c r="M1440" s="74"/>
      <c r="N1440" s="75"/>
      <c r="O1440" s="75"/>
      <c r="P1440" s="134" t="str">
        <f>IF(AND('331-CT'!$E$7=TH!H1440,OR(N1440="331",O1440="331")),"x","")</f>
        <v/>
      </c>
    </row>
    <row r="1441" spans="1:16" ht="13.5" customHeight="1">
      <c r="A1441" s="72" t="str">
        <f t="shared" si="57"/>
        <v/>
      </c>
      <c r="B1441" s="72" t="str">
        <f t="shared" si="58"/>
        <v/>
      </c>
      <c r="C1441" s="73"/>
      <c r="D1441" s="73"/>
      <c r="E1441" s="73"/>
      <c r="F1441" s="76"/>
      <c r="G1441" s="265"/>
      <c r="H1441" s="122"/>
      <c r="I1441" s="122"/>
      <c r="J1441" s="122"/>
      <c r="K1441" s="122"/>
      <c r="L1441" s="122"/>
      <c r="M1441" s="74"/>
      <c r="N1441" s="75"/>
      <c r="O1441" s="75"/>
      <c r="P1441" s="134" t="str">
        <f>IF(AND('331-CT'!$E$7=TH!H1441,OR(N1441="331",O1441="331")),"x","")</f>
        <v/>
      </c>
    </row>
    <row r="1442" spans="1:16" ht="13.5" customHeight="1">
      <c r="A1442" s="72" t="str">
        <f t="shared" si="57"/>
        <v/>
      </c>
      <c r="B1442" s="72" t="str">
        <f t="shared" si="58"/>
        <v/>
      </c>
      <c r="C1442" s="73"/>
      <c r="D1442" s="73"/>
      <c r="E1442" s="73"/>
      <c r="F1442" s="76"/>
      <c r="G1442" s="265"/>
      <c r="H1442" s="122"/>
      <c r="I1442" s="122"/>
      <c r="J1442" s="122"/>
      <c r="K1442" s="122"/>
      <c r="L1442" s="122"/>
      <c r="M1442" s="74"/>
      <c r="N1442" s="75"/>
      <c r="O1442" s="75"/>
      <c r="P1442" s="134" t="str">
        <f>IF(AND('331-CT'!$E$7=TH!H1442,OR(N1442="331",O1442="331")),"x","")</f>
        <v/>
      </c>
    </row>
    <row r="1443" spans="1:16" ht="13.5" customHeight="1">
      <c r="A1443" s="72" t="str">
        <f t="shared" si="57"/>
        <v/>
      </c>
      <c r="B1443" s="72" t="str">
        <f t="shared" si="58"/>
        <v/>
      </c>
      <c r="C1443" s="73"/>
      <c r="D1443" s="73"/>
      <c r="E1443" s="73"/>
      <c r="F1443" s="76"/>
      <c r="G1443" s="265"/>
      <c r="H1443" s="122"/>
      <c r="I1443" s="122"/>
      <c r="J1443" s="122"/>
      <c r="K1443" s="122"/>
      <c r="L1443" s="122"/>
      <c r="M1443" s="74"/>
      <c r="N1443" s="75"/>
      <c r="O1443" s="75"/>
      <c r="P1443" s="134" t="str">
        <f>IF(AND('331-CT'!$E$7=TH!H1443,OR(N1443="331",O1443="331")),"x","")</f>
        <v/>
      </c>
    </row>
    <row r="1444" spans="1:16" ht="13.5" customHeight="1">
      <c r="A1444" s="72" t="str">
        <f t="shared" si="57"/>
        <v/>
      </c>
      <c r="B1444" s="72" t="str">
        <f t="shared" si="58"/>
        <v/>
      </c>
      <c r="C1444" s="73"/>
      <c r="D1444" s="73"/>
      <c r="E1444" s="73"/>
      <c r="F1444" s="76"/>
      <c r="G1444" s="265"/>
      <c r="H1444" s="122"/>
      <c r="I1444" s="122"/>
      <c r="J1444" s="122"/>
      <c r="K1444" s="122"/>
      <c r="L1444" s="122"/>
      <c r="M1444" s="74"/>
      <c r="N1444" s="75"/>
      <c r="O1444" s="75"/>
      <c r="P1444" s="134" t="str">
        <f>IF(AND('331-CT'!$E$7=TH!H1444,OR(N1444="331",O1444="331")),"x","")</f>
        <v/>
      </c>
    </row>
    <row r="1445" spans="1:16" ht="13.5" customHeight="1">
      <c r="A1445" s="72" t="str">
        <f t="shared" si="57"/>
        <v/>
      </c>
      <c r="B1445" s="72" t="str">
        <f t="shared" si="58"/>
        <v/>
      </c>
      <c r="C1445" s="73"/>
      <c r="D1445" s="73"/>
      <c r="E1445" s="73"/>
      <c r="F1445" s="76"/>
      <c r="G1445" s="265"/>
      <c r="H1445" s="122"/>
      <c r="I1445" s="122"/>
      <c r="J1445" s="122"/>
      <c r="K1445" s="122"/>
      <c r="L1445" s="122"/>
      <c r="M1445" s="74"/>
      <c r="N1445" s="75"/>
      <c r="O1445" s="75"/>
      <c r="P1445" s="134" t="str">
        <f>IF(AND('331-CT'!$E$7=TH!H1445,OR(N1445="331",O1445="331")),"x","")</f>
        <v/>
      </c>
    </row>
    <row r="1446" spans="1:16" ht="13.5" customHeight="1">
      <c r="A1446" s="72" t="str">
        <f t="shared" si="57"/>
        <v/>
      </c>
      <c r="B1446" s="72" t="str">
        <f t="shared" si="58"/>
        <v/>
      </c>
      <c r="C1446" s="73"/>
      <c r="D1446" s="73"/>
      <c r="E1446" s="73"/>
      <c r="F1446" s="76"/>
      <c r="G1446" s="265"/>
      <c r="H1446" s="122"/>
      <c r="I1446" s="122"/>
      <c r="J1446" s="122"/>
      <c r="K1446" s="122"/>
      <c r="L1446" s="122"/>
      <c r="M1446" s="74"/>
      <c r="N1446" s="75"/>
      <c r="O1446" s="75"/>
      <c r="P1446" s="134" t="str">
        <f>IF(AND('331-CT'!$E$7=TH!H1446,OR(N1446="331",O1446="331")),"x","")</f>
        <v/>
      </c>
    </row>
    <row r="1447" spans="1:16" ht="13.5" customHeight="1">
      <c r="A1447" s="72" t="str">
        <f t="shared" si="57"/>
        <v/>
      </c>
      <c r="B1447" s="72" t="str">
        <f t="shared" si="58"/>
        <v/>
      </c>
      <c r="C1447" s="73"/>
      <c r="D1447" s="73"/>
      <c r="E1447" s="73"/>
      <c r="F1447" s="76"/>
      <c r="G1447" s="265"/>
      <c r="H1447" s="122"/>
      <c r="I1447" s="122"/>
      <c r="J1447" s="122"/>
      <c r="K1447" s="122"/>
      <c r="L1447" s="122"/>
      <c r="M1447" s="74"/>
      <c r="N1447" s="75"/>
      <c r="O1447" s="75"/>
      <c r="P1447" s="134" t="str">
        <f>IF(AND('331-CT'!$E$7=TH!H1447,OR(N1447="331",O1447="331")),"x","")</f>
        <v/>
      </c>
    </row>
    <row r="1448" spans="1:16" ht="13.5" customHeight="1">
      <c r="A1448" s="72" t="str">
        <f t="shared" si="57"/>
        <v/>
      </c>
      <c r="B1448" s="72" t="str">
        <f t="shared" si="58"/>
        <v/>
      </c>
      <c r="C1448" s="73"/>
      <c r="D1448" s="73"/>
      <c r="E1448" s="73"/>
      <c r="F1448" s="76"/>
      <c r="G1448" s="265"/>
      <c r="H1448" s="122"/>
      <c r="I1448" s="122"/>
      <c r="J1448" s="122"/>
      <c r="K1448" s="122"/>
      <c r="L1448" s="122"/>
      <c r="M1448" s="74"/>
      <c r="N1448" s="75"/>
      <c r="O1448" s="75"/>
      <c r="P1448" s="134" t="str">
        <f>IF(AND('331-CT'!$E$7=TH!H1448,OR(N1448="331",O1448="331")),"x","")</f>
        <v/>
      </c>
    </row>
    <row r="1449" spans="1:16" ht="13.5" customHeight="1">
      <c r="A1449" s="72" t="str">
        <f t="shared" si="57"/>
        <v/>
      </c>
      <c r="B1449" s="72" t="str">
        <f t="shared" si="58"/>
        <v/>
      </c>
      <c r="C1449" s="73"/>
      <c r="D1449" s="73"/>
      <c r="E1449" s="73"/>
      <c r="F1449" s="76"/>
      <c r="G1449" s="265"/>
      <c r="H1449" s="122"/>
      <c r="I1449" s="122"/>
      <c r="J1449" s="122"/>
      <c r="K1449" s="122"/>
      <c r="L1449" s="122"/>
      <c r="M1449" s="74"/>
      <c r="N1449" s="75"/>
      <c r="O1449" s="75"/>
      <c r="P1449" s="134" t="str">
        <f>IF(AND('331-CT'!$E$7=TH!H1449,OR(N1449="331",O1449="331")),"x","")</f>
        <v/>
      </c>
    </row>
    <row r="1450" spans="1:16" ht="13.5" customHeight="1">
      <c r="A1450" s="72" t="str">
        <f t="shared" si="57"/>
        <v/>
      </c>
      <c r="B1450" s="72" t="str">
        <f t="shared" si="58"/>
        <v/>
      </c>
      <c r="C1450" s="73"/>
      <c r="D1450" s="73"/>
      <c r="E1450" s="73"/>
      <c r="F1450" s="76"/>
      <c r="G1450" s="265"/>
      <c r="H1450" s="122"/>
      <c r="I1450" s="122"/>
      <c r="J1450" s="122"/>
      <c r="K1450" s="122"/>
      <c r="L1450" s="122"/>
      <c r="M1450" s="74"/>
      <c r="N1450" s="75"/>
      <c r="O1450" s="75"/>
      <c r="P1450" s="134" t="str">
        <f>IF(AND('331-CT'!$E$7=TH!H1450,OR(N1450="331",O1450="331")),"x","")</f>
        <v/>
      </c>
    </row>
    <row r="1451" spans="1:16" ht="13.5" customHeight="1">
      <c r="A1451" s="72" t="str">
        <f t="shared" si="57"/>
        <v/>
      </c>
      <c r="B1451" s="72" t="str">
        <f t="shared" si="58"/>
        <v/>
      </c>
      <c r="C1451" s="73"/>
      <c r="D1451" s="73"/>
      <c r="E1451" s="73"/>
      <c r="F1451" s="76"/>
      <c r="G1451" s="265"/>
      <c r="H1451" s="122"/>
      <c r="I1451" s="122"/>
      <c r="J1451" s="122"/>
      <c r="K1451" s="122"/>
      <c r="L1451" s="122"/>
      <c r="M1451" s="74"/>
      <c r="N1451" s="75"/>
      <c r="O1451" s="75"/>
      <c r="P1451" s="134" t="str">
        <f>IF(AND('331-CT'!$E$7=TH!H1451,OR(N1451="331",O1451="331")),"x","")</f>
        <v/>
      </c>
    </row>
    <row r="1452" spans="1:16" ht="13.5" customHeight="1">
      <c r="A1452" s="72" t="str">
        <f t="shared" si="57"/>
        <v/>
      </c>
      <c r="B1452" s="72" t="str">
        <f t="shared" si="58"/>
        <v/>
      </c>
      <c r="C1452" s="73"/>
      <c r="D1452" s="73"/>
      <c r="E1452" s="73"/>
      <c r="F1452" s="76"/>
      <c r="G1452" s="265"/>
      <c r="H1452" s="122"/>
      <c r="I1452" s="122"/>
      <c r="J1452" s="122"/>
      <c r="K1452" s="122"/>
      <c r="L1452" s="122"/>
      <c r="M1452" s="74"/>
      <c r="N1452" s="75"/>
      <c r="O1452" s="75"/>
      <c r="P1452" s="134" t="str">
        <f>IF(AND('331-CT'!$E$7=TH!H1452,OR(N1452="331",O1452="331")),"x","")</f>
        <v/>
      </c>
    </row>
    <row r="1453" spans="1:16" ht="13.5" customHeight="1">
      <c r="A1453" s="72" t="str">
        <f t="shared" si="57"/>
        <v/>
      </c>
      <c r="B1453" s="72" t="str">
        <f t="shared" si="58"/>
        <v/>
      </c>
      <c r="C1453" s="73"/>
      <c r="D1453" s="73"/>
      <c r="E1453" s="73"/>
      <c r="F1453" s="76"/>
      <c r="G1453" s="265"/>
      <c r="H1453" s="122"/>
      <c r="I1453" s="122"/>
      <c r="J1453" s="122"/>
      <c r="K1453" s="122"/>
      <c r="L1453" s="122"/>
      <c r="M1453" s="74"/>
      <c r="N1453" s="75"/>
      <c r="O1453" s="75"/>
      <c r="P1453" s="134" t="str">
        <f>IF(AND('331-CT'!$E$7=TH!H1453,OR(N1453="331",O1453="331")),"x","")</f>
        <v/>
      </c>
    </row>
    <row r="1454" spans="1:16" ht="13.5" customHeight="1">
      <c r="A1454" s="72" t="str">
        <f t="shared" si="57"/>
        <v/>
      </c>
      <c r="B1454" s="72" t="str">
        <f t="shared" si="58"/>
        <v/>
      </c>
      <c r="C1454" s="73"/>
      <c r="D1454" s="73"/>
      <c r="E1454" s="73"/>
      <c r="F1454" s="76"/>
      <c r="G1454" s="265"/>
      <c r="H1454" s="122"/>
      <c r="I1454" s="122"/>
      <c r="J1454" s="122"/>
      <c r="K1454" s="122"/>
      <c r="L1454" s="122"/>
      <c r="M1454" s="74"/>
      <c r="N1454" s="75"/>
      <c r="O1454" s="75"/>
      <c r="P1454" s="134" t="str">
        <f>IF(AND('331-CT'!$E$7=TH!H1454,OR(N1454="331",O1454="331")),"x","")</f>
        <v/>
      </c>
    </row>
    <row r="1455" spans="1:16" ht="13.5" customHeight="1">
      <c r="A1455" s="72" t="str">
        <f t="shared" si="57"/>
        <v/>
      </c>
      <c r="B1455" s="72" t="str">
        <f t="shared" si="58"/>
        <v/>
      </c>
      <c r="C1455" s="73"/>
      <c r="D1455" s="73"/>
      <c r="E1455" s="73"/>
      <c r="F1455" s="76"/>
      <c r="G1455" s="265"/>
      <c r="H1455" s="122"/>
      <c r="I1455" s="122"/>
      <c r="J1455" s="122"/>
      <c r="K1455" s="122"/>
      <c r="L1455" s="122"/>
      <c r="M1455" s="74"/>
      <c r="N1455" s="75"/>
      <c r="O1455" s="75"/>
      <c r="P1455" s="134" t="str">
        <f>IF(AND('331-CT'!$E$7=TH!H1455,OR(N1455="331",O1455="331")),"x","")</f>
        <v/>
      </c>
    </row>
    <row r="1456" spans="1:16" ht="13.5" customHeight="1">
      <c r="A1456" s="72" t="str">
        <f t="shared" si="57"/>
        <v/>
      </c>
      <c r="B1456" s="72" t="str">
        <f t="shared" si="58"/>
        <v/>
      </c>
      <c r="C1456" s="73"/>
      <c r="D1456" s="73"/>
      <c r="E1456" s="73"/>
      <c r="F1456" s="76"/>
      <c r="G1456" s="265"/>
      <c r="H1456" s="122"/>
      <c r="I1456" s="122"/>
      <c r="J1456" s="122"/>
      <c r="K1456" s="122"/>
      <c r="L1456" s="122"/>
      <c r="M1456" s="74"/>
      <c r="N1456" s="75"/>
      <c r="O1456" s="75"/>
      <c r="P1456" s="134" t="str">
        <f>IF(AND('331-CT'!$E$7=TH!H1456,OR(N1456="331",O1456="331")),"x","")</f>
        <v/>
      </c>
    </row>
    <row r="1457" spans="1:16" ht="13.5" customHeight="1">
      <c r="A1457" s="72" t="str">
        <f t="shared" si="57"/>
        <v/>
      </c>
      <c r="B1457" s="72" t="str">
        <f t="shared" si="58"/>
        <v/>
      </c>
      <c r="C1457" s="73"/>
      <c r="D1457" s="73"/>
      <c r="E1457" s="73"/>
      <c r="F1457" s="76"/>
      <c r="G1457" s="265"/>
      <c r="H1457" s="122"/>
      <c r="I1457" s="122"/>
      <c r="J1457" s="122"/>
      <c r="K1457" s="122"/>
      <c r="L1457" s="122"/>
      <c r="M1457" s="74"/>
      <c r="N1457" s="75"/>
      <c r="O1457" s="75"/>
      <c r="P1457" s="134" t="str">
        <f>IF(AND('331-CT'!$E$7=TH!H1457,OR(N1457="331",O1457="331")),"x","")</f>
        <v/>
      </c>
    </row>
    <row r="1458" spans="1:16" ht="13.5" customHeight="1">
      <c r="A1458" s="72" t="str">
        <f t="shared" si="57"/>
        <v/>
      </c>
      <c r="B1458" s="72" t="str">
        <f t="shared" si="58"/>
        <v/>
      </c>
      <c r="C1458" s="73"/>
      <c r="D1458" s="73"/>
      <c r="E1458" s="73"/>
      <c r="F1458" s="76"/>
      <c r="G1458" s="265"/>
      <c r="H1458" s="122"/>
      <c r="I1458" s="122"/>
      <c r="J1458" s="122"/>
      <c r="K1458" s="122"/>
      <c r="L1458" s="122"/>
      <c r="M1458" s="74"/>
      <c r="N1458" s="75"/>
      <c r="O1458" s="75"/>
      <c r="P1458" s="134" t="str">
        <f>IF(AND('331-CT'!$E$7=TH!H1458,OR(N1458="331",O1458="331")),"x","")</f>
        <v/>
      </c>
    </row>
    <row r="1459" spans="1:16" ht="13.5" customHeight="1">
      <c r="A1459" s="72" t="str">
        <f t="shared" ref="A1459:A1522" si="59">IF(C1459&lt;&gt;"",YEAR(C1459),"")</f>
        <v/>
      </c>
      <c r="B1459" s="72" t="str">
        <f t="shared" ref="B1459:B1522" si="60">IF(C1459&lt;&gt;"",MONTH(C1459),"")</f>
        <v/>
      </c>
      <c r="C1459" s="73"/>
      <c r="D1459" s="73"/>
      <c r="E1459" s="73"/>
      <c r="F1459" s="76"/>
      <c r="G1459" s="265"/>
      <c r="H1459" s="122"/>
      <c r="I1459" s="122"/>
      <c r="J1459" s="122"/>
      <c r="K1459" s="122"/>
      <c r="L1459" s="122"/>
      <c r="M1459" s="74"/>
      <c r="N1459" s="75"/>
      <c r="O1459" s="75"/>
      <c r="P1459" s="134" t="str">
        <f>IF(AND('331-CT'!$E$7=TH!H1459,OR(N1459="331",O1459="331")),"x","")</f>
        <v/>
      </c>
    </row>
    <row r="1460" spans="1:16" ht="13.5" customHeight="1">
      <c r="A1460" s="72" t="str">
        <f t="shared" si="59"/>
        <v/>
      </c>
      <c r="B1460" s="72" t="str">
        <f t="shared" si="60"/>
        <v/>
      </c>
      <c r="C1460" s="73"/>
      <c r="D1460" s="73"/>
      <c r="E1460" s="73"/>
      <c r="F1460" s="76"/>
      <c r="G1460" s="265"/>
      <c r="H1460" s="122"/>
      <c r="I1460" s="122"/>
      <c r="J1460" s="122"/>
      <c r="K1460" s="122"/>
      <c r="L1460" s="122"/>
      <c r="M1460" s="74"/>
      <c r="N1460" s="75"/>
      <c r="O1460" s="75"/>
      <c r="P1460" s="134" t="str">
        <f>IF(AND('331-CT'!$E$7=TH!H1460,OR(N1460="331",O1460="331")),"x","")</f>
        <v/>
      </c>
    </row>
    <row r="1461" spans="1:16" ht="13.5" customHeight="1">
      <c r="A1461" s="72" t="str">
        <f t="shared" si="59"/>
        <v/>
      </c>
      <c r="B1461" s="72" t="str">
        <f t="shared" si="60"/>
        <v/>
      </c>
      <c r="C1461" s="73"/>
      <c r="D1461" s="73"/>
      <c r="E1461" s="73"/>
      <c r="F1461" s="76"/>
      <c r="G1461" s="265"/>
      <c r="H1461" s="122"/>
      <c r="I1461" s="122"/>
      <c r="J1461" s="122"/>
      <c r="K1461" s="122"/>
      <c r="L1461" s="122"/>
      <c r="M1461" s="74"/>
      <c r="N1461" s="75"/>
      <c r="O1461" s="75"/>
      <c r="P1461" s="134" t="str">
        <f>IF(AND('331-CT'!$E$7=TH!H1461,OR(N1461="331",O1461="331")),"x","")</f>
        <v/>
      </c>
    </row>
    <row r="1462" spans="1:16" ht="13.5" customHeight="1">
      <c r="A1462" s="72" t="str">
        <f t="shared" si="59"/>
        <v/>
      </c>
      <c r="B1462" s="72" t="str">
        <f t="shared" si="60"/>
        <v/>
      </c>
      <c r="C1462" s="73"/>
      <c r="D1462" s="73"/>
      <c r="E1462" s="73"/>
      <c r="F1462" s="76"/>
      <c r="G1462" s="265"/>
      <c r="H1462" s="122"/>
      <c r="I1462" s="122"/>
      <c r="J1462" s="122"/>
      <c r="K1462" s="122"/>
      <c r="L1462" s="122"/>
      <c r="M1462" s="74"/>
      <c r="N1462" s="75"/>
      <c r="O1462" s="75"/>
      <c r="P1462" s="134" t="str">
        <f>IF(AND('331-CT'!$E$7=TH!H1462,OR(N1462="331",O1462="331")),"x","")</f>
        <v/>
      </c>
    </row>
    <row r="1463" spans="1:16" ht="13.5" customHeight="1">
      <c r="A1463" s="72" t="str">
        <f t="shared" si="59"/>
        <v/>
      </c>
      <c r="B1463" s="72" t="str">
        <f t="shared" si="60"/>
        <v/>
      </c>
      <c r="C1463" s="73"/>
      <c r="D1463" s="73"/>
      <c r="E1463" s="73"/>
      <c r="F1463" s="76"/>
      <c r="G1463" s="265"/>
      <c r="H1463" s="122"/>
      <c r="I1463" s="122"/>
      <c r="J1463" s="122"/>
      <c r="K1463" s="122"/>
      <c r="L1463" s="122"/>
      <c r="M1463" s="74"/>
      <c r="N1463" s="75"/>
      <c r="O1463" s="75"/>
      <c r="P1463" s="134" t="str">
        <f>IF(AND('331-CT'!$E$7=TH!H1463,OR(N1463="331",O1463="331")),"x","")</f>
        <v/>
      </c>
    </row>
    <row r="1464" spans="1:16" ht="13.5" customHeight="1">
      <c r="A1464" s="72" t="str">
        <f t="shared" si="59"/>
        <v/>
      </c>
      <c r="B1464" s="72" t="str">
        <f t="shared" si="60"/>
        <v/>
      </c>
      <c r="C1464" s="73"/>
      <c r="D1464" s="73"/>
      <c r="E1464" s="73"/>
      <c r="F1464" s="76"/>
      <c r="G1464" s="265"/>
      <c r="H1464" s="122"/>
      <c r="I1464" s="122"/>
      <c r="J1464" s="122"/>
      <c r="K1464" s="122"/>
      <c r="L1464" s="122"/>
      <c r="M1464" s="74"/>
      <c r="N1464" s="75"/>
      <c r="O1464" s="75"/>
      <c r="P1464" s="134" t="str">
        <f>IF(AND('331-CT'!$E$7=TH!H1464,OR(N1464="331",O1464="331")),"x","")</f>
        <v/>
      </c>
    </row>
    <row r="1465" spans="1:16" ht="13.5" customHeight="1">
      <c r="A1465" s="72" t="str">
        <f t="shared" si="59"/>
        <v/>
      </c>
      <c r="B1465" s="72" t="str">
        <f t="shared" si="60"/>
        <v/>
      </c>
      <c r="C1465" s="73"/>
      <c r="D1465" s="73"/>
      <c r="E1465" s="73"/>
      <c r="F1465" s="76"/>
      <c r="G1465" s="265"/>
      <c r="H1465" s="122"/>
      <c r="I1465" s="122"/>
      <c r="J1465" s="122"/>
      <c r="K1465" s="122"/>
      <c r="L1465" s="122"/>
      <c r="M1465" s="74"/>
      <c r="N1465" s="75"/>
      <c r="O1465" s="75"/>
      <c r="P1465" s="134" t="str">
        <f>IF(AND('331-CT'!$E$7=TH!H1465,OR(N1465="331",O1465="331")),"x","")</f>
        <v/>
      </c>
    </row>
    <row r="1466" spans="1:16" ht="13.5" customHeight="1">
      <c r="A1466" s="72" t="str">
        <f t="shared" si="59"/>
        <v/>
      </c>
      <c r="B1466" s="72" t="str">
        <f t="shared" si="60"/>
        <v/>
      </c>
      <c r="C1466" s="73"/>
      <c r="D1466" s="73"/>
      <c r="E1466" s="73"/>
      <c r="F1466" s="76"/>
      <c r="G1466" s="265"/>
      <c r="H1466" s="122"/>
      <c r="I1466" s="122"/>
      <c r="J1466" s="122"/>
      <c r="K1466" s="122"/>
      <c r="L1466" s="122"/>
      <c r="M1466" s="74"/>
      <c r="N1466" s="75"/>
      <c r="O1466" s="75"/>
      <c r="P1466" s="134" t="str">
        <f>IF(AND('331-CT'!$E$7=TH!H1466,OR(N1466="331",O1466="331")),"x","")</f>
        <v/>
      </c>
    </row>
    <row r="1467" spans="1:16" ht="13.5" customHeight="1">
      <c r="A1467" s="72" t="str">
        <f t="shared" si="59"/>
        <v/>
      </c>
      <c r="B1467" s="72" t="str">
        <f t="shared" si="60"/>
        <v/>
      </c>
      <c r="C1467" s="73"/>
      <c r="D1467" s="73"/>
      <c r="E1467" s="73"/>
      <c r="F1467" s="76"/>
      <c r="G1467" s="265"/>
      <c r="H1467" s="122"/>
      <c r="I1467" s="122"/>
      <c r="J1467" s="122"/>
      <c r="K1467" s="122"/>
      <c r="L1467" s="122"/>
      <c r="M1467" s="74"/>
      <c r="N1467" s="75"/>
      <c r="O1467" s="75"/>
      <c r="P1467" s="134" t="str">
        <f>IF(AND('331-CT'!$E$7=TH!H1467,OR(N1467="331",O1467="331")),"x","")</f>
        <v/>
      </c>
    </row>
    <row r="1468" spans="1:16" ht="13.5" customHeight="1">
      <c r="A1468" s="72" t="str">
        <f t="shared" si="59"/>
        <v/>
      </c>
      <c r="B1468" s="72" t="str">
        <f t="shared" si="60"/>
        <v/>
      </c>
      <c r="C1468" s="73"/>
      <c r="D1468" s="73"/>
      <c r="E1468" s="73"/>
      <c r="F1468" s="76"/>
      <c r="G1468" s="265"/>
      <c r="H1468" s="122"/>
      <c r="I1468" s="122"/>
      <c r="J1468" s="122"/>
      <c r="K1468" s="122"/>
      <c r="L1468" s="122"/>
      <c r="M1468" s="74"/>
      <c r="N1468" s="75"/>
      <c r="O1468" s="75"/>
      <c r="P1468" s="134" t="str">
        <f>IF(AND('331-CT'!$E$7=TH!H1468,OR(N1468="331",O1468="331")),"x","")</f>
        <v/>
      </c>
    </row>
    <row r="1469" spans="1:16" ht="13.5" customHeight="1">
      <c r="A1469" s="72" t="str">
        <f t="shared" si="59"/>
        <v/>
      </c>
      <c r="B1469" s="72" t="str">
        <f t="shared" si="60"/>
        <v/>
      </c>
      <c r="C1469" s="73"/>
      <c r="D1469" s="73"/>
      <c r="E1469" s="73"/>
      <c r="F1469" s="76"/>
      <c r="G1469" s="265"/>
      <c r="H1469" s="122"/>
      <c r="I1469" s="122"/>
      <c r="J1469" s="122"/>
      <c r="K1469" s="122"/>
      <c r="L1469" s="122"/>
      <c r="M1469" s="74"/>
      <c r="N1469" s="75"/>
      <c r="O1469" s="75"/>
      <c r="P1469" s="134" t="str">
        <f>IF(AND('331-CT'!$E$7=TH!H1469,OR(N1469="331",O1469="331")),"x","")</f>
        <v/>
      </c>
    </row>
    <row r="1470" spans="1:16" ht="13.5" customHeight="1">
      <c r="A1470" s="72" t="str">
        <f t="shared" si="59"/>
        <v/>
      </c>
      <c r="B1470" s="72" t="str">
        <f t="shared" si="60"/>
        <v/>
      </c>
      <c r="C1470" s="73"/>
      <c r="D1470" s="73"/>
      <c r="E1470" s="73"/>
      <c r="F1470" s="76"/>
      <c r="G1470" s="265"/>
      <c r="H1470" s="122"/>
      <c r="I1470" s="122"/>
      <c r="J1470" s="122"/>
      <c r="K1470" s="122"/>
      <c r="L1470" s="122"/>
      <c r="M1470" s="74"/>
      <c r="N1470" s="75"/>
      <c r="O1470" s="75"/>
      <c r="P1470" s="134" t="str">
        <f>IF(AND('331-CT'!$E$7=TH!H1470,OR(N1470="331",O1470="331")),"x","")</f>
        <v/>
      </c>
    </row>
    <row r="1471" spans="1:16" ht="13.5" customHeight="1">
      <c r="A1471" s="72" t="str">
        <f t="shared" si="59"/>
        <v/>
      </c>
      <c r="B1471" s="72" t="str">
        <f t="shared" si="60"/>
        <v/>
      </c>
      <c r="C1471" s="73"/>
      <c r="D1471" s="73"/>
      <c r="E1471" s="73"/>
      <c r="F1471" s="76"/>
      <c r="G1471" s="265"/>
      <c r="H1471" s="122"/>
      <c r="I1471" s="122"/>
      <c r="J1471" s="122"/>
      <c r="K1471" s="122"/>
      <c r="L1471" s="122"/>
      <c r="M1471" s="74"/>
      <c r="N1471" s="75"/>
      <c r="O1471" s="75"/>
      <c r="P1471" s="134" t="str">
        <f>IF(AND('331-CT'!$E$7=TH!H1471,OR(N1471="331",O1471="331")),"x","")</f>
        <v/>
      </c>
    </row>
    <row r="1472" spans="1:16" ht="13.5" customHeight="1">
      <c r="A1472" s="72" t="str">
        <f t="shared" si="59"/>
        <v/>
      </c>
      <c r="B1472" s="72" t="str">
        <f t="shared" si="60"/>
        <v/>
      </c>
      <c r="C1472" s="73"/>
      <c r="D1472" s="73"/>
      <c r="E1472" s="73"/>
      <c r="F1472" s="76"/>
      <c r="G1472" s="265"/>
      <c r="H1472" s="122"/>
      <c r="I1472" s="122"/>
      <c r="J1472" s="122"/>
      <c r="K1472" s="122"/>
      <c r="L1472" s="122"/>
      <c r="M1472" s="74"/>
      <c r="N1472" s="75"/>
      <c r="O1472" s="75"/>
      <c r="P1472" s="134" t="str">
        <f>IF(AND('331-CT'!$E$7=TH!H1472,OR(N1472="331",O1472="331")),"x","")</f>
        <v/>
      </c>
    </row>
    <row r="1473" spans="1:16" ht="13.5" customHeight="1">
      <c r="A1473" s="72" t="str">
        <f t="shared" si="59"/>
        <v/>
      </c>
      <c r="B1473" s="72" t="str">
        <f t="shared" si="60"/>
        <v/>
      </c>
      <c r="C1473" s="73"/>
      <c r="D1473" s="73"/>
      <c r="E1473" s="73"/>
      <c r="F1473" s="76"/>
      <c r="G1473" s="265"/>
      <c r="H1473" s="122"/>
      <c r="I1473" s="122"/>
      <c r="J1473" s="122"/>
      <c r="K1473" s="122"/>
      <c r="L1473" s="122"/>
      <c r="M1473" s="74"/>
      <c r="N1473" s="75"/>
      <c r="O1473" s="75"/>
      <c r="P1473" s="134" t="str">
        <f>IF(AND('331-CT'!$E$7=TH!H1473,OR(N1473="331",O1473="331")),"x","")</f>
        <v/>
      </c>
    </row>
    <row r="1474" spans="1:16" ht="13.5" customHeight="1">
      <c r="A1474" s="72" t="str">
        <f t="shared" si="59"/>
        <v/>
      </c>
      <c r="B1474" s="72" t="str">
        <f t="shared" si="60"/>
        <v/>
      </c>
      <c r="C1474" s="73"/>
      <c r="D1474" s="73"/>
      <c r="E1474" s="73"/>
      <c r="F1474" s="76"/>
      <c r="G1474" s="265"/>
      <c r="H1474" s="122"/>
      <c r="I1474" s="122"/>
      <c r="J1474" s="122"/>
      <c r="K1474" s="122"/>
      <c r="L1474" s="122"/>
      <c r="M1474" s="74"/>
      <c r="N1474" s="75"/>
      <c r="O1474" s="75"/>
      <c r="P1474" s="134" t="str">
        <f>IF(AND('331-CT'!$E$7=TH!H1474,OR(N1474="331",O1474="331")),"x","")</f>
        <v/>
      </c>
    </row>
    <row r="1475" spans="1:16" ht="13.5" customHeight="1">
      <c r="A1475" s="72" t="str">
        <f t="shared" si="59"/>
        <v/>
      </c>
      <c r="B1475" s="72" t="str">
        <f t="shared" si="60"/>
        <v/>
      </c>
      <c r="C1475" s="73"/>
      <c r="D1475" s="73"/>
      <c r="E1475" s="73"/>
      <c r="F1475" s="76"/>
      <c r="G1475" s="265"/>
      <c r="H1475" s="122"/>
      <c r="I1475" s="122"/>
      <c r="J1475" s="122"/>
      <c r="K1475" s="122"/>
      <c r="L1475" s="122"/>
      <c r="M1475" s="74"/>
      <c r="N1475" s="75"/>
      <c r="O1475" s="75"/>
      <c r="P1475" s="134" t="str">
        <f>IF(AND('331-CT'!$E$7=TH!H1475,OR(N1475="331",O1475="331")),"x","")</f>
        <v/>
      </c>
    </row>
    <row r="1476" spans="1:16" ht="13.5" customHeight="1">
      <c r="A1476" s="72" t="str">
        <f t="shared" si="59"/>
        <v/>
      </c>
      <c r="B1476" s="72" t="str">
        <f t="shared" si="60"/>
        <v/>
      </c>
      <c r="C1476" s="73"/>
      <c r="D1476" s="73"/>
      <c r="E1476" s="73"/>
      <c r="F1476" s="76"/>
      <c r="G1476" s="265"/>
      <c r="H1476" s="122"/>
      <c r="I1476" s="122"/>
      <c r="J1476" s="122"/>
      <c r="K1476" s="122"/>
      <c r="L1476" s="122"/>
      <c r="M1476" s="74"/>
      <c r="N1476" s="75"/>
      <c r="O1476" s="75"/>
      <c r="P1476" s="134" t="str">
        <f>IF(AND('331-CT'!$E$7=TH!H1476,OR(N1476="331",O1476="331")),"x","")</f>
        <v/>
      </c>
    </row>
    <row r="1477" spans="1:16" ht="13.5" customHeight="1">
      <c r="A1477" s="72" t="str">
        <f t="shared" si="59"/>
        <v/>
      </c>
      <c r="B1477" s="72" t="str">
        <f t="shared" si="60"/>
        <v/>
      </c>
      <c r="C1477" s="73"/>
      <c r="D1477" s="73"/>
      <c r="E1477" s="73"/>
      <c r="F1477" s="76"/>
      <c r="G1477" s="265"/>
      <c r="H1477" s="122"/>
      <c r="I1477" s="122"/>
      <c r="J1477" s="122"/>
      <c r="K1477" s="122"/>
      <c r="L1477" s="122"/>
      <c r="M1477" s="74"/>
      <c r="N1477" s="75"/>
      <c r="O1477" s="75"/>
      <c r="P1477" s="134" t="str">
        <f>IF(AND('331-CT'!$E$7=TH!H1477,OR(N1477="331",O1477="331")),"x","")</f>
        <v/>
      </c>
    </row>
    <row r="1478" spans="1:16" ht="13.5" customHeight="1">
      <c r="A1478" s="72" t="str">
        <f t="shared" si="59"/>
        <v/>
      </c>
      <c r="B1478" s="72" t="str">
        <f t="shared" si="60"/>
        <v/>
      </c>
      <c r="C1478" s="73"/>
      <c r="D1478" s="73"/>
      <c r="E1478" s="73"/>
      <c r="F1478" s="76"/>
      <c r="G1478" s="265"/>
      <c r="H1478" s="122"/>
      <c r="I1478" s="122"/>
      <c r="J1478" s="122"/>
      <c r="K1478" s="122"/>
      <c r="L1478" s="122"/>
      <c r="M1478" s="74"/>
      <c r="N1478" s="75"/>
      <c r="O1478" s="75"/>
      <c r="P1478" s="134" t="str">
        <f>IF(AND('331-CT'!$E$7=TH!H1478,OR(N1478="331",O1478="331")),"x","")</f>
        <v/>
      </c>
    </row>
    <row r="1479" spans="1:16" ht="13.5" customHeight="1">
      <c r="A1479" s="72" t="str">
        <f t="shared" si="59"/>
        <v/>
      </c>
      <c r="B1479" s="72" t="str">
        <f t="shared" si="60"/>
        <v/>
      </c>
      <c r="C1479" s="73"/>
      <c r="D1479" s="73"/>
      <c r="E1479" s="73"/>
      <c r="F1479" s="76"/>
      <c r="G1479" s="265"/>
      <c r="H1479" s="122"/>
      <c r="I1479" s="122"/>
      <c r="J1479" s="122"/>
      <c r="K1479" s="122"/>
      <c r="L1479" s="122"/>
      <c r="M1479" s="74"/>
      <c r="N1479" s="75"/>
      <c r="O1479" s="75"/>
      <c r="P1479" s="134" t="str">
        <f>IF(AND('331-CT'!$E$7=TH!H1479,OR(N1479="331",O1479="331")),"x","")</f>
        <v/>
      </c>
    </row>
    <row r="1480" spans="1:16" ht="13.5" customHeight="1">
      <c r="A1480" s="72" t="str">
        <f t="shared" si="59"/>
        <v/>
      </c>
      <c r="B1480" s="72" t="str">
        <f t="shared" si="60"/>
        <v/>
      </c>
      <c r="C1480" s="73"/>
      <c r="D1480" s="73"/>
      <c r="E1480" s="73"/>
      <c r="F1480" s="76"/>
      <c r="G1480" s="265"/>
      <c r="H1480" s="122"/>
      <c r="I1480" s="122"/>
      <c r="J1480" s="122"/>
      <c r="K1480" s="122"/>
      <c r="L1480" s="122"/>
      <c r="M1480" s="74"/>
      <c r="N1480" s="75"/>
      <c r="O1480" s="75"/>
      <c r="P1480" s="134" t="str">
        <f>IF(AND('331-CT'!$E$7=TH!H1480,OR(N1480="331",O1480="331")),"x","")</f>
        <v/>
      </c>
    </row>
    <row r="1481" spans="1:16" ht="13.5" customHeight="1">
      <c r="A1481" s="72" t="str">
        <f t="shared" si="59"/>
        <v/>
      </c>
      <c r="B1481" s="72" t="str">
        <f t="shared" si="60"/>
        <v/>
      </c>
      <c r="C1481" s="73"/>
      <c r="D1481" s="73"/>
      <c r="E1481" s="73"/>
      <c r="F1481" s="76"/>
      <c r="G1481" s="265"/>
      <c r="H1481" s="122"/>
      <c r="I1481" s="122"/>
      <c r="J1481" s="122"/>
      <c r="K1481" s="122"/>
      <c r="L1481" s="122"/>
      <c r="M1481" s="74"/>
      <c r="N1481" s="75"/>
      <c r="O1481" s="75"/>
      <c r="P1481" s="134" t="str">
        <f>IF(AND('331-CT'!$E$7=TH!H1481,OR(N1481="331",O1481="331")),"x","")</f>
        <v/>
      </c>
    </row>
    <row r="1482" spans="1:16" ht="13.5" customHeight="1">
      <c r="A1482" s="72" t="str">
        <f t="shared" si="59"/>
        <v/>
      </c>
      <c r="B1482" s="72" t="str">
        <f t="shared" si="60"/>
        <v/>
      </c>
      <c r="C1482" s="73"/>
      <c r="D1482" s="73"/>
      <c r="E1482" s="73"/>
      <c r="F1482" s="76"/>
      <c r="G1482" s="265"/>
      <c r="H1482" s="122"/>
      <c r="I1482" s="122"/>
      <c r="J1482" s="122"/>
      <c r="K1482" s="122"/>
      <c r="L1482" s="122"/>
      <c r="M1482" s="74"/>
      <c r="N1482" s="75"/>
      <c r="O1482" s="75"/>
      <c r="P1482" s="134" t="str">
        <f>IF(AND('331-CT'!$E$7=TH!H1482,OR(N1482="331",O1482="331")),"x","")</f>
        <v/>
      </c>
    </row>
    <row r="1483" spans="1:16" ht="13.5" customHeight="1">
      <c r="A1483" s="72" t="str">
        <f t="shared" si="59"/>
        <v/>
      </c>
      <c r="B1483" s="72" t="str">
        <f t="shared" si="60"/>
        <v/>
      </c>
      <c r="C1483" s="73"/>
      <c r="D1483" s="73"/>
      <c r="E1483" s="73"/>
      <c r="F1483" s="76"/>
      <c r="G1483" s="265"/>
      <c r="H1483" s="122"/>
      <c r="I1483" s="122"/>
      <c r="J1483" s="122"/>
      <c r="K1483" s="122"/>
      <c r="L1483" s="122"/>
      <c r="M1483" s="74"/>
      <c r="N1483" s="75"/>
      <c r="O1483" s="75"/>
      <c r="P1483" s="134" t="str">
        <f>IF(AND('331-CT'!$E$7=TH!H1483,OR(N1483="331",O1483="331")),"x","")</f>
        <v/>
      </c>
    </row>
    <row r="1484" spans="1:16" ht="13.5" customHeight="1">
      <c r="A1484" s="72" t="str">
        <f t="shared" si="59"/>
        <v/>
      </c>
      <c r="B1484" s="72" t="str">
        <f t="shared" si="60"/>
        <v/>
      </c>
      <c r="C1484" s="73"/>
      <c r="D1484" s="73"/>
      <c r="E1484" s="73"/>
      <c r="F1484" s="76"/>
      <c r="G1484" s="265"/>
      <c r="H1484" s="122"/>
      <c r="I1484" s="122"/>
      <c r="J1484" s="122"/>
      <c r="K1484" s="122"/>
      <c r="L1484" s="122"/>
      <c r="M1484" s="74"/>
      <c r="N1484" s="75"/>
      <c r="O1484" s="75"/>
      <c r="P1484" s="134" t="str">
        <f>IF(AND('331-CT'!$E$7=TH!H1484,OR(N1484="331",O1484="331")),"x","")</f>
        <v/>
      </c>
    </row>
    <row r="1485" spans="1:16" ht="13.5" customHeight="1">
      <c r="A1485" s="72" t="str">
        <f t="shared" si="59"/>
        <v/>
      </c>
      <c r="B1485" s="72" t="str">
        <f t="shared" si="60"/>
        <v/>
      </c>
      <c r="C1485" s="73"/>
      <c r="D1485" s="73"/>
      <c r="E1485" s="73"/>
      <c r="F1485" s="76"/>
      <c r="G1485" s="265"/>
      <c r="H1485" s="122"/>
      <c r="I1485" s="122"/>
      <c r="J1485" s="122"/>
      <c r="K1485" s="122"/>
      <c r="L1485" s="122"/>
      <c r="M1485" s="74"/>
      <c r="N1485" s="75"/>
      <c r="O1485" s="75"/>
      <c r="P1485" s="134" t="str">
        <f>IF(AND('331-CT'!$E$7=TH!H1485,OR(N1485="331",O1485="331")),"x","")</f>
        <v/>
      </c>
    </row>
    <row r="1486" spans="1:16" ht="13.5" customHeight="1">
      <c r="A1486" s="72" t="str">
        <f t="shared" si="59"/>
        <v/>
      </c>
      <c r="B1486" s="72" t="str">
        <f t="shared" si="60"/>
        <v/>
      </c>
      <c r="C1486" s="73"/>
      <c r="D1486" s="73"/>
      <c r="E1486" s="73"/>
      <c r="F1486" s="76"/>
      <c r="G1486" s="265"/>
      <c r="H1486" s="122"/>
      <c r="I1486" s="122"/>
      <c r="J1486" s="122"/>
      <c r="K1486" s="122"/>
      <c r="L1486" s="122"/>
      <c r="M1486" s="74"/>
      <c r="N1486" s="75"/>
      <c r="O1486" s="75"/>
      <c r="P1486" s="134" t="str">
        <f>IF(AND('331-CT'!$E$7=TH!H1486,OR(N1486="331",O1486="331")),"x","")</f>
        <v/>
      </c>
    </row>
    <row r="1487" spans="1:16" ht="13.5" customHeight="1">
      <c r="A1487" s="72" t="str">
        <f t="shared" si="59"/>
        <v/>
      </c>
      <c r="B1487" s="72" t="str">
        <f t="shared" si="60"/>
        <v/>
      </c>
      <c r="C1487" s="73"/>
      <c r="D1487" s="73"/>
      <c r="E1487" s="73"/>
      <c r="F1487" s="76"/>
      <c r="G1487" s="265"/>
      <c r="H1487" s="122"/>
      <c r="I1487" s="122"/>
      <c r="J1487" s="122"/>
      <c r="K1487" s="122"/>
      <c r="L1487" s="122"/>
      <c r="M1487" s="74"/>
      <c r="N1487" s="75"/>
      <c r="O1487" s="75"/>
      <c r="P1487" s="134" t="str">
        <f>IF(AND('331-CT'!$E$7=TH!H1487,OR(N1487="331",O1487="331")),"x","")</f>
        <v/>
      </c>
    </row>
    <row r="1488" spans="1:16" ht="13.5" customHeight="1">
      <c r="A1488" s="72" t="str">
        <f t="shared" si="59"/>
        <v/>
      </c>
      <c r="B1488" s="72" t="str">
        <f t="shared" si="60"/>
        <v/>
      </c>
      <c r="C1488" s="73"/>
      <c r="D1488" s="73"/>
      <c r="E1488" s="73"/>
      <c r="F1488" s="76"/>
      <c r="G1488" s="265"/>
      <c r="H1488" s="122"/>
      <c r="I1488" s="122"/>
      <c r="J1488" s="122"/>
      <c r="K1488" s="122"/>
      <c r="L1488" s="122"/>
      <c r="M1488" s="74"/>
      <c r="N1488" s="75"/>
      <c r="O1488" s="75"/>
      <c r="P1488" s="134" t="str">
        <f>IF(AND('331-CT'!$E$7=TH!H1488,OR(N1488="331",O1488="331")),"x","")</f>
        <v/>
      </c>
    </row>
    <row r="1489" spans="1:16" ht="13.5" customHeight="1">
      <c r="A1489" s="72" t="str">
        <f t="shared" si="59"/>
        <v/>
      </c>
      <c r="B1489" s="72" t="str">
        <f t="shared" si="60"/>
        <v/>
      </c>
      <c r="C1489" s="73"/>
      <c r="D1489" s="73"/>
      <c r="E1489" s="73"/>
      <c r="F1489" s="76"/>
      <c r="G1489" s="265"/>
      <c r="H1489" s="122"/>
      <c r="I1489" s="122"/>
      <c r="J1489" s="122"/>
      <c r="K1489" s="122"/>
      <c r="L1489" s="122"/>
      <c r="M1489" s="74"/>
      <c r="N1489" s="75"/>
      <c r="O1489" s="75"/>
      <c r="P1489" s="134" t="str">
        <f>IF(AND('331-CT'!$E$7=TH!H1489,OR(N1489="331",O1489="331")),"x","")</f>
        <v/>
      </c>
    </row>
    <row r="1490" spans="1:16" ht="13.5" customHeight="1">
      <c r="A1490" s="72" t="str">
        <f t="shared" si="59"/>
        <v/>
      </c>
      <c r="B1490" s="72" t="str">
        <f t="shared" si="60"/>
        <v/>
      </c>
      <c r="C1490" s="73"/>
      <c r="D1490" s="73"/>
      <c r="E1490" s="73"/>
      <c r="F1490" s="76"/>
      <c r="G1490" s="265"/>
      <c r="H1490" s="122"/>
      <c r="I1490" s="122"/>
      <c r="J1490" s="122"/>
      <c r="K1490" s="122"/>
      <c r="L1490" s="122"/>
      <c r="M1490" s="74"/>
      <c r="N1490" s="75"/>
      <c r="O1490" s="75"/>
      <c r="P1490" s="134" t="str">
        <f>IF(AND('331-CT'!$E$7=TH!H1490,OR(N1490="331",O1490="331")),"x","")</f>
        <v/>
      </c>
    </row>
    <row r="1491" spans="1:16" ht="13.5" customHeight="1">
      <c r="A1491" s="72" t="str">
        <f t="shared" si="59"/>
        <v/>
      </c>
      <c r="B1491" s="72" t="str">
        <f t="shared" si="60"/>
        <v/>
      </c>
      <c r="C1491" s="73"/>
      <c r="D1491" s="73"/>
      <c r="E1491" s="73"/>
      <c r="F1491" s="76"/>
      <c r="G1491" s="265"/>
      <c r="H1491" s="122"/>
      <c r="I1491" s="122"/>
      <c r="J1491" s="122"/>
      <c r="K1491" s="122"/>
      <c r="L1491" s="122"/>
      <c r="M1491" s="74"/>
      <c r="N1491" s="75"/>
      <c r="O1491" s="75"/>
      <c r="P1491" s="134" t="str">
        <f>IF(AND('331-CT'!$E$7=TH!H1491,OR(N1491="331",O1491="331")),"x","")</f>
        <v/>
      </c>
    </row>
    <row r="1492" spans="1:16" ht="13.5" customHeight="1">
      <c r="A1492" s="72" t="str">
        <f t="shared" si="59"/>
        <v/>
      </c>
      <c r="B1492" s="72" t="str">
        <f t="shared" si="60"/>
        <v/>
      </c>
      <c r="C1492" s="73"/>
      <c r="D1492" s="73"/>
      <c r="E1492" s="73"/>
      <c r="F1492" s="76"/>
      <c r="G1492" s="265"/>
      <c r="H1492" s="122"/>
      <c r="I1492" s="122"/>
      <c r="J1492" s="122"/>
      <c r="K1492" s="122"/>
      <c r="L1492" s="122"/>
      <c r="M1492" s="74"/>
      <c r="N1492" s="75"/>
      <c r="O1492" s="75"/>
      <c r="P1492" s="134" t="str">
        <f>IF(AND('331-CT'!$E$7=TH!H1492,OR(N1492="331",O1492="331")),"x","")</f>
        <v/>
      </c>
    </row>
    <row r="1493" spans="1:16" ht="13.5" customHeight="1">
      <c r="A1493" s="72" t="str">
        <f t="shared" si="59"/>
        <v/>
      </c>
      <c r="B1493" s="72" t="str">
        <f t="shared" si="60"/>
        <v/>
      </c>
      <c r="C1493" s="73"/>
      <c r="D1493" s="73"/>
      <c r="E1493" s="73"/>
      <c r="F1493" s="76"/>
      <c r="G1493" s="265"/>
      <c r="H1493" s="122"/>
      <c r="I1493" s="122"/>
      <c r="J1493" s="122"/>
      <c r="K1493" s="122"/>
      <c r="L1493" s="122"/>
      <c r="M1493" s="74"/>
      <c r="N1493" s="75"/>
      <c r="O1493" s="75"/>
      <c r="P1493" s="134" t="str">
        <f>IF(AND('331-CT'!$E$7=TH!H1493,OR(N1493="331",O1493="331")),"x","")</f>
        <v/>
      </c>
    </row>
    <row r="1494" spans="1:16" ht="13.5" customHeight="1">
      <c r="A1494" s="72" t="str">
        <f t="shared" si="59"/>
        <v/>
      </c>
      <c r="B1494" s="72" t="str">
        <f t="shared" si="60"/>
        <v/>
      </c>
      <c r="C1494" s="73"/>
      <c r="D1494" s="73"/>
      <c r="E1494" s="73"/>
      <c r="F1494" s="76"/>
      <c r="G1494" s="265"/>
      <c r="H1494" s="122"/>
      <c r="I1494" s="122"/>
      <c r="J1494" s="122"/>
      <c r="K1494" s="122"/>
      <c r="L1494" s="122"/>
      <c r="M1494" s="74"/>
      <c r="N1494" s="75"/>
      <c r="O1494" s="75"/>
      <c r="P1494" s="134" t="str">
        <f>IF(AND('331-CT'!$E$7=TH!H1494,OR(N1494="331",O1494="331")),"x","")</f>
        <v/>
      </c>
    </row>
    <row r="1495" spans="1:16" ht="13.5" customHeight="1">
      <c r="A1495" s="72" t="str">
        <f t="shared" si="59"/>
        <v/>
      </c>
      <c r="B1495" s="72" t="str">
        <f t="shared" si="60"/>
        <v/>
      </c>
      <c r="C1495" s="73"/>
      <c r="D1495" s="73"/>
      <c r="E1495" s="73"/>
      <c r="F1495" s="76"/>
      <c r="G1495" s="265"/>
      <c r="H1495" s="122"/>
      <c r="I1495" s="122"/>
      <c r="J1495" s="122"/>
      <c r="K1495" s="122"/>
      <c r="L1495" s="122"/>
      <c r="M1495" s="74"/>
      <c r="N1495" s="75"/>
      <c r="O1495" s="75"/>
      <c r="P1495" s="134" t="str">
        <f>IF(AND('331-CT'!$E$7=TH!H1495,OR(N1495="331",O1495="331")),"x","")</f>
        <v/>
      </c>
    </row>
    <row r="1496" spans="1:16" ht="13.5" customHeight="1">
      <c r="A1496" s="72" t="str">
        <f t="shared" si="59"/>
        <v/>
      </c>
      <c r="B1496" s="72" t="str">
        <f t="shared" si="60"/>
        <v/>
      </c>
      <c r="C1496" s="73"/>
      <c r="D1496" s="73"/>
      <c r="E1496" s="73"/>
      <c r="F1496" s="76"/>
      <c r="G1496" s="265"/>
      <c r="H1496" s="122"/>
      <c r="I1496" s="122"/>
      <c r="J1496" s="122"/>
      <c r="K1496" s="122"/>
      <c r="L1496" s="122"/>
      <c r="M1496" s="74"/>
      <c r="N1496" s="75"/>
      <c r="O1496" s="75"/>
      <c r="P1496" s="134" t="str">
        <f>IF(AND('331-CT'!$E$7=TH!H1496,OR(N1496="331",O1496="331")),"x","")</f>
        <v/>
      </c>
    </row>
    <row r="1497" spans="1:16" ht="13.5" customHeight="1">
      <c r="A1497" s="72" t="str">
        <f t="shared" si="59"/>
        <v/>
      </c>
      <c r="B1497" s="72" t="str">
        <f t="shared" si="60"/>
        <v/>
      </c>
      <c r="C1497" s="73"/>
      <c r="D1497" s="73"/>
      <c r="E1497" s="73"/>
      <c r="F1497" s="76"/>
      <c r="G1497" s="265"/>
      <c r="H1497" s="122"/>
      <c r="I1497" s="122"/>
      <c r="J1497" s="122"/>
      <c r="K1497" s="122"/>
      <c r="L1497" s="122"/>
      <c r="M1497" s="74"/>
      <c r="N1497" s="75"/>
      <c r="O1497" s="75"/>
      <c r="P1497" s="134" t="str">
        <f>IF(AND('331-CT'!$E$7=TH!H1497,OR(N1497="331",O1497="331")),"x","")</f>
        <v/>
      </c>
    </row>
    <row r="1498" spans="1:16" ht="13.5" customHeight="1">
      <c r="A1498" s="72" t="str">
        <f t="shared" si="59"/>
        <v/>
      </c>
      <c r="B1498" s="72" t="str">
        <f t="shared" si="60"/>
        <v/>
      </c>
      <c r="C1498" s="73"/>
      <c r="D1498" s="73"/>
      <c r="E1498" s="73"/>
      <c r="F1498" s="76"/>
      <c r="G1498" s="265"/>
      <c r="H1498" s="122"/>
      <c r="I1498" s="122"/>
      <c r="J1498" s="122"/>
      <c r="K1498" s="122"/>
      <c r="L1498" s="122"/>
      <c r="M1498" s="74"/>
      <c r="N1498" s="75"/>
      <c r="O1498" s="75"/>
      <c r="P1498" s="134" t="str">
        <f>IF(AND('331-CT'!$E$7=TH!H1498,OR(N1498="331",O1498="331")),"x","")</f>
        <v/>
      </c>
    </row>
    <row r="1499" spans="1:16" ht="13.5" customHeight="1">
      <c r="A1499" s="72" t="str">
        <f t="shared" si="59"/>
        <v/>
      </c>
      <c r="B1499" s="72" t="str">
        <f t="shared" si="60"/>
        <v/>
      </c>
      <c r="C1499" s="73"/>
      <c r="D1499" s="73"/>
      <c r="E1499" s="73"/>
      <c r="F1499" s="76"/>
      <c r="G1499" s="265"/>
      <c r="H1499" s="122"/>
      <c r="I1499" s="122"/>
      <c r="J1499" s="122"/>
      <c r="K1499" s="122"/>
      <c r="L1499" s="122"/>
      <c r="M1499" s="74"/>
      <c r="N1499" s="75"/>
      <c r="O1499" s="75"/>
      <c r="P1499" s="134" t="str">
        <f>IF(AND('331-CT'!$E$7=TH!H1499,OR(N1499="331",O1499="331")),"x","")</f>
        <v/>
      </c>
    </row>
    <row r="1500" spans="1:16" ht="13.5" customHeight="1">
      <c r="A1500" s="72" t="str">
        <f t="shared" si="59"/>
        <v/>
      </c>
      <c r="B1500" s="72" t="str">
        <f t="shared" si="60"/>
        <v/>
      </c>
      <c r="C1500" s="73"/>
      <c r="D1500" s="73"/>
      <c r="E1500" s="73"/>
      <c r="F1500" s="76"/>
      <c r="G1500" s="265"/>
      <c r="H1500" s="122"/>
      <c r="I1500" s="122"/>
      <c r="J1500" s="122"/>
      <c r="K1500" s="122"/>
      <c r="L1500" s="122"/>
      <c r="M1500" s="74"/>
      <c r="N1500" s="75"/>
      <c r="O1500" s="75"/>
      <c r="P1500" s="134" t="str">
        <f>IF(AND('331-CT'!$E$7=TH!H1500,OR(N1500="331",O1500="331")),"x","")</f>
        <v/>
      </c>
    </row>
    <row r="1501" spans="1:16" ht="13.5" customHeight="1">
      <c r="A1501" s="72" t="str">
        <f t="shared" si="59"/>
        <v/>
      </c>
      <c r="B1501" s="72" t="str">
        <f t="shared" si="60"/>
        <v/>
      </c>
      <c r="C1501" s="73"/>
      <c r="D1501" s="73"/>
      <c r="E1501" s="73"/>
      <c r="F1501" s="76"/>
      <c r="G1501" s="265"/>
      <c r="H1501" s="122"/>
      <c r="I1501" s="122"/>
      <c r="J1501" s="122"/>
      <c r="K1501" s="122"/>
      <c r="L1501" s="122"/>
      <c r="M1501" s="74"/>
      <c r="N1501" s="75"/>
      <c r="O1501" s="75"/>
      <c r="P1501" s="134" t="str">
        <f>IF(AND('331-CT'!$E$7=TH!H1501,OR(N1501="331",O1501="331")),"x","")</f>
        <v/>
      </c>
    </row>
    <row r="1502" spans="1:16" ht="13.5" customHeight="1">
      <c r="A1502" s="72" t="str">
        <f t="shared" si="59"/>
        <v/>
      </c>
      <c r="B1502" s="72" t="str">
        <f t="shared" si="60"/>
        <v/>
      </c>
      <c r="C1502" s="73"/>
      <c r="D1502" s="73"/>
      <c r="E1502" s="73"/>
      <c r="F1502" s="76"/>
      <c r="G1502" s="265"/>
      <c r="H1502" s="122"/>
      <c r="I1502" s="122"/>
      <c r="J1502" s="122"/>
      <c r="K1502" s="122"/>
      <c r="L1502" s="122"/>
      <c r="M1502" s="74"/>
      <c r="N1502" s="75"/>
      <c r="O1502" s="75"/>
      <c r="P1502" s="134" t="str">
        <f>IF(AND('331-CT'!$E$7=TH!H1502,OR(N1502="331",O1502="331")),"x","")</f>
        <v/>
      </c>
    </row>
    <row r="1503" spans="1:16" ht="13.5" customHeight="1">
      <c r="A1503" s="72" t="str">
        <f t="shared" si="59"/>
        <v/>
      </c>
      <c r="B1503" s="72" t="str">
        <f t="shared" si="60"/>
        <v/>
      </c>
      <c r="C1503" s="73"/>
      <c r="D1503" s="73"/>
      <c r="E1503" s="73"/>
      <c r="F1503" s="76"/>
      <c r="G1503" s="265"/>
      <c r="H1503" s="122"/>
      <c r="I1503" s="122"/>
      <c r="J1503" s="122"/>
      <c r="K1503" s="122"/>
      <c r="L1503" s="122"/>
      <c r="M1503" s="74"/>
      <c r="N1503" s="75"/>
      <c r="O1503" s="75"/>
      <c r="P1503" s="134" t="str">
        <f>IF(AND('331-CT'!$E$7=TH!H1503,OR(N1503="331",O1503="331")),"x","")</f>
        <v/>
      </c>
    </row>
    <row r="1504" spans="1:16" ht="13.5" customHeight="1">
      <c r="A1504" s="72" t="str">
        <f t="shared" si="59"/>
        <v/>
      </c>
      <c r="B1504" s="72" t="str">
        <f t="shared" si="60"/>
        <v/>
      </c>
      <c r="C1504" s="73"/>
      <c r="D1504" s="73"/>
      <c r="E1504" s="73"/>
      <c r="F1504" s="76"/>
      <c r="G1504" s="265"/>
      <c r="H1504" s="122"/>
      <c r="I1504" s="122"/>
      <c r="J1504" s="122"/>
      <c r="K1504" s="122"/>
      <c r="L1504" s="122"/>
      <c r="M1504" s="74"/>
      <c r="N1504" s="75"/>
      <c r="O1504" s="75"/>
      <c r="P1504" s="134" t="str">
        <f>IF(AND('331-CT'!$E$7=TH!H1504,OR(N1504="331",O1504="331")),"x","")</f>
        <v/>
      </c>
    </row>
    <row r="1505" spans="1:16" ht="13.5" customHeight="1">
      <c r="A1505" s="72" t="str">
        <f t="shared" si="59"/>
        <v/>
      </c>
      <c r="B1505" s="72" t="str">
        <f t="shared" si="60"/>
        <v/>
      </c>
      <c r="C1505" s="73"/>
      <c r="D1505" s="73"/>
      <c r="E1505" s="73"/>
      <c r="F1505" s="76"/>
      <c r="G1505" s="265"/>
      <c r="H1505" s="122"/>
      <c r="I1505" s="122"/>
      <c r="J1505" s="122"/>
      <c r="K1505" s="122"/>
      <c r="L1505" s="122"/>
      <c r="M1505" s="74"/>
      <c r="N1505" s="75"/>
      <c r="O1505" s="75"/>
      <c r="P1505" s="134" t="str">
        <f>IF(AND('331-CT'!$E$7=TH!H1505,OR(N1505="331",O1505="331")),"x","")</f>
        <v/>
      </c>
    </row>
    <row r="1506" spans="1:16" ht="13.5" customHeight="1">
      <c r="A1506" s="72" t="str">
        <f t="shared" si="59"/>
        <v/>
      </c>
      <c r="B1506" s="72" t="str">
        <f t="shared" si="60"/>
        <v/>
      </c>
      <c r="C1506" s="73"/>
      <c r="D1506" s="73"/>
      <c r="E1506" s="73"/>
      <c r="F1506" s="76"/>
      <c r="G1506" s="265"/>
      <c r="H1506" s="122"/>
      <c r="I1506" s="122"/>
      <c r="J1506" s="122"/>
      <c r="K1506" s="122"/>
      <c r="L1506" s="122"/>
      <c r="M1506" s="74"/>
      <c r="N1506" s="75"/>
      <c r="O1506" s="75"/>
      <c r="P1506" s="134" t="str">
        <f>IF(AND('331-CT'!$E$7=TH!H1506,OR(N1506="331",O1506="331")),"x","")</f>
        <v/>
      </c>
    </row>
    <row r="1507" spans="1:16" ht="13.5" customHeight="1">
      <c r="A1507" s="72" t="str">
        <f t="shared" si="59"/>
        <v/>
      </c>
      <c r="B1507" s="72" t="str">
        <f t="shared" si="60"/>
        <v/>
      </c>
      <c r="C1507" s="73"/>
      <c r="D1507" s="73"/>
      <c r="E1507" s="73"/>
      <c r="F1507" s="76"/>
      <c r="G1507" s="265"/>
      <c r="H1507" s="122"/>
      <c r="I1507" s="122"/>
      <c r="J1507" s="122"/>
      <c r="K1507" s="122"/>
      <c r="L1507" s="122"/>
      <c r="M1507" s="74"/>
      <c r="N1507" s="75"/>
      <c r="O1507" s="75"/>
      <c r="P1507" s="134" t="str">
        <f>IF(AND('331-CT'!$E$7=TH!H1507,OR(N1507="331",O1507="331")),"x","")</f>
        <v/>
      </c>
    </row>
    <row r="1508" spans="1:16" ht="13.5" customHeight="1">
      <c r="A1508" s="72" t="str">
        <f t="shared" si="59"/>
        <v/>
      </c>
      <c r="B1508" s="72" t="str">
        <f t="shared" si="60"/>
        <v/>
      </c>
      <c r="C1508" s="73"/>
      <c r="D1508" s="73"/>
      <c r="E1508" s="73"/>
      <c r="F1508" s="76"/>
      <c r="G1508" s="265"/>
      <c r="H1508" s="122"/>
      <c r="I1508" s="122"/>
      <c r="J1508" s="122"/>
      <c r="K1508" s="122"/>
      <c r="L1508" s="122"/>
      <c r="M1508" s="74"/>
      <c r="N1508" s="75"/>
      <c r="O1508" s="75"/>
      <c r="P1508" s="134" t="str">
        <f>IF(AND('331-CT'!$E$7=TH!H1508,OR(N1508="331",O1508="331")),"x","")</f>
        <v/>
      </c>
    </row>
    <row r="1509" spans="1:16" ht="13.5" customHeight="1">
      <c r="A1509" s="72" t="str">
        <f t="shared" si="59"/>
        <v/>
      </c>
      <c r="B1509" s="72" t="str">
        <f t="shared" si="60"/>
        <v/>
      </c>
      <c r="C1509" s="73"/>
      <c r="D1509" s="73"/>
      <c r="E1509" s="73"/>
      <c r="F1509" s="76"/>
      <c r="G1509" s="265"/>
      <c r="H1509" s="122"/>
      <c r="I1509" s="122"/>
      <c r="J1509" s="122"/>
      <c r="K1509" s="122"/>
      <c r="L1509" s="122"/>
      <c r="M1509" s="74"/>
      <c r="N1509" s="75"/>
      <c r="O1509" s="75"/>
      <c r="P1509" s="134" t="str">
        <f>IF(AND('331-CT'!$E$7=TH!H1509,OR(N1509="331",O1509="331")),"x","")</f>
        <v/>
      </c>
    </row>
    <row r="1510" spans="1:16" ht="13.5" customHeight="1">
      <c r="A1510" s="72" t="str">
        <f t="shared" si="59"/>
        <v/>
      </c>
      <c r="B1510" s="72" t="str">
        <f t="shared" si="60"/>
        <v/>
      </c>
      <c r="C1510" s="73"/>
      <c r="D1510" s="73"/>
      <c r="E1510" s="73"/>
      <c r="F1510" s="76"/>
      <c r="G1510" s="265"/>
      <c r="H1510" s="122"/>
      <c r="I1510" s="122"/>
      <c r="J1510" s="122"/>
      <c r="K1510" s="122"/>
      <c r="L1510" s="122"/>
      <c r="M1510" s="74"/>
      <c r="N1510" s="75"/>
      <c r="O1510" s="75"/>
      <c r="P1510" s="134" t="str">
        <f>IF(AND('331-CT'!$E$7=TH!H1510,OR(N1510="331",O1510="331")),"x","")</f>
        <v/>
      </c>
    </row>
    <row r="1511" spans="1:16" ht="13.5" customHeight="1">
      <c r="A1511" s="72" t="str">
        <f t="shared" si="59"/>
        <v/>
      </c>
      <c r="B1511" s="72" t="str">
        <f t="shared" si="60"/>
        <v/>
      </c>
      <c r="C1511" s="73"/>
      <c r="D1511" s="73"/>
      <c r="E1511" s="73"/>
      <c r="F1511" s="76"/>
      <c r="G1511" s="265"/>
      <c r="H1511" s="122"/>
      <c r="I1511" s="122"/>
      <c r="J1511" s="122"/>
      <c r="K1511" s="122"/>
      <c r="L1511" s="122"/>
      <c r="M1511" s="74"/>
      <c r="N1511" s="75"/>
      <c r="O1511" s="75"/>
      <c r="P1511" s="134" t="str">
        <f>IF(AND('331-CT'!$E$7=TH!H1511,OR(N1511="331",O1511="331")),"x","")</f>
        <v/>
      </c>
    </row>
    <row r="1512" spans="1:16" ht="13.5" customHeight="1">
      <c r="A1512" s="72" t="str">
        <f t="shared" si="59"/>
        <v/>
      </c>
      <c r="B1512" s="72" t="str">
        <f t="shared" si="60"/>
        <v/>
      </c>
      <c r="C1512" s="73"/>
      <c r="D1512" s="73"/>
      <c r="E1512" s="73"/>
      <c r="F1512" s="76"/>
      <c r="G1512" s="265"/>
      <c r="H1512" s="122"/>
      <c r="I1512" s="122"/>
      <c r="J1512" s="122"/>
      <c r="K1512" s="122"/>
      <c r="L1512" s="122"/>
      <c r="M1512" s="74"/>
      <c r="N1512" s="75"/>
      <c r="O1512" s="75"/>
      <c r="P1512" s="134" t="str">
        <f>IF(AND('331-CT'!$E$7=TH!H1512,OR(N1512="331",O1512="331")),"x","")</f>
        <v/>
      </c>
    </row>
    <row r="1513" spans="1:16" ht="13.5" customHeight="1">
      <c r="A1513" s="72" t="str">
        <f t="shared" si="59"/>
        <v/>
      </c>
      <c r="B1513" s="72" t="str">
        <f t="shared" si="60"/>
        <v/>
      </c>
      <c r="C1513" s="73"/>
      <c r="D1513" s="73"/>
      <c r="E1513" s="73"/>
      <c r="F1513" s="76"/>
      <c r="G1513" s="265"/>
      <c r="H1513" s="122"/>
      <c r="I1513" s="122"/>
      <c r="J1513" s="122"/>
      <c r="K1513" s="122"/>
      <c r="L1513" s="122"/>
      <c r="M1513" s="74"/>
      <c r="N1513" s="75"/>
      <c r="O1513" s="75"/>
      <c r="P1513" s="134" t="str">
        <f>IF(AND('331-CT'!$E$7=TH!H1513,OR(N1513="331",O1513="331")),"x","")</f>
        <v/>
      </c>
    </row>
    <row r="1514" spans="1:16" ht="13.5" customHeight="1">
      <c r="A1514" s="72" t="str">
        <f t="shared" si="59"/>
        <v/>
      </c>
      <c r="B1514" s="72" t="str">
        <f t="shared" si="60"/>
        <v/>
      </c>
      <c r="C1514" s="73"/>
      <c r="D1514" s="73"/>
      <c r="E1514" s="73"/>
      <c r="F1514" s="76"/>
      <c r="G1514" s="265"/>
      <c r="H1514" s="122"/>
      <c r="I1514" s="122"/>
      <c r="J1514" s="122"/>
      <c r="K1514" s="122"/>
      <c r="L1514" s="122"/>
      <c r="M1514" s="74"/>
      <c r="N1514" s="75"/>
      <c r="O1514" s="75"/>
      <c r="P1514" s="134" t="str">
        <f>IF(AND('331-CT'!$E$7=TH!H1514,OR(N1514="331",O1514="331")),"x","")</f>
        <v/>
      </c>
    </row>
    <row r="1515" spans="1:16" ht="13.5" customHeight="1">
      <c r="A1515" s="72" t="str">
        <f t="shared" si="59"/>
        <v/>
      </c>
      <c r="B1515" s="72" t="str">
        <f t="shared" si="60"/>
        <v/>
      </c>
      <c r="C1515" s="73"/>
      <c r="D1515" s="73"/>
      <c r="E1515" s="73"/>
      <c r="F1515" s="76"/>
      <c r="G1515" s="265"/>
      <c r="H1515" s="122"/>
      <c r="I1515" s="122"/>
      <c r="J1515" s="122"/>
      <c r="K1515" s="122"/>
      <c r="L1515" s="122"/>
      <c r="M1515" s="74"/>
      <c r="N1515" s="75"/>
      <c r="O1515" s="75"/>
      <c r="P1515" s="134" t="str">
        <f>IF(AND('331-CT'!$E$7=TH!H1515,OR(N1515="331",O1515="331")),"x","")</f>
        <v/>
      </c>
    </row>
    <row r="1516" spans="1:16" ht="13.5" customHeight="1">
      <c r="A1516" s="72" t="str">
        <f t="shared" si="59"/>
        <v/>
      </c>
      <c r="B1516" s="72" t="str">
        <f t="shared" si="60"/>
        <v/>
      </c>
      <c r="C1516" s="73"/>
      <c r="D1516" s="73"/>
      <c r="E1516" s="73"/>
      <c r="F1516" s="76"/>
      <c r="G1516" s="265"/>
      <c r="H1516" s="122"/>
      <c r="I1516" s="122"/>
      <c r="J1516" s="122"/>
      <c r="K1516" s="122"/>
      <c r="L1516" s="122"/>
      <c r="M1516" s="74"/>
      <c r="N1516" s="75"/>
      <c r="O1516" s="75"/>
      <c r="P1516" s="134" t="str">
        <f>IF(AND('331-CT'!$E$7=TH!H1516,OR(N1516="331",O1516="331")),"x","")</f>
        <v/>
      </c>
    </row>
    <row r="1517" spans="1:16" ht="13.5" customHeight="1">
      <c r="A1517" s="72" t="str">
        <f t="shared" si="59"/>
        <v/>
      </c>
      <c r="B1517" s="72" t="str">
        <f t="shared" si="60"/>
        <v/>
      </c>
      <c r="C1517" s="73"/>
      <c r="D1517" s="73"/>
      <c r="E1517" s="73"/>
      <c r="F1517" s="76"/>
      <c r="G1517" s="265"/>
      <c r="H1517" s="122"/>
      <c r="I1517" s="122"/>
      <c r="J1517" s="122"/>
      <c r="K1517" s="122"/>
      <c r="L1517" s="122"/>
      <c r="M1517" s="74"/>
      <c r="N1517" s="75"/>
      <c r="O1517" s="75"/>
      <c r="P1517" s="134" t="str">
        <f>IF(AND('331-CT'!$E$7=TH!H1517,OR(N1517="331",O1517="331")),"x","")</f>
        <v/>
      </c>
    </row>
    <row r="1518" spans="1:16" ht="13.5" customHeight="1">
      <c r="A1518" s="72" t="str">
        <f t="shared" si="59"/>
        <v/>
      </c>
      <c r="B1518" s="72" t="str">
        <f t="shared" si="60"/>
        <v/>
      </c>
      <c r="C1518" s="73"/>
      <c r="D1518" s="73"/>
      <c r="E1518" s="73"/>
      <c r="F1518" s="76"/>
      <c r="G1518" s="265"/>
      <c r="H1518" s="122"/>
      <c r="I1518" s="122"/>
      <c r="J1518" s="122"/>
      <c r="K1518" s="122"/>
      <c r="L1518" s="122"/>
      <c r="M1518" s="74"/>
      <c r="N1518" s="75"/>
      <c r="O1518" s="75"/>
      <c r="P1518" s="134" t="str">
        <f>IF(AND('331-CT'!$E$7=TH!H1518,OR(N1518="331",O1518="331")),"x","")</f>
        <v/>
      </c>
    </row>
    <row r="1519" spans="1:16" ht="13.5" customHeight="1">
      <c r="A1519" s="72" t="str">
        <f t="shared" si="59"/>
        <v/>
      </c>
      <c r="B1519" s="72" t="str">
        <f t="shared" si="60"/>
        <v/>
      </c>
      <c r="C1519" s="73"/>
      <c r="D1519" s="73"/>
      <c r="E1519" s="73"/>
      <c r="F1519" s="76"/>
      <c r="G1519" s="265"/>
      <c r="H1519" s="122"/>
      <c r="I1519" s="122"/>
      <c r="J1519" s="122"/>
      <c r="K1519" s="122"/>
      <c r="L1519" s="122"/>
      <c r="M1519" s="74"/>
      <c r="N1519" s="75"/>
      <c r="O1519" s="75"/>
      <c r="P1519" s="134" t="str">
        <f>IF(AND('331-CT'!$E$7=TH!H1519,OR(N1519="331",O1519="331")),"x","")</f>
        <v/>
      </c>
    </row>
    <row r="1520" spans="1:16" ht="13.5" customHeight="1">
      <c r="A1520" s="72" t="str">
        <f t="shared" si="59"/>
        <v/>
      </c>
      <c r="B1520" s="72" t="str">
        <f t="shared" si="60"/>
        <v/>
      </c>
      <c r="C1520" s="73"/>
      <c r="D1520" s="73"/>
      <c r="E1520" s="73"/>
      <c r="F1520" s="76"/>
      <c r="G1520" s="265"/>
      <c r="H1520" s="122"/>
      <c r="I1520" s="122"/>
      <c r="J1520" s="122"/>
      <c r="K1520" s="122"/>
      <c r="L1520" s="122"/>
      <c r="M1520" s="74"/>
      <c r="N1520" s="75"/>
      <c r="O1520" s="75"/>
      <c r="P1520" s="134" t="str">
        <f>IF(AND('331-CT'!$E$7=TH!H1520,OR(N1520="331",O1520="331")),"x","")</f>
        <v/>
      </c>
    </row>
    <row r="1521" spans="1:16" ht="13.5" customHeight="1">
      <c r="A1521" s="72" t="str">
        <f t="shared" si="59"/>
        <v/>
      </c>
      <c r="B1521" s="72" t="str">
        <f t="shared" si="60"/>
        <v/>
      </c>
      <c r="C1521" s="73"/>
      <c r="D1521" s="73"/>
      <c r="E1521" s="73"/>
      <c r="F1521" s="76"/>
      <c r="G1521" s="265"/>
      <c r="H1521" s="122"/>
      <c r="I1521" s="122"/>
      <c r="J1521" s="122"/>
      <c r="K1521" s="122"/>
      <c r="L1521" s="122"/>
      <c r="M1521" s="74"/>
      <c r="N1521" s="75"/>
      <c r="O1521" s="75"/>
      <c r="P1521" s="134" t="str">
        <f>IF(AND('331-CT'!$E$7=TH!H1521,OR(N1521="331",O1521="331")),"x","")</f>
        <v/>
      </c>
    </row>
    <row r="1522" spans="1:16" ht="13.5" customHeight="1">
      <c r="A1522" s="72" t="str">
        <f t="shared" si="59"/>
        <v/>
      </c>
      <c r="B1522" s="72" t="str">
        <f t="shared" si="60"/>
        <v/>
      </c>
      <c r="C1522" s="73"/>
      <c r="D1522" s="73"/>
      <c r="E1522" s="73"/>
      <c r="F1522" s="76"/>
      <c r="G1522" s="265"/>
      <c r="H1522" s="122"/>
      <c r="I1522" s="122"/>
      <c r="J1522" s="122"/>
      <c r="K1522" s="122"/>
      <c r="L1522" s="122"/>
      <c r="M1522" s="74"/>
      <c r="N1522" s="75"/>
      <c r="O1522" s="75"/>
      <c r="P1522" s="134" t="str">
        <f>IF(AND('331-CT'!$E$7=TH!H1522,OR(N1522="331",O1522="331")),"x","")</f>
        <v/>
      </c>
    </row>
    <row r="1523" spans="1:16" ht="13.5" customHeight="1">
      <c r="A1523" s="72" t="str">
        <f t="shared" ref="A1523:A1586" si="61">IF(C1523&lt;&gt;"",YEAR(C1523),"")</f>
        <v/>
      </c>
      <c r="B1523" s="72" t="str">
        <f t="shared" ref="B1523:B1586" si="62">IF(C1523&lt;&gt;"",MONTH(C1523),"")</f>
        <v/>
      </c>
      <c r="C1523" s="73"/>
      <c r="D1523" s="73"/>
      <c r="E1523" s="73"/>
      <c r="F1523" s="76"/>
      <c r="G1523" s="265"/>
      <c r="H1523" s="122"/>
      <c r="I1523" s="122"/>
      <c r="J1523" s="122"/>
      <c r="K1523" s="122"/>
      <c r="L1523" s="122"/>
      <c r="M1523" s="74"/>
      <c r="N1523" s="75"/>
      <c r="O1523" s="75"/>
      <c r="P1523" s="134" t="str">
        <f>IF(AND('331-CT'!$E$7=TH!H1523,OR(N1523="331",O1523="331")),"x","")</f>
        <v/>
      </c>
    </row>
    <row r="1524" spans="1:16" ht="13.5" customHeight="1">
      <c r="A1524" s="72" t="str">
        <f t="shared" si="61"/>
        <v/>
      </c>
      <c r="B1524" s="72" t="str">
        <f t="shared" si="62"/>
        <v/>
      </c>
      <c r="C1524" s="73"/>
      <c r="D1524" s="73"/>
      <c r="E1524" s="73"/>
      <c r="F1524" s="76"/>
      <c r="G1524" s="265"/>
      <c r="H1524" s="122"/>
      <c r="I1524" s="122"/>
      <c r="J1524" s="122"/>
      <c r="K1524" s="122"/>
      <c r="L1524" s="122"/>
      <c r="M1524" s="74"/>
      <c r="N1524" s="75"/>
      <c r="O1524" s="75"/>
      <c r="P1524" s="134" t="str">
        <f>IF(AND('331-CT'!$E$7=TH!H1524,OR(N1524="331",O1524="331")),"x","")</f>
        <v/>
      </c>
    </row>
    <row r="1525" spans="1:16" ht="13.5" customHeight="1">
      <c r="A1525" s="72" t="str">
        <f t="shared" si="61"/>
        <v/>
      </c>
      <c r="B1525" s="72" t="str">
        <f t="shared" si="62"/>
        <v/>
      </c>
      <c r="C1525" s="73"/>
      <c r="D1525" s="73"/>
      <c r="E1525" s="73"/>
      <c r="F1525" s="76"/>
      <c r="G1525" s="265"/>
      <c r="H1525" s="122"/>
      <c r="I1525" s="122"/>
      <c r="J1525" s="122"/>
      <c r="K1525" s="122"/>
      <c r="L1525" s="122"/>
      <c r="M1525" s="74"/>
      <c r="N1525" s="75"/>
      <c r="O1525" s="75"/>
      <c r="P1525" s="134" t="str">
        <f>IF(AND('331-CT'!$E$7=TH!H1525,OR(N1525="331",O1525="331")),"x","")</f>
        <v/>
      </c>
    </row>
    <row r="1526" spans="1:16" ht="13.5" customHeight="1">
      <c r="A1526" s="72" t="str">
        <f t="shared" si="61"/>
        <v/>
      </c>
      <c r="B1526" s="72" t="str">
        <f t="shared" si="62"/>
        <v/>
      </c>
      <c r="C1526" s="73"/>
      <c r="D1526" s="73"/>
      <c r="E1526" s="73"/>
      <c r="F1526" s="76"/>
      <c r="G1526" s="265"/>
      <c r="H1526" s="122"/>
      <c r="I1526" s="122"/>
      <c r="J1526" s="122"/>
      <c r="K1526" s="122"/>
      <c r="L1526" s="122"/>
      <c r="M1526" s="74"/>
      <c r="N1526" s="75"/>
      <c r="O1526" s="75"/>
      <c r="P1526" s="134" t="str">
        <f>IF(AND('331-CT'!$E$7=TH!H1526,OR(N1526="331",O1526="331")),"x","")</f>
        <v/>
      </c>
    </row>
    <row r="1527" spans="1:16" ht="13.5" customHeight="1">
      <c r="A1527" s="72" t="str">
        <f t="shared" si="61"/>
        <v/>
      </c>
      <c r="B1527" s="72" t="str">
        <f t="shared" si="62"/>
        <v/>
      </c>
      <c r="C1527" s="73"/>
      <c r="D1527" s="73"/>
      <c r="E1527" s="73"/>
      <c r="F1527" s="76"/>
      <c r="G1527" s="265"/>
      <c r="H1527" s="122"/>
      <c r="I1527" s="122"/>
      <c r="J1527" s="122"/>
      <c r="K1527" s="122"/>
      <c r="L1527" s="122"/>
      <c r="M1527" s="74"/>
      <c r="N1527" s="75"/>
      <c r="O1527" s="75"/>
      <c r="P1527" s="134" t="str">
        <f>IF(AND('331-CT'!$E$7=TH!H1527,OR(N1527="331",O1527="331")),"x","")</f>
        <v/>
      </c>
    </row>
    <row r="1528" spans="1:16" ht="13.5" customHeight="1">
      <c r="A1528" s="72" t="str">
        <f t="shared" si="61"/>
        <v/>
      </c>
      <c r="B1528" s="72" t="str">
        <f t="shared" si="62"/>
        <v/>
      </c>
      <c r="C1528" s="73"/>
      <c r="D1528" s="73"/>
      <c r="E1528" s="73"/>
      <c r="F1528" s="76"/>
      <c r="G1528" s="265"/>
      <c r="H1528" s="122"/>
      <c r="I1528" s="122"/>
      <c r="J1528" s="122"/>
      <c r="K1528" s="122"/>
      <c r="L1528" s="122"/>
      <c r="M1528" s="74"/>
      <c r="N1528" s="75"/>
      <c r="O1528" s="75"/>
      <c r="P1528" s="134" t="str">
        <f>IF(AND('331-CT'!$E$7=TH!H1528,OR(N1528="331",O1528="331")),"x","")</f>
        <v/>
      </c>
    </row>
    <row r="1529" spans="1:16" ht="13.5" customHeight="1">
      <c r="A1529" s="72" t="str">
        <f t="shared" si="61"/>
        <v/>
      </c>
      <c r="B1529" s="72" t="str">
        <f t="shared" si="62"/>
        <v/>
      </c>
      <c r="C1529" s="73"/>
      <c r="D1529" s="73"/>
      <c r="E1529" s="73"/>
      <c r="F1529" s="76"/>
      <c r="G1529" s="265"/>
      <c r="H1529" s="122"/>
      <c r="I1529" s="122"/>
      <c r="J1529" s="122"/>
      <c r="K1529" s="122"/>
      <c r="L1529" s="122"/>
      <c r="M1529" s="74"/>
      <c r="N1529" s="75"/>
      <c r="O1529" s="75"/>
      <c r="P1529" s="134" t="str">
        <f>IF(AND('331-CT'!$E$7=TH!H1529,OR(N1529="331",O1529="331")),"x","")</f>
        <v/>
      </c>
    </row>
    <row r="1530" spans="1:16" ht="13.5" customHeight="1">
      <c r="A1530" s="72" t="str">
        <f t="shared" si="61"/>
        <v/>
      </c>
      <c r="B1530" s="72" t="str">
        <f t="shared" si="62"/>
        <v/>
      </c>
      <c r="C1530" s="73"/>
      <c r="D1530" s="73"/>
      <c r="E1530" s="73"/>
      <c r="F1530" s="76"/>
      <c r="G1530" s="265"/>
      <c r="H1530" s="122"/>
      <c r="I1530" s="122"/>
      <c r="J1530" s="122"/>
      <c r="K1530" s="122"/>
      <c r="L1530" s="122"/>
      <c r="M1530" s="74"/>
      <c r="N1530" s="75"/>
      <c r="O1530" s="75"/>
      <c r="P1530" s="134" t="str">
        <f>IF(AND('331-CT'!$E$7=TH!H1530,OR(N1530="331",O1530="331")),"x","")</f>
        <v/>
      </c>
    </row>
    <row r="1531" spans="1:16" ht="13.5" customHeight="1">
      <c r="A1531" s="72" t="str">
        <f t="shared" si="61"/>
        <v/>
      </c>
      <c r="B1531" s="72" t="str">
        <f t="shared" si="62"/>
        <v/>
      </c>
      <c r="C1531" s="73"/>
      <c r="D1531" s="73"/>
      <c r="E1531" s="73"/>
      <c r="F1531" s="76"/>
      <c r="G1531" s="265"/>
      <c r="H1531" s="122"/>
      <c r="I1531" s="122"/>
      <c r="J1531" s="122"/>
      <c r="K1531" s="122"/>
      <c r="L1531" s="122"/>
      <c r="M1531" s="74"/>
      <c r="N1531" s="75"/>
      <c r="O1531" s="75"/>
      <c r="P1531" s="134" t="str">
        <f>IF(AND('331-CT'!$E$7=TH!H1531,OR(N1531="331",O1531="331")),"x","")</f>
        <v/>
      </c>
    </row>
    <row r="1532" spans="1:16" ht="13.5" customHeight="1">
      <c r="A1532" s="72" t="str">
        <f t="shared" si="61"/>
        <v/>
      </c>
      <c r="B1532" s="72" t="str">
        <f t="shared" si="62"/>
        <v/>
      </c>
      <c r="C1532" s="73"/>
      <c r="D1532" s="73"/>
      <c r="E1532" s="73"/>
      <c r="F1532" s="76"/>
      <c r="G1532" s="265"/>
      <c r="H1532" s="122"/>
      <c r="I1532" s="122"/>
      <c r="J1532" s="122"/>
      <c r="K1532" s="122"/>
      <c r="L1532" s="122"/>
      <c r="M1532" s="74"/>
      <c r="N1532" s="75"/>
      <c r="O1532" s="75"/>
      <c r="P1532" s="134" t="str">
        <f>IF(AND('331-CT'!$E$7=TH!H1532,OR(N1532="331",O1532="331")),"x","")</f>
        <v/>
      </c>
    </row>
    <row r="1533" spans="1:16" ht="13.5" customHeight="1">
      <c r="A1533" s="72" t="str">
        <f t="shared" si="61"/>
        <v/>
      </c>
      <c r="B1533" s="72" t="str">
        <f t="shared" si="62"/>
        <v/>
      </c>
      <c r="C1533" s="73"/>
      <c r="D1533" s="73"/>
      <c r="E1533" s="73"/>
      <c r="F1533" s="76"/>
      <c r="G1533" s="265"/>
      <c r="H1533" s="122"/>
      <c r="I1533" s="122"/>
      <c r="J1533" s="122"/>
      <c r="K1533" s="122"/>
      <c r="L1533" s="122"/>
      <c r="M1533" s="74"/>
      <c r="N1533" s="75"/>
      <c r="O1533" s="75"/>
      <c r="P1533" s="134" t="str">
        <f>IF(AND('331-CT'!$E$7=TH!H1533,OR(N1533="331",O1533="331")),"x","")</f>
        <v/>
      </c>
    </row>
    <row r="1534" spans="1:16" ht="13.5" customHeight="1">
      <c r="A1534" s="72" t="str">
        <f t="shared" si="61"/>
        <v/>
      </c>
      <c r="B1534" s="72" t="str">
        <f t="shared" si="62"/>
        <v/>
      </c>
      <c r="C1534" s="73"/>
      <c r="D1534" s="73"/>
      <c r="E1534" s="73"/>
      <c r="F1534" s="76"/>
      <c r="G1534" s="265"/>
      <c r="H1534" s="122"/>
      <c r="I1534" s="122"/>
      <c r="J1534" s="122"/>
      <c r="K1534" s="122"/>
      <c r="L1534" s="122"/>
      <c r="M1534" s="74"/>
      <c r="N1534" s="75"/>
      <c r="O1534" s="75"/>
      <c r="P1534" s="134" t="str">
        <f>IF(AND('331-CT'!$E$7=TH!H1534,OR(N1534="331",O1534="331")),"x","")</f>
        <v/>
      </c>
    </row>
    <row r="1535" spans="1:16" ht="13.5" customHeight="1">
      <c r="A1535" s="72" t="str">
        <f t="shared" si="61"/>
        <v/>
      </c>
      <c r="B1535" s="72" t="str">
        <f t="shared" si="62"/>
        <v/>
      </c>
      <c r="C1535" s="73"/>
      <c r="D1535" s="73"/>
      <c r="E1535" s="73"/>
      <c r="F1535" s="76"/>
      <c r="G1535" s="265"/>
      <c r="H1535" s="122"/>
      <c r="I1535" s="122"/>
      <c r="J1535" s="122"/>
      <c r="K1535" s="122"/>
      <c r="L1535" s="122"/>
      <c r="M1535" s="74"/>
      <c r="N1535" s="75"/>
      <c r="O1535" s="75"/>
      <c r="P1535" s="134" t="str">
        <f>IF(AND('331-CT'!$E$7=TH!H1535,OR(N1535="331",O1535="331")),"x","")</f>
        <v/>
      </c>
    </row>
    <row r="1536" spans="1:16" ht="13.5" customHeight="1">
      <c r="A1536" s="72" t="str">
        <f t="shared" si="61"/>
        <v/>
      </c>
      <c r="B1536" s="72" t="str">
        <f t="shared" si="62"/>
        <v/>
      </c>
      <c r="C1536" s="73"/>
      <c r="D1536" s="73"/>
      <c r="E1536" s="73"/>
      <c r="F1536" s="76"/>
      <c r="G1536" s="265"/>
      <c r="H1536" s="122"/>
      <c r="I1536" s="122"/>
      <c r="J1536" s="122"/>
      <c r="K1536" s="122"/>
      <c r="L1536" s="122"/>
      <c r="M1536" s="74"/>
      <c r="N1536" s="75"/>
      <c r="O1536" s="75"/>
      <c r="P1536" s="134" t="str">
        <f>IF(AND('331-CT'!$E$7=TH!H1536,OR(N1536="331",O1536="331")),"x","")</f>
        <v/>
      </c>
    </row>
    <row r="1537" spans="1:16" ht="13.5" customHeight="1">
      <c r="A1537" s="72" t="str">
        <f t="shared" si="61"/>
        <v/>
      </c>
      <c r="B1537" s="72" t="str">
        <f t="shared" si="62"/>
        <v/>
      </c>
      <c r="C1537" s="73"/>
      <c r="D1537" s="73"/>
      <c r="E1537" s="73"/>
      <c r="F1537" s="76"/>
      <c r="G1537" s="265"/>
      <c r="H1537" s="122"/>
      <c r="I1537" s="122"/>
      <c r="J1537" s="122"/>
      <c r="K1537" s="122"/>
      <c r="L1537" s="122"/>
      <c r="M1537" s="74"/>
      <c r="N1537" s="75"/>
      <c r="O1537" s="75"/>
      <c r="P1537" s="134" t="str">
        <f>IF(AND('331-CT'!$E$7=TH!H1537,OR(N1537="331",O1537="331")),"x","")</f>
        <v/>
      </c>
    </row>
    <row r="1538" spans="1:16" ht="13.5" customHeight="1">
      <c r="A1538" s="72" t="str">
        <f t="shared" si="61"/>
        <v/>
      </c>
      <c r="B1538" s="72" t="str">
        <f t="shared" si="62"/>
        <v/>
      </c>
      <c r="C1538" s="73"/>
      <c r="D1538" s="73"/>
      <c r="E1538" s="73"/>
      <c r="F1538" s="76"/>
      <c r="G1538" s="265"/>
      <c r="H1538" s="122"/>
      <c r="I1538" s="122"/>
      <c r="J1538" s="122"/>
      <c r="K1538" s="122"/>
      <c r="L1538" s="122"/>
      <c r="M1538" s="74"/>
      <c r="N1538" s="75"/>
      <c r="O1538" s="75"/>
      <c r="P1538" s="134" t="str">
        <f>IF(AND('331-CT'!$E$7=TH!H1538,OR(N1538="331",O1538="331")),"x","")</f>
        <v/>
      </c>
    </row>
    <row r="1539" spans="1:16" ht="13.5" customHeight="1">
      <c r="A1539" s="72" t="str">
        <f t="shared" si="61"/>
        <v/>
      </c>
      <c r="B1539" s="72" t="str">
        <f t="shared" si="62"/>
        <v/>
      </c>
      <c r="C1539" s="73"/>
      <c r="D1539" s="73"/>
      <c r="E1539" s="73"/>
      <c r="F1539" s="76"/>
      <c r="G1539" s="265"/>
      <c r="H1539" s="122"/>
      <c r="I1539" s="122"/>
      <c r="J1539" s="122"/>
      <c r="K1539" s="122"/>
      <c r="L1539" s="122"/>
      <c r="M1539" s="74"/>
      <c r="N1539" s="75"/>
      <c r="O1539" s="75"/>
      <c r="P1539" s="134" t="str">
        <f>IF(AND('331-CT'!$E$7=TH!H1539,OR(N1539="331",O1539="331")),"x","")</f>
        <v/>
      </c>
    </row>
    <row r="1540" spans="1:16" ht="13.5" customHeight="1">
      <c r="A1540" s="72" t="str">
        <f t="shared" si="61"/>
        <v/>
      </c>
      <c r="B1540" s="72" t="str">
        <f t="shared" si="62"/>
        <v/>
      </c>
      <c r="C1540" s="73"/>
      <c r="D1540" s="73"/>
      <c r="E1540" s="73"/>
      <c r="F1540" s="76"/>
      <c r="G1540" s="265"/>
      <c r="H1540" s="122"/>
      <c r="I1540" s="122"/>
      <c r="J1540" s="122"/>
      <c r="K1540" s="122"/>
      <c r="L1540" s="122"/>
      <c r="M1540" s="74"/>
      <c r="N1540" s="75"/>
      <c r="O1540" s="75"/>
      <c r="P1540" s="134" t="str">
        <f>IF(AND('331-CT'!$E$7=TH!H1540,OR(N1540="331",O1540="331")),"x","")</f>
        <v/>
      </c>
    </row>
    <row r="1541" spans="1:16" ht="13.5" customHeight="1">
      <c r="A1541" s="72" t="str">
        <f t="shared" si="61"/>
        <v/>
      </c>
      <c r="B1541" s="72" t="str">
        <f t="shared" si="62"/>
        <v/>
      </c>
      <c r="C1541" s="73"/>
      <c r="D1541" s="73"/>
      <c r="E1541" s="73"/>
      <c r="F1541" s="76"/>
      <c r="G1541" s="265"/>
      <c r="H1541" s="122"/>
      <c r="I1541" s="122"/>
      <c r="J1541" s="122"/>
      <c r="K1541" s="122"/>
      <c r="L1541" s="122"/>
      <c r="M1541" s="74"/>
      <c r="N1541" s="75"/>
      <c r="O1541" s="75"/>
      <c r="P1541" s="134" t="str">
        <f>IF(AND('331-CT'!$E$7=TH!H1541,OR(N1541="331",O1541="331")),"x","")</f>
        <v/>
      </c>
    </row>
    <row r="1542" spans="1:16" ht="13.5" customHeight="1">
      <c r="A1542" s="72" t="str">
        <f t="shared" si="61"/>
        <v/>
      </c>
      <c r="B1542" s="72" t="str">
        <f t="shared" si="62"/>
        <v/>
      </c>
      <c r="C1542" s="73"/>
      <c r="D1542" s="73"/>
      <c r="E1542" s="73"/>
      <c r="F1542" s="76"/>
      <c r="G1542" s="265"/>
      <c r="H1542" s="122"/>
      <c r="I1542" s="122"/>
      <c r="J1542" s="122"/>
      <c r="K1542" s="122"/>
      <c r="L1542" s="122"/>
      <c r="M1542" s="74"/>
      <c r="N1542" s="75"/>
      <c r="O1542" s="75"/>
      <c r="P1542" s="134" t="str">
        <f>IF(AND('331-CT'!$E$7=TH!H1542,OR(N1542="331",O1542="331")),"x","")</f>
        <v/>
      </c>
    </row>
    <row r="1543" spans="1:16" ht="13.5" customHeight="1">
      <c r="A1543" s="72" t="str">
        <f t="shared" si="61"/>
        <v/>
      </c>
      <c r="B1543" s="72" t="str">
        <f t="shared" si="62"/>
        <v/>
      </c>
      <c r="C1543" s="73"/>
      <c r="D1543" s="73"/>
      <c r="E1543" s="73"/>
      <c r="F1543" s="76"/>
      <c r="G1543" s="265"/>
      <c r="H1543" s="122"/>
      <c r="I1543" s="122"/>
      <c r="J1543" s="122"/>
      <c r="K1543" s="122"/>
      <c r="L1543" s="122"/>
      <c r="M1543" s="74"/>
      <c r="N1543" s="75"/>
      <c r="O1543" s="75"/>
      <c r="P1543" s="134" t="str">
        <f>IF(AND('331-CT'!$E$7=TH!H1543,OR(N1543="331",O1543="331")),"x","")</f>
        <v/>
      </c>
    </row>
    <row r="1544" spans="1:16" ht="13.5" customHeight="1">
      <c r="A1544" s="72" t="str">
        <f t="shared" si="61"/>
        <v/>
      </c>
      <c r="B1544" s="72" t="str">
        <f t="shared" si="62"/>
        <v/>
      </c>
      <c r="C1544" s="73"/>
      <c r="D1544" s="73"/>
      <c r="E1544" s="73"/>
      <c r="F1544" s="76"/>
      <c r="G1544" s="265"/>
      <c r="H1544" s="122"/>
      <c r="I1544" s="122"/>
      <c r="J1544" s="122"/>
      <c r="K1544" s="122"/>
      <c r="L1544" s="122"/>
      <c r="M1544" s="74"/>
      <c r="N1544" s="75"/>
      <c r="O1544" s="75"/>
      <c r="P1544" s="134" t="str">
        <f>IF(AND('331-CT'!$E$7=TH!H1544,OR(N1544="331",O1544="331")),"x","")</f>
        <v/>
      </c>
    </row>
    <row r="1545" spans="1:16" ht="13.5" customHeight="1">
      <c r="A1545" s="72" t="str">
        <f t="shared" si="61"/>
        <v/>
      </c>
      <c r="B1545" s="72" t="str">
        <f t="shared" si="62"/>
        <v/>
      </c>
      <c r="C1545" s="73"/>
      <c r="D1545" s="73"/>
      <c r="E1545" s="73"/>
      <c r="F1545" s="76"/>
      <c r="G1545" s="265"/>
      <c r="H1545" s="122"/>
      <c r="I1545" s="122"/>
      <c r="J1545" s="122"/>
      <c r="K1545" s="122"/>
      <c r="L1545" s="122"/>
      <c r="M1545" s="74"/>
      <c r="N1545" s="75"/>
      <c r="O1545" s="75"/>
      <c r="P1545" s="134" t="str">
        <f>IF(AND('331-CT'!$E$7=TH!H1545,OR(N1545="331",O1545="331")),"x","")</f>
        <v/>
      </c>
    </row>
    <row r="1546" spans="1:16" ht="13.5" customHeight="1">
      <c r="A1546" s="72" t="str">
        <f t="shared" si="61"/>
        <v/>
      </c>
      <c r="B1546" s="72" t="str">
        <f t="shared" si="62"/>
        <v/>
      </c>
      <c r="C1546" s="73"/>
      <c r="D1546" s="73"/>
      <c r="E1546" s="73"/>
      <c r="F1546" s="76"/>
      <c r="G1546" s="265"/>
      <c r="H1546" s="122"/>
      <c r="I1546" s="122"/>
      <c r="J1546" s="122"/>
      <c r="K1546" s="122"/>
      <c r="L1546" s="122"/>
      <c r="M1546" s="74"/>
      <c r="N1546" s="75"/>
      <c r="O1546" s="75"/>
      <c r="P1546" s="134" t="str">
        <f>IF(AND('331-CT'!$E$7=TH!H1546,OR(N1546="331",O1546="331")),"x","")</f>
        <v/>
      </c>
    </row>
    <row r="1547" spans="1:16" ht="13.5" customHeight="1">
      <c r="A1547" s="72" t="str">
        <f t="shared" si="61"/>
        <v/>
      </c>
      <c r="B1547" s="72" t="str">
        <f t="shared" si="62"/>
        <v/>
      </c>
      <c r="C1547" s="73"/>
      <c r="D1547" s="73"/>
      <c r="E1547" s="73"/>
      <c r="F1547" s="76"/>
      <c r="G1547" s="265"/>
      <c r="H1547" s="122"/>
      <c r="I1547" s="122"/>
      <c r="J1547" s="122"/>
      <c r="K1547" s="122"/>
      <c r="L1547" s="122"/>
      <c r="M1547" s="74"/>
      <c r="N1547" s="75"/>
      <c r="O1547" s="75"/>
      <c r="P1547" s="134" t="str">
        <f>IF(AND('331-CT'!$E$7=TH!H1547,OR(N1547="331",O1547="331")),"x","")</f>
        <v/>
      </c>
    </row>
    <row r="1548" spans="1:16" ht="13.5" customHeight="1">
      <c r="A1548" s="72" t="str">
        <f t="shared" si="61"/>
        <v/>
      </c>
      <c r="B1548" s="72" t="str">
        <f t="shared" si="62"/>
        <v/>
      </c>
      <c r="C1548" s="73"/>
      <c r="D1548" s="73"/>
      <c r="E1548" s="73"/>
      <c r="F1548" s="76"/>
      <c r="G1548" s="265"/>
      <c r="H1548" s="122"/>
      <c r="I1548" s="122"/>
      <c r="J1548" s="122"/>
      <c r="K1548" s="122"/>
      <c r="L1548" s="122"/>
      <c r="M1548" s="74"/>
      <c r="N1548" s="75"/>
      <c r="O1548" s="75"/>
      <c r="P1548" s="134" t="str">
        <f>IF(AND('331-CT'!$E$7=TH!H1548,OR(N1548="331",O1548="331")),"x","")</f>
        <v/>
      </c>
    </row>
    <row r="1549" spans="1:16" ht="13.5" customHeight="1">
      <c r="A1549" s="72" t="str">
        <f t="shared" si="61"/>
        <v/>
      </c>
      <c r="B1549" s="72" t="str">
        <f t="shared" si="62"/>
        <v/>
      </c>
      <c r="C1549" s="73"/>
      <c r="D1549" s="73"/>
      <c r="E1549" s="73"/>
      <c r="F1549" s="76"/>
      <c r="G1549" s="265"/>
      <c r="H1549" s="122"/>
      <c r="I1549" s="122"/>
      <c r="J1549" s="122"/>
      <c r="K1549" s="122"/>
      <c r="L1549" s="122"/>
      <c r="M1549" s="74"/>
      <c r="N1549" s="75"/>
      <c r="O1549" s="75"/>
      <c r="P1549" s="134" t="str">
        <f>IF(AND('331-CT'!$E$7=TH!H1549,OR(N1549="331",O1549="331")),"x","")</f>
        <v/>
      </c>
    </row>
    <row r="1550" spans="1:16" ht="13.5" customHeight="1">
      <c r="A1550" s="72" t="str">
        <f t="shared" si="61"/>
        <v/>
      </c>
      <c r="B1550" s="72" t="str">
        <f t="shared" si="62"/>
        <v/>
      </c>
      <c r="C1550" s="73"/>
      <c r="D1550" s="73"/>
      <c r="E1550" s="73"/>
      <c r="F1550" s="76"/>
      <c r="G1550" s="265"/>
      <c r="H1550" s="122"/>
      <c r="I1550" s="122"/>
      <c r="J1550" s="122"/>
      <c r="K1550" s="122"/>
      <c r="L1550" s="122"/>
      <c r="M1550" s="74"/>
      <c r="N1550" s="75"/>
      <c r="O1550" s="75"/>
      <c r="P1550" s="134" t="str">
        <f>IF(AND('331-CT'!$E$7=TH!H1550,OR(N1550="331",O1550="331")),"x","")</f>
        <v/>
      </c>
    </row>
    <row r="1551" spans="1:16" ht="13.5" customHeight="1">
      <c r="A1551" s="72" t="str">
        <f t="shared" si="61"/>
        <v/>
      </c>
      <c r="B1551" s="72" t="str">
        <f t="shared" si="62"/>
        <v/>
      </c>
      <c r="C1551" s="73"/>
      <c r="D1551" s="73"/>
      <c r="E1551" s="73"/>
      <c r="F1551" s="76"/>
      <c r="G1551" s="265"/>
      <c r="H1551" s="122"/>
      <c r="I1551" s="122"/>
      <c r="J1551" s="122"/>
      <c r="K1551" s="122"/>
      <c r="L1551" s="122"/>
      <c r="M1551" s="74"/>
      <c r="N1551" s="75"/>
      <c r="O1551" s="75"/>
      <c r="P1551" s="134" t="str">
        <f>IF(AND('331-CT'!$E$7=TH!H1551,OR(N1551="331",O1551="331")),"x","")</f>
        <v/>
      </c>
    </row>
    <row r="1552" spans="1:16" ht="13.5" customHeight="1">
      <c r="A1552" s="72" t="str">
        <f t="shared" si="61"/>
        <v/>
      </c>
      <c r="B1552" s="72" t="str">
        <f t="shared" si="62"/>
        <v/>
      </c>
      <c r="C1552" s="73"/>
      <c r="D1552" s="73"/>
      <c r="E1552" s="73"/>
      <c r="F1552" s="76"/>
      <c r="G1552" s="265"/>
      <c r="H1552" s="122"/>
      <c r="I1552" s="122"/>
      <c r="J1552" s="122"/>
      <c r="K1552" s="122"/>
      <c r="L1552" s="122"/>
      <c r="M1552" s="74"/>
      <c r="N1552" s="75"/>
      <c r="O1552" s="75"/>
      <c r="P1552" s="134" t="str">
        <f>IF(AND('331-CT'!$E$7=TH!H1552,OR(N1552="331",O1552="331")),"x","")</f>
        <v/>
      </c>
    </row>
    <row r="1553" spans="1:16" ht="13.5" customHeight="1">
      <c r="A1553" s="72" t="str">
        <f t="shared" si="61"/>
        <v/>
      </c>
      <c r="B1553" s="72" t="str">
        <f t="shared" si="62"/>
        <v/>
      </c>
      <c r="C1553" s="73"/>
      <c r="D1553" s="73"/>
      <c r="E1553" s="73"/>
      <c r="F1553" s="76"/>
      <c r="G1553" s="265"/>
      <c r="H1553" s="122"/>
      <c r="I1553" s="122"/>
      <c r="J1553" s="122"/>
      <c r="K1553" s="122"/>
      <c r="L1553" s="122"/>
      <c r="M1553" s="74"/>
      <c r="N1553" s="75"/>
      <c r="O1553" s="75"/>
      <c r="P1553" s="134" t="str">
        <f>IF(AND('331-CT'!$E$7=TH!H1553,OR(N1553="331",O1553="331")),"x","")</f>
        <v/>
      </c>
    </row>
    <row r="1554" spans="1:16" ht="13.5" customHeight="1">
      <c r="A1554" s="72" t="str">
        <f t="shared" si="61"/>
        <v/>
      </c>
      <c r="B1554" s="72" t="str">
        <f t="shared" si="62"/>
        <v/>
      </c>
      <c r="C1554" s="73"/>
      <c r="D1554" s="73"/>
      <c r="E1554" s="73"/>
      <c r="F1554" s="76"/>
      <c r="G1554" s="265"/>
      <c r="H1554" s="122"/>
      <c r="I1554" s="122"/>
      <c r="J1554" s="122"/>
      <c r="K1554" s="122"/>
      <c r="L1554" s="122"/>
      <c r="M1554" s="74"/>
      <c r="N1554" s="75"/>
      <c r="O1554" s="75"/>
      <c r="P1554" s="134" t="str">
        <f>IF(AND('331-CT'!$E$7=TH!H1554,OR(N1554="331",O1554="331")),"x","")</f>
        <v/>
      </c>
    </row>
    <row r="1555" spans="1:16" ht="13.5" customHeight="1">
      <c r="A1555" s="72" t="str">
        <f t="shared" si="61"/>
        <v/>
      </c>
      <c r="B1555" s="72" t="str">
        <f t="shared" si="62"/>
        <v/>
      </c>
      <c r="C1555" s="73"/>
      <c r="D1555" s="73"/>
      <c r="E1555" s="73"/>
      <c r="F1555" s="76"/>
      <c r="G1555" s="265"/>
      <c r="H1555" s="122"/>
      <c r="I1555" s="122"/>
      <c r="J1555" s="122"/>
      <c r="K1555" s="122"/>
      <c r="L1555" s="122"/>
      <c r="M1555" s="74"/>
      <c r="N1555" s="75"/>
      <c r="O1555" s="75"/>
      <c r="P1555" s="134" t="str">
        <f>IF(AND('331-CT'!$E$7=TH!H1555,OR(N1555="331",O1555="331")),"x","")</f>
        <v/>
      </c>
    </row>
    <row r="1556" spans="1:16" ht="13.5" customHeight="1">
      <c r="A1556" s="72" t="str">
        <f t="shared" si="61"/>
        <v/>
      </c>
      <c r="B1556" s="72" t="str">
        <f t="shared" si="62"/>
        <v/>
      </c>
      <c r="C1556" s="73"/>
      <c r="D1556" s="73"/>
      <c r="E1556" s="73"/>
      <c r="F1556" s="76"/>
      <c r="G1556" s="265"/>
      <c r="H1556" s="122"/>
      <c r="I1556" s="122"/>
      <c r="J1556" s="122"/>
      <c r="K1556" s="122"/>
      <c r="L1556" s="122"/>
      <c r="M1556" s="74"/>
      <c r="N1556" s="75"/>
      <c r="O1556" s="75"/>
      <c r="P1556" s="134" t="str">
        <f>IF(AND('331-CT'!$E$7=TH!H1556,OR(N1556="331",O1556="331")),"x","")</f>
        <v/>
      </c>
    </row>
    <row r="1557" spans="1:16" ht="13.5" customHeight="1">
      <c r="A1557" s="72" t="str">
        <f t="shared" si="61"/>
        <v/>
      </c>
      <c r="B1557" s="72" t="str">
        <f t="shared" si="62"/>
        <v/>
      </c>
      <c r="C1557" s="73"/>
      <c r="D1557" s="73"/>
      <c r="E1557" s="73"/>
      <c r="F1557" s="76"/>
      <c r="G1557" s="265"/>
      <c r="H1557" s="122"/>
      <c r="I1557" s="122"/>
      <c r="J1557" s="122"/>
      <c r="K1557" s="122"/>
      <c r="L1557" s="122"/>
      <c r="M1557" s="74"/>
      <c r="N1557" s="75"/>
      <c r="O1557" s="75"/>
      <c r="P1557" s="134" t="str">
        <f>IF(AND('331-CT'!$E$7=TH!H1557,OR(N1557="331",O1557="331")),"x","")</f>
        <v/>
      </c>
    </row>
    <row r="1558" spans="1:16" ht="13.5" customHeight="1">
      <c r="A1558" s="72" t="str">
        <f t="shared" si="61"/>
        <v/>
      </c>
      <c r="B1558" s="72" t="str">
        <f t="shared" si="62"/>
        <v/>
      </c>
      <c r="C1558" s="73"/>
      <c r="D1558" s="73"/>
      <c r="E1558" s="73"/>
      <c r="F1558" s="76"/>
      <c r="G1558" s="265"/>
      <c r="H1558" s="122"/>
      <c r="I1558" s="122"/>
      <c r="J1558" s="122"/>
      <c r="K1558" s="122"/>
      <c r="L1558" s="122"/>
      <c r="M1558" s="74"/>
      <c r="N1558" s="75"/>
      <c r="O1558" s="75"/>
      <c r="P1558" s="134" t="str">
        <f>IF(AND('331-CT'!$E$7=TH!H1558,OR(N1558="331",O1558="331")),"x","")</f>
        <v/>
      </c>
    </row>
    <row r="1559" spans="1:16" ht="13.5" customHeight="1">
      <c r="A1559" s="72" t="str">
        <f t="shared" si="61"/>
        <v/>
      </c>
      <c r="B1559" s="72" t="str">
        <f t="shared" si="62"/>
        <v/>
      </c>
      <c r="C1559" s="73"/>
      <c r="D1559" s="73"/>
      <c r="E1559" s="73"/>
      <c r="F1559" s="76"/>
      <c r="G1559" s="265"/>
      <c r="H1559" s="122"/>
      <c r="I1559" s="122"/>
      <c r="J1559" s="122"/>
      <c r="K1559" s="122"/>
      <c r="L1559" s="122"/>
      <c r="M1559" s="74"/>
      <c r="N1559" s="75"/>
      <c r="O1559" s="75"/>
      <c r="P1559" s="134" t="str">
        <f>IF(AND('331-CT'!$E$7=TH!H1559,OR(N1559="331",O1559="331")),"x","")</f>
        <v/>
      </c>
    </row>
    <row r="1560" spans="1:16" ht="13.5" customHeight="1">
      <c r="A1560" s="72" t="str">
        <f t="shared" si="61"/>
        <v/>
      </c>
      <c r="B1560" s="72" t="str">
        <f t="shared" si="62"/>
        <v/>
      </c>
      <c r="C1560" s="73"/>
      <c r="D1560" s="73"/>
      <c r="E1560" s="73"/>
      <c r="F1560" s="76"/>
      <c r="G1560" s="265"/>
      <c r="H1560" s="122"/>
      <c r="I1560" s="122"/>
      <c r="J1560" s="122"/>
      <c r="K1560" s="122"/>
      <c r="L1560" s="122"/>
      <c r="M1560" s="74"/>
      <c r="N1560" s="75"/>
      <c r="O1560" s="75"/>
      <c r="P1560" s="134" t="str">
        <f>IF(AND('331-CT'!$E$7=TH!H1560,OR(N1560="331",O1560="331")),"x","")</f>
        <v/>
      </c>
    </row>
    <row r="1561" spans="1:16" ht="13.5" customHeight="1">
      <c r="A1561" s="72" t="str">
        <f t="shared" si="61"/>
        <v/>
      </c>
      <c r="B1561" s="72" t="str">
        <f t="shared" si="62"/>
        <v/>
      </c>
      <c r="C1561" s="73"/>
      <c r="D1561" s="73"/>
      <c r="E1561" s="73"/>
      <c r="F1561" s="76"/>
      <c r="G1561" s="265"/>
      <c r="H1561" s="122"/>
      <c r="I1561" s="122"/>
      <c r="J1561" s="122"/>
      <c r="K1561" s="122"/>
      <c r="L1561" s="122"/>
      <c r="M1561" s="74"/>
      <c r="N1561" s="75"/>
      <c r="O1561" s="75"/>
      <c r="P1561" s="134" t="str">
        <f>IF(AND('331-CT'!$E$7=TH!H1561,OR(N1561="331",O1561="331")),"x","")</f>
        <v/>
      </c>
    </row>
    <row r="1562" spans="1:16" ht="13.5" customHeight="1">
      <c r="A1562" s="72" t="str">
        <f t="shared" si="61"/>
        <v/>
      </c>
      <c r="B1562" s="72" t="str">
        <f t="shared" si="62"/>
        <v/>
      </c>
      <c r="C1562" s="73"/>
      <c r="D1562" s="73"/>
      <c r="E1562" s="73"/>
      <c r="F1562" s="76"/>
      <c r="G1562" s="265"/>
      <c r="H1562" s="122"/>
      <c r="I1562" s="122"/>
      <c r="J1562" s="122"/>
      <c r="K1562" s="122"/>
      <c r="L1562" s="122"/>
      <c r="M1562" s="74"/>
      <c r="N1562" s="75"/>
      <c r="O1562" s="75"/>
      <c r="P1562" s="134" t="str">
        <f>IF(AND('331-CT'!$E$7=TH!H1562,OR(N1562="331",O1562="331")),"x","")</f>
        <v/>
      </c>
    </row>
    <row r="1563" spans="1:16" ht="13.5" customHeight="1">
      <c r="A1563" s="72" t="str">
        <f t="shared" si="61"/>
        <v/>
      </c>
      <c r="B1563" s="72" t="str">
        <f t="shared" si="62"/>
        <v/>
      </c>
      <c r="C1563" s="73"/>
      <c r="D1563" s="73"/>
      <c r="E1563" s="73"/>
      <c r="F1563" s="76"/>
      <c r="G1563" s="265"/>
      <c r="H1563" s="122"/>
      <c r="I1563" s="122"/>
      <c r="J1563" s="122"/>
      <c r="K1563" s="122"/>
      <c r="L1563" s="122"/>
      <c r="M1563" s="74"/>
      <c r="N1563" s="75"/>
      <c r="O1563" s="75"/>
      <c r="P1563" s="134" t="str">
        <f>IF(AND('331-CT'!$E$7=TH!H1563,OR(N1563="331",O1563="331")),"x","")</f>
        <v/>
      </c>
    </row>
    <row r="1564" spans="1:16" ht="13.5" customHeight="1">
      <c r="A1564" s="72" t="str">
        <f t="shared" si="61"/>
        <v/>
      </c>
      <c r="B1564" s="72" t="str">
        <f t="shared" si="62"/>
        <v/>
      </c>
      <c r="C1564" s="73"/>
      <c r="D1564" s="73"/>
      <c r="E1564" s="73"/>
      <c r="F1564" s="76"/>
      <c r="G1564" s="265"/>
      <c r="H1564" s="122"/>
      <c r="I1564" s="122"/>
      <c r="J1564" s="122"/>
      <c r="K1564" s="122"/>
      <c r="L1564" s="122"/>
      <c r="M1564" s="74"/>
      <c r="N1564" s="75"/>
      <c r="O1564" s="75"/>
      <c r="P1564" s="134" t="str">
        <f>IF(AND('331-CT'!$E$7=TH!H1564,OR(N1564="331",O1564="331")),"x","")</f>
        <v/>
      </c>
    </row>
    <row r="1565" spans="1:16" ht="13.5" customHeight="1">
      <c r="A1565" s="72" t="str">
        <f t="shared" si="61"/>
        <v/>
      </c>
      <c r="B1565" s="72" t="str">
        <f t="shared" si="62"/>
        <v/>
      </c>
      <c r="C1565" s="73"/>
      <c r="D1565" s="73"/>
      <c r="E1565" s="73"/>
      <c r="F1565" s="76"/>
      <c r="G1565" s="265"/>
      <c r="H1565" s="122"/>
      <c r="I1565" s="122"/>
      <c r="J1565" s="122"/>
      <c r="K1565" s="122"/>
      <c r="L1565" s="122"/>
      <c r="M1565" s="74"/>
      <c r="N1565" s="75"/>
      <c r="O1565" s="75"/>
      <c r="P1565" s="134" t="str">
        <f>IF(AND('331-CT'!$E$7=TH!H1565,OR(N1565="331",O1565="331")),"x","")</f>
        <v/>
      </c>
    </row>
    <row r="1566" spans="1:16" ht="13.5" customHeight="1">
      <c r="A1566" s="72" t="str">
        <f t="shared" si="61"/>
        <v/>
      </c>
      <c r="B1566" s="72" t="str">
        <f t="shared" si="62"/>
        <v/>
      </c>
      <c r="C1566" s="73"/>
      <c r="D1566" s="73"/>
      <c r="E1566" s="73"/>
      <c r="F1566" s="76"/>
      <c r="G1566" s="265"/>
      <c r="H1566" s="122"/>
      <c r="I1566" s="122"/>
      <c r="J1566" s="122"/>
      <c r="K1566" s="122"/>
      <c r="L1566" s="122"/>
      <c r="M1566" s="74"/>
      <c r="N1566" s="75"/>
      <c r="O1566" s="75"/>
      <c r="P1566" s="134" t="str">
        <f>IF(AND('331-CT'!$E$7=TH!H1566,OR(N1566="331",O1566="331")),"x","")</f>
        <v/>
      </c>
    </row>
    <row r="1567" spans="1:16" ht="13.5" customHeight="1">
      <c r="A1567" s="72" t="str">
        <f t="shared" si="61"/>
        <v/>
      </c>
      <c r="B1567" s="72" t="str">
        <f t="shared" si="62"/>
        <v/>
      </c>
      <c r="C1567" s="73"/>
      <c r="D1567" s="73"/>
      <c r="E1567" s="73"/>
      <c r="F1567" s="76"/>
      <c r="G1567" s="265"/>
      <c r="H1567" s="122"/>
      <c r="I1567" s="122"/>
      <c r="J1567" s="122"/>
      <c r="K1567" s="122"/>
      <c r="L1567" s="122"/>
      <c r="M1567" s="74"/>
      <c r="N1567" s="75"/>
      <c r="O1567" s="75"/>
      <c r="P1567" s="134" t="str">
        <f>IF(AND('331-CT'!$E$7=TH!H1567,OR(N1567="331",O1567="331")),"x","")</f>
        <v/>
      </c>
    </row>
    <row r="1568" spans="1:16" ht="13.5" customHeight="1">
      <c r="A1568" s="72" t="str">
        <f t="shared" si="61"/>
        <v/>
      </c>
      <c r="B1568" s="72" t="str">
        <f t="shared" si="62"/>
        <v/>
      </c>
      <c r="C1568" s="73"/>
      <c r="D1568" s="73"/>
      <c r="E1568" s="73"/>
      <c r="F1568" s="76"/>
      <c r="G1568" s="265"/>
      <c r="H1568" s="122"/>
      <c r="I1568" s="122"/>
      <c r="J1568" s="122"/>
      <c r="K1568" s="122"/>
      <c r="L1568" s="122"/>
      <c r="M1568" s="74"/>
      <c r="N1568" s="75"/>
      <c r="O1568" s="75"/>
      <c r="P1568" s="134" t="str">
        <f>IF(AND('331-CT'!$E$7=TH!H1568,OR(N1568="331",O1568="331")),"x","")</f>
        <v/>
      </c>
    </row>
    <row r="1569" spans="1:16" ht="13.5" customHeight="1">
      <c r="A1569" s="72" t="str">
        <f t="shared" si="61"/>
        <v/>
      </c>
      <c r="B1569" s="72" t="str">
        <f t="shared" si="62"/>
        <v/>
      </c>
      <c r="C1569" s="73"/>
      <c r="D1569" s="73"/>
      <c r="E1569" s="73"/>
      <c r="F1569" s="76"/>
      <c r="G1569" s="265"/>
      <c r="H1569" s="122"/>
      <c r="I1569" s="122"/>
      <c r="J1569" s="122"/>
      <c r="K1569" s="122"/>
      <c r="L1569" s="122"/>
      <c r="M1569" s="74"/>
      <c r="N1569" s="75"/>
      <c r="O1569" s="75"/>
      <c r="P1569" s="134" t="str">
        <f>IF(AND('331-CT'!$E$7=TH!H1569,OR(N1569="331",O1569="331")),"x","")</f>
        <v/>
      </c>
    </row>
    <row r="1570" spans="1:16" ht="13.5" customHeight="1">
      <c r="A1570" s="72" t="str">
        <f t="shared" si="61"/>
        <v/>
      </c>
      <c r="B1570" s="72" t="str">
        <f t="shared" si="62"/>
        <v/>
      </c>
      <c r="C1570" s="73"/>
      <c r="D1570" s="73"/>
      <c r="E1570" s="73"/>
      <c r="F1570" s="76"/>
      <c r="G1570" s="265"/>
      <c r="H1570" s="122"/>
      <c r="I1570" s="122"/>
      <c r="J1570" s="122"/>
      <c r="K1570" s="122"/>
      <c r="L1570" s="122"/>
      <c r="M1570" s="74"/>
      <c r="N1570" s="75"/>
      <c r="O1570" s="75"/>
      <c r="P1570" s="134" t="str">
        <f>IF(AND('331-CT'!$E$7=TH!H1570,OR(N1570="331",O1570="331")),"x","")</f>
        <v/>
      </c>
    </row>
    <row r="1571" spans="1:16" ht="13.5" customHeight="1">
      <c r="A1571" s="72" t="str">
        <f t="shared" si="61"/>
        <v/>
      </c>
      <c r="B1571" s="72" t="str">
        <f t="shared" si="62"/>
        <v/>
      </c>
      <c r="C1571" s="73"/>
      <c r="D1571" s="73"/>
      <c r="E1571" s="73"/>
      <c r="F1571" s="76"/>
      <c r="G1571" s="265"/>
      <c r="H1571" s="122"/>
      <c r="I1571" s="122"/>
      <c r="J1571" s="122"/>
      <c r="K1571" s="122"/>
      <c r="L1571" s="122"/>
      <c r="M1571" s="74"/>
      <c r="N1571" s="75"/>
      <c r="O1571" s="75"/>
      <c r="P1571" s="134" t="str">
        <f>IF(AND('331-CT'!$E$7=TH!H1571,OR(N1571="331",O1571="331")),"x","")</f>
        <v/>
      </c>
    </row>
    <row r="1572" spans="1:16" ht="13.5" customHeight="1">
      <c r="A1572" s="72" t="str">
        <f t="shared" si="61"/>
        <v/>
      </c>
      <c r="B1572" s="72" t="str">
        <f t="shared" si="62"/>
        <v/>
      </c>
      <c r="C1572" s="73"/>
      <c r="D1572" s="73"/>
      <c r="E1572" s="73"/>
      <c r="F1572" s="76"/>
      <c r="G1572" s="265"/>
      <c r="H1572" s="122"/>
      <c r="I1572" s="122"/>
      <c r="J1572" s="122"/>
      <c r="K1572" s="122"/>
      <c r="L1572" s="122"/>
      <c r="M1572" s="74"/>
      <c r="N1572" s="75"/>
      <c r="O1572" s="75"/>
      <c r="P1572" s="134" t="str">
        <f>IF(AND('331-CT'!$E$7=TH!H1572,OR(N1572="331",O1572="331")),"x","")</f>
        <v/>
      </c>
    </row>
    <row r="1573" spans="1:16" ht="13.5" customHeight="1">
      <c r="A1573" s="72" t="str">
        <f t="shared" si="61"/>
        <v/>
      </c>
      <c r="B1573" s="72" t="str">
        <f t="shared" si="62"/>
        <v/>
      </c>
      <c r="C1573" s="73"/>
      <c r="D1573" s="73"/>
      <c r="E1573" s="73"/>
      <c r="F1573" s="76"/>
      <c r="G1573" s="265"/>
      <c r="H1573" s="122"/>
      <c r="I1573" s="122"/>
      <c r="J1573" s="122"/>
      <c r="K1573" s="122"/>
      <c r="L1573" s="122"/>
      <c r="M1573" s="74"/>
      <c r="N1573" s="75"/>
      <c r="O1573" s="75"/>
      <c r="P1573" s="134" t="str">
        <f>IF(AND('331-CT'!$E$7=TH!H1573,OR(N1573="331",O1573="331")),"x","")</f>
        <v/>
      </c>
    </row>
    <row r="1574" spans="1:16" ht="13.5" customHeight="1">
      <c r="A1574" s="72" t="str">
        <f t="shared" si="61"/>
        <v/>
      </c>
      <c r="B1574" s="72" t="str">
        <f t="shared" si="62"/>
        <v/>
      </c>
      <c r="C1574" s="73"/>
      <c r="D1574" s="73"/>
      <c r="E1574" s="73"/>
      <c r="F1574" s="76"/>
      <c r="G1574" s="265"/>
      <c r="H1574" s="122"/>
      <c r="I1574" s="122"/>
      <c r="J1574" s="122"/>
      <c r="K1574" s="122"/>
      <c r="L1574" s="122"/>
      <c r="M1574" s="74"/>
      <c r="N1574" s="75"/>
      <c r="O1574" s="75"/>
      <c r="P1574" s="134" t="str">
        <f>IF(AND('331-CT'!$E$7=TH!H1574,OR(N1574="331",O1574="331")),"x","")</f>
        <v/>
      </c>
    </row>
    <row r="1575" spans="1:16" ht="13.5" customHeight="1">
      <c r="A1575" s="72" t="str">
        <f t="shared" si="61"/>
        <v/>
      </c>
      <c r="B1575" s="72" t="str">
        <f t="shared" si="62"/>
        <v/>
      </c>
      <c r="C1575" s="73"/>
      <c r="D1575" s="73"/>
      <c r="E1575" s="73"/>
      <c r="F1575" s="76"/>
      <c r="G1575" s="265"/>
      <c r="H1575" s="122"/>
      <c r="I1575" s="122"/>
      <c r="J1575" s="122"/>
      <c r="K1575" s="122"/>
      <c r="L1575" s="122"/>
      <c r="M1575" s="74"/>
      <c r="N1575" s="75"/>
      <c r="O1575" s="75"/>
      <c r="P1575" s="134" t="str">
        <f>IF(AND('331-CT'!$E$7=TH!H1575,OR(N1575="331",O1575="331")),"x","")</f>
        <v/>
      </c>
    </row>
    <row r="1576" spans="1:16" ht="13.5" customHeight="1">
      <c r="A1576" s="72" t="str">
        <f t="shared" si="61"/>
        <v/>
      </c>
      <c r="B1576" s="72" t="str">
        <f t="shared" si="62"/>
        <v/>
      </c>
      <c r="C1576" s="73"/>
      <c r="D1576" s="73"/>
      <c r="E1576" s="73"/>
      <c r="F1576" s="76"/>
      <c r="G1576" s="265"/>
      <c r="H1576" s="122"/>
      <c r="I1576" s="122"/>
      <c r="J1576" s="122"/>
      <c r="K1576" s="122"/>
      <c r="L1576" s="122"/>
      <c r="M1576" s="74"/>
      <c r="N1576" s="75"/>
      <c r="O1576" s="75"/>
      <c r="P1576" s="134" t="str">
        <f>IF(AND('331-CT'!$E$7=TH!H1576,OR(N1576="331",O1576="331")),"x","")</f>
        <v/>
      </c>
    </row>
    <row r="1577" spans="1:16" ht="13.5" customHeight="1">
      <c r="A1577" s="72" t="str">
        <f t="shared" si="61"/>
        <v/>
      </c>
      <c r="B1577" s="72" t="str">
        <f t="shared" si="62"/>
        <v/>
      </c>
      <c r="C1577" s="73"/>
      <c r="D1577" s="73"/>
      <c r="E1577" s="73"/>
      <c r="F1577" s="76"/>
      <c r="G1577" s="265"/>
      <c r="H1577" s="122"/>
      <c r="I1577" s="122"/>
      <c r="J1577" s="122"/>
      <c r="K1577" s="122"/>
      <c r="L1577" s="122"/>
      <c r="M1577" s="74"/>
      <c r="N1577" s="75"/>
      <c r="O1577" s="75"/>
      <c r="P1577" s="134" t="str">
        <f>IF(AND('331-CT'!$E$7=TH!H1577,OR(N1577="331",O1577="331")),"x","")</f>
        <v/>
      </c>
    </row>
    <row r="1578" spans="1:16" ht="13.5" customHeight="1">
      <c r="A1578" s="72" t="str">
        <f t="shared" si="61"/>
        <v/>
      </c>
      <c r="B1578" s="72" t="str">
        <f t="shared" si="62"/>
        <v/>
      </c>
      <c r="C1578" s="73"/>
      <c r="D1578" s="73"/>
      <c r="E1578" s="73"/>
      <c r="F1578" s="76"/>
      <c r="G1578" s="265"/>
      <c r="H1578" s="122"/>
      <c r="I1578" s="122"/>
      <c r="J1578" s="122"/>
      <c r="K1578" s="122"/>
      <c r="L1578" s="122"/>
      <c r="M1578" s="74"/>
      <c r="N1578" s="75"/>
      <c r="O1578" s="75"/>
      <c r="P1578" s="134" t="str">
        <f>IF(AND('331-CT'!$E$7=TH!H1578,OR(N1578="331",O1578="331")),"x","")</f>
        <v/>
      </c>
    </row>
    <row r="1579" spans="1:16" ht="13.5" customHeight="1">
      <c r="A1579" s="72" t="str">
        <f t="shared" si="61"/>
        <v/>
      </c>
      <c r="B1579" s="72" t="str">
        <f t="shared" si="62"/>
        <v/>
      </c>
      <c r="C1579" s="73"/>
      <c r="D1579" s="73"/>
      <c r="E1579" s="73"/>
      <c r="F1579" s="76"/>
      <c r="G1579" s="265"/>
      <c r="H1579" s="122"/>
      <c r="I1579" s="122"/>
      <c r="J1579" s="122"/>
      <c r="K1579" s="122"/>
      <c r="L1579" s="122"/>
      <c r="M1579" s="74"/>
      <c r="N1579" s="75"/>
      <c r="O1579" s="75"/>
      <c r="P1579" s="134" t="str">
        <f>IF(AND('331-CT'!$E$7=TH!H1579,OR(N1579="331",O1579="331")),"x","")</f>
        <v/>
      </c>
    </row>
    <row r="1580" spans="1:16" ht="13.5" customHeight="1">
      <c r="A1580" s="72" t="str">
        <f t="shared" si="61"/>
        <v/>
      </c>
      <c r="B1580" s="72" t="str">
        <f t="shared" si="62"/>
        <v/>
      </c>
      <c r="C1580" s="73"/>
      <c r="D1580" s="73"/>
      <c r="E1580" s="73"/>
      <c r="F1580" s="76"/>
      <c r="G1580" s="265"/>
      <c r="H1580" s="122"/>
      <c r="I1580" s="122"/>
      <c r="J1580" s="122"/>
      <c r="K1580" s="122"/>
      <c r="L1580" s="122"/>
      <c r="M1580" s="74"/>
      <c r="N1580" s="75"/>
      <c r="O1580" s="75"/>
      <c r="P1580" s="134" t="str">
        <f>IF(AND('331-CT'!$E$7=TH!H1580,OR(N1580="331",O1580="331")),"x","")</f>
        <v/>
      </c>
    </row>
    <row r="1581" spans="1:16" ht="13.5" customHeight="1">
      <c r="A1581" s="72" t="str">
        <f t="shared" si="61"/>
        <v/>
      </c>
      <c r="B1581" s="72" t="str">
        <f t="shared" si="62"/>
        <v/>
      </c>
      <c r="C1581" s="73"/>
      <c r="D1581" s="73"/>
      <c r="E1581" s="73"/>
      <c r="F1581" s="76"/>
      <c r="G1581" s="265"/>
      <c r="H1581" s="122"/>
      <c r="I1581" s="122"/>
      <c r="J1581" s="122"/>
      <c r="K1581" s="122"/>
      <c r="L1581" s="122"/>
      <c r="M1581" s="74"/>
      <c r="N1581" s="75"/>
      <c r="O1581" s="75"/>
      <c r="P1581" s="134" t="str">
        <f>IF(AND('331-CT'!$E$7=TH!H1581,OR(N1581="331",O1581="331")),"x","")</f>
        <v/>
      </c>
    </row>
    <row r="1582" spans="1:16" ht="13.5" customHeight="1">
      <c r="A1582" s="72" t="str">
        <f t="shared" si="61"/>
        <v/>
      </c>
      <c r="B1582" s="72" t="str">
        <f t="shared" si="62"/>
        <v/>
      </c>
      <c r="C1582" s="73"/>
      <c r="D1582" s="73"/>
      <c r="E1582" s="73"/>
      <c r="F1582" s="76"/>
      <c r="G1582" s="265"/>
      <c r="H1582" s="122"/>
      <c r="I1582" s="122"/>
      <c r="J1582" s="122"/>
      <c r="K1582" s="122"/>
      <c r="L1582" s="122"/>
      <c r="M1582" s="74"/>
      <c r="N1582" s="75"/>
      <c r="O1582" s="75"/>
      <c r="P1582" s="134" t="str">
        <f>IF(AND('331-CT'!$E$7=TH!H1582,OR(N1582="331",O1582="331")),"x","")</f>
        <v/>
      </c>
    </row>
    <row r="1583" spans="1:16" ht="13.5" customHeight="1">
      <c r="A1583" s="72" t="str">
        <f t="shared" si="61"/>
        <v/>
      </c>
      <c r="B1583" s="72" t="str">
        <f t="shared" si="62"/>
        <v/>
      </c>
      <c r="C1583" s="73"/>
      <c r="D1583" s="73"/>
      <c r="E1583" s="73"/>
      <c r="F1583" s="76"/>
      <c r="G1583" s="265"/>
      <c r="H1583" s="122"/>
      <c r="I1583" s="122"/>
      <c r="J1583" s="122"/>
      <c r="K1583" s="122"/>
      <c r="L1583" s="122"/>
      <c r="M1583" s="74"/>
      <c r="N1583" s="75"/>
      <c r="O1583" s="75"/>
      <c r="P1583" s="134" t="str">
        <f>IF(AND('331-CT'!$E$7=TH!H1583,OR(N1583="331",O1583="331")),"x","")</f>
        <v/>
      </c>
    </row>
    <row r="1584" spans="1:16" ht="13.5" customHeight="1">
      <c r="A1584" s="72" t="str">
        <f t="shared" si="61"/>
        <v/>
      </c>
      <c r="B1584" s="72" t="str">
        <f t="shared" si="62"/>
        <v/>
      </c>
      <c r="C1584" s="73"/>
      <c r="D1584" s="73"/>
      <c r="E1584" s="73"/>
      <c r="F1584" s="76"/>
      <c r="G1584" s="265"/>
      <c r="H1584" s="122"/>
      <c r="I1584" s="122"/>
      <c r="J1584" s="122"/>
      <c r="K1584" s="122"/>
      <c r="L1584" s="122"/>
      <c r="M1584" s="74"/>
      <c r="N1584" s="75"/>
      <c r="O1584" s="75"/>
      <c r="P1584" s="134" t="str">
        <f>IF(AND('331-CT'!$E$7=TH!H1584,OR(N1584="331",O1584="331")),"x","")</f>
        <v/>
      </c>
    </row>
    <row r="1585" spans="1:16" ht="13.5" customHeight="1">
      <c r="A1585" s="72" t="str">
        <f t="shared" si="61"/>
        <v/>
      </c>
      <c r="B1585" s="72" t="str">
        <f t="shared" si="62"/>
        <v/>
      </c>
      <c r="C1585" s="73"/>
      <c r="D1585" s="73"/>
      <c r="E1585" s="73"/>
      <c r="F1585" s="76"/>
      <c r="G1585" s="265"/>
      <c r="H1585" s="122"/>
      <c r="I1585" s="122"/>
      <c r="J1585" s="122"/>
      <c r="K1585" s="122"/>
      <c r="L1585" s="122"/>
      <c r="M1585" s="74"/>
      <c r="N1585" s="75"/>
      <c r="O1585" s="75"/>
      <c r="P1585" s="134" t="str">
        <f>IF(AND('331-CT'!$E$7=TH!H1585,OR(N1585="331",O1585="331")),"x","")</f>
        <v/>
      </c>
    </row>
    <row r="1586" spans="1:16" ht="13.5" customHeight="1">
      <c r="A1586" s="72" t="str">
        <f t="shared" si="61"/>
        <v/>
      </c>
      <c r="B1586" s="72" t="str">
        <f t="shared" si="62"/>
        <v/>
      </c>
      <c r="C1586" s="73"/>
      <c r="D1586" s="73"/>
      <c r="E1586" s="73"/>
      <c r="F1586" s="76"/>
      <c r="G1586" s="265"/>
      <c r="H1586" s="122"/>
      <c r="I1586" s="122"/>
      <c r="J1586" s="122"/>
      <c r="K1586" s="122"/>
      <c r="L1586" s="122"/>
      <c r="M1586" s="74"/>
      <c r="N1586" s="75"/>
      <c r="O1586" s="75"/>
      <c r="P1586" s="134" t="str">
        <f>IF(AND('331-CT'!$E$7=TH!H1586,OR(N1586="331",O1586="331")),"x","")</f>
        <v/>
      </c>
    </row>
    <row r="1587" spans="1:16" ht="13.5" customHeight="1">
      <c r="A1587" s="72" t="str">
        <f t="shared" ref="A1587:A1588" si="63">IF(C1587&lt;&gt;"",YEAR(C1587),"")</f>
        <v/>
      </c>
      <c r="B1587" s="72" t="str">
        <f t="shared" ref="B1587:B1588" si="64">IF(C1587&lt;&gt;"",MONTH(C1587),"")</f>
        <v/>
      </c>
      <c r="C1587" s="73"/>
      <c r="D1587" s="73"/>
      <c r="E1587" s="73"/>
      <c r="F1587" s="76"/>
      <c r="G1587" s="265"/>
      <c r="H1587" s="122"/>
      <c r="I1587" s="122"/>
      <c r="J1587" s="122"/>
      <c r="K1587" s="122"/>
      <c r="L1587" s="122"/>
      <c r="M1587" s="74"/>
      <c r="N1587" s="75"/>
      <c r="O1587" s="75"/>
      <c r="P1587" s="134" t="str">
        <f>IF(AND('331-CT'!$E$7=TH!H1587,OR(N1587="331",O1587="331")),"x","")</f>
        <v/>
      </c>
    </row>
    <row r="1588" spans="1:16" ht="13.5" customHeight="1">
      <c r="A1588" s="72" t="str">
        <f t="shared" si="63"/>
        <v/>
      </c>
      <c r="B1588" s="72" t="str">
        <f t="shared" si="64"/>
        <v/>
      </c>
      <c r="C1588" s="73"/>
      <c r="D1588" s="73"/>
      <c r="E1588" s="73"/>
      <c r="F1588" s="76"/>
      <c r="G1588" s="265"/>
      <c r="H1588" s="122"/>
      <c r="I1588" s="122"/>
      <c r="J1588" s="122"/>
      <c r="K1588" s="122"/>
      <c r="L1588" s="122"/>
      <c r="M1588" s="74"/>
      <c r="N1588" s="75"/>
      <c r="O1588" s="75"/>
      <c r="P1588" s="134" t="str">
        <f>IF(AND('331-CT'!$E$7=TH!H1588,OR(N1588="331",O1588="331")),"x","")</f>
        <v/>
      </c>
    </row>
    <row r="1589" spans="1:16" ht="13.5" customHeight="1">
      <c r="A1589" s="72" t="str">
        <f t="shared" ref="A1589:A1652" si="65">IF(C1589&lt;&gt;"",YEAR(C1589),"")</f>
        <v/>
      </c>
      <c r="B1589" s="72" t="str">
        <f t="shared" ref="B1589:B1652" si="66">IF(C1589&lt;&gt;"",MONTH(C1589),"")</f>
        <v/>
      </c>
      <c r="C1589" s="73"/>
      <c r="D1589" s="73"/>
      <c r="E1589" s="73"/>
      <c r="F1589" s="76"/>
      <c r="G1589" s="265"/>
      <c r="H1589" s="122"/>
      <c r="I1589" s="122"/>
      <c r="J1589" s="122"/>
      <c r="K1589" s="122"/>
      <c r="L1589" s="122"/>
      <c r="M1589" s="74"/>
      <c r="N1589" s="75"/>
      <c r="O1589" s="75"/>
      <c r="P1589" s="134" t="str">
        <f>IF(AND('331-CT'!$E$7=TH!H1589,OR(N1589="331",O1589="331")),"x","")</f>
        <v/>
      </c>
    </row>
    <row r="1590" spans="1:16" ht="13.5" customHeight="1">
      <c r="A1590" s="72" t="str">
        <f t="shared" si="65"/>
        <v/>
      </c>
      <c r="B1590" s="72" t="str">
        <f t="shared" si="66"/>
        <v/>
      </c>
      <c r="C1590" s="73"/>
      <c r="D1590" s="73"/>
      <c r="E1590" s="73"/>
      <c r="F1590" s="76"/>
      <c r="G1590" s="265"/>
      <c r="H1590" s="122"/>
      <c r="I1590" s="122"/>
      <c r="J1590" s="122"/>
      <c r="K1590" s="122"/>
      <c r="L1590" s="122"/>
      <c r="M1590" s="74"/>
      <c r="N1590" s="75"/>
      <c r="O1590" s="75"/>
      <c r="P1590" s="134" t="str">
        <f>IF(AND('331-CT'!$E$7=TH!H1590,OR(N1590="331",O1590="331")),"x","")</f>
        <v/>
      </c>
    </row>
    <row r="1591" spans="1:16" ht="13.5" customHeight="1">
      <c r="A1591" s="72" t="str">
        <f t="shared" si="65"/>
        <v/>
      </c>
      <c r="B1591" s="72" t="str">
        <f t="shared" si="66"/>
        <v/>
      </c>
      <c r="C1591" s="73"/>
      <c r="D1591" s="73"/>
      <c r="E1591" s="73"/>
      <c r="F1591" s="76"/>
      <c r="G1591" s="265"/>
      <c r="H1591" s="122"/>
      <c r="I1591" s="122"/>
      <c r="J1591" s="122"/>
      <c r="K1591" s="122"/>
      <c r="L1591" s="122"/>
      <c r="M1591" s="74"/>
      <c r="N1591" s="75"/>
      <c r="O1591" s="75"/>
      <c r="P1591" s="134" t="str">
        <f>IF(AND('331-CT'!$E$7=TH!H1591,OR(N1591="331",O1591="331")),"x","")</f>
        <v/>
      </c>
    </row>
    <row r="1592" spans="1:16" ht="13.5" customHeight="1">
      <c r="A1592" s="72" t="str">
        <f t="shared" si="65"/>
        <v/>
      </c>
      <c r="B1592" s="72" t="str">
        <f t="shared" si="66"/>
        <v/>
      </c>
      <c r="C1592" s="73"/>
      <c r="D1592" s="73"/>
      <c r="E1592" s="73"/>
      <c r="F1592" s="76"/>
      <c r="G1592" s="265"/>
      <c r="H1592" s="122"/>
      <c r="I1592" s="122"/>
      <c r="J1592" s="122"/>
      <c r="K1592" s="122"/>
      <c r="L1592" s="122"/>
      <c r="M1592" s="74"/>
      <c r="N1592" s="75"/>
      <c r="O1592" s="75"/>
      <c r="P1592" s="134" t="str">
        <f>IF(AND('331-CT'!$E$7=TH!H1592,OR(N1592="331",O1592="331")),"x","")</f>
        <v/>
      </c>
    </row>
    <row r="1593" spans="1:16" ht="13.5" customHeight="1">
      <c r="A1593" s="72" t="str">
        <f t="shared" si="65"/>
        <v/>
      </c>
      <c r="B1593" s="72" t="str">
        <f t="shared" si="66"/>
        <v/>
      </c>
      <c r="C1593" s="73"/>
      <c r="D1593" s="73"/>
      <c r="E1593" s="73"/>
      <c r="F1593" s="76"/>
      <c r="G1593" s="265"/>
      <c r="H1593" s="122"/>
      <c r="I1593" s="122"/>
      <c r="J1593" s="122"/>
      <c r="K1593" s="122"/>
      <c r="L1593" s="122"/>
      <c r="M1593" s="74"/>
      <c r="N1593" s="75"/>
      <c r="O1593" s="75"/>
      <c r="P1593" s="134" t="str">
        <f>IF(AND('331-CT'!$E$7=TH!H1593,OR(N1593="331",O1593="331")),"x","")</f>
        <v/>
      </c>
    </row>
    <row r="1594" spans="1:16" ht="13.5" customHeight="1">
      <c r="A1594" s="72" t="str">
        <f t="shared" si="65"/>
        <v/>
      </c>
      <c r="B1594" s="72" t="str">
        <f t="shared" si="66"/>
        <v/>
      </c>
      <c r="C1594" s="73"/>
      <c r="D1594" s="73"/>
      <c r="E1594" s="73"/>
      <c r="F1594" s="76"/>
      <c r="G1594" s="265"/>
      <c r="H1594" s="122"/>
      <c r="I1594" s="122"/>
      <c r="J1594" s="122"/>
      <c r="K1594" s="122"/>
      <c r="L1594" s="122"/>
      <c r="M1594" s="74"/>
      <c r="N1594" s="75"/>
      <c r="O1594" s="75"/>
      <c r="P1594" s="134" t="str">
        <f>IF(AND('331-CT'!$E$7=TH!H1594,OR(N1594="331",O1594="331")),"x","")</f>
        <v/>
      </c>
    </row>
    <row r="1595" spans="1:16" ht="13.5" customHeight="1">
      <c r="A1595" s="72" t="str">
        <f t="shared" si="65"/>
        <v/>
      </c>
      <c r="B1595" s="72" t="str">
        <f t="shared" si="66"/>
        <v/>
      </c>
      <c r="C1595" s="73"/>
      <c r="D1595" s="73"/>
      <c r="E1595" s="73"/>
      <c r="F1595" s="76"/>
      <c r="G1595" s="265"/>
      <c r="H1595" s="122"/>
      <c r="I1595" s="122"/>
      <c r="J1595" s="122"/>
      <c r="K1595" s="122"/>
      <c r="L1595" s="122"/>
      <c r="M1595" s="74"/>
      <c r="N1595" s="75"/>
      <c r="O1595" s="75"/>
      <c r="P1595" s="134" t="str">
        <f>IF(AND('331-CT'!$E$7=TH!H1595,OR(N1595="331",O1595="331")),"x","")</f>
        <v/>
      </c>
    </row>
    <row r="1596" spans="1:16" ht="13.5" customHeight="1">
      <c r="A1596" s="72" t="str">
        <f t="shared" si="65"/>
        <v/>
      </c>
      <c r="B1596" s="72" t="str">
        <f t="shared" si="66"/>
        <v/>
      </c>
      <c r="C1596" s="73"/>
      <c r="D1596" s="73"/>
      <c r="E1596" s="73"/>
      <c r="F1596" s="76"/>
      <c r="G1596" s="265"/>
      <c r="H1596" s="122"/>
      <c r="I1596" s="122"/>
      <c r="J1596" s="122"/>
      <c r="K1596" s="122"/>
      <c r="L1596" s="122"/>
      <c r="M1596" s="74"/>
      <c r="N1596" s="75"/>
      <c r="O1596" s="75"/>
      <c r="P1596" s="134" t="str">
        <f>IF(AND('331-CT'!$E$7=TH!H1596,OR(N1596="331",O1596="331")),"x","")</f>
        <v/>
      </c>
    </row>
    <row r="1597" spans="1:16" ht="13.5" customHeight="1">
      <c r="A1597" s="72" t="str">
        <f t="shared" si="65"/>
        <v/>
      </c>
      <c r="B1597" s="72" t="str">
        <f t="shared" si="66"/>
        <v/>
      </c>
      <c r="C1597" s="73"/>
      <c r="D1597" s="73"/>
      <c r="E1597" s="73"/>
      <c r="F1597" s="76"/>
      <c r="G1597" s="265"/>
      <c r="H1597" s="122"/>
      <c r="I1597" s="122"/>
      <c r="J1597" s="122"/>
      <c r="K1597" s="122"/>
      <c r="L1597" s="122"/>
      <c r="M1597" s="74"/>
      <c r="N1597" s="75"/>
      <c r="O1597" s="75"/>
      <c r="P1597" s="134" t="str">
        <f>IF(AND('331-CT'!$E$7=TH!H1597,OR(N1597="331",O1597="331")),"x","")</f>
        <v/>
      </c>
    </row>
    <row r="1598" spans="1:16" ht="13.5" customHeight="1">
      <c r="A1598" s="72" t="str">
        <f t="shared" si="65"/>
        <v/>
      </c>
      <c r="B1598" s="72" t="str">
        <f t="shared" si="66"/>
        <v/>
      </c>
      <c r="C1598" s="73"/>
      <c r="D1598" s="73"/>
      <c r="E1598" s="73"/>
      <c r="F1598" s="76"/>
      <c r="G1598" s="265"/>
      <c r="H1598" s="122"/>
      <c r="I1598" s="122"/>
      <c r="J1598" s="122"/>
      <c r="K1598" s="122"/>
      <c r="L1598" s="122"/>
      <c r="M1598" s="74"/>
      <c r="N1598" s="75"/>
      <c r="O1598" s="75"/>
      <c r="P1598" s="134" t="str">
        <f>IF(AND('331-CT'!$E$7=TH!H1598,OR(N1598="331",O1598="331")),"x","")</f>
        <v/>
      </c>
    </row>
    <row r="1599" spans="1:16" ht="13.5" customHeight="1">
      <c r="A1599" s="72" t="str">
        <f t="shared" si="65"/>
        <v/>
      </c>
      <c r="B1599" s="72" t="str">
        <f t="shared" si="66"/>
        <v/>
      </c>
      <c r="C1599" s="73"/>
      <c r="D1599" s="73"/>
      <c r="E1599" s="73"/>
      <c r="F1599" s="76"/>
      <c r="G1599" s="265"/>
      <c r="H1599" s="122"/>
      <c r="I1599" s="122"/>
      <c r="J1599" s="122"/>
      <c r="K1599" s="122"/>
      <c r="L1599" s="122"/>
      <c r="M1599" s="74"/>
      <c r="N1599" s="75"/>
      <c r="O1599" s="75"/>
      <c r="P1599" s="134" t="str">
        <f>IF(AND('331-CT'!$E$7=TH!H1599,OR(N1599="331",O1599="331")),"x","")</f>
        <v/>
      </c>
    </row>
    <row r="1600" spans="1:16" ht="13.5" customHeight="1">
      <c r="A1600" s="72" t="str">
        <f t="shared" si="65"/>
        <v/>
      </c>
      <c r="B1600" s="72" t="str">
        <f t="shared" si="66"/>
        <v/>
      </c>
      <c r="C1600" s="73"/>
      <c r="D1600" s="73"/>
      <c r="E1600" s="73"/>
      <c r="F1600" s="76"/>
      <c r="G1600" s="265"/>
      <c r="H1600" s="122"/>
      <c r="I1600" s="122"/>
      <c r="J1600" s="122"/>
      <c r="K1600" s="122"/>
      <c r="L1600" s="122"/>
      <c r="M1600" s="74"/>
      <c r="N1600" s="75"/>
      <c r="O1600" s="75"/>
      <c r="P1600" s="134" t="str">
        <f>IF(AND('331-CT'!$E$7=TH!H1600,OR(N1600="331",O1600="331")),"x","")</f>
        <v/>
      </c>
    </row>
    <row r="1601" spans="1:16" ht="13.5" customHeight="1">
      <c r="A1601" s="72" t="str">
        <f t="shared" si="65"/>
        <v/>
      </c>
      <c r="B1601" s="72" t="str">
        <f t="shared" si="66"/>
        <v/>
      </c>
      <c r="C1601" s="73"/>
      <c r="D1601" s="73"/>
      <c r="E1601" s="73"/>
      <c r="F1601" s="76"/>
      <c r="G1601" s="265"/>
      <c r="H1601" s="122"/>
      <c r="I1601" s="122"/>
      <c r="J1601" s="122"/>
      <c r="K1601" s="122"/>
      <c r="L1601" s="122"/>
      <c r="M1601" s="74"/>
      <c r="N1601" s="75"/>
      <c r="O1601" s="75"/>
      <c r="P1601" s="134" t="str">
        <f>IF(AND('331-CT'!$E$7=TH!H1601,OR(N1601="331",O1601="331")),"x","")</f>
        <v/>
      </c>
    </row>
    <row r="1602" spans="1:16" ht="13.5" customHeight="1">
      <c r="A1602" s="72" t="str">
        <f t="shared" si="65"/>
        <v/>
      </c>
      <c r="B1602" s="72" t="str">
        <f t="shared" si="66"/>
        <v/>
      </c>
      <c r="C1602" s="73"/>
      <c r="D1602" s="73"/>
      <c r="E1602" s="73"/>
      <c r="F1602" s="76"/>
      <c r="G1602" s="265"/>
      <c r="H1602" s="122"/>
      <c r="I1602" s="122"/>
      <c r="J1602" s="122"/>
      <c r="K1602" s="122"/>
      <c r="L1602" s="122"/>
      <c r="M1602" s="74"/>
      <c r="N1602" s="75"/>
      <c r="O1602" s="75"/>
      <c r="P1602" s="134" t="str">
        <f>IF(AND('331-CT'!$E$7=TH!H1602,OR(N1602="331",O1602="331")),"x","")</f>
        <v/>
      </c>
    </row>
    <row r="1603" spans="1:16" ht="13.5" customHeight="1">
      <c r="A1603" s="72" t="str">
        <f t="shared" si="65"/>
        <v/>
      </c>
      <c r="B1603" s="72" t="str">
        <f t="shared" si="66"/>
        <v/>
      </c>
      <c r="C1603" s="73"/>
      <c r="D1603" s="73"/>
      <c r="E1603" s="73"/>
      <c r="F1603" s="76"/>
      <c r="G1603" s="265"/>
      <c r="H1603" s="122"/>
      <c r="I1603" s="122"/>
      <c r="J1603" s="122"/>
      <c r="K1603" s="122"/>
      <c r="L1603" s="122"/>
      <c r="M1603" s="74"/>
      <c r="N1603" s="75"/>
      <c r="O1603" s="75"/>
      <c r="P1603" s="134" t="str">
        <f>IF(AND('331-CT'!$E$7=TH!H1603,OR(N1603="331",O1603="331")),"x","")</f>
        <v/>
      </c>
    </row>
    <row r="1604" spans="1:16" ht="13.5" customHeight="1">
      <c r="A1604" s="72" t="str">
        <f t="shared" si="65"/>
        <v/>
      </c>
      <c r="B1604" s="72" t="str">
        <f t="shared" si="66"/>
        <v/>
      </c>
      <c r="C1604" s="73"/>
      <c r="D1604" s="73"/>
      <c r="E1604" s="73"/>
      <c r="F1604" s="76"/>
      <c r="G1604" s="265"/>
      <c r="H1604" s="122"/>
      <c r="I1604" s="122"/>
      <c r="J1604" s="122"/>
      <c r="K1604" s="122"/>
      <c r="L1604" s="122"/>
      <c r="M1604" s="74"/>
      <c r="N1604" s="75"/>
      <c r="O1604" s="75"/>
      <c r="P1604" s="134" t="str">
        <f>IF(AND('331-CT'!$E$7=TH!H1604,OR(N1604="331",O1604="331")),"x","")</f>
        <v/>
      </c>
    </row>
    <row r="1605" spans="1:16" ht="13.5" customHeight="1">
      <c r="A1605" s="72" t="str">
        <f t="shared" si="65"/>
        <v/>
      </c>
      <c r="B1605" s="72" t="str">
        <f t="shared" si="66"/>
        <v/>
      </c>
      <c r="C1605" s="73"/>
      <c r="D1605" s="73"/>
      <c r="E1605" s="73"/>
      <c r="F1605" s="76"/>
      <c r="G1605" s="265"/>
      <c r="H1605" s="122"/>
      <c r="I1605" s="122"/>
      <c r="J1605" s="122"/>
      <c r="K1605" s="122"/>
      <c r="L1605" s="122"/>
      <c r="M1605" s="74"/>
      <c r="N1605" s="75"/>
      <c r="O1605" s="75"/>
      <c r="P1605" s="134" t="str">
        <f>IF(AND('331-CT'!$E$7=TH!H1605,OR(N1605="331",O1605="331")),"x","")</f>
        <v/>
      </c>
    </row>
    <row r="1606" spans="1:16" ht="13.5" customHeight="1">
      <c r="A1606" s="72" t="str">
        <f t="shared" si="65"/>
        <v/>
      </c>
      <c r="B1606" s="72" t="str">
        <f t="shared" si="66"/>
        <v/>
      </c>
      <c r="C1606" s="73"/>
      <c r="D1606" s="73"/>
      <c r="E1606" s="73"/>
      <c r="F1606" s="76"/>
      <c r="G1606" s="265"/>
      <c r="H1606" s="122"/>
      <c r="I1606" s="122"/>
      <c r="J1606" s="122"/>
      <c r="K1606" s="122"/>
      <c r="L1606" s="122"/>
      <c r="M1606" s="74"/>
      <c r="N1606" s="75"/>
      <c r="O1606" s="75"/>
      <c r="P1606" s="134" t="str">
        <f>IF(AND('331-CT'!$E$7=TH!H1606,OR(N1606="331",O1606="331")),"x","")</f>
        <v/>
      </c>
    </row>
    <row r="1607" spans="1:16" ht="13.5" customHeight="1">
      <c r="A1607" s="72" t="str">
        <f t="shared" si="65"/>
        <v/>
      </c>
      <c r="B1607" s="72" t="str">
        <f t="shared" si="66"/>
        <v/>
      </c>
      <c r="C1607" s="73"/>
      <c r="D1607" s="73"/>
      <c r="E1607" s="73"/>
      <c r="F1607" s="76"/>
      <c r="G1607" s="265"/>
      <c r="H1607" s="122"/>
      <c r="I1607" s="122"/>
      <c r="J1607" s="122"/>
      <c r="K1607" s="122"/>
      <c r="L1607" s="122"/>
      <c r="M1607" s="74"/>
      <c r="N1607" s="75"/>
      <c r="O1607" s="75"/>
      <c r="P1607" s="134" t="str">
        <f>IF(AND('331-CT'!$E$7=TH!H1607,OR(N1607="331",O1607="331")),"x","")</f>
        <v/>
      </c>
    </row>
    <row r="1608" spans="1:16" ht="13.5" customHeight="1">
      <c r="A1608" s="72" t="str">
        <f t="shared" si="65"/>
        <v/>
      </c>
      <c r="B1608" s="72" t="str">
        <f t="shared" si="66"/>
        <v/>
      </c>
      <c r="C1608" s="73"/>
      <c r="D1608" s="73"/>
      <c r="E1608" s="73"/>
      <c r="F1608" s="76"/>
      <c r="G1608" s="265"/>
      <c r="H1608" s="122"/>
      <c r="I1608" s="122"/>
      <c r="J1608" s="122"/>
      <c r="K1608" s="122"/>
      <c r="L1608" s="122"/>
      <c r="M1608" s="74"/>
      <c r="N1608" s="75"/>
      <c r="O1608" s="75"/>
      <c r="P1608" s="134" t="str">
        <f>IF(AND('331-CT'!$E$7=TH!H1608,OR(N1608="331",O1608="331")),"x","")</f>
        <v/>
      </c>
    </row>
    <row r="1609" spans="1:16" ht="13.5" customHeight="1">
      <c r="A1609" s="72" t="str">
        <f t="shared" si="65"/>
        <v/>
      </c>
      <c r="B1609" s="72" t="str">
        <f t="shared" si="66"/>
        <v/>
      </c>
      <c r="C1609" s="73"/>
      <c r="D1609" s="73"/>
      <c r="E1609" s="73"/>
      <c r="F1609" s="76"/>
      <c r="G1609" s="265"/>
      <c r="H1609" s="122"/>
      <c r="I1609" s="122"/>
      <c r="J1609" s="122"/>
      <c r="K1609" s="122"/>
      <c r="L1609" s="122"/>
      <c r="M1609" s="74"/>
      <c r="N1609" s="75"/>
      <c r="O1609" s="75"/>
      <c r="P1609" s="134" t="str">
        <f>IF(AND('331-CT'!$E$7=TH!H1609,OR(N1609="331",O1609="331")),"x","")</f>
        <v/>
      </c>
    </row>
    <row r="1610" spans="1:16" ht="13.5" customHeight="1">
      <c r="A1610" s="72" t="str">
        <f t="shared" si="65"/>
        <v/>
      </c>
      <c r="B1610" s="72" t="str">
        <f t="shared" si="66"/>
        <v/>
      </c>
      <c r="C1610" s="73"/>
      <c r="D1610" s="73"/>
      <c r="E1610" s="73"/>
      <c r="F1610" s="76"/>
      <c r="G1610" s="265"/>
      <c r="H1610" s="122"/>
      <c r="I1610" s="122"/>
      <c r="J1610" s="122"/>
      <c r="K1610" s="122"/>
      <c r="L1610" s="122"/>
      <c r="M1610" s="74"/>
      <c r="N1610" s="75"/>
      <c r="O1610" s="75"/>
      <c r="P1610" s="134" t="str">
        <f>IF(AND('331-CT'!$E$7=TH!H1610,OR(N1610="331",O1610="331")),"x","")</f>
        <v/>
      </c>
    </row>
    <row r="1611" spans="1:16" ht="13.5" customHeight="1">
      <c r="A1611" s="72" t="str">
        <f t="shared" si="65"/>
        <v/>
      </c>
      <c r="B1611" s="72" t="str">
        <f t="shared" si="66"/>
        <v/>
      </c>
      <c r="C1611" s="73"/>
      <c r="D1611" s="73"/>
      <c r="E1611" s="73"/>
      <c r="F1611" s="76"/>
      <c r="G1611" s="265"/>
      <c r="H1611" s="122"/>
      <c r="I1611" s="122"/>
      <c r="J1611" s="122"/>
      <c r="K1611" s="122"/>
      <c r="L1611" s="122"/>
      <c r="M1611" s="74"/>
      <c r="N1611" s="75"/>
      <c r="O1611" s="75"/>
      <c r="P1611" s="134" t="str">
        <f>IF(AND('331-CT'!$E$7=TH!H1611,OR(N1611="331",O1611="331")),"x","")</f>
        <v/>
      </c>
    </row>
    <row r="1612" spans="1:16" ht="13.5" customHeight="1">
      <c r="A1612" s="72" t="str">
        <f t="shared" si="65"/>
        <v/>
      </c>
      <c r="B1612" s="72" t="str">
        <f t="shared" si="66"/>
        <v/>
      </c>
      <c r="C1612" s="73"/>
      <c r="D1612" s="73"/>
      <c r="E1612" s="73"/>
      <c r="F1612" s="76"/>
      <c r="G1612" s="265"/>
      <c r="H1612" s="122"/>
      <c r="I1612" s="122"/>
      <c r="J1612" s="122"/>
      <c r="K1612" s="122"/>
      <c r="L1612" s="122"/>
      <c r="M1612" s="74"/>
      <c r="N1612" s="75"/>
      <c r="O1612" s="75"/>
      <c r="P1612" s="134" t="str">
        <f>IF(AND('331-CT'!$E$7=TH!H1612,OR(N1612="331",O1612="331")),"x","")</f>
        <v/>
      </c>
    </row>
    <row r="1613" spans="1:16" ht="13.5" customHeight="1">
      <c r="A1613" s="72" t="str">
        <f t="shared" si="65"/>
        <v/>
      </c>
      <c r="B1613" s="72" t="str">
        <f t="shared" si="66"/>
        <v/>
      </c>
      <c r="C1613" s="73"/>
      <c r="D1613" s="73"/>
      <c r="E1613" s="73"/>
      <c r="F1613" s="76"/>
      <c r="G1613" s="265"/>
      <c r="H1613" s="122"/>
      <c r="I1613" s="122"/>
      <c r="J1613" s="122"/>
      <c r="K1613" s="122"/>
      <c r="L1613" s="122"/>
      <c r="M1613" s="74"/>
      <c r="N1613" s="75"/>
      <c r="O1613" s="75"/>
      <c r="P1613" s="134" t="str">
        <f>IF(AND('331-CT'!$E$7=TH!H1613,OR(N1613="331",O1613="331")),"x","")</f>
        <v/>
      </c>
    </row>
    <row r="1614" spans="1:16" ht="13.5" customHeight="1">
      <c r="A1614" s="72" t="str">
        <f t="shared" si="65"/>
        <v/>
      </c>
      <c r="B1614" s="72" t="str">
        <f t="shared" si="66"/>
        <v/>
      </c>
      <c r="C1614" s="73"/>
      <c r="D1614" s="73"/>
      <c r="E1614" s="73"/>
      <c r="F1614" s="76"/>
      <c r="G1614" s="265"/>
      <c r="H1614" s="122"/>
      <c r="I1614" s="122"/>
      <c r="J1614" s="122"/>
      <c r="K1614" s="122"/>
      <c r="L1614" s="122"/>
      <c r="M1614" s="74"/>
      <c r="N1614" s="75"/>
      <c r="O1614" s="75"/>
      <c r="P1614" s="134" t="str">
        <f>IF(AND('331-CT'!$E$7=TH!H1614,OR(N1614="331",O1614="331")),"x","")</f>
        <v/>
      </c>
    </row>
    <row r="1615" spans="1:16" ht="13.5" customHeight="1">
      <c r="A1615" s="72" t="str">
        <f t="shared" si="65"/>
        <v/>
      </c>
      <c r="B1615" s="72" t="str">
        <f t="shared" si="66"/>
        <v/>
      </c>
      <c r="C1615" s="73"/>
      <c r="D1615" s="73"/>
      <c r="E1615" s="73"/>
      <c r="F1615" s="76"/>
      <c r="G1615" s="265"/>
      <c r="H1615" s="122"/>
      <c r="I1615" s="122"/>
      <c r="J1615" s="122"/>
      <c r="K1615" s="122"/>
      <c r="L1615" s="122"/>
      <c r="M1615" s="74"/>
      <c r="N1615" s="75"/>
      <c r="O1615" s="75"/>
      <c r="P1615" s="134" t="str">
        <f>IF(AND('331-CT'!$E$7=TH!H1615,OR(N1615="331",O1615="331")),"x","")</f>
        <v/>
      </c>
    </row>
    <row r="1616" spans="1:16" ht="13.5" customHeight="1">
      <c r="A1616" s="72" t="str">
        <f t="shared" si="65"/>
        <v/>
      </c>
      <c r="B1616" s="72" t="str">
        <f t="shared" si="66"/>
        <v/>
      </c>
      <c r="C1616" s="73"/>
      <c r="D1616" s="73"/>
      <c r="E1616" s="73"/>
      <c r="F1616" s="76"/>
      <c r="G1616" s="265"/>
      <c r="H1616" s="122"/>
      <c r="I1616" s="122"/>
      <c r="J1616" s="122"/>
      <c r="K1616" s="122"/>
      <c r="L1616" s="122"/>
      <c r="M1616" s="74"/>
      <c r="N1616" s="75"/>
      <c r="O1616" s="75"/>
      <c r="P1616" s="134" t="str">
        <f>IF(AND('331-CT'!$E$7=TH!H1616,OR(N1616="331",O1616="331")),"x","")</f>
        <v/>
      </c>
    </row>
    <row r="1617" spans="1:16" ht="13.5" customHeight="1">
      <c r="A1617" s="72" t="str">
        <f t="shared" si="65"/>
        <v/>
      </c>
      <c r="B1617" s="72" t="str">
        <f t="shared" si="66"/>
        <v/>
      </c>
      <c r="C1617" s="73"/>
      <c r="D1617" s="73"/>
      <c r="E1617" s="73"/>
      <c r="F1617" s="76"/>
      <c r="G1617" s="265"/>
      <c r="H1617" s="122"/>
      <c r="I1617" s="122"/>
      <c r="J1617" s="122"/>
      <c r="K1617" s="122"/>
      <c r="L1617" s="122"/>
      <c r="M1617" s="74"/>
      <c r="N1617" s="75"/>
      <c r="O1617" s="75"/>
      <c r="P1617" s="134" t="str">
        <f>IF(AND('331-CT'!$E$7=TH!H1617,OR(N1617="331",O1617="331")),"x","")</f>
        <v/>
      </c>
    </row>
    <row r="1618" spans="1:16" ht="13.5" customHeight="1">
      <c r="A1618" s="72" t="str">
        <f t="shared" si="65"/>
        <v/>
      </c>
      <c r="B1618" s="72" t="str">
        <f t="shared" si="66"/>
        <v/>
      </c>
      <c r="C1618" s="73"/>
      <c r="D1618" s="73"/>
      <c r="E1618" s="73"/>
      <c r="F1618" s="76"/>
      <c r="G1618" s="265"/>
      <c r="H1618" s="122"/>
      <c r="I1618" s="122"/>
      <c r="J1618" s="122"/>
      <c r="K1618" s="122"/>
      <c r="L1618" s="122"/>
      <c r="M1618" s="74"/>
      <c r="N1618" s="75"/>
      <c r="O1618" s="75"/>
      <c r="P1618" s="134" t="str">
        <f>IF(AND('331-CT'!$E$7=TH!H1618,OR(N1618="331",O1618="331")),"x","")</f>
        <v/>
      </c>
    </row>
    <row r="1619" spans="1:16" ht="13.5" customHeight="1">
      <c r="A1619" s="72" t="str">
        <f t="shared" si="65"/>
        <v/>
      </c>
      <c r="B1619" s="72" t="str">
        <f t="shared" si="66"/>
        <v/>
      </c>
      <c r="C1619" s="73"/>
      <c r="D1619" s="73"/>
      <c r="E1619" s="73"/>
      <c r="F1619" s="76"/>
      <c r="G1619" s="265"/>
      <c r="H1619" s="122"/>
      <c r="I1619" s="122"/>
      <c r="J1619" s="122"/>
      <c r="K1619" s="122"/>
      <c r="L1619" s="122"/>
      <c r="M1619" s="74"/>
      <c r="N1619" s="75"/>
      <c r="O1619" s="75"/>
      <c r="P1619" s="134" t="str">
        <f>IF(AND('331-CT'!$E$7=TH!H1619,OR(N1619="331",O1619="331")),"x","")</f>
        <v/>
      </c>
    </row>
    <row r="1620" spans="1:16" ht="13.5" customHeight="1">
      <c r="A1620" s="72" t="str">
        <f t="shared" si="65"/>
        <v/>
      </c>
      <c r="B1620" s="72" t="str">
        <f t="shared" si="66"/>
        <v/>
      </c>
      <c r="C1620" s="73"/>
      <c r="D1620" s="73"/>
      <c r="E1620" s="73"/>
      <c r="F1620" s="76"/>
      <c r="G1620" s="265"/>
      <c r="H1620" s="122"/>
      <c r="I1620" s="122"/>
      <c r="J1620" s="122"/>
      <c r="K1620" s="122"/>
      <c r="L1620" s="122"/>
      <c r="M1620" s="74"/>
      <c r="N1620" s="75"/>
      <c r="O1620" s="75"/>
      <c r="P1620" s="134" t="str">
        <f>IF(AND('331-CT'!$E$7=TH!H1620,OR(N1620="331",O1620="331")),"x","")</f>
        <v/>
      </c>
    </row>
    <row r="1621" spans="1:16" ht="13.5" customHeight="1">
      <c r="A1621" s="72" t="str">
        <f t="shared" si="65"/>
        <v/>
      </c>
      <c r="B1621" s="72" t="str">
        <f t="shared" si="66"/>
        <v/>
      </c>
      <c r="C1621" s="73"/>
      <c r="D1621" s="73"/>
      <c r="E1621" s="73"/>
      <c r="F1621" s="76"/>
      <c r="G1621" s="265"/>
      <c r="H1621" s="122"/>
      <c r="I1621" s="122"/>
      <c r="J1621" s="122"/>
      <c r="K1621" s="122"/>
      <c r="L1621" s="122"/>
      <c r="M1621" s="74"/>
      <c r="N1621" s="75"/>
      <c r="O1621" s="75"/>
      <c r="P1621" s="134" t="str">
        <f>IF(AND('331-CT'!$E$7=TH!H1621,OR(N1621="331",O1621="331")),"x","")</f>
        <v/>
      </c>
    </row>
    <row r="1622" spans="1:16" ht="13.5" customHeight="1">
      <c r="A1622" s="72" t="str">
        <f t="shared" si="65"/>
        <v/>
      </c>
      <c r="B1622" s="72" t="str">
        <f t="shared" si="66"/>
        <v/>
      </c>
      <c r="C1622" s="73"/>
      <c r="D1622" s="73"/>
      <c r="E1622" s="73"/>
      <c r="F1622" s="76"/>
      <c r="G1622" s="265"/>
      <c r="H1622" s="122"/>
      <c r="I1622" s="122"/>
      <c r="J1622" s="122"/>
      <c r="K1622" s="122"/>
      <c r="L1622" s="122"/>
      <c r="M1622" s="74"/>
      <c r="N1622" s="75"/>
      <c r="O1622" s="75"/>
      <c r="P1622" s="134" t="str">
        <f>IF(AND('331-CT'!$E$7=TH!H1622,OR(N1622="331",O1622="331")),"x","")</f>
        <v/>
      </c>
    </row>
    <row r="1623" spans="1:16" ht="13.5" customHeight="1">
      <c r="A1623" s="72" t="str">
        <f t="shared" si="65"/>
        <v/>
      </c>
      <c r="B1623" s="72" t="str">
        <f t="shared" si="66"/>
        <v/>
      </c>
      <c r="C1623" s="73"/>
      <c r="D1623" s="73"/>
      <c r="E1623" s="73"/>
      <c r="F1623" s="76"/>
      <c r="G1623" s="265"/>
      <c r="H1623" s="122"/>
      <c r="I1623" s="122"/>
      <c r="J1623" s="122"/>
      <c r="K1623" s="122"/>
      <c r="L1623" s="122"/>
      <c r="M1623" s="74"/>
      <c r="N1623" s="75"/>
      <c r="O1623" s="75"/>
      <c r="P1623" s="134" t="str">
        <f>IF(AND('331-CT'!$E$7=TH!H1623,OR(N1623="331",O1623="331")),"x","")</f>
        <v/>
      </c>
    </row>
    <row r="1624" spans="1:16" ht="13.5" customHeight="1">
      <c r="A1624" s="72" t="str">
        <f t="shared" si="65"/>
        <v/>
      </c>
      <c r="B1624" s="72" t="str">
        <f t="shared" si="66"/>
        <v/>
      </c>
      <c r="C1624" s="73"/>
      <c r="D1624" s="73"/>
      <c r="E1624" s="73"/>
      <c r="F1624" s="76"/>
      <c r="G1624" s="265"/>
      <c r="H1624" s="122"/>
      <c r="I1624" s="122"/>
      <c r="J1624" s="122"/>
      <c r="K1624" s="122"/>
      <c r="L1624" s="122"/>
      <c r="M1624" s="74"/>
      <c r="N1624" s="75"/>
      <c r="O1624" s="75"/>
      <c r="P1624" s="134" t="str">
        <f>IF(AND('331-CT'!$E$7=TH!H1624,OR(N1624="331",O1624="331")),"x","")</f>
        <v/>
      </c>
    </row>
    <row r="1625" spans="1:16" ht="13.5" customHeight="1">
      <c r="A1625" s="72" t="str">
        <f t="shared" si="65"/>
        <v/>
      </c>
      <c r="B1625" s="72" t="str">
        <f t="shared" si="66"/>
        <v/>
      </c>
      <c r="C1625" s="73"/>
      <c r="D1625" s="73"/>
      <c r="E1625" s="73"/>
      <c r="F1625" s="76"/>
      <c r="G1625" s="265"/>
      <c r="H1625" s="122"/>
      <c r="I1625" s="122"/>
      <c r="J1625" s="122"/>
      <c r="K1625" s="122"/>
      <c r="L1625" s="122"/>
      <c r="M1625" s="74"/>
      <c r="N1625" s="75"/>
      <c r="O1625" s="75"/>
      <c r="P1625" s="134" t="str">
        <f>IF(AND('331-CT'!$E$7=TH!H1625,OR(N1625="331",O1625="331")),"x","")</f>
        <v/>
      </c>
    </row>
    <row r="1626" spans="1:16" ht="13.5" customHeight="1">
      <c r="A1626" s="72" t="str">
        <f t="shared" si="65"/>
        <v/>
      </c>
      <c r="B1626" s="72" t="str">
        <f t="shared" si="66"/>
        <v/>
      </c>
      <c r="C1626" s="73"/>
      <c r="D1626" s="73"/>
      <c r="E1626" s="73"/>
      <c r="F1626" s="76"/>
      <c r="G1626" s="265"/>
      <c r="H1626" s="122"/>
      <c r="I1626" s="122"/>
      <c r="J1626" s="122"/>
      <c r="K1626" s="122"/>
      <c r="L1626" s="122"/>
      <c r="M1626" s="74"/>
      <c r="N1626" s="75"/>
      <c r="O1626" s="75"/>
      <c r="P1626" s="134" t="str">
        <f>IF(AND('331-CT'!$E$7=TH!H1626,OR(N1626="331",O1626="331")),"x","")</f>
        <v/>
      </c>
    </row>
    <row r="1627" spans="1:16" ht="13.5" customHeight="1">
      <c r="A1627" s="72" t="str">
        <f t="shared" si="65"/>
        <v/>
      </c>
      <c r="B1627" s="72" t="str">
        <f t="shared" si="66"/>
        <v/>
      </c>
      <c r="C1627" s="73"/>
      <c r="D1627" s="73"/>
      <c r="E1627" s="73"/>
      <c r="F1627" s="76"/>
      <c r="G1627" s="265"/>
      <c r="H1627" s="122"/>
      <c r="I1627" s="122"/>
      <c r="J1627" s="122"/>
      <c r="K1627" s="122"/>
      <c r="L1627" s="122"/>
      <c r="M1627" s="74"/>
      <c r="N1627" s="75"/>
      <c r="O1627" s="75"/>
      <c r="P1627" s="134" t="str">
        <f>IF(AND('331-CT'!$E$7=TH!H1627,OR(N1627="331",O1627="331")),"x","")</f>
        <v/>
      </c>
    </row>
    <row r="1628" spans="1:16" ht="13.5" customHeight="1">
      <c r="A1628" s="72" t="str">
        <f t="shared" si="65"/>
        <v/>
      </c>
      <c r="B1628" s="72" t="str">
        <f t="shared" si="66"/>
        <v/>
      </c>
      <c r="C1628" s="73"/>
      <c r="D1628" s="73"/>
      <c r="E1628" s="73"/>
      <c r="F1628" s="76"/>
      <c r="G1628" s="265"/>
      <c r="H1628" s="122"/>
      <c r="I1628" s="122"/>
      <c r="J1628" s="122"/>
      <c r="K1628" s="122"/>
      <c r="L1628" s="122"/>
      <c r="M1628" s="74"/>
      <c r="N1628" s="75"/>
      <c r="O1628" s="75"/>
      <c r="P1628" s="134" t="str">
        <f>IF(AND('331-CT'!$E$7=TH!H1628,OR(N1628="331",O1628="331")),"x","")</f>
        <v/>
      </c>
    </row>
    <row r="1629" spans="1:16" ht="13.5" customHeight="1">
      <c r="A1629" s="72" t="str">
        <f t="shared" si="65"/>
        <v/>
      </c>
      <c r="B1629" s="72" t="str">
        <f t="shared" si="66"/>
        <v/>
      </c>
      <c r="C1629" s="73"/>
      <c r="D1629" s="73"/>
      <c r="E1629" s="73"/>
      <c r="F1629" s="76"/>
      <c r="G1629" s="265"/>
      <c r="H1629" s="122"/>
      <c r="I1629" s="122"/>
      <c r="J1629" s="122"/>
      <c r="K1629" s="122"/>
      <c r="L1629" s="122"/>
      <c r="M1629" s="74"/>
      <c r="N1629" s="75"/>
      <c r="O1629" s="75"/>
      <c r="P1629" s="134" t="str">
        <f>IF(AND('331-CT'!$E$7=TH!H1629,OR(N1629="331",O1629="331")),"x","")</f>
        <v/>
      </c>
    </row>
    <row r="1630" spans="1:16" ht="13.5" customHeight="1">
      <c r="A1630" s="72" t="str">
        <f t="shared" si="65"/>
        <v/>
      </c>
      <c r="B1630" s="72" t="str">
        <f t="shared" si="66"/>
        <v/>
      </c>
      <c r="C1630" s="73"/>
      <c r="D1630" s="73"/>
      <c r="E1630" s="73"/>
      <c r="F1630" s="76"/>
      <c r="G1630" s="265"/>
      <c r="H1630" s="122"/>
      <c r="I1630" s="122"/>
      <c r="J1630" s="122"/>
      <c r="K1630" s="122"/>
      <c r="L1630" s="122"/>
      <c r="M1630" s="74"/>
      <c r="N1630" s="75"/>
      <c r="O1630" s="75"/>
      <c r="P1630" s="134" t="str">
        <f>IF(AND('331-CT'!$E$7=TH!H1630,OR(N1630="331",O1630="331")),"x","")</f>
        <v/>
      </c>
    </row>
    <row r="1631" spans="1:16" ht="13.5" customHeight="1">
      <c r="A1631" s="72" t="str">
        <f t="shared" si="65"/>
        <v/>
      </c>
      <c r="B1631" s="72" t="str">
        <f t="shared" si="66"/>
        <v/>
      </c>
      <c r="C1631" s="73"/>
      <c r="D1631" s="73"/>
      <c r="E1631" s="73"/>
      <c r="F1631" s="76"/>
      <c r="G1631" s="265"/>
      <c r="H1631" s="122"/>
      <c r="I1631" s="122"/>
      <c r="J1631" s="122"/>
      <c r="K1631" s="122"/>
      <c r="L1631" s="122"/>
      <c r="M1631" s="74"/>
      <c r="N1631" s="75"/>
      <c r="O1631" s="75"/>
      <c r="P1631" s="134" t="str">
        <f>IF(AND('331-CT'!$E$7=TH!H1631,OR(N1631="331",O1631="331")),"x","")</f>
        <v/>
      </c>
    </row>
    <row r="1632" spans="1:16" ht="13.5" customHeight="1">
      <c r="A1632" s="72" t="str">
        <f t="shared" si="65"/>
        <v/>
      </c>
      <c r="B1632" s="72" t="str">
        <f t="shared" si="66"/>
        <v/>
      </c>
      <c r="C1632" s="73"/>
      <c r="D1632" s="73"/>
      <c r="E1632" s="73"/>
      <c r="F1632" s="76"/>
      <c r="G1632" s="265"/>
      <c r="H1632" s="122"/>
      <c r="I1632" s="122"/>
      <c r="J1632" s="122"/>
      <c r="K1632" s="122"/>
      <c r="L1632" s="122"/>
      <c r="M1632" s="74"/>
      <c r="N1632" s="75"/>
      <c r="O1632" s="75"/>
      <c r="P1632" s="134" t="str">
        <f>IF(AND('331-CT'!$E$7=TH!H1632,OR(N1632="331",O1632="331")),"x","")</f>
        <v/>
      </c>
    </row>
    <row r="1633" spans="1:16" ht="13.5" customHeight="1">
      <c r="A1633" s="72" t="str">
        <f t="shared" si="65"/>
        <v/>
      </c>
      <c r="B1633" s="72" t="str">
        <f t="shared" si="66"/>
        <v/>
      </c>
      <c r="C1633" s="73"/>
      <c r="D1633" s="73"/>
      <c r="E1633" s="73"/>
      <c r="F1633" s="76"/>
      <c r="G1633" s="265"/>
      <c r="H1633" s="122"/>
      <c r="I1633" s="122"/>
      <c r="J1633" s="122"/>
      <c r="K1633" s="122"/>
      <c r="L1633" s="122"/>
      <c r="M1633" s="74"/>
      <c r="N1633" s="75"/>
      <c r="O1633" s="75"/>
      <c r="P1633" s="134" t="str">
        <f>IF(AND('331-CT'!$E$7=TH!H1633,OR(N1633="331",O1633="331")),"x","")</f>
        <v/>
      </c>
    </row>
    <row r="1634" spans="1:16" ht="13.5" customHeight="1">
      <c r="A1634" s="72" t="str">
        <f t="shared" si="65"/>
        <v/>
      </c>
      <c r="B1634" s="72" t="str">
        <f t="shared" si="66"/>
        <v/>
      </c>
      <c r="C1634" s="73"/>
      <c r="D1634" s="73"/>
      <c r="E1634" s="73"/>
      <c r="F1634" s="76"/>
      <c r="G1634" s="265"/>
      <c r="H1634" s="122"/>
      <c r="I1634" s="122"/>
      <c r="J1634" s="122"/>
      <c r="K1634" s="122"/>
      <c r="L1634" s="122"/>
      <c r="M1634" s="74"/>
      <c r="N1634" s="75"/>
      <c r="O1634" s="75"/>
      <c r="P1634" s="134" t="str">
        <f>IF(AND('331-CT'!$E$7=TH!H1634,OR(N1634="331",O1634="331")),"x","")</f>
        <v/>
      </c>
    </row>
    <row r="1635" spans="1:16" ht="13.5" customHeight="1">
      <c r="A1635" s="72" t="str">
        <f t="shared" si="65"/>
        <v/>
      </c>
      <c r="B1635" s="72" t="str">
        <f t="shared" si="66"/>
        <v/>
      </c>
      <c r="C1635" s="73"/>
      <c r="D1635" s="73"/>
      <c r="E1635" s="73"/>
      <c r="F1635" s="76"/>
      <c r="G1635" s="265"/>
      <c r="H1635" s="122"/>
      <c r="I1635" s="122"/>
      <c r="J1635" s="122"/>
      <c r="K1635" s="122"/>
      <c r="L1635" s="122"/>
      <c r="M1635" s="74"/>
      <c r="N1635" s="75"/>
      <c r="O1635" s="75"/>
      <c r="P1635" s="134" t="str">
        <f>IF(AND('331-CT'!$E$7=TH!H1635,OR(N1635="331",O1635="331")),"x","")</f>
        <v/>
      </c>
    </row>
    <row r="1636" spans="1:16" ht="13.5" customHeight="1">
      <c r="A1636" s="72" t="str">
        <f t="shared" si="65"/>
        <v/>
      </c>
      <c r="B1636" s="72" t="str">
        <f t="shared" si="66"/>
        <v/>
      </c>
      <c r="C1636" s="73"/>
      <c r="D1636" s="73"/>
      <c r="E1636" s="73"/>
      <c r="F1636" s="76"/>
      <c r="G1636" s="265"/>
      <c r="H1636" s="122"/>
      <c r="I1636" s="122"/>
      <c r="J1636" s="122"/>
      <c r="K1636" s="122"/>
      <c r="L1636" s="122"/>
      <c r="M1636" s="74"/>
      <c r="N1636" s="75"/>
      <c r="O1636" s="75"/>
      <c r="P1636" s="134" t="str">
        <f>IF(AND('331-CT'!$E$7=TH!H1636,OR(N1636="331",O1636="331")),"x","")</f>
        <v/>
      </c>
    </row>
    <row r="1637" spans="1:16" ht="13.5" customHeight="1">
      <c r="A1637" s="72" t="str">
        <f t="shared" si="65"/>
        <v/>
      </c>
      <c r="B1637" s="72" t="str">
        <f t="shared" si="66"/>
        <v/>
      </c>
      <c r="C1637" s="73"/>
      <c r="D1637" s="73"/>
      <c r="E1637" s="73"/>
      <c r="F1637" s="76"/>
      <c r="G1637" s="265"/>
      <c r="H1637" s="122"/>
      <c r="I1637" s="122"/>
      <c r="J1637" s="122"/>
      <c r="K1637" s="122"/>
      <c r="L1637" s="122"/>
      <c r="M1637" s="74"/>
      <c r="N1637" s="75"/>
      <c r="O1637" s="75"/>
      <c r="P1637" s="134" t="str">
        <f>IF(AND('331-CT'!$E$7=TH!H1637,OR(N1637="331",O1637="331")),"x","")</f>
        <v/>
      </c>
    </row>
    <row r="1638" spans="1:16" ht="13.5" customHeight="1">
      <c r="A1638" s="72" t="str">
        <f t="shared" si="65"/>
        <v/>
      </c>
      <c r="B1638" s="72" t="str">
        <f t="shared" si="66"/>
        <v/>
      </c>
      <c r="C1638" s="73"/>
      <c r="D1638" s="73"/>
      <c r="E1638" s="73"/>
      <c r="F1638" s="76"/>
      <c r="G1638" s="265"/>
      <c r="H1638" s="122"/>
      <c r="I1638" s="122"/>
      <c r="J1638" s="122"/>
      <c r="K1638" s="122"/>
      <c r="L1638" s="122"/>
      <c r="M1638" s="74"/>
      <c r="N1638" s="75"/>
      <c r="O1638" s="75"/>
      <c r="P1638" s="134" t="str">
        <f>IF(AND('331-CT'!$E$7=TH!H1638,OR(N1638="331",O1638="331")),"x","")</f>
        <v/>
      </c>
    </row>
    <row r="1639" spans="1:16" ht="13.5" customHeight="1">
      <c r="A1639" s="72" t="str">
        <f t="shared" si="65"/>
        <v/>
      </c>
      <c r="B1639" s="72" t="str">
        <f t="shared" si="66"/>
        <v/>
      </c>
      <c r="C1639" s="73"/>
      <c r="D1639" s="73"/>
      <c r="E1639" s="73"/>
      <c r="F1639" s="76"/>
      <c r="G1639" s="265"/>
      <c r="H1639" s="122"/>
      <c r="I1639" s="122"/>
      <c r="J1639" s="122"/>
      <c r="K1639" s="122"/>
      <c r="L1639" s="122"/>
      <c r="M1639" s="74"/>
      <c r="N1639" s="75"/>
      <c r="O1639" s="75"/>
      <c r="P1639" s="134" t="str">
        <f>IF(AND('331-CT'!$E$7=TH!H1639,OR(N1639="331",O1639="331")),"x","")</f>
        <v/>
      </c>
    </row>
    <row r="1640" spans="1:16" ht="13.5" customHeight="1">
      <c r="A1640" s="72" t="str">
        <f t="shared" si="65"/>
        <v/>
      </c>
      <c r="B1640" s="72" t="str">
        <f t="shared" si="66"/>
        <v/>
      </c>
      <c r="C1640" s="73"/>
      <c r="D1640" s="73"/>
      <c r="E1640" s="73"/>
      <c r="F1640" s="76"/>
      <c r="G1640" s="265"/>
      <c r="H1640" s="122"/>
      <c r="I1640" s="122"/>
      <c r="J1640" s="122"/>
      <c r="K1640" s="122"/>
      <c r="L1640" s="122"/>
      <c r="M1640" s="74"/>
      <c r="N1640" s="75"/>
      <c r="O1640" s="75"/>
      <c r="P1640" s="134" t="str">
        <f>IF(AND('331-CT'!$E$7=TH!H1640,OR(N1640="331",O1640="331")),"x","")</f>
        <v/>
      </c>
    </row>
    <row r="1641" spans="1:16" ht="13.5" customHeight="1">
      <c r="A1641" s="72" t="str">
        <f t="shared" si="65"/>
        <v/>
      </c>
      <c r="B1641" s="72" t="str">
        <f t="shared" si="66"/>
        <v/>
      </c>
      <c r="C1641" s="73"/>
      <c r="D1641" s="73"/>
      <c r="E1641" s="73"/>
      <c r="F1641" s="76"/>
      <c r="G1641" s="265"/>
      <c r="H1641" s="122"/>
      <c r="I1641" s="122"/>
      <c r="J1641" s="122"/>
      <c r="K1641" s="122"/>
      <c r="L1641" s="122"/>
      <c r="M1641" s="74"/>
      <c r="N1641" s="75"/>
      <c r="O1641" s="75"/>
      <c r="P1641" s="134" t="str">
        <f>IF(AND('331-CT'!$E$7=TH!H1641,OR(N1641="331",O1641="331")),"x","")</f>
        <v/>
      </c>
    </row>
    <row r="1642" spans="1:16" ht="13.5" customHeight="1">
      <c r="A1642" s="72" t="str">
        <f t="shared" si="65"/>
        <v/>
      </c>
      <c r="B1642" s="72" t="str">
        <f t="shared" si="66"/>
        <v/>
      </c>
      <c r="C1642" s="73"/>
      <c r="D1642" s="73"/>
      <c r="E1642" s="73"/>
      <c r="F1642" s="76"/>
      <c r="G1642" s="265"/>
      <c r="H1642" s="122"/>
      <c r="I1642" s="122"/>
      <c r="J1642" s="122"/>
      <c r="K1642" s="122"/>
      <c r="L1642" s="122"/>
      <c r="M1642" s="74"/>
      <c r="N1642" s="75"/>
      <c r="O1642" s="75"/>
      <c r="P1642" s="134" t="str">
        <f>IF(AND('331-CT'!$E$7=TH!H1642,OR(N1642="331",O1642="331")),"x","")</f>
        <v/>
      </c>
    </row>
    <row r="1643" spans="1:16" ht="13.5" customHeight="1">
      <c r="A1643" s="72" t="str">
        <f t="shared" si="65"/>
        <v/>
      </c>
      <c r="B1643" s="72" t="str">
        <f t="shared" si="66"/>
        <v/>
      </c>
      <c r="C1643" s="73"/>
      <c r="D1643" s="73"/>
      <c r="E1643" s="73"/>
      <c r="F1643" s="76"/>
      <c r="G1643" s="265"/>
      <c r="H1643" s="122"/>
      <c r="I1643" s="122"/>
      <c r="J1643" s="122"/>
      <c r="K1643" s="122"/>
      <c r="L1643" s="122"/>
      <c r="M1643" s="74"/>
      <c r="N1643" s="75"/>
      <c r="O1643" s="75"/>
      <c r="P1643" s="134" t="str">
        <f>IF(AND('331-CT'!$E$7=TH!H1643,OR(N1643="331",O1643="331")),"x","")</f>
        <v/>
      </c>
    </row>
    <row r="1644" spans="1:16" ht="13.5" customHeight="1">
      <c r="A1644" s="72" t="str">
        <f t="shared" si="65"/>
        <v/>
      </c>
      <c r="B1644" s="72" t="str">
        <f t="shared" si="66"/>
        <v/>
      </c>
      <c r="C1644" s="73"/>
      <c r="D1644" s="73"/>
      <c r="E1644" s="73"/>
      <c r="F1644" s="76"/>
      <c r="G1644" s="265"/>
      <c r="H1644" s="122"/>
      <c r="I1644" s="122"/>
      <c r="J1644" s="122"/>
      <c r="K1644" s="122"/>
      <c r="L1644" s="122"/>
      <c r="M1644" s="74"/>
      <c r="N1644" s="75"/>
      <c r="O1644" s="75"/>
      <c r="P1644" s="134" t="str">
        <f>IF(AND('331-CT'!$E$7=TH!H1644,OR(N1644="331",O1644="331")),"x","")</f>
        <v/>
      </c>
    </row>
    <row r="1645" spans="1:16" ht="13.5" customHeight="1">
      <c r="A1645" s="72" t="str">
        <f t="shared" si="65"/>
        <v/>
      </c>
      <c r="B1645" s="72" t="str">
        <f t="shared" si="66"/>
        <v/>
      </c>
      <c r="C1645" s="73"/>
      <c r="D1645" s="73"/>
      <c r="E1645" s="73"/>
      <c r="F1645" s="76"/>
      <c r="G1645" s="265"/>
      <c r="H1645" s="122"/>
      <c r="I1645" s="122"/>
      <c r="J1645" s="122"/>
      <c r="K1645" s="122"/>
      <c r="L1645" s="122"/>
      <c r="M1645" s="74"/>
      <c r="N1645" s="75"/>
      <c r="O1645" s="75"/>
      <c r="P1645" s="134" t="str">
        <f>IF(AND('331-CT'!$E$7=TH!H1645,OR(N1645="331",O1645="331")),"x","")</f>
        <v/>
      </c>
    </row>
    <row r="1646" spans="1:16" ht="13.5" customHeight="1">
      <c r="A1646" s="72" t="str">
        <f t="shared" si="65"/>
        <v/>
      </c>
      <c r="B1646" s="72" t="str">
        <f t="shared" si="66"/>
        <v/>
      </c>
      <c r="C1646" s="73"/>
      <c r="D1646" s="73"/>
      <c r="E1646" s="73"/>
      <c r="F1646" s="76"/>
      <c r="G1646" s="265"/>
      <c r="H1646" s="122"/>
      <c r="I1646" s="122"/>
      <c r="J1646" s="122"/>
      <c r="K1646" s="122"/>
      <c r="L1646" s="122"/>
      <c r="M1646" s="74"/>
      <c r="N1646" s="75"/>
      <c r="O1646" s="75"/>
      <c r="P1646" s="134" t="str">
        <f>IF(AND('331-CT'!$E$7=TH!H1646,OR(N1646="331",O1646="331")),"x","")</f>
        <v/>
      </c>
    </row>
    <row r="1647" spans="1:16" ht="13.5" customHeight="1">
      <c r="A1647" s="72" t="str">
        <f t="shared" si="65"/>
        <v/>
      </c>
      <c r="B1647" s="72" t="str">
        <f t="shared" si="66"/>
        <v/>
      </c>
      <c r="C1647" s="73"/>
      <c r="D1647" s="73"/>
      <c r="E1647" s="73"/>
      <c r="F1647" s="76"/>
      <c r="G1647" s="265"/>
      <c r="H1647" s="122"/>
      <c r="I1647" s="122"/>
      <c r="J1647" s="122"/>
      <c r="K1647" s="122"/>
      <c r="L1647" s="122"/>
      <c r="M1647" s="74"/>
      <c r="N1647" s="75"/>
      <c r="O1647" s="75"/>
      <c r="P1647" s="134" t="str">
        <f>IF(AND('331-CT'!$E$7=TH!H1647,OR(N1647="331",O1647="331")),"x","")</f>
        <v/>
      </c>
    </row>
    <row r="1648" spans="1:16" ht="13.5" customHeight="1">
      <c r="A1648" s="72" t="str">
        <f t="shared" si="65"/>
        <v/>
      </c>
      <c r="B1648" s="72" t="str">
        <f t="shared" si="66"/>
        <v/>
      </c>
      <c r="C1648" s="73"/>
      <c r="D1648" s="73"/>
      <c r="E1648" s="73"/>
      <c r="F1648" s="76"/>
      <c r="G1648" s="265"/>
      <c r="H1648" s="122"/>
      <c r="I1648" s="122"/>
      <c r="J1648" s="122"/>
      <c r="K1648" s="122"/>
      <c r="L1648" s="122"/>
      <c r="M1648" s="74"/>
      <c r="N1648" s="75"/>
      <c r="O1648" s="75"/>
      <c r="P1648" s="134" t="str">
        <f>IF(AND('331-CT'!$E$7=TH!H1648,OR(N1648="331",O1648="331")),"x","")</f>
        <v/>
      </c>
    </row>
    <row r="1649" spans="1:16" ht="13.5" customHeight="1">
      <c r="A1649" s="72" t="str">
        <f t="shared" si="65"/>
        <v/>
      </c>
      <c r="B1649" s="72" t="str">
        <f t="shared" si="66"/>
        <v/>
      </c>
      <c r="C1649" s="73"/>
      <c r="D1649" s="73"/>
      <c r="E1649" s="73"/>
      <c r="F1649" s="76"/>
      <c r="G1649" s="265"/>
      <c r="H1649" s="122"/>
      <c r="I1649" s="122"/>
      <c r="J1649" s="122"/>
      <c r="K1649" s="122"/>
      <c r="L1649" s="122"/>
      <c r="M1649" s="74"/>
      <c r="N1649" s="75"/>
      <c r="O1649" s="75"/>
      <c r="P1649" s="134" t="str">
        <f>IF(AND('331-CT'!$E$7=TH!H1649,OR(N1649="331",O1649="331")),"x","")</f>
        <v/>
      </c>
    </row>
    <row r="1650" spans="1:16" ht="13.5" customHeight="1">
      <c r="A1650" s="72" t="str">
        <f t="shared" si="65"/>
        <v/>
      </c>
      <c r="B1650" s="72" t="str">
        <f t="shared" si="66"/>
        <v/>
      </c>
      <c r="C1650" s="73"/>
      <c r="D1650" s="73"/>
      <c r="E1650" s="73"/>
      <c r="F1650" s="76"/>
      <c r="G1650" s="265"/>
      <c r="H1650" s="122"/>
      <c r="I1650" s="122"/>
      <c r="J1650" s="122"/>
      <c r="K1650" s="122"/>
      <c r="L1650" s="122"/>
      <c r="M1650" s="74"/>
      <c r="N1650" s="75"/>
      <c r="O1650" s="75"/>
      <c r="P1650" s="134" t="str">
        <f>IF(AND('331-CT'!$E$7=TH!H1650,OR(N1650="331",O1650="331")),"x","")</f>
        <v/>
      </c>
    </row>
    <row r="1651" spans="1:16" ht="13.5" customHeight="1">
      <c r="A1651" s="72" t="str">
        <f t="shared" si="65"/>
        <v/>
      </c>
      <c r="B1651" s="72" t="str">
        <f t="shared" si="66"/>
        <v/>
      </c>
      <c r="C1651" s="73"/>
      <c r="D1651" s="73"/>
      <c r="E1651" s="73"/>
      <c r="F1651" s="76"/>
      <c r="G1651" s="265"/>
      <c r="H1651" s="122"/>
      <c r="I1651" s="122"/>
      <c r="J1651" s="122"/>
      <c r="K1651" s="122"/>
      <c r="L1651" s="122"/>
      <c r="M1651" s="74"/>
      <c r="N1651" s="75"/>
      <c r="O1651" s="75"/>
      <c r="P1651" s="134" t="str">
        <f>IF(AND('331-CT'!$E$7=TH!H1651,OR(N1651="331",O1651="331")),"x","")</f>
        <v/>
      </c>
    </row>
    <row r="1652" spans="1:16" ht="13.5" customHeight="1">
      <c r="A1652" s="72" t="str">
        <f t="shared" si="65"/>
        <v/>
      </c>
      <c r="B1652" s="72" t="str">
        <f t="shared" si="66"/>
        <v/>
      </c>
      <c r="C1652" s="73"/>
      <c r="D1652" s="73"/>
      <c r="E1652" s="73"/>
      <c r="F1652" s="76"/>
      <c r="G1652" s="265"/>
      <c r="H1652" s="122"/>
      <c r="I1652" s="122"/>
      <c r="J1652" s="122"/>
      <c r="K1652" s="122"/>
      <c r="L1652" s="122"/>
      <c r="M1652" s="74"/>
      <c r="N1652" s="75"/>
      <c r="O1652" s="75"/>
      <c r="P1652" s="134" t="str">
        <f>IF(AND('331-CT'!$E$7=TH!H1652,OR(N1652="331",O1652="331")),"x","")</f>
        <v/>
      </c>
    </row>
    <row r="1653" spans="1:16" ht="13.5" customHeight="1">
      <c r="A1653" s="72" t="str">
        <f t="shared" ref="A1653:A1716" si="67">IF(C1653&lt;&gt;"",YEAR(C1653),"")</f>
        <v/>
      </c>
      <c r="B1653" s="72" t="str">
        <f t="shared" ref="B1653:B1716" si="68">IF(C1653&lt;&gt;"",MONTH(C1653),"")</f>
        <v/>
      </c>
      <c r="C1653" s="73"/>
      <c r="D1653" s="73"/>
      <c r="E1653" s="73"/>
      <c r="F1653" s="76"/>
      <c r="G1653" s="265"/>
      <c r="H1653" s="122"/>
      <c r="I1653" s="122"/>
      <c r="J1653" s="122"/>
      <c r="K1653" s="122"/>
      <c r="L1653" s="122"/>
      <c r="M1653" s="74"/>
      <c r="N1653" s="75"/>
      <c r="O1653" s="75"/>
      <c r="P1653" s="134" t="str">
        <f>IF(AND('331-CT'!$E$7=TH!H1653,OR(N1653="331",O1653="331")),"x","")</f>
        <v/>
      </c>
    </row>
    <row r="1654" spans="1:16" ht="13.5" customHeight="1">
      <c r="A1654" s="72" t="str">
        <f t="shared" si="67"/>
        <v/>
      </c>
      <c r="B1654" s="72" t="str">
        <f t="shared" si="68"/>
        <v/>
      </c>
      <c r="C1654" s="73"/>
      <c r="D1654" s="73"/>
      <c r="E1654" s="73"/>
      <c r="F1654" s="76"/>
      <c r="G1654" s="265"/>
      <c r="H1654" s="122"/>
      <c r="I1654" s="122"/>
      <c r="J1654" s="122"/>
      <c r="K1654" s="122"/>
      <c r="L1654" s="122"/>
      <c r="M1654" s="74"/>
      <c r="N1654" s="75"/>
      <c r="O1654" s="75"/>
      <c r="P1654" s="134" t="str">
        <f>IF(AND('331-CT'!$E$7=TH!H1654,OR(N1654="331",O1654="331")),"x","")</f>
        <v/>
      </c>
    </row>
    <row r="1655" spans="1:16" ht="13.5" customHeight="1">
      <c r="A1655" s="72" t="str">
        <f t="shared" si="67"/>
        <v/>
      </c>
      <c r="B1655" s="72" t="str">
        <f t="shared" si="68"/>
        <v/>
      </c>
      <c r="C1655" s="73"/>
      <c r="D1655" s="73"/>
      <c r="E1655" s="73"/>
      <c r="F1655" s="76"/>
      <c r="G1655" s="265"/>
      <c r="H1655" s="122"/>
      <c r="I1655" s="122"/>
      <c r="J1655" s="122"/>
      <c r="K1655" s="122"/>
      <c r="L1655" s="122"/>
      <c r="M1655" s="74"/>
      <c r="N1655" s="75"/>
      <c r="O1655" s="75"/>
      <c r="P1655" s="134" t="str">
        <f>IF(AND('331-CT'!$E$7=TH!H1655,OR(N1655="331",O1655="331")),"x","")</f>
        <v/>
      </c>
    </row>
    <row r="1656" spans="1:16" ht="13.5" customHeight="1">
      <c r="A1656" s="72" t="str">
        <f t="shared" si="67"/>
        <v/>
      </c>
      <c r="B1656" s="72" t="str">
        <f t="shared" si="68"/>
        <v/>
      </c>
      <c r="C1656" s="73"/>
      <c r="D1656" s="73"/>
      <c r="E1656" s="73"/>
      <c r="F1656" s="76"/>
      <c r="G1656" s="265"/>
      <c r="H1656" s="122"/>
      <c r="I1656" s="122"/>
      <c r="J1656" s="122"/>
      <c r="K1656" s="122"/>
      <c r="L1656" s="122"/>
      <c r="M1656" s="74"/>
      <c r="N1656" s="75"/>
      <c r="O1656" s="75"/>
      <c r="P1656" s="134" t="str">
        <f>IF(AND('331-CT'!$E$7=TH!H1656,OR(N1656="331",O1656="331")),"x","")</f>
        <v/>
      </c>
    </row>
    <row r="1657" spans="1:16" ht="13.5" customHeight="1">
      <c r="A1657" s="72" t="str">
        <f t="shared" si="67"/>
        <v/>
      </c>
      <c r="B1657" s="72" t="str">
        <f t="shared" si="68"/>
        <v/>
      </c>
      <c r="C1657" s="73"/>
      <c r="D1657" s="73"/>
      <c r="E1657" s="73"/>
      <c r="F1657" s="76"/>
      <c r="G1657" s="265"/>
      <c r="H1657" s="122"/>
      <c r="I1657" s="122"/>
      <c r="J1657" s="122"/>
      <c r="K1657" s="122"/>
      <c r="L1657" s="122"/>
      <c r="M1657" s="74"/>
      <c r="N1657" s="75"/>
      <c r="O1657" s="75"/>
      <c r="P1657" s="134" t="str">
        <f>IF(AND('331-CT'!$E$7=TH!H1657,OR(N1657="331",O1657="331")),"x","")</f>
        <v/>
      </c>
    </row>
    <row r="1658" spans="1:16" ht="13.5" customHeight="1">
      <c r="A1658" s="72" t="str">
        <f t="shared" si="67"/>
        <v/>
      </c>
      <c r="B1658" s="72" t="str">
        <f t="shared" si="68"/>
        <v/>
      </c>
      <c r="C1658" s="73"/>
      <c r="D1658" s="73"/>
      <c r="E1658" s="73"/>
      <c r="F1658" s="76"/>
      <c r="G1658" s="265"/>
      <c r="H1658" s="122"/>
      <c r="I1658" s="122"/>
      <c r="J1658" s="122"/>
      <c r="K1658" s="122"/>
      <c r="L1658" s="122"/>
      <c r="M1658" s="74"/>
      <c r="N1658" s="75"/>
      <c r="O1658" s="75"/>
      <c r="P1658" s="134" t="str">
        <f>IF(AND('331-CT'!$E$7=TH!H1658,OR(N1658="331",O1658="331")),"x","")</f>
        <v/>
      </c>
    </row>
    <row r="1659" spans="1:16" ht="13.5" customHeight="1">
      <c r="A1659" s="72" t="str">
        <f t="shared" si="67"/>
        <v/>
      </c>
      <c r="B1659" s="72" t="str">
        <f t="shared" si="68"/>
        <v/>
      </c>
      <c r="C1659" s="73"/>
      <c r="D1659" s="73"/>
      <c r="E1659" s="73"/>
      <c r="F1659" s="76"/>
      <c r="G1659" s="265"/>
      <c r="H1659" s="122"/>
      <c r="I1659" s="122"/>
      <c r="J1659" s="122"/>
      <c r="K1659" s="122"/>
      <c r="L1659" s="122"/>
      <c r="M1659" s="74"/>
      <c r="N1659" s="75"/>
      <c r="O1659" s="75"/>
      <c r="P1659" s="134" t="str">
        <f>IF(AND('331-CT'!$E$7=TH!H1659,OR(N1659="331",O1659="331")),"x","")</f>
        <v/>
      </c>
    </row>
    <row r="1660" spans="1:16" ht="13.5" customHeight="1">
      <c r="A1660" s="72" t="str">
        <f t="shared" si="67"/>
        <v/>
      </c>
      <c r="B1660" s="72" t="str">
        <f t="shared" si="68"/>
        <v/>
      </c>
      <c r="C1660" s="73"/>
      <c r="D1660" s="73"/>
      <c r="E1660" s="73"/>
      <c r="F1660" s="76"/>
      <c r="G1660" s="265"/>
      <c r="H1660" s="122"/>
      <c r="I1660" s="122"/>
      <c r="J1660" s="122"/>
      <c r="K1660" s="122"/>
      <c r="L1660" s="122"/>
      <c r="M1660" s="74"/>
      <c r="N1660" s="75"/>
      <c r="O1660" s="75"/>
      <c r="P1660" s="134" t="str">
        <f>IF(AND('331-CT'!$E$7=TH!H1660,OR(N1660="331",O1660="331")),"x","")</f>
        <v/>
      </c>
    </row>
    <row r="1661" spans="1:16" ht="13.5" customHeight="1">
      <c r="A1661" s="72" t="str">
        <f t="shared" si="67"/>
        <v/>
      </c>
      <c r="B1661" s="72" t="str">
        <f t="shared" si="68"/>
        <v/>
      </c>
      <c r="C1661" s="73"/>
      <c r="D1661" s="73"/>
      <c r="E1661" s="73"/>
      <c r="F1661" s="76"/>
      <c r="G1661" s="265"/>
      <c r="H1661" s="122"/>
      <c r="I1661" s="122"/>
      <c r="J1661" s="122"/>
      <c r="K1661" s="122"/>
      <c r="L1661" s="122"/>
      <c r="M1661" s="74"/>
      <c r="N1661" s="75"/>
      <c r="O1661" s="75"/>
      <c r="P1661" s="134" t="str">
        <f>IF(AND('331-CT'!$E$7=TH!H1661,OR(N1661="331",O1661="331")),"x","")</f>
        <v/>
      </c>
    </row>
    <row r="1662" spans="1:16" ht="13.5" customHeight="1">
      <c r="A1662" s="72" t="str">
        <f t="shared" si="67"/>
        <v/>
      </c>
      <c r="B1662" s="72" t="str">
        <f t="shared" si="68"/>
        <v/>
      </c>
      <c r="C1662" s="73"/>
      <c r="D1662" s="73"/>
      <c r="E1662" s="73"/>
      <c r="F1662" s="76"/>
      <c r="G1662" s="265"/>
      <c r="H1662" s="122"/>
      <c r="I1662" s="122"/>
      <c r="J1662" s="122"/>
      <c r="K1662" s="122"/>
      <c r="L1662" s="122"/>
      <c r="M1662" s="74"/>
      <c r="N1662" s="75"/>
      <c r="O1662" s="75"/>
      <c r="P1662" s="134" t="str">
        <f>IF(AND('331-CT'!$E$7=TH!H1662,OR(N1662="331",O1662="331")),"x","")</f>
        <v/>
      </c>
    </row>
    <row r="1663" spans="1:16" ht="13.5" customHeight="1">
      <c r="A1663" s="72" t="str">
        <f t="shared" si="67"/>
        <v/>
      </c>
      <c r="B1663" s="72" t="str">
        <f t="shared" si="68"/>
        <v/>
      </c>
      <c r="C1663" s="73"/>
      <c r="D1663" s="73"/>
      <c r="E1663" s="73"/>
      <c r="F1663" s="76"/>
      <c r="G1663" s="265"/>
      <c r="H1663" s="122"/>
      <c r="I1663" s="122"/>
      <c r="J1663" s="122"/>
      <c r="K1663" s="122"/>
      <c r="L1663" s="122"/>
      <c r="M1663" s="74"/>
      <c r="N1663" s="75"/>
      <c r="O1663" s="75"/>
      <c r="P1663" s="134" t="str">
        <f>IF(AND('331-CT'!$E$7=TH!H1663,OR(N1663="331",O1663="331")),"x","")</f>
        <v/>
      </c>
    </row>
    <row r="1664" spans="1:16" ht="13.5" customHeight="1">
      <c r="A1664" s="72" t="str">
        <f t="shared" si="67"/>
        <v/>
      </c>
      <c r="B1664" s="72" t="str">
        <f t="shared" si="68"/>
        <v/>
      </c>
      <c r="C1664" s="73"/>
      <c r="D1664" s="73"/>
      <c r="E1664" s="73"/>
      <c r="F1664" s="76"/>
      <c r="G1664" s="265"/>
      <c r="H1664" s="122"/>
      <c r="I1664" s="122"/>
      <c r="J1664" s="122"/>
      <c r="K1664" s="122"/>
      <c r="L1664" s="122"/>
      <c r="M1664" s="74"/>
      <c r="N1664" s="75"/>
      <c r="O1664" s="75"/>
      <c r="P1664" s="134" t="str">
        <f>IF(AND('331-CT'!$E$7=TH!H1664,OR(N1664="331",O1664="331")),"x","")</f>
        <v/>
      </c>
    </row>
    <row r="1665" spans="1:16" ht="13.5" customHeight="1">
      <c r="A1665" s="72" t="str">
        <f t="shared" si="67"/>
        <v/>
      </c>
      <c r="B1665" s="72" t="str">
        <f t="shared" si="68"/>
        <v/>
      </c>
      <c r="C1665" s="73"/>
      <c r="D1665" s="73"/>
      <c r="E1665" s="73"/>
      <c r="F1665" s="76"/>
      <c r="G1665" s="265"/>
      <c r="H1665" s="122"/>
      <c r="I1665" s="122"/>
      <c r="J1665" s="122"/>
      <c r="K1665" s="122"/>
      <c r="L1665" s="122"/>
      <c r="M1665" s="74"/>
      <c r="N1665" s="75"/>
      <c r="O1665" s="75"/>
      <c r="P1665" s="134" t="str">
        <f>IF(AND('331-CT'!$E$7=TH!H1665,OR(N1665="331",O1665="331")),"x","")</f>
        <v/>
      </c>
    </row>
    <row r="1666" spans="1:16" ht="13.5" customHeight="1">
      <c r="A1666" s="72" t="str">
        <f t="shared" si="67"/>
        <v/>
      </c>
      <c r="B1666" s="72" t="str">
        <f t="shared" si="68"/>
        <v/>
      </c>
      <c r="C1666" s="73"/>
      <c r="D1666" s="73"/>
      <c r="E1666" s="73"/>
      <c r="F1666" s="76"/>
      <c r="G1666" s="265"/>
      <c r="H1666" s="122"/>
      <c r="I1666" s="122"/>
      <c r="J1666" s="122"/>
      <c r="K1666" s="122"/>
      <c r="L1666" s="122"/>
      <c r="M1666" s="74"/>
      <c r="N1666" s="75"/>
      <c r="O1666" s="75"/>
      <c r="P1666" s="134" t="str">
        <f>IF(AND('331-CT'!$E$7=TH!H1666,OR(N1666="331",O1666="331")),"x","")</f>
        <v/>
      </c>
    </row>
    <row r="1667" spans="1:16" ht="13.5" customHeight="1">
      <c r="A1667" s="72" t="str">
        <f t="shared" si="67"/>
        <v/>
      </c>
      <c r="B1667" s="72" t="str">
        <f t="shared" si="68"/>
        <v/>
      </c>
      <c r="C1667" s="73"/>
      <c r="D1667" s="73"/>
      <c r="E1667" s="73"/>
      <c r="F1667" s="76"/>
      <c r="G1667" s="265"/>
      <c r="H1667" s="122"/>
      <c r="I1667" s="122"/>
      <c r="J1667" s="122"/>
      <c r="K1667" s="122"/>
      <c r="L1667" s="122"/>
      <c r="M1667" s="74"/>
      <c r="N1667" s="75"/>
      <c r="O1667" s="75"/>
      <c r="P1667" s="134" t="str">
        <f>IF(AND('331-CT'!$E$7=TH!H1667,OR(N1667="331",O1667="331")),"x","")</f>
        <v/>
      </c>
    </row>
    <row r="1668" spans="1:16" ht="13.5" customHeight="1">
      <c r="A1668" s="72" t="str">
        <f t="shared" si="67"/>
        <v/>
      </c>
      <c r="B1668" s="72" t="str">
        <f t="shared" si="68"/>
        <v/>
      </c>
      <c r="C1668" s="73"/>
      <c r="D1668" s="73"/>
      <c r="E1668" s="73"/>
      <c r="F1668" s="76"/>
      <c r="G1668" s="265"/>
      <c r="H1668" s="122"/>
      <c r="I1668" s="122"/>
      <c r="J1668" s="122"/>
      <c r="K1668" s="122"/>
      <c r="L1668" s="122"/>
      <c r="M1668" s="74"/>
      <c r="N1668" s="75"/>
      <c r="O1668" s="75"/>
      <c r="P1668" s="134" t="str">
        <f>IF(AND('331-CT'!$E$7=TH!H1668,OR(N1668="331",O1668="331")),"x","")</f>
        <v/>
      </c>
    </row>
    <row r="1669" spans="1:16" ht="13.5" customHeight="1">
      <c r="A1669" s="72" t="str">
        <f t="shared" si="67"/>
        <v/>
      </c>
      <c r="B1669" s="72" t="str">
        <f t="shared" si="68"/>
        <v/>
      </c>
      <c r="C1669" s="73"/>
      <c r="D1669" s="73"/>
      <c r="E1669" s="73"/>
      <c r="F1669" s="76"/>
      <c r="G1669" s="265"/>
      <c r="H1669" s="122"/>
      <c r="I1669" s="122"/>
      <c r="J1669" s="122"/>
      <c r="K1669" s="122"/>
      <c r="L1669" s="122"/>
      <c r="M1669" s="74"/>
      <c r="N1669" s="75"/>
      <c r="O1669" s="75"/>
      <c r="P1669" s="134" t="str">
        <f>IF(AND('331-CT'!$E$7=TH!H1669,OR(N1669="331",O1669="331")),"x","")</f>
        <v/>
      </c>
    </row>
    <row r="1670" spans="1:16" ht="13.5" customHeight="1">
      <c r="A1670" s="72" t="str">
        <f t="shared" si="67"/>
        <v/>
      </c>
      <c r="B1670" s="72" t="str">
        <f t="shared" si="68"/>
        <v/>
      </c>
      <c r="C1670" s="73"/>
      <c r="D1670" s="73"/>
      <c r="E1670" s="73"/>
      <c r="F1670" s="76"/>
      <c r="G1670" s="265"/>
      <c r="H1670" s="122"/>
      <c r="I1670" s="122"/>
      <c r="J1670" s="122"/>
      <c r="K1670" s="122"/>
      <c r="L1670" s="122"/>
      <c r="M1670" s="74"/>
      <c r="N1670" s="75"/>
      <c r="O1670" s="75"/>
      <c r="P1670" s="134" t="str">
        <f>IF(AND('331-CT'!$E$7=TH!H1670,OR(N1670="331",O1670="331")),"x","")</f>
        <v/>
      </c>
    </row>
    <row r="1671" spans="1:16" ht="13.5" customHeight="1">
      <c r="A1671" s="72" t="str">
        <f t="shared" si="67"/>
        <v/>
      </c>
      <c r="B1671" s="72" t="str">
        <f t="shared" si="68"/>
        <v/>
      </c>
      <c r="C1671" s="73"/>
      <c r="D1671" s="73"/>
      <c r="E1671" s="73"/>
      <c r="F1671" s="76"/>
      <c r="G1671" s="265"/>
      <c r="H1671" s="122"/>
      <c r="I1671" s="122"/>
      <c r="J1671" s="122"/>
      <c r="K1671" s="122"/>
      <c r="L1671" s="122"/>
      <c r="M1671" s="74"/>
      <c r="N1671" s="75"/>
      <c r="O1671" s="75"/>
      <c r="P1671" s="134" t="str">
        <f>IF(AND('331-CT'!$E$7=TH!H1671,OR(N1671="331",O1671="331")),"x","")</f>
        <v/>
      </c>
    </row>
    <row r="1672" spans="1:16" ht="13.5" customHeight="1">
      <c r="A1672" s="72" t="str">
        <f t="shared" si="67"/>
        <v/>
      </c>
      <c r="B1672" s="72" t="str">
        <f t="shared" si="68"/>
        <v/>
      </c>
      <c r="C1672" s="73"/>
      <c r="D1672" s="73"/>
      <c r="E1672" s="73"/>
      <c r="F1672" s="76"/>
      <c r="G1672" s="265"/>
      <c r="H1672" s="122"/>
      <c r="I1672" s="122"/>
      <c r="J1672" s="122"/>
      <c r="K1672" s="122"/>
      <c r="L1672" s="122"/>
      <c r="M1672" s="74"/>
      <c r="N1672" s="75"/>
      <c r="O1672" s="75"/>
      <c r="P1672" s="134" t="str">
        <f>IF(AND('331-CT'!$E$7=TH!H1672,OR(N1672="331",O1672="331")),"x","")</f>
        <v/>
      </c>
    </row>
    <row r="1673" spans="1:16" ht="13.5" customHeight="1">
      <c r="A1673" s="72" t="str">
        <f t="shared" si="67"/>
        <v/>
      </c>
      <c r="B1673" s="72" t="str">
        <f t="shared" si="68"/>
        <v/>
      </c>
      <c r="C1673" s="73"/>
      <c r="D1673" s="73"/>
      <c r="E1673" s="73"/>
      <c r="F1673" s="76"/>
      <c r="G1673" s="265"/>
      <c r="H1673" s="122"/>
      <c r="I1673" s="122"/>
      <c r="J1673" s="122"/>
      <c r="K1673" s="122"/>
      <c r="L1673" s="122"/>
      <c r="M1673" s="74"/>
      <c r="N1673" s="75"/>
      <c r="O1673" s="75"/>
      <c r="P1673" s="134" t="str">
        <f>IF(AND('331-CT'!$E$7=TH!H1673,OR(N1673="331",O1673="331")),"x","")</f>
        <v/>
      </c>
    </row>
    <row r="1674" spans="1:16" ht="13.5" customHeight="1">
      <c r="A1674" s="72" t="str">
        <f t="shared" si="67"/>
        <v/>
      </c>
      <c r="B1674" s="72" t="str">
        <f t="shared" si="68"/>
        <v/>
      </c>
      <c r="C1674" s="73"/>
      <c r="D1674" s="73"/>
      <c r="E1674" s="73"/>
      <c r="F1674" s="76"/>
      <c r="G1674" s="265"/>
      <c r="H1674" s="122"/>
      <c r="I1674" s="122"/>
      <c r="J1674" s="122"/>
      <c r="K1674" s="122"/>
      <c r="L1674" s="122"/>
      <c r="M1674" s="74"/>
      <c r="N1674" s="75"/>
      <c r="O1674" s="75"/>
      <c r="P1674" s="134" t="str">
        <f>IF(AND('331-CT'!$E$7=TH!H1674,OR(N1674="331",O1674="331")),"x","")</f>
        <v/>
      </c>
    </row>
    <row r="1675" spans="1:16" ht="13.5" customHeight="1">
      <c r="A1675" s="72" t="str">
        <f t="shared" si="67"/>
        <v/>
      </c>
      <c r="B1675" s="72" t="str">
        <f t="shared" si="68"/>
        <v/>
      </c>
      <c r="C1675" s="73"/>
      <c r="D1675" s="73"/>
      <c r="E1675" s="73"/>
      <c r="F1675" s="76"/>
      <c r="G1675" s="265"/>
      <c r="H1675" s="122"/>
      <c r="I1675" s="122"/>
      <c r="J1675" s="122"/>
      <c r="K1675" s="122"/>
      <c r="L1675" s="122"/>
      <c r="M1675" s="74"/>
      <c r="N1675" s="75"/>
      <c r="O1675" s="75"/>
      <c r="P1675" s="134" t="str">
        <f>IF(AND('331-CT'!$E$7=TH!H1675,OR(N1675="331",O1675="331")),"x","")</f>
        <v/>
      </c>
    </row>
    <row r="1676" spans="1:16" ht="13.5" customHeight="1">
      <c r="A1676" s="72" t="str">
        <f t="shared" si="67"/>
        <v/>
      </c>
      <c r="B1676" s="72" t="str">
        <f t="shared" si="68"/>
        <v/>
      </c>
      <c r="C1676" s="73"/>
      <c r="D1676" s="73"/>
      <c r="E1676" s="73"/>
      <c r="F1676" s="76"/>
      <c r="G1676" s="265"/>
      <c r="H1676" s="122"/>
      <c r="I1676" s="122"/>
      <c r="J1676" s="122"/>
      <c r="K1676" s="122"/>
      <c r="L1676" s="122"/>
      <c r="M1676" s="74"/>
      <c r="N1676" s="75"/>
      <c r="O1676" s="75"/>
      <c r="P1676" s="134" t="str">
        <f>IF(AND('331-CT'!$E$7=TH!H1676,OR(N1676="331",O1676="331")),"x","")</f>
        <v/>
      </c>
    </row>
    <row r="1677" spans="1:16" ht="13.5" customHeight="1">
      <c r="A1677" s="72" t="str">
        <f t="shared" si="67"/>
        <v/>
      </c>
      <c r="B1677" s="72" t="str">
        <f t="shared" si="68"/>
        <v/>
      </c>
      <c r="C1677" s="73"/>
      <c r="D1677" s="73"/>
      <c r="E1677" s="73"/>
      <c r="F1677" s="76"/>
      <c r="G1677" s="265"/>
      <c r="H1677" s="122"/>
      <c r="I1677" s="122"/>
      <c r="J1677" s="122"/>
      <c r="K1677" s="122"/>
      <c r="L1677" s="122"/>
      <c r="M1677" s="74"/>
      <c r="N1677" s="75"/>
      <c r="O1677" s="75"/>
      <c r="P1677" s="134" t="str">
        <f>IF(AND('331-CT'!$E$7=TH!H1677,OR(N1677="331",O1677="331")),"x","")</f>
        <v/>
      </c>
    </row>
    <row r="1678" spans="1:16" ht="13.5" customHeight="1">
      <c r="A1678" s="72" t="str">
        <f t="shared" si="67"/>
        <v/>
      </c>
      <c r="B1678" s="72" t="str">
        <f t="shared" si="68"/>
        <v/>
      </c>
      <c r="C1678" s="73"/>
      <c r="D1678" s="73"/>
      <c r="E1678" s="73"/>
      <c r="F1678" s="76"/>
      <c r="G1678" s="265"/>
      <c r="H1678" s="122"/>
      <c r="I1678" s="122"/>
      <c r="J1678" s="122"/>
      <c r="K1678" s="122"/>
      <c r="L1678" s="122"/>
      <c r="M1678" s="74"/>
      <c r="N1678" s="75"/>
      <c r="O1678" s="75"/>
      <c r="P1678" s="134" t="str">
        <f>IF(AND('331-CT'!$E$7=TH!H1678,OR(N1678="331",O1678="331")),"x","")</f>
        <v/>
      </c>
    </row>
    <row r="1679" spans="1:16" ht="13.5" customHeight="1">
      <c r="A1679" s="72" t="str">
        <f t="shared" si="67"/>
        <v/>
      </c>
      <c r="B1679" s="72" t="str">
        <f t="shared" si="68"/>
        <v/>
      </c>
      <c r="C1679" s="73"/>
      <c r="D1679" s="73"/>
      <c r="E1679" s="73"/>
      <c r="F1679" s="76"/>
      <c r="G1679" s="265"/>
      <c r="H1679" s="122"/>
      <c r="I1679" s="122"/>
      <c r="J1679" s="122"/>
      <c r="K1679" s="122"/>
      <c r="L1679" s="122"/>
      <c r="M1679" s="74"/>
      <c r="N1679" s="75"/>
      <c r="O1679" s="75"/>
      <c r="P1679" s="134" t="str">
        <f>IF(AND('331-CT'!$E$7=TH!H1679,OR(N1679="331",O1679="331")),"x","")</f>
        <v/>
      </c>
    </row>
    <row r="1680" spans="1:16" ht="13.5" customHeight="1">
      <c r="A1680" s="72" t="str">
        <f t="shared" si="67"/>
        <v/>
      </c>
      <c r="B1680" s="72" t="str">
        <f t="shared" si="68"/>
        <v/>
      </c>
      <c r="C1680" s="73"/>
      <c r="D1680" s="73"/>
      <c r="E1680" s="73"/>
      <c r="F1680" s="76"/>
      <c r="G1680" s="265"/>
      <c r="H1680" s="122"/>
      <c r="I1680" s="122"/>
      <c r="J1680" s="122"/>
      <c r="K1680" s="122"/>
      <c r="L1680" s="122"/>
      <c r="M1680" s="74"/>
      <c r="N1680" s="75"/>
      <c r="O1680" s="75"/>
      <c r="P1680" s="134" t="str">
        <f>IF(AND('331-CT'!$E$7=TH!H1680,OR(N1680="331",O1680="331")),"x","")</f>
        <v/>
      </c>
    </row>
    <row r="1681" spans="1:16" ht="13.5" customHeight="1">
      <c r="A1681" s="72" t="str">
        <f t="shared" si="67"/>
        <v/>
      </c>
      <c r="B1681" s="72" t="str">
        <f t="shared" si="68"/>
        <v/>
      </c>
      <c r="C1681" s="73"/>
      <c r="D1681" s="73"/>
      <c r="E1681" s="73"/>
      <c r="F1681" s="76"/>
      <c r="G1681" s="265"/>
      <c r="H1681" s="122"/>
      <c r="I1681" s="122"/>
      <c r="J1681" s="122"/>
      <c r="K1681" s="122"/>
      <c r="L1681" s="122"/>
      <c r="M1681" s="74"/>
      <c r="N1681" s="75"/>
      <c r="O1681" s="75"/>
      <c r="P1681" s="134" t="str">
        <f>IF(AND('331-CT'!$E$7=TH!H1681,OR(N1681="331",O1681="331")),"x","")</f>
        <v/>
      </c>
    </row>
    <row r="1682" spans="1:16" ht="13.5" customHeight="1">
      <c r="A1682" s="72" t="str">
        <f t="shared" si="67"/>
        <v/>
      </c>
      <c r="B1682" s="72" t="str">
        <f t="shared" si="68"/>
        <v/>
      </c>
      <c r="C1682" s="73"/>
      <c r="D1682" s="73"/>
      <c r="E1682" s="73"/>
      <c r="F1682" s="76"/>
      <c r="G1682" s="265"/>
      <c r="H1682" s="122"/>
      <c r="I1682" s="122"/>
      <c r="J1682" s="122"/>
      <c r="K1682" s="122"/>
      <c r="L1682" s="122"/>
      <c r="M1682" s="74"/>
      <c r="N1682" s="75"/>
      <c r="O1682" s="75"/>
      <c r="P1682" s="134" t="str">
        <f>IF(AND('331-CT'!$E$7=TH!H1682,OR(N1682="331",O1682="331")),"x","")</f>
        <v/>
      </c>
    </row>
    <row r="1683" spans="1:16" ht="13.5" customHeight="1">
      <c r="A1683" s="72" t="str">
        <f t="shared" si="67"/>
        <v/>
      </c>
      <c r="B1683" s="72" t="str">
        <f t="shared" si="68"/>
        <v/>
      </c>
      <c r="C1683" s="73"/>
      <c r="D1683" s="73"/>
      <c r="E1683" s="73"/>
      <c r="F1683" s="76"/>
      <c r="G1683" s="265"/>
      <c r="H1683" s="122"/>
      <c r="I1683" s="122"/>
      <c r="J1683" s="122"/>
      <c r="K1683" s="122"/>
      <c r="L1683" s="122"/>
      <c r="M1683" s="74"/>
      <c r="N1683" s="75"/>
      <c r="O1683" s="75"/>
      <c r="P1683" s="134" t="str">
        <f>IF(AND('331-CT'!$E$7=TH!H1683,OR(N1683="331",O1683="331")),"x","")</f>
        <v/>
      </c>
    </row>
    <row r="1684" spans="1:16" ht="13.5" customHeight="1">
      <c r="A1684" s="72" t="str">
        <f t="shared" si="67"/>
        <v/>
      </c>
      <c r="B1684" s="72" t="str">
        <f t="shared" si="68"/>
        <v/>
      </c>
      <c r="C1684" s="73"/>
      <c r="D1684" s="73"/>
      <c r="E1684" s="73"/>
      <c r="F1684" s="76"/>
      <c r="G1684" s="265"/>
      <c r="H1684" s="122"/>
      <c r="I1684" s="122"/>
      <c r="J1684" s="122"/>
      <c r="K1684" s="122"/>
      <c r="L1684" s="122"/>
      <c r="M1684" s="74"/>
      <c r="N1684" s="75"/>
      <c r="O1684" s="75"/>
      <c r="P1684" s="134" t="str">
        <f>IF(AND('331-CT'!$E$7=TH!H1684,OR(N1684="331",O1684="331")),"x","")</f>
        <v/>
      </c>
    </row>
    <row r="1685" spans="1:16" ht="13.5" customHeight="1">
      <c r="A1685" s="72" t="str">
        <f t="shared" si="67"/>
        <v/>
      </c>
      <c r="B1685" s="72" t="str">
        <f t="shared" si="68"/>
        <v/>
      </c>
      <c r="C1685" s="73"/>
      <c r="D1685" s="73"/>
      <c r="E1685" s="73"/>
      <c r="F1685" s="76"/>
      <c r="G1685" s="265"/>
      <c r="H1685" s="122"/>
      <c r="I1685" s="122"/>
      <c r="J1685" s="122"/>
      <c r="K1685" s="122"/>
      <c r="L1685" s="122"/>
      <c r="M1685" s="74"/>
      <c r="N1685" s="75"/>
      <c r="O1685" s="75"/>
      <c r="P1685" s="134" t="str">
        <f>IF(AND('331-CT'!$E$7=TH!H1685,OR(N1685="331",O1685="331")),"x","")</f>
        <v/>
      </c>
    </row>
    <row r="1686" spans="1:16" ht="13.5" customHeight="1">
      <c r="A1686" s="72" t="str">
        <f t="shared" si="67"/>
        <v/>
      </c>
      <c r="B1686" s="72" t="str">
        <f t="shared" si="68"/>
        <v/>
      </c>
      <c r="C1686" s="73"/>
      <c r="D1686" s="73"/>
      <c r="E1686" s="73"/>
      <c r="F1686" s="76"/>
      <c r="G1686" s="265"/>
      <c r="H1686" s="122"/>
      <c r="I1686" s="122"/>
      <c r="J1686" s="122"/>
      <c r="K1686" s="122"/>
      <c r="L1686" s="122"/>
      <c r="M1686" s="74"/>
      <c r="N1686" s="75"/>
      <c r="O1686" s="75"/>
      <c r="P1686" s="134" t="str">
        <f>IF(AND('331-CT'!$E$7=TH!H1686,OR(N1686="331",O1686="331")),"x","")</f>
        <v/>
      </c>
    </row>
    <row r="1687" spans="1:16" ht="13.5" customHeight="1">
      <c r="A1687" s="72" t="str">
        <f t="shared" si="67"/>
        <v/>
      </c>
      <c r="B1687" s="72" t="str">
        <f t="shared" si="68"/>
        <v/>
      </c>
      <c r="C1687" s="73"/>
      <c r="D1687" s="73"/>
      <c r="E1687" s="73"/>
      <c r="F1687" s="76"/>
      <c r="G1687" s="265"/>
      <c r="H1687" s="122"/>
      <c r="I1687" s="122"/>
      <c r="J1687" s="122"/>
      <c r="K1687" s="122"/>
      <c r="L1687" s="122"/>
      <c r="M1687" s="74"/>
      <c r="N1687" s="75"/>
      <c r="O1687" s="75"/>
      <c r="P1687" s="134" t="str">
        <f>IF(AND('331-CT'!$E$7=TH!H1687,OR(N1687="331",O1687="331")),"x","")</f>
        <v/>
      </c>
    </row>
    <row r="1688" spans="1:16" ht="13.5" customHeight="1">
      <c r="A1688" s="72" t="str">
        <f t="shared" si="67"/>
        <v/>
      </c>
      <c r="B1688" s="72" t="str">
        <f t="shared" si="68"/>
        <v/>
      </c>
      <c r="C1688" s="73"/>
      <c r="D1688" s="73"/>
      <c r="E1688" s="73"/>
      <c r="F1688" s="76"/>
      <c r="G1688" s="265"/>
      <c r="H1688" s="122"/>
      <c r="I1688" s="122"/>
      <c r="J1688" s="122"/>
      <c r="K1688" s="122"/>
      <c r="L1688" s="122"/>
      <c r="M1688" s="74"/>
      <c r="N1688" s="75"/>
      <c r="O1688" s="75"/>
      <c r="P1688" s="134" t="str">
        <f>IF(AND('331-CT'!$E$7=TH!H1688,OR(N1688="331",O1688="331")),"x","")</f>
        <v/>
      </c>
    </row>
    <row r="1689" spans="1:16" ht="13.5" customHeight="1">
      <c r="A1689" s="72" t="str">
        <f t="shared" si="67"/>
        <v/>
      </c>
      <c r="B1689" s="72" t="str">
        <f t="shared" si="68"/>
        <v/>
      </c>
      <c r="C1689" s="73"/>
      <c r="D1689" s="73"/>
      <c r="E1689" s="73"/>
      <c r="F1689" s="76"/>
      <c r="G1689" s="265"/>
      <c r="H1689" s="122"/>
      <c r="I1689" s="122"/>
      <c r="J1689" s="122"/>
      <c r="K1689" s="122"/>
      <c r="L1689" s="122"/>
      <c r="M1689" s="74"/>
      <c r="N1689" s="75"/>
      <c r="O1689" s="75"/>
      <c r="P1689" s="134" t="str">
        <f>IF(AND('331-CT'!$E$7=TH!H1689,OR(N1689="331",O1689="331")),"x","")</f>
        <v/>
      </c>
    </row>
    <row r="1690" spans="1:16" ht="13.5" customHeight="1">
      <c r="A1690" s="72" t="str">
        <f t="shared" si="67"/>
        <v/>
      </c>
      <c r="B1690" s="72" t="str">
        <f t="shared" si="68"/>
        <v/>
      </c>
      <c r="C1690" s="73"/>
      <c r="D1690" s="73"/>
      <c r="E1690" s="73"/>
      <c r="F1690" s="76"/>
      <c r="G1690" s="265"/>
      <c r="H1690" s="122"/>
      <c r="I1690" s="122"/>
      <c r="J1690" s="122"/>
      <c r="K1690" s="122"/>
      <c r="L1690" s="122"/>
      <c r="M1690" s="74"/>
      <c r="N1690" s="75"/>
      <c r="O1690" s="75"/>
      <c r="P1690" s="134" t="str">
        <f>IF(AND('331-CT'!$E$7=TH!H1690,OR(N1690="331",O1690="331")),"x","")</f>
        <v/>
      </c>
    </row>
    <row r="1691" spans="1:16" ht="13.5" customHeight="1">
      <c r="A1691" s="72" t="str">
        <f t="shared" si="67"/>
        <v/>
      </c>
      <c r="B1691" s="72" t="str">
        <f t="shared" si="68"/>
        <v/>
      </c>
      <c r="C1691" s="73"/>
      <c r="D1691" s="73"/>
      <c r="E1691" s="73"/>
      <c r="F1691" s="76"/>
      <c r="G1691" s="265"/>
      <c r="H1691" s="122"/>
      <c r="I1691" s="122"/>
      <c r="J1691" s="122"/>
      <c r="K1691" s="122"/>
      <c r="L1691" s="122"/>
      <c r="M1691" s="74"/>
      <c r="N1691" s="75"/>
      <c r="O1691" s="75"/>
      <c r="P1691" s="134" t="str">
        <f>IF(AND('331-CT'!$E$7=TH!H1691,OR(N1691="331",O1691="331")),"x","")</f>
        <v/>
      </c>
    </row>
    <row r="1692" spans="1:16" ht="13.5" customHeight="1">
      <c r="A1692" s="72" t="str">
        <f t="shared" si="67"/>
        <v/>
      </c>
      <c r="B1692" s="72" t="str">
        <f t="shared" si="68"/>
        <v/>
      </c>
      <c r="C1692" s="73"/>
      <c r="D1692" s="73"/>
      <c r="E1692" s="73"/>
      <c r="F1692" s="76"/>
      <c r="G1692" s="265"/>
      <c r="H1692" s="122"/>
      <c r="I1692" s="122"/>
      <c r="J1692" s="122"/>
      <c r="K1692" s="122"/>
      <c r="L1692" s="122"/>
      <c r="M1692" s="74"/>
      <c r="N1692" s="75"/>
      <c r="O1692" s="75"/>
      <c r="P1692" s="134" t="str">
        <f>IF(AND('331-CT'!$E$7=TH!H1692,OR(N1692="331",O1692="331")),"x","")</f>
        <v/>
      </c>
    </row>
    <row r="1693" spans="1:16" ht="13.5" customHeight="1">
      <c r="A1693" s="72" t="str">
        <f t="shared" si="67"/>
        <v/>
      </c>
      <c r="B1693" s="72" t="str">
        <f t="shared" si="68"/>
        <v/>
      </c>
      <c r="C1693" s="73"/>
      <c r="D1693" s="73"/>
      <c r="E1693" s="73"/>
      <c r="F1693" s="76"/>
      <c r="G1693" s="265"/>
      <c r="H1693" s="122"/>
      <c r="I1693" s="122"/>
      <c r="J1693" s="122"/>
      <c r="K1693" s="122"/>
      <c r="L1693" s="122"/>
      <c r="M1693" s="74"/>
      <c r="N1693" s="75"/>
      <c r="O1693" s="75"/>
      <c r="P1693" s="134" t="str">
        <f>IF(AND('331-CT'!$E$7=TH!H1693,OR(N1693="331",O1693="331")),"x","")</f>
        <v/>
      </c>
    </row>
    <row r="1694" spans="1:16" ht="13.5" customHeight="1">
      <c r="A1694" s="72" t="str">
        <f t="shared" si="67"/>
        <v/>
      </c>
      <c r="B1694" s="72" t="str">
        <f t="shared" si="68"/>
        <v/>
      </c>
      <c r="C1694" s="73"/>
      <c r="D1694" s="73"/>
      <c r="E1694" s="73"/>
      <c r="F1694" s="76"/>
      <c r="G1694" s="265"/>
      <c r="H1694" s="122"/>
      <c r="I1694" s="122"/>
      <c r="J1694" s="122"/>
      <c r="K1694" s="122"/>
      <c r="L1694" s="122"/>
      <c r="M1694" s="74"/>
      <c r="N1694" s="75"/>
      <c r="O1694" s="75"/>
      <c r="P1694" s="134" t="str">
        <f>IF(AND('331-CT'!$E$7=TH!H1694,OR(N1694="331",O1694="331")),"x","")</f>
        <v/>
      </c>
    </row>
    <row r="1695" spans="1:16" ht="13.5" customHeight="1">
      <c r="A1695" s="72" t="str">
        <f t="shared" si="67"/>
        <v/>
      </c>
      <c r="B1695" s="72" t="str">
        <f t="shared" si="68"/>
        <v/>
      </c>
      <c r="C1695" s="73"/>
      <c r="D1695" s="73"/>
      <c r="E1695" s="73"/>
      <c r="F1695" s="76"/>
      <c r="G1695" s="265"/>
      <c r="H1695" s="122"/>
      <c r="I1695" s="122"/>
      <c r="J1695" s="122"/>
      <c r="K1695" s="122"/>
      <c r="L1695" s="122"/>
      <c r="M1695" s="74"/>
      <c r="N1695" s="75"/>
      <c r="O1695" s="75"/>
      <c r="P1695" s="134" t="str">
        <f>IF(AND('331-CT'!$E$7=TH!H1695,OR(N1695="331",O1695="331")),"x","")</f>
        <v/>
      </c>
    </row>
    <row r="1696" spans="1:16" ht="13.5" customHeight="1">
      <c r="A1696" s="72" t="str">
        <f t="shared" si="67"/>
        <v/>
      </c>
      <c r="B1696" s="72" t="str">
        <f t="shared" si="68"/>
        <v/>
      </c>
      <c r="C1696" s="73"/>
      <c r="D1696" s="73"/>
      <c r="E1696" s="73"/>
      <c r="F1696" s="76"/>
      <c r="G1696" s="265"/>
      <c r="H1696" s="122"/>
      <c r="I1696" s="122"/>
      <c r="J1696" s="122"/>
      <c r="K1696" s="122"/>
      <c r="L1696" s="122"/>
      <c r="M1696" s="74"/>
      <c r="N1696" s="75"/>
      <c r="O1696" s="75"/>
      <c r="P1696" s="134" t="str">
        <f>IF(AND('331-CT'!$E$7=TH!H1696,OR(N1696="331",O1696="331")),"x","")</f>
        <v/>
      </c>
    </row>
    <row r="1697" spans="1:16" ht="13.5" customHeight="1">
      <c r="A1697" s="72" t="str">
        <f t="shared" si="67"/>
        <v/>
      </c>
      <c r="B1697" s="72" t="str">
        <f t="shared" si="68"/>
        <v/>
      </c>
      <c r="C1697" s="73"/>
      <c r="D1697" s="73"/>
      <c r="E1697" s="73"/>
      <c r="F1697" s="76"/>
      <c r="G1697" s="265"/>
      <c r="H1697" s="122"/>
      <c r="I1697" s="122"/>
      <c r="J1697" s="122"/>
      <c r="K1697" s="122"/>
      <c r="L1697" s="122"/>
      <c r="M1697" s="74"/>
      <c r="N1697" s="75"/>
      <c r="O1697" s="75"/>
      <c r="P1697" s="134" t="str">
        <f>IF(AND('331-CT'!$E$7=TH!H1697,OR(N1697="331",O1697="331")),"x","")</f>
        <v/>
      </c>
    </row>
    <row r="1698" spans="1:16" ht="13.5" customHeight="1">
      <c r="A1698" s="72" t="str">
        <f t="shared" si="67"/>
        <v/>
      </c>
      <c r="B1698" s="72" t="str">
        <f t="shared" si="68"/>
        <v/>
      </c>
      <c r="C1698" s="73"/>
      <c r="D1698" s="73"/>
      <c r="E1698" s="73"/>
      <c r="F1698" s="76"/>
      <c r="G1698" s="265"/>
      <c r="H1698" s="122"/>
      <c r="I1698" s="122"/>
      <c r="J1698" s="122"/>
      <c r="K1698" s="122"/>
      <c r="L1698" s="122"/>
      <c r="M1698" s="74"/>
      <c r="N1698" s="75"/>
      <c r="O1698" s="75"/>
      <c r="P1698" s="134" t="str">
        <f>IF(AND('331-CT'!$E$7=TH!H1698,OR(N1698="331",O1698="331")),"x","")</f>
        <v/>
      </c>
    </row>
    <row r="1699" spans="1:16" ht="13.5" customHeight="1">
      <c r="A1699" s="72" t="str">
        <f t="shared" si="67"/>
        <v/>
      </c>
      <c r="B1699" s="72" t="str">
        <f t="shared" si="68"/>
        <v/>
      </c>
      <c r="C1699" s="73"/>
      <c r="D1699" s="73"/>
      <c r="E1699" s="73"/>
      <c r="F1699" s="76"/>
      <c r="G1699" s="265"/>
      <c r="H1699" s="122"/>
      <c r="I1699" s="122"/>
      <c r="J1699" s="122"/>
      <c r="K1699" s="122"/>
      <c r="L1699" s="122"/>
      <c r="M1699" s="74"/>
      <c r="N1699" s="75"/>
      <c r="O1699" s="75"/>
      <c r="P1699" s="134" t="str">
        <f>IF(AND('331-CT'!$E$7=TH!H1699,OR(N1699="331",O1699="331")),"x","")</f>
        <v/>
      </c>
    </row>
    <row r="1700" spans="1:16" ht="13.5" customHeight="1">
      <c r="A1700" s="72" t="str">
        <f t="shared" si="67"/>
        <v/>
      </c>
      <c r="B1700" s="72" t="str">
        <f t="shared" si="68"/>
        <v/>
      </c>
      <c r="C1700" s="73"/>
      <c r="D1700" s="73"/>
      <c r="E1700" s="73"/>
      <c r="F1700" s="76"/>
      <c r="G1700" s="265"/>
      <c r="H1700" s="122"/>
      <c r="I1700" s="122"/>
      <c r="J1700" s="122"/>
      <c r="K1700" s="122"/>
      <c r="L1700" s="122"/>
      <c r="M1700" s="74"/>
      <c r="N1700" s="75"/>
      <c r="O1700" s="75"/>
      <c r="P1700" s="134" t="str">
        <f>IF(AND('331-CT'!$E$7=TH!H1700,OR(N1700="331",O1700="331")),"x","")</f>
        <v/>
      </c>
    </row>
    <row r="1701" spans="1:16" ht="13.5" customHeight="1">
      <c r="A1701" s="72" t="str">
        <f t="shared" si="67"/>
        <v/>
      </c>
      <c r="B1701" s="72" t="str">
        <f t="shared" si="68"/>
        <v/>
      </c>
      <c r="C1701" s="73"/>
      <c r="D1701" s="73"/>
      <c r="E1701" s="73"/>
      <c r="F1701" s="76"/>
      <c r="G1701" s="265"/>
      <c r="H1701" s="122"/>
      <c r="I1701" s="122"/>
      <c r="J1701" s="122"/>
      <c r="K1701" s="122"/>
      <c r="L1701" s="122"/>
      <c r="M1701" s="74"/>
      <c r="N1701" s="75"/>
      <c r="O1701" s="75"/>
      <c r="P1701" s="134" t="str">
        <f>IF(AND('331-CT'!$E$7=TH!H1701,OR(N1701="331",O1701="331")),"x","")</f>
        <v/>
      </c>
    </row>
    <row r="1702" spans="1:16" ht="13.5" customHeight="1">
      <c r="A1702" s="72" t="str">
        <f t="shared" si="67"/>
        <v/>
      </c>
      <c r="B1702" s="72" t="str">
        <f t="shared" si="68"/>
        <v/>
      </c>
      <c r="C1702" s="73"/>
      <c r="D1702" s="73"/>
      <c r="E1702" s="73"/>
      <c r="F1702" s="76"/>
      <c r="G1702" s="265"/>
      <c r="H1702" s="122"/>
      <c r="I1702" s="122"/>
      <c r="J1702" s="122"/>
      <c r="K1702" s="122"/>
      <c r="L1702" s="122"/>
      <c r="M1702" s="74"/>
      <c r="N1702" s="75"/>
      <c r="O1702" s="75"/>
      <c r="P1702" s="134" t="str">
        <f>IF(AND('331-CT'!$E$7=TH!H1702,OR(N1702="331",O1702="331")),"x","")</f>
        <v/>
      </c>
    </row>
    <row r="1703" spans="1:16" ht="13.5" customHeight="1">
      <c r="A1703" s="72" t="str">
        <f t="shared" si="67"/>
        <v/>
      </c>
      <c r="B1703" s="72" t="str">
        <f t="shared" si="68"/>
        <v/>
      </c>
      <c r="C1703" s="73"/>
      <c r="D1703" s="73"/>
      <c r="E1703" s="73"/>
      <c r="F1703" s="76"/>
      <c r="G1703" s="265"/>
      <c r="H1703" s="122"/>
      <c r="I1703" s="122"/>
      <c r="J1703" s="122"/>
      <c r="K1703" s="122"/>
      <c r="L1703" s="122"/>
      <c r="M1703" s="74"/>
      <c r="N1703" s="75"/>
      <c r="O1703" s="75"/>
      <c r="P1703" s="134" t="str">
        <f>IF(AND('331-CT'!$E$7=TH!H1703,OR(N1703="331",O1703="331")),"x","")</f>
        <v/>
      </c>
    </row>
    <row r="1704" spans="1:16" ht="13.5" customHeight="1">
      <c r="A1704" s="72" t="str">
        <f t="shared" si="67"/>
        <v/>
      </c>
      <c r="B1704" s="72" t="str">
        <f t="shared" si="68"/>
        <v/>
      </c>
      <c r="C1704" s="73"/>
      <c r="D1704" s="73"/>
      <c r="E1704" s="73"/>
      <c r="F1704" s="76"/>
      <c r="G1704" s="265"/>
      <c r="H1704" s="122"/>
      <c r="I1704" s="122"/>
      <c r="J1704" s="122"/>
      <c r="K1704" s="122"/>
      <c r="L1704" s="122"/>
      <c r="M1704" s="74"/>
      <c r="N1704" s="75"/>
      <c r="O1704" s="75"/>
      <c r="P1704" s="134" t="str">
        <f>IF(AND('331-CT'!$E$7=TH!H1704,OR(N1704="331",O1704="331")),"x","")</f>
        <v/>
      </c>
    </row>
    <row r="1705" spans="1:16" ht="13.5" customHeight="1">
      <c r="A1705" s="72" t="str">
        <f t="shared" si="67"/>
        <v/>
      </c>
      <c r="B1705" s="72" t="str">
        <f t="shared" si="68"/>
        <v/>
      </c>
      <c r="C1705" s="73"/>
      <c r="D1705" s="73"/>
      <c r="E1705" s="73"/>
      <c r="F1705" s="76"/>
      <c r="G1705" s="265"/>
      <c r="H1705" s="122"/>
      <c r="I1705" s="122"/>
      <c r="J1705" s="122"/>
      <c r="K1705" s="122"/>
      <c r="L1705" s="122"/>
      <c r="M1705" s="74"/>
      <c r="N1705" s="75"/>
      <c r="O1705" s="75"/>
      <c r="P1705" s="134" t="str">
        <f>IF(AND('331-CT'!$E$7=TH!H1705,OR(N1705="331",O1705="331")),"x","")</f>
        <v/>
      </c>
    </row>
    <row r="1706" spans="1:16" ht="13.5" customHeight="1">
      <c r="A1706" s="72" t="str">
        <f t="shared" si="67"/>
        <v/>
      </c>
      <c r="B1706" s="72" t="str">
        <f t="shared" si="68"/>
        <v/>
      </c>
      <c r="C1706" s="73"/>
      <c r="D1706" s="73"/>
      <c r="E1706" s="73"/>
      <c r="F1706" s="76"/>
      <c r="G1706" s="265"/>
      <c r="H1706" s="122"/>
      <c r="I1706" s="122"/>
      <c r="J1706" s="122"/>
      <c r="K1706" s="122"/>
      <c r="L1706" s="122"/>
      <c r="M1706" s="74"/>
      <c r="N1706" s="75"/>
      <c r="O1706" s="75"/>
      <c r="P1706" s="134" t="str">
        <f>IF(AND('331-CT'!$E$7=TH!H1706,OR(N1706="331",O1706="331")),"x","")</f>
        <v/>
      </c>
    </row>
    <row r="1707" spans="1:16" ht="13.5" customHeight="1">
      <c r="A1707" s="72" t="str">
        <f t="shared" si="67"/>
        <v/>
      </c>
      <c r="B1707" s="72" t="str">
        <f t="shared" si="68"/>
        <v/>
      </c>
      <c r="C1707" s="73"/>
      <c r="D1707" s="73"/>
      <c r="E1707" s="73"/>
      <c r="F1707" s="76"/>
      <c r="G1707" s="265"/>
      <c r="H1707" s="122"/>
      <c r="I1707" s="122"/>
      <c r="J1707" s="122"/>
      <c r="K1707" s="122"/>
      <c r="L1707" s="122"/>
      <c r="M1707" s="74"/>
      <c r="N1707" s="75"/>
      <c r="O1707" s="75"/>
      <c r="P1707" s="134" t="str">
        <f>IF(AND('331-CT'!$E$7=TH!H1707,OR(N1707="331",O1707="331")),"x","")</f>
        <v/>
      </c>
    </row>
    <row r="1708" spans="1:16" ht="13.5" customHeight="1">
      <c r="A1708" s="72" t="str">
        <f t="shared" si="67"/>
        <v/>
      </c>
      <c r="B1708" s="72" t="str">
        <f t="shared" si="68"/>
        <v/>
      </c>
      <c r="C1708" s="73"/>
      <c r="D1708" s="73"/>
      <c r="E1708" s="73"/>
      <c r="F1708" s="76"/>
      <c r="G1708" s="265"/>
      <c r="H1708" s="122"/>
      <c r="I1708" s="122"/>
      <c r="J1708" s="122"/>
      <c r="K1708" s="122"/>
      <c r="L1708" s="122"/>
      <c r="M1708" s="74"/>
      <c r="N1708" s="75"/>
      <c r="O1708" s="75"/>
      <c r="P1708" s="134" t="str">
        <f>IF(AND('331-CT'!$E$7=TH!H1708,OR(N1708="331",O1708="331")),"x","")</f>
        <v/>
      </c>
    </row>
    <row r="1709" spans="1:16" ht="13.5" customHeight="1">
      <c r="A1709" s="72" t="str">
        <f t="shared" si="67"/>
        <v/>
      </c>
      <c r="B1709" s="72" t="str">
        <f t="shared" si="68"/>
        <v/>
      </c>
      <c r="C1709" s="73"/>
      <c r="D1709" s="73"/>
      <c r="E1709" s="73"/>
      <c r="F1709" s="76"/>
      <c r="G1709" s="265"/>
      <c r="H1709" s="122"/>
      <c r="I1709" s="122"/>
      <c r="J1709" s="122"/>
      <c r="K1709" s="122"/>
      <c r="L1709" s="122"/>
      <c r="M1709" s="74"/>
      <c r="N1709" s="75"/>
      <c r="O1709" s="75"/>
      <c r="P1709" s="134" t="str">
        <f>IF(AND('331-CT'!$E$7=TH!H1709,OR(N1709="331",O1709="331")),"x","")</f>
        <v/>
      </c>
    </row>
    <row r="1710" spans="1:16" ht="13.5" customHeight="1">
      <c r="A1710" s="72" t="str">
        <f t="shared" si="67"/>
        <v/>
      </c>
      <c r="B1710" s="72" t="str">
        <f t="shared" si="68"/>
        <v/>
      </c>
      <c r="C1710" s="73"/>
      <c r="D1710" s="73"/>
      <c r="E1710" s="73"/>
      <c r="F1710" s="76"/>
      <c r="G1710" s="265"/>
      <c r="H1710" s="122"/>
      <c r="I1710" s="122"/>
      <c r="J1710" s="122"/>
      <c r="K1710" s="122"/>
      <c r="L1710" s="122"/>
      <c r="M1710" s="74"/>
      <c r="N1710" s="75"/>
      <c r="O1710" s="75"/>
      <c r="P1710" s="134" t="str">
        <f>IF(AND('331-CT'!$E$7=TH!H1710,OR(N1710="331",O1710="331")),"x","")</f>
        <v/>
      </c>
    </row>
    <row r="1711" spans="1:16" ht="13.5" customHeight="1">
      <c r="A1711" s="72" t="str">
        <f t="shared" si="67"/>
        <v/>
      </c>
      <c r="B1711" s="72" t="str">
        <f t="shared" si="68"/>
        <v/>
      </c>
      <c r="C1711" s="73"/>
      <c r="D1711" s="73"/>
      <c r="E1711" s="73"/>
      <c r="F1711" s="76"/>
      <c r="G1711" s="265"/>
      <c r="H1711" s="122"/>
      <c r="I1711" s="122"/>
      <c r="J1711" s="122"/>
      <c r="K1711" s="122"/>
      <c r="L1711" s="122"/>
      <c r="M1711" s="74"/>
      <c r="N1711" s="75"/>
      <c r="O1711" s="75"/>
      <c r="P1711" s="134" t="str">
        <f>IF(AND('331-CT'!$E$7=TH!H1711,OR(N1711="331",O1711="331")),"x","")</f>
        <v/>
      </c>
    </row>
    <row r="1712" spans="1:16" ht="13.5" customHeight="1">
      <c r="A1712" s="72" t="str">
        <f t="shared" si="67"/>
        <v/>
      </c>
      <c r="B1712" s="72" t="str">
        <f t="shared" si="68"/>
        <v/>
      </c>
      <c r="C1712" s="73"/>
      <c r="D1712" s="73"/>
      <c r="E1712" s="73"/>
      <c r="F1712" s="76"/>
      <c r="G1712" s="265"/>
      <c r="H1712" s="122"/>
      <c r="I1712" s="122"/>
      <c r="J1712" s="122"/>
      <c r="K1712" s="122"/>
      <c r="L1712" s="122"/>
      <c r="M1712" s="74"/>
      <c r="N1712" s="75"/>
      <c r="O1712" s="75"/>
      <c r="P1712" s="134" t="str">
        <f>IF(AND('331-CT'!$E$7=TH!H1712,OR(N1712="331",O1712="331")),"x","")</f>
        <v/>
      </c>
    </row>
    <row r="1713" spans="1:16" ht="13.5" customHeight="1">
      <c r="A1713" s="72" t="str">
        <f t="shared" si="67"/>
        <v/>
      </c>
      <c r="B1713" s="72" t="str">
        <f t="shared" si="68"/>
        <v/>
      </c>
      <c r="C1713" s="73"/>
      <c r="D1713" s="73"/>
      <c r="E1713" s="73"/>
      <c r="F1713" s="76"/>
      <c r="G1713" s="265"/>
      <c r="H1713" s="122"/>
      <c r="I1713" s="122"/>
      <c r="J1713" s="122"/>
      <c r="K1713" s="122"/>
      <c r="L1713" s="122"/>
      <c r="M1713" s="74"/>
      <c r="N1713" s="75"/>
      <c r="O1713" s="75"/>
      <c r="P1713" s="134" t="str">
        <f>IF(AND('331-CT'!$E$7=TH!H1713,OR(N1713="331",O1713="331")),"x","")</f>
        <v/>
      </c>
    </row>
    <row r="1714" spans="1:16" ht="13.5" customHeight="1">
      <c r="A1714" s="72" t="str">
        <f t="shared" si="67"/>
        <v/>
      </c>
      <c r="B1714" s="72" t="str">
        <f t="shared" si="68"/>
        <v/>
      </c>
      <c r="C1714" s="73"/>
      <c r="D1714" s="73"/>
      <c r="E1714" s="73"/>
      <c r="F1714" s="76"/>
      <c r="G1714" s="265"/>
      <c r="H1714" s="122"/>
      <c r="I1714" s="122"/>
      <c r="J1714" s="122"/>
      <c r="K1714" s="122"/>
      <c r="L1714" s="122"/>
      <c r="M1714" s="74"/>
      <c r="N1714" s="75"/>
      <c r="O1714" s="75"/>
      <c r="P1714" s="134" t="str">
        <f>IF(AND('331-CT'!$E$7=TH!H1714,OR(N1714="331",O1714="331")),"x","")</f>
        <v/>
      </c>
    </row>
    <row r="1715" spans="1:16" ht="13.5" customHeight="1">
      <c r="A1715" s="72" t="str">
        <f t="shared" si="67"/>
        <v/>
      </c>
      <c r="B1715" s="72" t="str">
        <f t="shared" si="68"/>
        <v/>
      </c>
      <c r="C1715" s="73"/>
      <c r="D1715" s="73"/>
      <c r="E1715" s="73"/>
      <c r="F1715" s="76"/>
      <c r="G1715" s="265"/>
      <c r="H1715" s="122"/>
      <c r="I1715" s="122"/>
      <c r="J1715" s="122"/>
      <c r="K1715" s="122"/>
      <c r="L1715" s="122"/>
      <c r="M1715" s="74"/>
      <c r="N1715" s="75"/>
      <c r="O1715" s="75"/>
      <c r="P1715" s="134" t="str">
        <f>IF(AND('331-CT'!$E$7=TH!H1715,OR(N1715="331",O1715="331")),"x","")</f>
        <v/>
      </c>
    </row>
    <row r="1716" spans="1:16" ht="13.5" customHeight="1">
      <c r="A1716" s="72" t="str">
        <f t="shared" si="67"/>
        <v/>
      </c>
      <c r="B1716" s="72" t="str">
        <f t="shared" si="68"/>
        <v/>
      </c>
      <c r="C1716" s="73"/>
      <c r="D1716" s="73"/>
      <c r="E1716" s="73"/>
      <c r="F1716" s="76"/>
      <c r="G1716" s="265"/>
      <c r="H1716" s="122"/>
      <c r="I1716" s="122"/>
      <c r="J1716" s="122"/>
      <c r="K1716" s="122"/>
      <c r="L1716" s="122"/>
      <c r="M1716" s="74"/>
      <c r="N1716" s="75"/>
      <c r="O1716" s="75"/>
      <c r="P1716" s="134" t="str">
        <f>IF(AND('331-CT'!$E$7=TH!H1716,OR(N1716="331",O1716="331")),"x","")</f>
        <v/>
      </c>
    </row>
    <row r="1717" spans="1:16" ht="13.5" customHeight="1">
      <c r="A1717" s="72" t="str">
        <f t="shared" ref="A1717:A1780" si="69">IF(C1717&lt;&gt;"",YEAR(C1717),"")</f>
        <v/>
      </c>
      <c r="B1717" s="72" t="str">
        <f t="shared" ref="B1717:B1780" si="70">IF(C1717&lt;&gt;"",MONTH(C1717),"")</f>
        <v/>
      </c>
      <c r="C1717" s="73"/>
      <c r="D1717" s="73"/>
      <c r="E1717" s="73"/>
      <c r="F1717" s="76"/>
      <c r="G1717" s="265"/>
      <c r="H1717" s="122"/>
      <c r="I1717" s="122"/>
      <c r="J1717" s="122"/>
      <c r="K1717" s="122"/>
      <c r="L1717" s="122"/>
      <c r="M1717" s="74"/>
      <c r="N1717" s="75"/>
      <c r="O1717" s="75"/>
      <c r="P1717" s="134" t="str">
        <f>IF(AND('331-CT'!$E$7=TH!H1717,OR(N1717="331",O1717="331")),"x","")</f>
        <v/>
      </c>
    </row>
    <row r="1718" spans="1:16" ht="13.5" customHeight="1">
      <c r="A1718" s="72" t="str">
        <f t="shared" si="69"/>
        <v/>
      </c>
      <c r="B1718" s="72" t="str">
        <f t="shared" si="70"/>
        <v/>
      </c>
      <c r="C1718" s="73"/>
      <c r="D1718" s="73"/>
      <c r="E1718" s="73"/>
      <c r="F1718" s="76"/>
      <c r="G1718" s="265"/>
      <c r="H1718" s="122"/>
      <c r="I1718" s="122"/>
      <c r="J1718" s="122"/>
      <c r="K1718" s="122"/>
      <c r="L1718" s="122"/>
      <c r="M1718" s="74"/>
      <c r="N1718" s="75"/>
      <c r="O1718" s="75"/>
      <c r="P1718" s="134" t="str">
        <f>IF(AND('331-CT'!$E$7=TH!H1718,OR(N1718="331",O1718="331")),"x","")</f>
        <v/>
      </c>
    </row>
    <row r="1719" spans="1:16" ht="13.5" customHeight="1">
      <c r="A1719" s="72" t="str">
        <f t="shared" si="69"/>
        <v/>
      </c>
      <c r="B1719" s="72" t="str">
        <f t="shared" si="70"/>
        <v/>
      </c>
      <c r="C1719" s="73"/>
      <c r="D1719" s="73"/>
      <c r="E1719" s="73"/>
      <c r="F1719" s="76"/>
      <c r="G1719" s="265"/>
      <c r="H1719" s="122"/>
      <c r="I1719" s="122"/>
      <c r="J1719" s="122"/>
      <c r="K1719" s="122"/>
      <c r="L1719" s="122"/>
      <c r="M1719" s="74"/>
      <c r="N1719" s="75"/>
      <c r="O1719" s="75"/>
      <c r="P1719" s="134" t="str">
        <f>IF(AND('331-CT'!$E$7=TH!H1719,OR(N1719="331",O1719="331")),"x","")</f>
        <v/>
      </c>
    </row>
    <row r="1720" spans="1:16" ht="13.5" customHeight="1">
      <c r="A1720" s="72" t="str">
        <f t="shared" si="69"/>
        <v/>
      </c>
      <c r="B1720" s="72" t="str">
        <f t="shared" si="70"/>
        <v/>
      </c>
      <c r="C1720" s="73"/>
      <c r="D1720" s="73"/>
      <c r="E1720" s="73"/>
      <c r="F1720" s="76"/>
      <c r="G1720" s="265"/>
      <c r="H1720" s="122"/>
      <c r="I1720" s="122"/>
      <c r="J1720" s="122"/>
      <c r="K1720" s="122"/>
      <c r="L1720" s="122"/>
      <c r="M1720" s="74"/>
      <c r="N1720" s="75"/>
      <c r="O1720" s="75"/>
      <c r="P1720" s="134" t="str">
        <f>IF(AND('331-CT'!$E$7=TH!H1720,OR(N1720="331",O1720="331")),"x","")</f>
        <v/>
      </c>
    </row>
    <row r="1721" spans="1:16" ht="13.5" customHeight="1">
      <c r="A1721" s="72" t="str">
        <f t="shared" si="69"/>
        <v/>
      </c>
      <c r="B1721" s="72" t="str">
        <f t="shared" si="70"/>
        <v/>
      </c>
      <c r="C1721" s="73"/>
      <c r="D1721" s="73"/>
      <c r="E1721" s="73"/>
      <c r="F1721" s="76"/>
      <c r="G1721" s="265"/>
      <c r="H1721" s="122"/>
      <c r="I1721" s="122"/>
      <c r="J1721" s="122"/>
      <c r="K1721" s="122"/>
      <c r="L1721" s="122"/>
      <c r="M1721" s="74"/>
      <c r="N1721" s="75"/>
      <c r="O1721" s="75"/>
      <c r="P1721" s="134" t="str">
        <f>IF(AND('331-CT'!$E$7=TH!H1721,OR(N1721="331",O1721="331")),"x","")</f>
        <v/>
      </c>
    </row>
    <row r="1722" spans="1:16" ht="13.5" customHeight="1">
      <c r="A1722" s="72" t="str">
        <f t="shared" si="69"/>
        <v/>
      </c>
      <c r="B1722" s="72" t="str">
        <f t="shared" si="70"/>
        <v/>
      </c>
      <c r="C1722" s="73"/>
      <c r="D1722" s="73"/>
      <c r="E1722" s="73"/>
      <c r="F1722" s="76"/>
      <c r="G1722" s="265"/>
      <c r="H1722" s="122"/>
      <c r="I1722" s="122"/>
      <c r="J1722" s="122"/>
      <c r="K1722" s="122"/>
      <c r="L1722" s="122"/>
      <c r="M1722" s="74"/>
      <c r="N1722" s="75"/>
      <c r="O1722" s="75"/>
      <c r="P1722" s="134" t="str">
        <f>IF(AND('331-CT'!$E$7=TH!H1722,OR(N1722="331",O1722="331")),"x","")</f>
        <v/>
      </c>
    </row>
    <row r="1723" spans="1:16" ht="13.5" customHeight="1">
      <c r="A1723" s="72" t="str">
        <f t="shared" si="69"/>
        <v/>
      </c>
      <c r="B1723" s="72" t="str">
        <f t="shared" si="70"/>
        <v/>
      </c>
      <c r="C1723" s="73"/>
      <c r="D1723" s="73"/>
      <c r="E1723" s="73"/>
      <c r="F1723" s="76"/>
      <c r="G1723" s="265"/>
      <c r="H1723" s="122"/>
      <c r="I1723" s="122"/>
      <c r="J1723" s="122"/>
      <c r="K1723" s="122"/>
      <c r="L1723" s="122"/>
      <c r="M1723" s="74"/>
      <c r="N1723" s="75"/>
      <c r="O1723" s="75"/>
      <c r="P1723" s="134" t="str">
        <f>IF(AND('331-CT'!$E$7=TH!H1723,OR(N1723="331",O1723="331")),"x","")</f>
        <v/>
      </c>
    </row>
    <row r="1724" spans="1:16" ht="13.5" customHeight="1">
      <c r="A1724" s="72" t="str">
        <f t="shared" si="69"/>
        <v/>
      </c>
      <c r="B1724" s="72" t="str">
        <f t="shared" si="70"/>
        <v/>
      </c>
      <c r="C1724" s="73"/>
      <c r="D1724" s="73"/>
      <c r="E1724" s="73"/>
      <c r="F1724" s="76"/>
      <c r="G1724" s="265"/>
      <c r="H1724" s="122"/>
      <c r="I1724" s="122"/>
      <c r="J1724" s="122"/>
      <c r="K1724" s="122"/>
      <c r="L1724" s="122"/>
      <c r="M1724" s="74"/>
      <c r="N1724" s="75"/>
      <c r="O1724" s="75"/>
      <c r="P1724" s="134" t="str">
        <f>IF(AND('331-CT'!$E$7=TH!H1724,OR(N1724="331",O1724="331")),"x","")</f>
        <v/>
      </c>
    </row>
    <row r="1725" spans="1:16" ht="13.5" customHeight="1">
      <c r="A1725" s="72" t="str">
        <f t="shared" si="69"/>
        <v/>
      </c>
      <c r="B1725" s="72" t="str">
        <f t="shared" si="70"/>
        <v/>
      </c>
      <c r="C1725" s="73"/>
      <c r="D1725" s="73"/>
      <c r="E1725" s="73"/>
      <c r="F1725" s="76"/>
      <c r="G1725" s="265"/>
      <c r="H1725" s="122"/>
      <c r="I1725" s="122"/>
      <c r="J1725" s="122"/>
      <c r="K1725" s="122"/>
      <c r="L1725" s="122"/>
      <c r="M1725" s="74"/>
      <c r="N1725" s="75"/>
      <c r="O1725" s="75"/>
      <c r="P1725" s="134" t="str">
        <f>IF(AND('331-CT'!$E$7=TH!H1725,OR(N1725="331",O1725="331")),"x","")</f>
        <v/>
      </c>
    </row>
    <row r="1726" spans="1:16" ht="13.5" customHeight="1">
      <c r="A1726" s="72" t="str">
        <f t="shared" si="69"/>
        <v/>
      </c>
      <c r="B1726" s="72" t="str">
        <f t="shared" si="70"/>
        <v/>
      </c>
      <c r="C1726" s="73"/>
      <c r="D1726" s="73"/>
      <c r="E1726" s="73"/>
      <c r="F1726" s="76"/>
      <c r="G1726" s="265"/>
      <c r="H1726" s="122"/>
      <c r="I1726" s="122"/>
      <c r="J1726" s="122"/>
      <c r="K1726" s="122"/>
      <c r="L1726" s="122"/>
      <c r="M1726" s="74"/>
      <c r="N1726" s="75"/>
      <c r="O1726" s="75"/>
      <c r="P1726" s="134" t="str">
        <f>IF(AND('331-CT'!$E$7=TH!H1726,OR(N1726="331",O1726="331")),"x","")</f>
        <v/>
      </c>
    </row>
    <row r="1727" spans="1:16" ht="13.5" customHeight="1">
      <c r="A1727" s="72" t="str">
        <f t="shared" si="69"/>
        <v/>
      </c>
      <c r="B1727" s="72" t="str">
        <f t="shared" si="70"/>
        <v/>
      </c>
      <c r="C1727" s="73"/>
      <c r="D1727" s="73"/>
      <c r="E1727" s="73"/>
      <c r="F1727" s="76"/>
      <c r="G1727" s="265"/>
      <c r="H1727" s="122"/>
      <c r="I1727" s="122"/>
      <c r="J1727" s="122"/>
      <c r="K1727" s="122"/>
      <c r="L1727" s="122"/>
      <c r="M1727" s="74"/>
      <c r="N1727" s="75"/>
      <c r="O1727" s="75"/>
      <c r="P1727" s="134" t="str">
        <f>IF(AND('331-CT'!$E$7=TH!H1727,OR(N1727="331",O1727="331")),"x","")</f>
        <v/>
      </c>
    </row>
    <row r="1728" spans="1:16" ht="13.5" customHeight="1">
      <c r="A1728" s="72" t="str">
        <f t="shared" si="69"/>
        <v/>
      </c>
      <c r="B1728" s="72" t="str">
        <f t="shared" si="70"/>
        <v/>
      </c>
      <c r="C1728" s="73"/>
      <c r="D1728" s="73"/>
      <c r="E1728" s="73"/>
      <c r="F1728" s="76"/>
      <c r="G1728" s="265"/>
      <c r="H1728" s="122"/>
      <c r="I1728" s="122"/>
      <c r="J1728" s="122"/>
      <c r="K1728" s="122"/>
      <c r="L1728" s="122"/>
      <c r="M1728" s="74"/>
      <c r="N1728" s="75"/>
      <c r="O1728" s="75"/>
      <c r="P1728" s="134" t="str">
        <f>IF(AND('331-CT'!$E$7=TH!H1728,OR(N1728="331",O1728="331")),"x","")</f>
        <v/>
      </c>
    </row>
    <row r="1729" spans="1:16" ht="13.5" customHeight="1">
      <c r="A1729" s="72" t="str">
        <f t="shared" si="69"/>
        <v/>
      </c>
      <c r="B1729" s="72" t="str">
        <f t="shared" si="70"/>
        <v/>
      </c>
      <c r="C1729" s="73"/>
      <c r="D1729" s="73"/>
      <c r="E1729" s="73"/>
      <c r="F1729" s="76"/>
      <c r="G1729" s="265"/>
      <c r="H1729" s="122"/>
      <c r="I1729" s="122"/>
      <c r="J1729" s="122"/>
      <c r="K1729" s="122"/>
      <c r="L1729" s="122"/>
      <c r="M1729" s="74"/>
      <c r="N1729" s="75"/>
      <c r="O1729" s="75"/>
      <c r="P1729" s="134" t="str">
        <f>IF(AND('331-CT'!$E$7=TH!H1729,OR(N1729="331",O1729="331")),"x","")</f>
        <v/>
      </c>
    </row>
    <row r="1730" spans="1:16" ht="13.5" customHeight="1">
      <c r="A1730" s="72" t="str">
        <f t="shared" si="69"/>
        <v/>
      </c>
      <c r="B1730" s="72" t="str">
        <f t="shared" si="70"/>
        <v/>
      </c>
      <c r="C1730" s="73"/>
      <c r="D1730" s="73"/>
      <c r="E1730" s="73"/>
      <c r="F1730" s="76"/>
      <c r="G1730" s="265"/>
      <c r="H1730" s="122"/>
      <c r="I1730" s="122"/>
      <c r="J1730" s="122"/>
      <c r="K1730" s="122"/>
      <c r="L1730" s="122"/>
      <c r="M1730" s="74"/>
      <c r="N1730" s="75"/>
      <c r="O1730" s="75"/>
      <c r="P1730" s="134" t="str">
        <f>IF(AND('331-CT'!$E$7=TH!H1730,OR(N1730="331",O1730="331")),"x","")</f>
        <v/>
      </c>
    </row>
    <row r="1731" spans="1:16" ht="13.5" customHeight="1">
      <c r="A1731" s="72" t="str">
        <f t="shared" si="69"/>
        <v/>
      </c>
      <c r="B1731" s="72" t="str">
        <f t="shared" si="70"/>
        <v/>
      </c>
      <c r="C1731" s="73"/>
      <c r="D1731" s="73"/>
      <c r="E1731" s="73"/>
      <c r="F1731" s="76"/>
      <c r="G1731" s="265"/>
      <c r="H1731" s="122"/>
      <c r="I1731" s="122"/>
      <c r="J1731" s="122"/>
      <c r="K1731" s="122"/>
      <c r="L1731" s="122"/>
      <c r="M1731" s="74"/>
      <c r="N1731" s="75"/>
      <c r="O1731" s="75"/>
      <c r="P1731" s="134" t="str">
        <f>IF(AND('331-CT'!$E$7=TH!H1731,OR(N1731="331",O1731="331")),"x","")</f>
        <v/>
      </c>
    </row>
    <row r="1732" spans="1:16" ht="13.5" customHeight="1">
      <c r="A1732" s="72" t="str">
        <f t="shared" si="69"/>
        <v/>
      </c>
      <c r="B1732" s="72" t="str">
        <f t="shared" si="70"/>
        <v/>
      </c>
      <c r="C1732" s="73"/>
      <c r="D1732" s="73"/>
      <c r="E1732" s="73"/>
      <c r="F1732" s="76"/>
      <c r="G1732" s="265"/>
      <c r="H1732" s="122"/>
      <c r="I1732" s="122"/>
      <c r="J1732" s="122"/>
      <c r="K1732" s="122"/>
      <c r="L1732" s="122"/>
      <c r="M1732" s="74"/>
      <c r="N1732" s="75"/>
      <c r="O1732" s="75"/>
      <c r="P1732" s="134" t="str">
        <f>IF(AND('331-CT'!$E$7=TH!H1732,OR(N1732="331",O1732="331")),"x","")</f>
        <v/>
      </c>
    </row>
    <row r="1733" spans="1:16" ht="13.5" customHeight="1">
      <c r="A1733" s="72" t="str">
        <f t="shared" si="69"/>
        <v/>
      </c>
      <c r="B1733" s="72" t="str">
        <f t="shared" si="70"/>
        <v/>
      </c>
      <c r="C1733" s="73"/>
      <c r="D1733" s="73"/>
      <c r="E1733" s="73"/>
      <c r="F1733" s="76"/>
      <c r="G1733" s="265"/>
      <c r="H1733" s="122"/>
      <c r="I1733" s="122"/>
      <c r="J1733" s="122"/>
      <c r="K1733" s="122"/>
      <c r="L1733" s="122"/>
      <c r="M1733" s="74"/>
      <c r="N1733" s="75"/>
      <c r="O1733" s="75"/>
      <c r="P1733" s="134" t="str">
        <f>IF(AND('331-CT'!$E$7=TH!H1733,OR(N1733="331",O1733="331")),"x","")</f>
        <v/>
      </c>
    </row>
    <row r="1734" spans="1:16" ht="13.5" customHeight="1">
      <c r="A1734" s="72" t="str">
        <f t="shared" si="69"/>
        <v/>
      </c>
      <c r="B1734" s="72" t="str">
        <f t="shared" si="70"/>
        <v/>
      </c>
      <c r="C1734" s="73"/>
      <c r="D1734" s="73"/>
      <c r="E1734" s="73"/>
      <c r="F1734" s="76"/>
      <c r="G1734" s="265"/>
      <c r="H1734" s="122"/>
      <c r="I1734" s="122"/>
      <c r="J1734" s="122"/>
      <c r="K1734" s="122"/>
      <c r="L1734" s="122"/>
      <c r="M1734" s="74"/>
      <c r="N1734" s="75"/>
      <c r="O1734" s="75"/>
      <c r="P1734" s="134" t="str">
        <f>IF(AND('331-CT'!$E$7=TH!H1734,OR(N1734="331",O1734="331")),"x","")</f>
        <v/>
      </c>
    </row>
    <row r="1735" spans="1:16" ht="13.5" customHeight="1">
      <c r="A1735" s="72" t="str">
        <f t="shared" si="69"/>
        <v/>
      </c>
      <c r="B1735" s="72" t="str">
        <f t="shared" si="70"/>
        <v/>
      </c>
      <c r="C1735" s="73"/>
      <c r="D1735" s="73"/>
      <c r="E1735" s="73"/>
      <c r="F1735" s="76"/>
      <c r="G1735" s="265"/>
      <c r="H1735" s="122"/>
      <c r="I1735" s="122"/>
      <c r="J1735" s="122"/>
      <c r="K1735" s="122"/>
      <c r="L1735" s="122"/>
      <c r="M1735" s="74"/>
      <c r="N1735" s="75"/>
      <c r="O1735" s="75"/>
      <c r="P1735" s="134" t="str">
        <f>IF(AND('331-CT'!$E$7=TH!H1735,OR(N1735="331",O1735="331")),"x","")</f>
        <v/>
      </c>
    </row>
    <row r="1736" spans="1:16" ht="13.5" customHeight="1">
      <c r="A1736" s="72" t="str">
        <f t="shared" si="69"/>
        <v/>
      </c>
      <c r="B1736" s="72" t="str">
        <f t="shared" si="70"/>
        <v/>
      </c>
      <c r="C1736" s="73"/>
      <c r="D1736" s="73"/>
      <c r="E1736" s="73"/>
      <c r="F1736" s="76"/>
      <c r="G1736" s="265"/>
      <c r="H1736" s="122"/>
      <c r="I1736" s="122"/>
      <c r="J1736" s="122"/>
      <c r="K1736" s="122"/>
      <c r="L1736" s="122"/>
      <c r="M1736" s="74"/>
      <c r="N1736" s="75"/>
      <c r="O1736" s="75"/>
      <c r="P1736" s="134" t="str">
        <f>IF(AND('331-CT'!$E$7=TH!H1736,OR(N1736="331",O1736="331")),"x","")</f>
        <v/>
      </c>
    </row>
    <row r="1737" spans="1:16" ht="13.5" customHeight="1">
      <c r="A1737" s="72" t="str">
        <f t="shared" si="69"/>
        <v/>
      </c>
      <c r="B1737" s="72" t="str">
        <f t="shared" si="70"/>
        <v/>
      </c>
      <c r="C1737" s="73"/>
      <c r="D1737" s="73"/>
      <c r="E1737" s="73"/>
      <c r="F1737" s="76"/>
      <c r="G1737" s="265"/>
      <c r="H1737" s="122"/>
      <c r="I1737" s="122"/>
      <c r="J1737" s="122"/>
      <c r="K1737" s="122"/>
      <c r="L1737" s="122"/>
      <c r="M1737" s="74"/>
      <c r="N1737" s="75"/>
      <c r="O1737" s="75"/>
      <c r="P1737" s="134" t="str">
        <f>IF(AND('331-CT'!$E$7=TH!H1737,OR(N1737="331",O1737="331")),"x","")</f>
        <v/>
      </c>
    </row>
    <row r="1738" spans="1:16" ht="13.5" customHeight="1">
      <c r="A1738" s="72" t="str">
        <f t="shared" si="69"/>
        <v/>
      </c>
      <c r="B1738" s="72" t="str">
        <f t="shared" si="70"/>
        <v/>
      </c>
      <c r="C1738" s="73"/>
      <c r="D1738" s="73"/>
      <c r="E1738" s="73"/>
      <c r="F1738" s="76"/>
      <c r="G1738" s="265"/>
      <c r="H1738" s="122"/>
      <c r="I1738" s="122"/>
      <c r="J1738" s="122"/>
      <c r="K1738" s="122"/>
      <c r="L1738" s="122"/>
      <c r="M1738" s="74"/>
      <c r="N1738" s="75"/>
      <c r="O1738" s="75"/>
      <c r="P1738" s="134" t="str">
        <f>IF(AND('331-CT'!$E$7=TH!H1738,OR(N1738="331",O1738="331")),"x","")</f>
        <v/>
      </c>
    </row>
    <row r="1739" spans="1:16" ht="13.5" customHeight="1">
      <c r="A1739" s="72" t="str">
        <f t="shared" si="69"/>
        <v/>
      </c>
      <c r="B1739" s="72" t="str">
        <f t="shared" si="70"/>
        <v/>
      </c>
      <c r="C1739" s="73"/>
      <c r="D1739" s="73"/>
      <c r="E1739" s="73"/>
      <c r="F1739" s="76"/>
      <c r="G1739" s="265"/>
      <c r="H1739" s="122"/>
      <c r="I1739" s="122"/>
      <c r="J1739" s="122"/>
      <c r="K1739" s="122"/>
      <c r="L1739" s="122"/>
      <c r="M1739" s="74"/>
      <c r="N1739" s="75"/>
      <c r="O1739" s="75"/>
      <c r="P1739" s="134" t="str">
        <f>IF(AND('331-CT'!$E$7=TH!H1739,OR(N1739="331",O1739="331")),"x","")</f>
        <v/>
      </c>
    </row>
    <row r="1740" spans="1:16" ht="13.5" customHeight="1">
      <c r="A1740" s="72" t="str">
        <f t="shared" si="69"/>
        <v/>
      </c>
      <c r="B1740" s="72" t="str">
        <f t="shared" si="70"/>
        <v/>
      </c>
      <c r="C1740" s="73"/>
      <c r="D1740" s="73"/>
      <c r="E1740" s="73"/>
      <c r="F1740" s="76"/>
      <c r="G1740" s="265"/>
      <c r="H1740" s="122"/>
      <c r="I1740" s="122"/>
      <c r="J1740" s="122"/>
      <c r="K1740" s="122"/>
      <c r="L1740" s="122"/>
      <c r="M1740" s="74"/>
      <c r="N1740" s="75"/>
      <c r="O1740" s="75"/>
      <c r="P1740" s="134" t="str">
        <f>IF(AND('331-CT'!$E$7=TH!H1740,OR(N1740="331",O1740="331")),"x","")</f>
        <v/>
      </c>
    </row>
    <row r="1741" spans="1:16" ht="13.5" customHeight="1">
      <c r="A1741" s="72" t="str">
        <f t="shared" si="69"/>
        <v/>
      </c>
      <c r="B1741" s="72" t="str">
        <f t="shared" si="70"/>
        <v/>
      </c>
      <c r="C1741" s="73"/>
      <c r="D1741" s="73"/>
      <c r="E1741" s="73"/>
      <c r="F1741" s="76"/>
      <c r="G1741" s="265"/>
      <c r="H1741" s="122"/>
      <c r="I1741" s="122"/>
      <c r="J1741" s="122"/>
      <c r="K1741" s="122"/>
      <c r="L1741" s="122"/>
      <c r="M1741" s="74"/>
      <c r="N1741" s="75"/>
      <c r="O1741" s="75"/>
      <c r="P1741" s="134" t="str">
        <f>IF(AND('331-CT'!$E$7=TH!H1741,OR(N1741="331",O1741="331")),"x","")</f>
        <v/>
      </c>
    </row>
    <row r="1742" spans="1:16" ht="13.5" customHeight="1">
      <c r="A1742" s="72" t="str">
        <f t="shared" si="69"/>
        <v/>
      </c>
      <c r="B1742" s="72" t="str">
        <f t="shared" si="70"/>
        <v/>
      </c>
      <c r="C1742" s="73"/>
      <c r="D1742" s="73"/>
      <c r="E1742" s="73"/>
      <c r="F1742" s="76"/>
      <c r="G1742" s="265"/>
      <c r="H1742" s="122"/>
      <c r="I1742" s="122"/>
      <c r="J1742" s="122"/>
      <c r="K1742" s="122"/>
      <c r="L1742" s="122"/>
      <c r="M1742" s="74"/>
      <c r="N1742" s="75"/>
      <c r="O1742" s="75"/>
      <c r="P1742" s="134" t="str">
        <f>IF(AND('331-CT'!$E$7=TH!H1742,OR(N1742="331",O1742="331")),"x","")</f>
        <v/>
      </c>
    </row>
    <row r="1743" spans="1:16" ht="13.5" customHeight="1">
      <c r="A1743" s="72" t="str">
        <f t="shared" si="69"/>
        <v/>
      </c>
      <c r="B1743" s="72" t="str">
        <f t="shared" si="70"/>
        <v/>
      </c>
      <c r="C1743" s="73"/>
      <c r="D1743" s="73"/>
      <c r="E1743" s="73"/>
      <c r="F1743" s="76"/>
      <c r="G1743" s="265"/>
      <c r="H1743" s="122"/>
      <c r="I1743" s="122"/>
      <c r="J1743" s="122"/>
      <c r="K1743" s="122"/>
      <c r="L1743" s="122"/>
      <c r="M1743" s="74"/>
      <c r="N1743" s="75"/>
      <c r="O1743" s="75"/>
      <c r="P1743" s="134" t="str">
        <f>IF(AND('331-CT'!$E$7=TH!H1743,OR(N1743="331",O1743="331")),"x","")</f>
        <v/>
      </c>
    </row>
    <row r="1744" spans="1:16" ht="13.5" customHeight="1">
      <c r="A1744" s="72" t="str">
        <f t="shared" si="69"/>
        <v/>
      </c>
      <c r="B1744" s="72" t="str">
        <f t="shared" si="70"/>
        <v/>
      </c>
      <c r="C1744" s="73"/>
      <c r="D1744" s="73"/>
      <c r="E1744" s="73"/>
      <c r="F1744" s="76"/>
      <c r="G1744" s="265"/>
      <c r="H1744" s="122"/>
      <c r="I1744" s="122"/>
      <c r="J1744" s="122"/>
      <c r="K1744" s="122"/>
      <c r="L1744" s="122"/>
      <c r="M1744" s="74"/>
      <c r="N1744" s="75"/>
      <c r="O1744" s="75"/>
      <c r="P1744" s="134" t="str">
        <f>IF(AND('331-CT'!$E$7=TH!H1744,OR(N1744="331",O1744="331")),"x","")</f>
        <v/>
      </c>
    </row>
    <row r="1745" spans="1:16" ht="13.5" customHeight="1">
      <c r="A1745" s="72" t="str">
        <f t="shared" si="69"/>
        <v/>
      </c>
      <c r="B1745" s="72" t="str">
        <f t="shared" si="70"/>
        <v/>
      </c>
      <c r="C1745" s="73"/>
      <c r="D1745" s="73"/>
      <c r="E1745" s="73"/>
      <c r="F1745" s="76"/>
      <c r="G1745" s="265"/>
      <c r="H1745" s="122"/>
      <c r="I1745" s="122"/>
      <c r="J1745" s="122"/>
      <c r="K1745" s="122"/>
      <c r="L1745" s="122"/>
      <c r="M1745" s="74"/>
      <c r="N1745" s="75"/>
      <c r="O1745" s="75"/>
      <c r="P1745" s="134" t="str">
        <f>IF(AND('331-CT'!$E$7=TH!H1745,OR(N1745="331",O1745="331")),"x","")</f>
        <v/>
      </c>
    </row>
    <row r="1746" spans="1:16" ht="13.5" customHeight="1">
      <c r="A1746" s="72" t="str">
        <f t="shared" si="69"/>
        <v/>
      </c>
      <c r="B1746" s="72" t="str">
        <f t="shared" si="70"/>
        <v/>
      </c>
      <c r="C1746" s="73"/>
      <c r="D1746" s="73"/>
      <c r="E1746" s="73"/>
      <c r="F1746" s="76"/>
      <c r="G1746" s="265"/>
      <c r="H1746" s="122"/>
      <c r="I1746" s="122"/>
      <c r="J1746" s="122"/>
      <c r="K1746" s="122"/>
      <c r="L1746" s="122"/>
      <c r="M1746" s="74"/>
      <c r="N1746" s="75"/>
      <c r="O1746" s="75"/>
      <c r="P1746" s="134" t="str">
        <f>IF(AND('331-CT'!$E$7=TH!H1746,OR(N1746="331",O1746="331")),"x","")</f>
        <v/>
      </c>
    </row>
    <row r="1747" spans="1:16" ht="13.5" customHeight="1">
      <c r="A1747" s="72" t="str">
        <f t="shared" si="69"/>
        <v/>
      </c>
      <c r="B1747" s="72" t="str">
        <f t="shared" si="70"/>
        <v/>
      </c>
      <c r="C1747" s="73"/>
      <c r="D1747" s="73"/>
      <c r="E1747" s="73"/>
      <c r="F1747" s="76"/>
      <c r="G1747" s="265"/>
      <c r="H1747" s="122"/>
      <c r="I1747" s="122"/>
      <c r="J1747" s="122"/>
      <c r="K1747" s="122"/>
      <c r="L1747" s="122"/>
      <c r="M1747" s="74"/>
      <c r="N1747" s="75"/>
      <c r="O1747" s="75"/>
      <c r="P1747" s="134" t="str">
        <f>IF(AND('331-CT'!$E$7=TH!H1747,OR(N1747="331",O1747="331")),"x","")</f>
        <v/>
      </c>
    </row>
    <row r="1748" spans="1:16" ht="13.5" customHeight="1">
      <c r="A1748" s="72" t="str">
        <f t="shared" si="69"/>
        <v/>
      </c>
      <c r="B1748" s="72" t="str">
        <f t="shared" si="70"/>
        <v/>
      </c>
      <c r="C1748" s="73"/>
      <c r="D1748" s="73"/>
      <c r="E1748" s="73"/>
      <c r="F1748" s="76"/>
      <c r="G1748" s="265"/>
      <c r="H1748" s="122"/>
      <c r="I1748" s="122"/>
      <c r="J1748" s="122"/>
      <c r="K1748" s="122"/>
      <c r="L1748" s="122"/>
      <c r="M1748" s="74"/>
      <c r="N1748" s="75"/>
      <c r="O1748" s="75"/>
      <c r="P1748" s="134" t="str">
        <f>IF(AND('331-CT'!$E$7=TH!H1748,OR(N1748="331",O1748="331")),"x","")</f>
        <v/>
      </c>
    </row>
    <row r="1749" spans="1:16" ht="13.5" customHeight="1">
      <c r="A1749" s="72" t="str">
        <f t="shared" si="69"/>
        <v/>
      </c>
      <c r="B1749" s="72" t="str">
        <f t="shared" si="70"/>
        <v/>
      </c>
      <c r="C1749" s="73"/>
      <c r="D1749" s="73"/>
      <c r="E1749" s="73"/>
      <c r="F1749" s="76"/>
      <c r="G1749" s="265"/>
      <c r="H1749" s="122"/>
      <c r="I1749" s="122"/>
      <c r="J1749" s="122"/>
      <c r="K1749" s="122"/>
      <c r="L1749" s="122"/>
      <c r="M1749" s="74"/>
      <c r="N1749" s="75"/>
      <c r="O1749" s="75"/>
      <c r="P1749" s="134" t="str">
        <f>IF(AND('331-CT'!$E$7=TH!H1749,OR(N1749="331",O1749="331")),"x","")</f>
        <v/>
      </c>
    </row>
    <row r="1750" spans="1:16" ht="13.5" customHeight="1">
      <c r="A1750" s="72" t="str">
        <f t="shared" si="69"/>
        <v/>
      </c>
      <c r="B1750" s="72" t="str">
        <f t="shared" si="70"/>
        <v/>
      </c>
      <c r="C1750" s="73"/>
      <c r="D1750" s="73"/>
      <c r="E1750" s="73"/>
      <c r="F1750" s="76"/>
      <c r="G1750" s="265"/>
      <c r="H1750" s="122"/>
      <c r="I1750" s="122"/>
      <c r="J1750" s="122"/>
      <c r="K1750" s="122"/>
      <c r="L1750" s="122"/>
      <c r="M1750" s="74"/>
      <c r="N1750" s="75"/>
      <c r="O1750" s="75"/>
      <c r="P1750" s="134" t="str">
        <f>IF(AND('331-CT'!$E$7=TH!H1750,OR(N1750="331",O1750="331")),"x","")</f>
        <v/>
      </c>
    </row>
    <row r="1751" spans="1:16" ht="13.5" customHeight="1">
      <c r="A1751" s="72" t="str">
        <f t="shared" si="69"/>
        <v/>
      </c>
      <c r="B1751" s="72" t="str">
        <f t="shared" si="70"/>
        <v/>
      </c>
      <c r="C1751" s="73"/>
      <c r="D1751" s="73"/>
      <c r="E1751" s="73"/>
      <c r="F1751" s="76"/>
      <c r="G1751" s="265"/>
      <c r="H1751" s="122"/>
      <c r="I1751" s="122"/>
      <c r="J1751" s="122"/>
      <c r="K1751" s="122"/>
      <c r="L1751" s="122"/>
      <c r="M1751" s="74"/>
      <c r="N1751" s="75"/>
      <c r="O1751" s="75"/>
      <c r="P1751" s="134" t="str">
        <f>IF(AND('331-CT'!$E$7=TH!H1751,OR(N1751="331",O1751="331")),"x","")</f>
        <v/>
      </c>
    </row>
    <row r="1752" spans="1:16" ht="13.5" customHeight="1">
      <c r="A1752" s="72" t="str">
        <f t="shared" si="69"/>
        <v/>
      </c>
      <c r="B1752" s="72" t="str">
        <f t="shared" si="70"/>
        <v/>
      </c>
      <c r="C1752" s="73"/>
      <c r="D1752" s="73"/>
      <c r="E1752" s="73"/>
      <c r="F1752" s="76"/>
      <c r="G1752" s="265"/>
      <c r="H1752" s="122"/>
      <c r="I1752" s="122"/>
      <c r="J1752" s="122"/>
      <c r="K1752" s="122"/>
      <c r="L1752" s="122"/>
      <c r="M1752" s="74"/>
      <c r="N1752" s="75"/>
      <c r="O1752" s="75"/>
      <c r="P1752" s="134" t="str">
        <f>IF(AND('331-CT'!$E$7=TH!H1752,OR(N1752="331",O1752="331")),"x","")</f>
        <v/>
      </c>
    </row>
    <row r="1753" spans="1:16" ht="13.5" customHeight="1">
      <c r="A1753" s="72" t="str">
        <f t="shared" si="69"/>
        <v/>
      </c>
      <c r="B1753" s="72" t="str">
        <f t="shared" si="70"/>
        <v/>
      </c>
      <c r="C1753" s="73"/>
      <c r="D1753" s="73"/>
      <c r="E1753" s="73"/>
      <c r="F1753" s="76"/>
      <c r="G1753" s="265"/>
      <c r="H1753" s="122"/>
      <c r="I1753" s="122"/>
      <c r="J1753" s="122"/>
      <c r="K1753" s="122"/>
      <c r="L1753" s="122"/>
      <c r="M1753" s="74"/>
      <c r="N1753" s="75"/>
      <c r="O1753" s="75"/>
      <c r="P1753" s="134" t="str">
        <f>IF(AND('331-CT'!$E$7=TH!H1753,OR(N1753="331",O1753="331")),"x","")</f>
        <v/>
      </c>
    </row>
    <row r="1754" spans="1:16" ht="13.5" customHeight="1">
      <c r="A1754" s="72" t="str">
        <f t="shared" si="69"/>
        <v/>
      </c>
      <c r="B1754" s="72" t="str">
        <f t="shared" si="70"/>
        <v/>
      </c>
      <c r="C1754" s="73"/>
      <c r="D1754" s="73"/>
      <c r="E1754" s="73"/>
      <c r="F1754" s="76"/>
      <c r="G1754" s="265"/>
      <c r="H1754" s="122"/>
      <c r="I1754" s="122"/>
      <c r="J1754" s="122"/>
      <c r="K1754" s="122"/>
      <c r="L1754" s="122"/>
      <c r="M1754" s="74"/>
      <c r="N1754" s="75"/>
      <c r="O1754" s="75"/>
      <c r="P1754" s="134" t="str">
        <f>IF(AND('331-CT'!$E$7=TH!H1754,OR(N1754="331",O1754="331")),"x","")</f>
        <v/>
      </c>
    </row>
    <row r="1755" spans="1:16" ht="13.5" customHeight="1">
      <c r="A1755" s="72" t="str">
        <f t="shared" si="69"/>
        <v/>
      </c>
      <c r="B1755" s="72" t="str">
        <f t="shared" si="70"/>
        <v/>
      </c>
      <c r="C1755" s="73"/>
      <c r="D1755" s="73"/>
      <c r="E1755" s="73"/>
      <c r="F1755" s="76"/>
      <c r="G1755" s="265"/>
      <c r="H1755" s="122"/>
      <c r="I1755" s="122"/>
      <c r="J1755" s="122"/>
      <c r="K1755" s="122"/>
      <c r="L1755" s="122"/>
      <c r="M1755" s="74"/>
      <c r="N1755" s="75"/>
      <c r="O1755" s="75"/>
      <c r="P1755" s="134" t="str">
        <f>IF(AND('331-CT'!$E$7=TH!H1755,OR(N1755="331",O1755="331")),"x","")</f>
        <v/>
      </c>
    </row>
    <row r="1756" spans="1:16" ht="13.5" customHeight="1">
      <c r="A1756" s="72" t="str">
        <f t="shared" si="69"/>
        <v/>
      </c>
      <c r="B1756" s="72" t="str">
        <f t="shared" si="70"/>
        <v/>
      </c>
      <c r="C1756" s="73"/>
      <c r="D1756" s="73"/>
      <c r="E1756" s="73"/>
      <c r="F1756" s="76"/>
      <c r="G1756" s="265"/>
      <c r="H1756" s="122"/>
      <c r="I1756" s="122"/>
      <c r="J1756" s="122"/>
      <c r="K1756" s="122"/>
      <c r="L1756" s="122"/>
      <c r="M1756" s="74"/>
      <c r="N1756" s="75"/>
      <c r="O1756" s="75"/>
      <c r="P1756" s="134" t="str">
        <f>IF(AND('331-CT'!$E$7=TH!H1756,OR(N1756="331",O1756="331")),"x","")</f>
        <v/>
      </c>
    </row>
    <row r="1757" spans="1:16" ht="13.5" customHeight="1">
      <c r="A1757" s="72" t="str">
        <f t="shared" si="69"/>
        <v/>
      </c>
      <c r="B1757" s="72" t="str">
        <f t="shared" si="70"/>
        <v/>
      </c>
      <c r="C1757" s="73"/>
      <c r="D1757" s="73"/>
      <c r="E1757" s="73"/>
      <c r="F1757" s="76"/>
      <c r="G1757" s="265"/>
      <c r="H1757" s="122"/>
      <c r="I1757" s="122"/>
      <c r="J1757" s="122"/>
      <c r="K1757" s="122"/>
      <c r="L1757" s="122"/>
      <c r="M1757" s="74"/>
      <c r="N1757" s="75"/>
      <c r="O1757" s="75"/>
      <c r="P1757" s="134" t="str">
        <f>IF(AND('331-CT'!$E$7=TH!H1757,OR(N1757="331",O1757="331")),"x","")</f>
        <v/>
      </c>
    </row>
    <row r="1758" spans="1:16" ht="13.5" customHeight="1">
      <c r="A1758" s="72" t="str">
        <f t="shared" si="69"/>
        <v/>
      </c>
      <c r="B1758" s="72" t="str">
        <f t="shared" si="70"/>
        <v/>
      </c>
      <c r="C1758" s="73"/>
      <c r="D1758" s="73"/>
      <c r="E1758" s="73"/>
      <c r="F1758" s="76"/>
      <c r="G1758" s="265"/>
      <c r="H1758" s="122"/>
      <c r="I1758" s="122"/>
      <c r="J1758" s="122"/>
      <c r="K1758" s="122"/>
      <c r="L1758" s="122"/>
      <c r="M1758" s="74"/>
      <c r="N1758" s="75"/>
      <c r="O1758" s="75"/>
      <c r="P1758" s="134" t="str">
        <f>IF(AND('331-CT'!$E$7=TH!H1758,OR(N1758="331",O1758="331")),"x","")</f>
        <v/>
      </c>
    </row>
    <row r="1759" spans="1:16" ht="13.5" customHeight="1">
      <c r="A1759" s="72" t="str">
        <f t="shared" si="69"/>
        <v/>
      </c>
      <c r="B1759" s="72" t="str">
        <f t="shared" si="70"/>
        <v/>
      </c>
      <c r="C1759" s="73"/>
      <c r="D1759" s="73"/>
      <c r="E1759" s="73"/>
      <c r="F1759" s="76"/>
      <c r="G1759" s="265"/>
      <c r="H1759" s="122"/>
      <c r="I1759" s="122"/>
      <c r="J1759" s="122"/>
      <c r="K1759" s="122"/>
      <c r="L1759" s="122"/>
      <c r="M1759" s="74"/>
      <c r="N1759" s="75"/>
      <c r="O1759" s="75"/>
      <c r="P1759" s="134" t="str">
        <f>IF(AND('331-CT'!$E$7=TH!H1759,OR(N1759="331",O1759="331")),"x","")</f>
        <v/>
      </c>
    </row>
    <row r="1760" spans="1:16" ht="13.5" customHeight="1">
      <c r="A1760" s="72" t="str">
        <f t="shared" si="69"/>
        <v/>
      </c>
      <c r="B1760" s="72" t="str">
        <f t="shared" si="70"/>
        <v/>
      </c>
      <c r="C1760" s="73"/>
      <c r="D1760" s="73"/>
      <c r="E1760" s="73"/>
      <c r="F1760" s="76"/>
      <c r="G1760" s="265"/>
      <c r="H1760" s="122"/>
      <c r="I1760" s="122"/>
      <c r="J1760" s="122"/>
      <c r="K1760" s="122"/>
      <c r="L1760" s="122"/>
      <c r="M1760" s="74"/>
      <c r="N1760" s="75"/>
      <c r="O1760" s="75"/>
      <c r="P1760" s="134" t="str">
        <f>IF(AND('331-CT'!$E$7=TH!H1760,OR(N1760="331",O1760="331")),"x","")</f>
        <v/>
      </c>
    </row>
    <row r="1761" spans="1:16" ht="13.5" customHeight="1">
      <c r="A1761" s="72" t="str">
        <f t="shared" si="69"/>
        <v/>
      </c>
      <c r="B1761" s="72" t="str">
        <f t="shared" si="70"/>
        <v/>
      </c>
      <c r="C1761" s="73"/>
      <c r="D1761" s="73"/>
      <c r="E1761" s="73"/>
      <c r="F1761" s="76"/>
      <c r="G1761" s="265"/>
      <c r="H1761" s="122"/>
      <c r="I1761" s="122"/>
      <c r="J1761" s="122"/>
      <c r="K1761" s="122"/>
      <c r="L1761" s="122"/>
      <c r="M1761" s="74"/>
      <c r="N1761" s="75"/>
      <c r="O1761" s="75"/>
      <c r="P1761" s="134" t="str">
        <f>IF(AND('331-CT'!$E$7=TH!H1761,OR(N1761="331",O1761="331")),"x","")</f>
        <v/>
      </c>
    </row>
    <row r="1762" spans="1:16" ht="13.5" customHeight="1">
      <c r="A1762" s="72" t="str">
        <f t="shared" si="69"/>
        <v/>
      </c>
      <c r="B1762" s="72" t="str">
        <f t="shared" si="70"/>
        <v/>
      </c>
      <c r="C1762" s="73"/>
      <c r="D1762" s="73"/>
      <c r="E1762" s="73"/>
      <c r="F1762" s="76"/>
      <c r="G1762" s="265"/>
      <c r="H1762" s="122"/>
      <c r="I1762" s="122"/>
      <c r="J1762" s="122"/>
      <c r="K1762" s="122"/>
      <c r="L1762" s="122"/>
      <c r="M1762" s="74"/>
      <c r="N1762" s="75"/>
      <c r="O1762" s="75"/>
      <c r="P1762" s="134" t="str">
        <f>IF(AND('331-CT'!$E$7=TH!H1762,OR(N1762="331",O1762="331")),"x","")</f>
        <v/>
      </c>
    </row>
    <row r="1763" spans="1:16" ht="13.5" customHeight="1">
      <c r="A1763" s="72" t="str">
        <f t="shared" si="69"/>
        <v/>
      </c>
      <c r="B1763" s="72" t="str">
        <f t="shared" si="70"/>
        <v/>
      </c>
      <c r="C1763" s="73"/>
      <c r="D1763" s="73"/>
      <c r="E1763" s="73"/>
      <c r="F1763" s="76"/>
      <c r="G1763" s="265"/>
      <c r="H1763" s="122"/>
      <c r="I1763" s="122"/>
      <c r="J1763" s="122"/>
      <c r="K1763" s="122"/>
      <c r="L1763" s="122"/>
      <c r="M1763" s="74"/>
      <c r="N1763" s="75"/>
      <c r="O1763" s="75"/>
      <c r="P1763" s="134" t="str">
        <f>IF(AND('331-CT'!$E$7=TH!H1763,OR(N1763="331",O1763="331")),"x","")</f>
        <v/>
      </c>
    </row>
    <row r="1764" spans="1:16" ht="13.5" customHeight="1">
      <c r="A1764" s="72" t="str">
        <f t="shared" si="69"/>
        <v/>
      </c>
      <c r="B1764" s="72" t="str">
        <f t="shared" si="70"/>
        <v/>
      </c>
      <c r="C1764" s="73"/>
      <c r="D1764" s="73"/>
      <c r="E1764" s="73"/>
      <c r="F1764" s="76"/>
      <c r="G1764" s="265"/>
      <c r="H1764" s="122"/>
      <c r="I1764" s="122"/>
      <c r="J1764" s="122"/>
      <c r="K1764" s="122"/>
      <c r="L1764" s="122"/>
      <c r="M1764" s="74"/>
      <c r="N1764" s="75"/>
      <c r="O1764" s="75"/>
      <c r="P1764" s="134" t="str">
        <f>IF(AND('331-CT'!$E$7=TH!H1764,OR(N1764="331",O1764="331")),"x","")</f>
        <v/>
      </c>
    </row>
    <row r="1765" spans="1:16" ht="13.5" customHeight="1">
      <c r="A1765" s="72" t="str">
        <f t="shared" si="69"/>
        <v/>
      </c>
      <c r="B1765" s="72" t="str">
        <f t="shared" si="70"/>
        <v/>
      </c>
      <c r="C1765" s="73"/>
      <c r="D1765" s="73"/>
      <c r="E1765" s="73"/>
      <c r="F1765" s="76"/>
      <c r="G1765" s="265"/>
      <c r="H1765" s="122"/>
      <c r="I1765" s="122"/>
      <c r="J1765" s="122"/>
      <c r="K1765" s="122"/>
      <c r="L1765" s="122"/>
      <c r="M1765" s="74"/>
      <c r="N1765" s="75"/>
      <c r="O1765" s="75"/>
      <c r="P1765" s="134" t="str">
        <f>IF(AND('331-CT'!$E$7=TH!H1765,OR(N1765="331",O1765="331")),"x","")</f>
        <v/>
      </c>
    </row>
    <row r="1766" spans="1:16" ht="13.5" customHeight="1">
      <c r="A1766" s="72" t="str">
        <f t="shared" si="69"/>
        <v/>
      </c>
      <c r="B1766" s="72" t="str">
        <f t="shared" si="70"/>
        <v/>
      </c>
      <c r="C1766" s="73"/>
      <c r="D1766" s="73"/>
      <c r="E1766" s="73"/>
      <c r="F1766" s="76"/>
      <c r="G1766" s="265"/>
      <c r="H1766" s="122"/>
      <c r="I1766" s="122"/>
      <c r="J1766" s="122"/>
      <c r="K1766" s="122"/>
      <c r="L1766" s="122"/>
      <c r="M1766" s="74"/>
      <c r="N1766" s="75"/>
      <c r="O1766" s="75"/>
      <c r="P1766" s="134" t="str">
        <f>IF(AND('331-CT'!$E$7=TH!H1766,OR(N1766="331",O1766="331")),"x","")</f>
        <v/>
      </c>
    </row>
    <row r="1767" spans="1:16" ht="13.5" customHeight="1">
      <c r="A1767" s="72" t="str">
        <f t="shared" si="69"/>
        <v/>
      </c>
      <c r="B1767" s="72" t="str">
        <f t="shared" si="70"/>
        <v/>
      </c>
      <c r="C1767" s="73"/>
      <c r="D1767" s="73"/>
      <c r="E1767" s="73"/>
      <c r="F1767" s="76"/>
      <c r="G1767" s="265"/>
      <c r="H1767" s="122"/>
      <c r="I1767" s="122"/>
      <c r="J1767" s="122"/>
      <c r="K1767" s="122"/>
      <c r="L1767" s="122"/>
      <c r="M1767" s="74"/>
      <c r="N1767" s="75"/>
      <c r="O1767" s="75"/>
      <c r="P1767" s="134" t="str">
        <f>IF(AND('331-CT'!$E$7=TH!H1767,OR(N1767="331",O1767="331")),"x","")</f>
        <v/>
      </c>
    </row>
    <row r="1768" spans="1:16" ht="13.5" customHeight="1">
      <c r="A1768" s="72" t="str">
        <f t="shared" si="69"/>
        <v/>
      </c>
      <c r="B1768" s="72" t="str">
        <f t="shared" si="70"/>
        <v/>
      </c>
      <c r="C1768" s="73"/>
      <c r="D1768" s="73"/>
      <c r="E1768" s="73"/>
      <c r="F1768" s="76"/>
      <c r="G1768" s="265"/>
      <c r="H1768" s="122"/>
      <c r="I1768" s="122"/>
      <c r="J1768" s="122"/>
      <c r="K1768" s="122"/>
      <c r="L1768" s="122"/>
      <c r="M1768" s="74"/>
      <c r="N1768" s="75"/>
      <c r="O1768" s="75"/>
      <c r="P1768" s="134" t="str">
        <f>IF(AND('331-CT'!$E$7=TH!H1768,OR(N1768="331",O1768="331")),"x","")</f>
        <v/>
      </c>
    </row>
    <row r="1769" spans="1:16" ht="13.5" customHeight="1">
      <c r="A1769" s="72" t="str">
        <f t="shared" si="69"/>
        <v/>
      </c>
      <c r="B1769" s="72" t="str">
        <f t="shared" si="70"/>
        <v/>
      </c>
      <c r="C1769" s="73"/>
      <c r="D1769" s="73"/>
      <c r="E1769" s="73"/>
      <c r="F1769" s="76"/>
      <c r="G1769" s="265"/>
      <c r="H1769" s="122"/>
      <c r="I1769" s="122"/>
      <c r="J1769" s="122"/>
      <c r="K1769" s="122"/>
      <c r="L1769" s="122"/>
      <c r="M1769" s="74"/>
      <c r="N1769" s="75"/>
      <c r="O1769" s="75"/>
      <c r="P1769" s="134" t="str">
        <f>IF(AND('331-CT'!$E$7=TH!H1769,OR(N1769="331",O1769="331")),"x","")</f>
        <v/>
      </c>
    </row>
    <row r="1770" spans="1:16" ht="13.5" customHeight="1">
      <c r="A1770" s="72" t="str">
        <f t="shared" si="69"/>
        <v/>
      </c>
      <c r="B1770" s="72" t="str">
        <f t="shared" si="70"/>
        <v/>
      </c>
      <c r="C1770" s="73"/>
      <c r="D1770" s="73"/>
      <c r="E1770" s="73"/>
      <c r="F1770" s="76"/>
      <c r="G1770" s="265"/>
      <c r="H1770" s="122"/>
      <c r="I1770" s="122"/>
      <c r="J1770" s="122"/>
      <c r="K1770" s="122"/>
      <c r="L1770" s="122"/>
      <c r="M1770" s="74"/>
      <c r="N1770" s="75"/>
      <c r="O1770" s="75"/>
      <c r="P1770" s="134" t="str">
        <f>IF(AND('331-CT'!$E$7=TH!H1770,OR(N1770="331",O1770="331")),"x","")</f>
        <v/>
      </c>
    </row>
    <row r="1771" spans="1:16" ht="13.5" customHeight="1">
      <c r="A1771" s="72" t="str">
        <f t="shared" si="69"/>
        <v/>
      </c>
      <c r="B1771" s="72" t="str">
        <f t="shared" si="70"/>
        <v/>
      </c>
      <c r="C1771" s="73"/>
      <c r="D1771" s="73"/>
      <c r="E1771" s="73"/>
      <c r="F1771" s="76"/>
      <c r="G1771" s="265"/>
      <c r="H1771" s="122"/>
      <c r="I1771" s="122"/>
      <c r="J1771" s="122"/>
      <c r="K1771" s="122"/>
      <c r="L1771" s="122"/>
      <c r="M1771" s="74"/>
      <c r="N1771" s="75"/>
      <c r="O1771" s="75"/>
      <c r="P1771" s="134" t="str">
        <f>IF(AND('331-CT'!$E$7=TH!H1771,OR(N1771="331",O1771="331")),"x","")</f>
        <v/>
      </c>
    </row>
    <row r="1772" spans="1:16" ht="13.5" customHeight="1">
      <c r="A1772" s="72" t="str">
        <f t="shared" si="69"/>
        <v/>
      </c>
      <c r="B1772" s="72" t="str">
        <f t="shared" si="70"/>
        <v/>
      </c>
      <c r="C1772" s="73"/>
      <c r="D1772" s="73"/>
      <c r="E1772" s="73"/>
      <c r="F1772" s="76"/>
      <c r="G1772" s="265"/>
      <c r="H1772" s="122"/>
      <c r="I1772" s="122"/>
      <c r="J1772" s="122"/>
      <c r="K1772" s="122"/>
      <c r="L1772" s="122"/>
      <c r="M1772" s="74"/>
      <c r="N1772" s="75"/>
      <c r="O1772" s="75"/>
      <c r="P1772" s="134" t="str">
        <f>IF(AND('331-CT'!$E$7=TH!H1772,OR(N1772="331",O1772="331")),"x","")</f>
        <v/>
      </c>
    </row>
    <row r="1773" spans="1:16" ht="13.5" customHeight="1">
      <c r="A1773" s="72" t="str">
        <f t="shared" si="69"/>
        <v/>
      </c>
      <c r="B1773" s="72" t="str">
        <f t="shared" si="70"/>
        <v/>
      </c>
      <c r="C1773" s="73"/>
      <c r="D1773" s="73"/>
      <c r="E1773" s="73"/>
      <c r="F1773" s="76"/>
      <c r="G1773" s="265"/>
      <c r="H1773" s="122"/>
      <c r="I1773" s="122"/>
      <c r="J1773" s="122"/>
      <c r="K1773" s="122"/>
      <c r="L1773" s="122"/>
      <c r="M1773" s="74"/>
      <c r="N1773" s="75"/>
      <c r="O1773" s="75"/>
      <c r="P1773" s="134" t="str">
        <f>IF(AND('331-CT'!$E$7=TH!H1773,OR(N1773="331",O1773="331")),"x","")</f>
        <v/>
      </c>
    </row>
    <row r="1774" spans="1:16" ht="13.5" customHeight="1">
      <c r="A1774" s="72" t="str">
        <f t="shared" si="69"/>
        <v/>
      </c>
      <c r="B1774" s="72" t="str">
        <f t="shared" si="70"/>
        <v/>
      </c>
      <c r="C1774" s="73"/>
      <c r="D1774" s="73"/>
      <c r="E1774" s="73"/>
      <c r="F1774" s="76"/>
      <c r="G1774" s="265"/>
      <c r="H1774" s="122"/>
      <c r="I1774" s="122"/>
      <c r="J1774" s="122"/>
      <c r="K1774" s="122"/>
      <c r="L1774" s="122"/>
      <c r="M1774" s="74"/>
      <c r="N1774" s="75"/>
      <c r="O1774" s="75"/>
      <c r="P1774" s="134" t="str">
        <f>IF(AND('331-CT'!$E$7=TH!H1774,OR(N1774="331",O1774="331")),"x","")</f>
        <v/>
      </c>
    </row>
    <row r="1775" spans="1:16" ht="13.5" customHeight="1">
      <c r="A1775" s="72" t="str">
        <f t="shared" si="69"/>
        <v/>
      </c>
      <c r="B1775" s="72" t="str">
        <f t="shared" si="70"/>
        <v/>
      </c>
      <c r="C1775" s="73"/>
      <c r="D1775" s="73"/>
      <c r="E1775" s="73"/>
      <c r="F1775" s="76"/>
      <c r="G1775" s="265"/>
      <c r="H1775" s="122"/>
      <c r="I1775" s="122"/>
      <c r="J1775" s="122"/>
      <c r="K1775" s="122"/>
      <c r="L1775" s="122"/>
      <c r="M1775" s="74"/>
      <c r="N1775" s="75"/>
      <c r="O1775" s="75"/>
      <c r="P1775" s="134" t="str">
        <f>IF(AND('331-CT'!$E$7=TH!H1775,OR(N1775="331",O1775="331")),"x","")</f>
        <v/>
      </c>
    </row>
    <row r="1776" spans="1:16" ht="13.5" customHeight="1">
      <c r="A1776" s="72" t="str">
        <f t="shared" si="69"/>
        <v/>
      </c>
      <c r="B1776" s="72" t="str">
        <f t="shared" si="70"/>
        <v/>
      </c>
      <c r="C1776" s="73"/>
      <c r="D1776" s="73"/>
      <c r="E1776" s="73"/>
      <c r="F1776" s="76"/>
      <c r="G1776" s="265"/>
      <c r="H1776" s="122"/>
      <c r="I1776" s="122"/>
      <c r="J1776" s="122"/>
      <c r="K1776" s="122"/>
      <c r="L1776" s="122"/>
      <c r="M1776" s="74"/>
      <c r="N1776" s="75"/>
      <c r="O1776" s="75"/>
      <c r="P1776" s="134" t="str">
        <f>IF(AND('331-CT'!$E$7=TH!H1776,OR(N1776="331",O1776="331")),"x","")</f>
        <v/>
      </c>
    </row>
    <row r="1777" spans="1:16" ht="13.5" customHeight="1">
      <c r="A1777" s="72" t="str">
        <f t="shared" si="69"/>
        <v/>
      </c>
      <c r="B1777" s="72" t="str">
        <f t="shared" si="70"/>
        <v/>
      </c>
      <c r="C1777" s="73"/>
      <c r="D1777" s="73"/>
      <c r="E1777" s="73"/>
      <c r="F1777" s="76"/>
      <c r="G1777" s="265"/>
      <c r="H1777" s="122"/>
      <c r="I1777" s="122"/>
      <c r="J1777" s="122"/>
      <c r="K1777" s="122"/>
      <c r="L1777" s="122"/>
      <c r="M1777" s="74"/>
      <c r="N1777" s="75"/>
      <c r="O1777" s="75"/>
      <c r="P1777" s="134" t="str">
        <f>IF(AND('331-CT'!$E$7=TH!H1777,OR(N1777="331",O1777="331")),"x","")</f>
        <v/>
      </c>
    </row>
    <row r="1778" spans="1:16" ht="13.5" customHeight="1">
      <c r="A1778" s="72" t="str">
        <f t="shared" si="69"/>
        <v/>
      </c>
      <c r="B1778" s="72" t="str">
        <f t="shared" si="70"/>
        <v/>
      </c>
      <c r="C1778" s="73"/>
      <c r="D1778" s="73"/>
      <c r="E1778" s="73"/>
      <c r="F1778" s="76"/>
      <c r="G1778" s="265"/>
      <c r="H1778" s="122"/>
      <c r="I1778" s="122"/>
      <c r="J1778" s="122"/>
      <c r="K1778" s="122"/>
      <c r="L1778" s="122"/>
      <c r="M1778" s="74"/>
      <c r="N1778" s="75"/>
      <c r="O1778" s="75"/>
      <c r="P1778" s="134" t="str">
        <f>IF(AND('331-CT'!$E$7=TH!H1778,OR(N1778="331",O1778="331")),"x","")</f>
        <v/>
      </c>
    </row>
    <row r="1779" spans="1:16" ht="13.5" customHeight="1">
      <c r="A1779" s="72" t="str">
        <f t="shared" si="69"/>
        <v/>
      </c>
      <c r="B1779" s="72" t="str">
        <f t="shared" si="70"/>
        <v/>
      </c>
      <c r="C1779" s="73"/>
      <c r="D1779" s="73"/>
      <c r="E1779" s="73"/>
      <c r="F1779" s="76"/>
      <c r="G1779" s="265"/>
      <c r="H1779" s="122"/>
      <c r="I1779" s="122"/>
      <c r="J1779" s="122"/>
      <c r="K1779" s="122"/>
      <c r="L1779" s="122"/>
      <c r="M1779" s="74"/>
      <c r="N1779" s="75"/>
      <c r="O1779" s="75"/>
      <c r="P1779" s="134" t="str">
        <f>IF(AND('331-CT'!$E$7=TH!H1779,OR(N1779="331",O1779="331")),"x","")</f>
        <v/>
      </c>
    </row>
    <row r="1780" spans="1:16" ht="13.5" customHeight="1">
      <c r="A1780" s="72" t="str">
        <f t="shared" si="69"/>
        <v/>
      </c>
      <c r="B1780" s="72" t="str">
        <f t="shared" si="70"/>
        <v/>
      </c>
      <c r="C1780" s="73"/>
      <c r="D1780" s="73"/>
      <c r="E1780" s="73"/>
      <c r="F1780" s="76"/>
      <c r="G1780" s="265"/>
      <c r="H1780" s="122"/>
      <c r="I1780" s="122"/>
      <c r="J1780" s="122"/>
      <c r="K1780" s="122"/>
      <c r="L1780" s="122"/>
      <c r="M1780" s="74"/>
      <c r="N1780" s="75"/>
      <c r="O1780" s="75"/>
      <c r="P1780" s="134" t="str">
        <f>IF(AND('331-CT'!$E$7=TH!H1780,OR(N1780="331",O1780="331")),"x","")</f>
        <v/>
      </c>
    </row>
    <row r="1781" spans="1:16" ht="13.5" customHeight="1">
      <c r="A1781" s="72" t="str">
        <f t="shared" ref="A1781:A1825" si="71">IF(C1781&lt;&gt;"",YEAR(C1781),"")</f>
        <v/>
      </c>
      <c r="B1781" s="72" t="str">
        <f t="shared" ref="B1781:B1825" si="72">IF(C1781&lt;&gt;"",MONTH(C1781),"")</f>
        <v/>
      </c>
      <c r="C1781" s="73"/>
      <c r="D1781" s="73"/>
      <c r="E1781" s="73"/>
      <c r="F1781" s="76"/>
      <c r="G1781" s="265"/>
      <c r="H1781" s="122"/>
      <c r="I1781" s="122"/>
      <c r="J1781" s="122"/>
      <c r="K1781" s="122"/>
      <c r="L1781" s="122"/>
      <c r="M1781" s="74"/>
      <c r="N1781" s="75"/>
      <c r="O1781" s="75"/>
      <c r="P1781" s="134" t="str">
        <f>IF(AND('331-CT'!$E$7=TH!H1781,OR(N1781="331",O1781="331")),"x","")</f>
        <v/>
      </c>
    </row>
    <row r="1782" spans="1:16" ht="13.5" customHeight="1">
      <c r="A1782" s="72" t="str">
        <f t="shared" si="71"/>
        <v/>
      </c>
      <c r="B1782" s="72" t="str">
        <f t="shared" si="72"/>
        <v/>
      </c>
      <c r="C1782" s="73"/>
      <c r="D1782" s="73"/>
      <c r="E1782" s="73"/>
      <c r="F1782" s="76"/>
      <c r="G1782" s="265"/>
      <c r="H1782" s="122"/>
      <c r="I1782" s="122"/>
      <c r="J1782" s="122"/>
      <c r="K1782" s="122"/>
      <c r="L1782" s="122"/>
      <c r="M1782" s="74"/>
      <c r="N1782" s="75"/>
      <c r="O1782" s="75"/>
      <c r="P1782" s="134" t="str">
        <f>IF(AND('331-CT'!$E$7=TH!H1782,OR(N1782="331",O1782="331")),"x","")</f>
        <v/>
      </c>
    </row>
    <row r="1783" spans="1:16" ht="13.5" customHeight="1">
      <c r="A1783" s="72" t="str">
        <f t="shared" si="71"/>
        <v/>
      </c>
      <c r="B1783" s="72" t="str">
        <f t="shared" si="72"/>
        <v/>
      </c>
      <c r="C1783" s="73"/>
      <c r="D1783" s="73"/>
      <c r="E1783" s="73"/>
      <c r="F1783" s="76"/>
      <c r="G1783" s="265"/>
      <c r="H1783" s="122"/>
      <c r="I1783" s="122"/>
      <c r="J1783" s="122"/>
      <c r="K1783" s="122"/>
      <c r="L1783" s="122"/>
      <c r="M1783" s="74"/>
      <c r="N1783" s="75"/>
      <c r="O1783" s="75"/>
      <c r="P1783" s="134" t="str">
        <f>IF(AND('331-CT'!$E$7=TH!H1783,OR(N1783="331",O1783="331")),"x","")</f>
        <v/>
      </c>
    </row>
    <row r="1784" spans="1:16" ht="13.5" customHeight="1">
      <c r="A1784" s="72" t="str">
        <f t="shared" si="71"/>
        <v/>
      </c>
      <c r="B1784" s="72" t="str">
        <f t="shared" si="72"/>
        <v/>
      </c>
      <c r="C1784" s="73"/>
      <c r="D1784" s="73"/>
      <c r="E1784" s="73"/>
      <c r="F1784" s="76"/>
      <c r="G1784" s="265"/>
      <c r="H1784" s="122"/>
      <c r="I1784" s="122"/>
      <c r="J1784" s="122"/>
      <c r="K1784" s="122"/>
      <c r="L1784" s="122"/>
      <c r="M1784" s="74"/>
      <c r="N1784" s="75"/>
      <c r="O1784" s="75"/>
      <c r="P1784" s="134" t="str">
        <f>IF(AND('331-CT'!$E$7=TH!H1784,OR(N1784="331",O1784="331")),"x","")</f>
        <v/>
      </c>
    </row>
    <row r="1785" spans="1:16" ht="13.5" customHeight="1">
      <c r="A1785" s="72" t="str">
        <f t="shared" si="71"/>
        <v/>
      </c>
      <c r="B1785" s="72" t="str">
        <f t="shared" si="72"/>
        <v/>
      </c>
      <c r="C1785" s="73"/>
      <c r="D1785" s="73"/>
      <c r="E1785" s="73"/>
      <c r="F1785" s="76"/>
      <c r="G1785" s="265"/>
      <c r="H1785" s="122"/>
      <c r="I1785" s="122"/>
      <c r="J1785" s="122"/>
      <c r="K1785" s="122"/>
      <c r="L1785" s="122"/>
      <c r="M1785" s="74"/>
      <c r="N1785" s="75"/>
      <c r="O1785" s="75"/>
      <c r="P1785" s="134" t="str">
        <f>IF(AND('331-CT'!$E$7=TH!H1785,OR(N1785="331",O1785="331")),"x","")</f>
        <v/>
      </c>
    </row>
    <row r="1786" spans="1:16" ht="13.5" customHeight="1">
      <c r="A1786" s="72" t="str">
        <f t="shared" si="71"/>
        <v/>
      </c>
      <c r="B1786" s="72" t="str">
        <f t="shared" si="72"/>
        <v/>
      </c>
      <c r="C1786" s="73"/>
      <c r="D1786" s="73"/>
      <c r="E1786" s="73"/>
      <c r="F1786" s="76"/>
      <c r="G1786" s="265"/>
      <c r="H1786" s="122"/>
      <c r="I1786" s="122"/>
      <c r="J1786" s="122"/>
      <c r="K1786" s="122"/>
      <c r="L1786" s="122"/>
      <c r="M1786" s="74"/>
      <c r="N1786" s="75"/>
      <c r="O1786" s="75"/>
      <c r="P1786" s="134" t="str">
        <f>IF(AND('331-CT'!$E$7=TH!H1786,OR(N1786="331",O1786="331")),"x","")</f>
        <v/>
      </c>
    </row>
    <row r="1787" spans="1:16" ht="13.5" customHeight="1">
      <c r="A1787" s="72" t="str">
        <f t="shared" si="71"/>
        <v/>
      </c>
      <c r="B1787" s="72" t="str">
        <f t="shared" si="72"/>
        <v/>
      </c>
      <c r="C1787" s="73"/>
      <c r="D1787" s="73"/>
      <c r="E1787" s="73"/>
      <c r="F1787" s="76"/>
      <c r="G1787" s="265"/>
      <c r="H1787" s="122"/>
      <c r="I1787" s="122"/>
      <c r="J1787" s="122"/>
      <c r="K1787" s="122"/>
      <c r="L1787" s="122"/>
      <c r="M1787" s="74"/>
      <c r="N1787" s="75"/>
      <c r="O1787" s="75"/>
      <c r="P1787" s="134" t="str">
        <f>IF(AND('331-CT'!$E$7=TH!H1787,OR(N1787="331",O1787="331")),"x","")</f>
        <v/>
      </c>
    </row>
    <row r="1788" spans="1:16" ht="13.5" customHeight="1">
      <c r="A1788" s="72" t="str">
        <f t="shared" si="71"/>
        <v/>
      </c>
      <c r="B1788" s="72" t="str">
        <f t="shared" si="72"/>
        <v/>
      </c>
      <c r="C1788" s="73"/>
      <c r="D1788" s="73"/>
      <c r="E1788" s="73"/>
      <c r="F1788" s="76"/>
      <c r="G1788" s="265"/>
      <c r="H1788" s="122"/>
      <c r="I1788" s="122"/>
      <c r="J1788" s="122"/>
      <c r="K1788" s="122"/>
      <c r="L1788" s="122"/>
      <c r="M1788" s="74"/>
      <c r="N1788" s="75"/>
      <c r="O1788" s="75"/>
      <c r="P1788" s="134" t="str">
        <f>IF(AND('331-CT'!$E$7=TH!H1788,OR(N1788="331",O1788="331")),"x","")</f>
        <v/>
      </c>
    </row>
    <row r="1789" spans="1:16" ht="13.5" customHeight="1">
      <c r="A1789" s="72" t="str">
        <f t="shared" si="71"/>
        <v/>
      </c>
      <c r="B1789" s="72" t="str">
        <f t="shared" si="72"/>
        <v/>
      </c>
      <c r="C1789" s="73"/>
      <c r="D1789" s="73"/>
      <c r="E1789" s="73"/>
      <c r="F1789" s="76"/>
      <c r="G1789" s="265"/>
      <c r="H1789" s="122"/>
      <c r="I1789" s="122"/>
      <c r="J1789" s="122"/>
      <c r="K1789" s="122"/>
      <c r="L1789" s="122"/>
      <c r="M1789" s="74"/>
      <c r="N1789" s="75"/>
      <c r="O1789" s="75"/>
      <c r="P1789" s="134" t="str">
        <f>IF(AND('331-CT'!$E$7=TH!H1789,OR(N1789="331",O1789="331")),"x","")</f>
        <v/>
      </c>
    </row>
    <row r="1790" spans="1:16" ht="13.5" customHeight="1">
      <c r="A1790" s="72" t="str">
        <f t="shared" si="71"/>
        <v/>
      </c>
      <c r="B1790" s="72" t="str">
        <f t="shared" si="72"/>
        <v/>
      </c>
      <c r="C1790" s="73"/>
      <c r="D1790" s="73"/>
      <c r="E1790" s="73"/>
      <c r="F1790" s="76"/>
      <c r="G1790" s="265"/>
      <c r="H1790" s="122"/>
      <c r="I1790" s="122"/>
      <c r="J1790" s="122"/>
      <c r="K1790" s="122"/>
      <c r="L1790" s="122"/>
      <c r="M1790" s="74"/>
      <c r="N1790" s="75"/>
      <c r="O1790" s="75"/>
      <c r="P1790" s="134" t="str">
        <f>IF(AND('331-CT'!$E$7=TH!H1790,OR(N1790="331",O1790="331")),"x","")</f>
        <v/>
      </c>
    </row>
    <row r="1791" spans="1:16" ht="13.5" customHeight="1">
      <c r="A1791" s="72" t="str">
        <f t="shared" si="71"/>
        <v/>
      </c>
      <c r="B1791" s="72" t="str">
        <f t="shared" si="72"/>
        <v/>
      </c>
      <c r="C1791" s="73"/>
      <c r="D1791" s="73"/>
      <c r="E1791" s="73"/>
      <c r="F1791" s="76"/>
      <c r="G1791" s="265"/>
      <c r="H1791" s="122"/>
      <c r="I1791" s="122"/>
      <c r="J1791" s="122"/>
      <c r="K1791" s="122"/>
      <c r="L1791" s="122"/>
      <c r="M1791" s="74"/>
      <c r="N1791" s="75"/>
      <c r="O1791" s="75"/>
      <c r="P1791" s="134" t="str">
        <f>IF(AND('331-CT'!$E$7=TH!H1791,OR(N1791="331",O1791="331")),"x","")</f>
        <v/>
      </c>
    </row>
    <row r="1792" spans="1:16" ht="13.5" customHeight="1">
      <c r="A1792" s="72" t="str">
        <f t="shared" si="71"/>
        <v/>
      </c>
      <c r="B1792" s="72" t="str">
        <f t="shared" si="72"/>
        <v/>
      </c>
      <c r="C1792" s="73"/>
      <c r="D1792" s="73"/>
      <c r="E1792" s="73"/>
      <c r="F1792" s="76"/>
      <c r="G1792" s="265"/>
      <c r="H1792" s="122"/>
      <c r="I1792" s="122"/>
      <c r="J1792" s="122"/>
      <c r="K1792" s="122"/>
      <c r="L1792" s="122"/>
      <c r="M1792" s="74"/>
      <c r="N1792" s="75"/>
      <c r="O1792" s="75"/>
      <c r="P1792" s="134" t="str">
        <f>IF(AND('331-CT'!$E$7=TH!H1792,OR(N1792="331",O1792="331")),"x","")</f>
        <v/>
      </c>
    </row>
    <row r="1793" spans="1:16" ht="13.5" customHeight="1">
      <c r="A1793" s="72" t="str">
        <f t="shared" si="71"/>
        <v/>
      </c>
      <c r="B1793" s="72" t="str">
        <f t="shared" si="72"/>
        <v/>
      </c>
      <c r="C1793" s="73"/>
      <c r="D1793" s="73"/>
      <c r="E1793" s="73"/>
      <c r="F1793" s="76"/>
      <c r="G1793" s="265"/>
      <c r="H1793" s="122"/>
      <c r="I1793" s="122"/>
      <c r="J1793" s="122"/>
      <c r="K1793" s="122"/>
      <c r="L1793" s="122"/>
      <c r="M1793" s="74"/>
      <c r="N1793" s="75"/>
      <c r="O1793" s="75"/>
      <c r="P1793" s="134" t="str">
        <f>IF(AND('331-CT'!$E$7=TH!H1793,OR(N1793="331",O1793="331")),"x","")</f>
        <v/>
      </c>
    </row>
    <row r="1794" spans="1:16" ht="13.5" customHeight="1">
      <c r="A1794" s="72" t="str">
        <f t="shared" si="71"/>
        <v/>
      </c>
      <c r="B1794" s="72" t="str">
        <f t="shared" si="72"/>
        <v/>
      </c>
      <c r="C1794" s="73"/>
      <c r="D1794" s="73"/>
      <c r="E1794" s="73"/>
      <c r="F1794" s="76"/>
      <c r="G1794" s="265"/>
      <c r="H1794" s="122"/>
      <c r="I1794" s="122"/>
      <c r="J1794" s="122"/>
      <c r="K1794" s="122"/>
      <c r="L1794" s="122"/>
      <c r="M1794" s="74"/>
      <c r="N1794" s="75"/>
      <c r="O1794" s="75"/>
      <c r="P1794" s="134" t="str">
        <f>IF(AND('331-CT'!$E$7=TH!H1794,OR(N1794="331",O1794="331")),"x","")</f>
        <v/>
      </c>
    </row>
    <row r="1795" spans="1:16" ht="13.5" customHeight="1">
      <c r="A1795" s="72" t="str">
        <f t="shared" si="71"/>
        <v/>
      </c>
      <c r="B1795" s="72" t="str">
        <f t="shared" si="72"/>
        <v/>
      </c>
      <c r="C1795" s="73"/>
      <c r="D1795" s="73"/>
      <c r="E1795" s="73"/>
      <c r="F1795" s="76"/>
      <c r="G1795" s="265"/>
      <c r="H1795" s="122"/>
      <c r="I1795" s="122"/>
      <c r="J1795" s="122"/>
      <c r="K1795" s="122"/>
      <c r="L1795" s="122"/>
      <c r="M1795" s="74"/>
      <c r="N1795" s="75"/>
      <c r="O1795" s="75"/>
      <c r="P1795" s="134" t="str">
        <f>IF(AND('331-CT'!$E$7=TH!H1795,OR(N1795="331",O1795="331")),"x","")</f>
        <v/>
      </c>
    </row>
    <row r="1796" spans="1:16" ht="13.5" customHeight="1">
      <c r="A1796" s="72" t="str">
        <f t="shared" si="71"/>
        <v/>
      </c>
      <c r="B1796" s="72" t="str">
        <f t="shared" si="72"/>
        <v/>
      </c>
      <c r="C1796" s="73"/>
      <c r="D1796" s="73"/>
      <c r="E1796" s="73"/>
      <c r="F1796" s="76"/>
      <c r="G1796" s="265"/>
      <c r="H1796" s="122"/>
      <c r="I1796" s="122"/>
      <c r="J1796" s="122"/>
      <c r="K1796" s="122"/>
      <c r="L1796" s="122"/>
      <c r="M1796" s="74"/>
      <c r="N1796" s="75"/>
      <c r="O1796" s="75"/>
      <c r="P1796" s="134" t="str">
        <f>IF(AND('331-CT'!$E$7=TH!H1796,OR(N1796="331",O1796="331")),"x","")</f>
        <v/>
      </c>
    </row>
    <row r="1797" spans="1:16" ht="13.5" customHeight="1">
      <c r="A1797" s="72" t="str">
        <f t="shared" si="71"/>
        <v/>
      </c>
      <c r="B1797" s="72" t="str">
        <f t="shared" si="72"/>
        <v/>
      </c>
      <c r="C1797" s="73"/>
      <c r="D1797" s="73"/>
      <c r="E1797" s="73"/>
      <c r="F1797" s="76"/>
      <c r="G1797" s="265"/>
      <c r="H1797" s="122"/>
      <c r="I1797" s="122"/>
      <c r="J1797" s="122"/>
      <c r="K1797" s="122"/>
      <c r="L1797" s="122"/>
      <c r="M1797" s="74"/>
      <c r="N1797" s="75"/>
      <c r="O1797" s="75"/>
      <c r="P1797" s="134" t="str">
        <f>IF(AND('331-CT'!$E$7=TH!H1797,OR(N1797="331",O1797="331")),"x","")</f>
        <v/>
      </c>
    </row>
    <row r="1798" spans="1:16" ht="13.5" customHeight="1">
      <c r="A1798" s="72" t="str">
        <f t="shared" si="71"/>
        <v/>
      </c>
      <c r="B1798" s="72" t="str">
        <f t="shared" si="72"/>
        <v/>
      </c>
      <c r="C1798" s="73"/>
      <c r="D1798" s="73"/>
      <c r="E1798" s="73"/>
      <c r="F1798" s="76"/>
      <c r="G1798" s="265"/>
      <c r="H1798" s="122"/>
      <c r="I1798" s="122"/>
      <c r="J1798" s="122"/>
      <c r="K1798" s="122"/>
      <c r="L1798" s="122"/>
      <c r="M1798" s="74"/>
      <c r="N1798" s="75"/>
      <c r="O1798" s="75"/>
      <c r="P1798" s="134" t="str">
        <f>IF(AND('331-CT'!$E$7=TH!H1798,OR(N1798="331",O1798="331")),"x","")</f>
        <v/>
      </c>
    </row>
    <row r="1799" spans="1:16" ht="13.5" customHeight="1">
      <c r="A1799" s="72" t="str">
        <f t="shared" si="71"/>
        <v/>
      </c>
      <c r="B1799" s="72" t="str">
        <f t="shared" si="72"/>
        <v/>
      </c>
      <c r="C1799" s="73"/>
      <c r="D1799" s="73"/>
      <c r="E1799" s="73"/>
      <c r="F1799" s="76"/>
      <c r="G1799" s="265"/>
      <c r="H1799" s="122"/>
      <c r="I1799" s="122"/>
      <c r="J1799" s="122"/>
      <c r="K1799" s="122"/>
      <c r="L1799" s="122"/>
      <c r="M1799" s="74"/>
      <c r="N1799" s="75"/>
      <c r="O1799" s="75"/>
      <c r="P1799" s="134" t="str">
        <f>IF(AND('331-CT'!$E$7=TH!H1799,OR(N1799="331",O1799="331")),"x","")</f>
        <v/>
      </c>
    </row>
    <row r="1800" spans="1:16" ht="13.5" customHeight="1">
      <c r="A1800" s="72" t="str">
        <f t="shared" si="71"/>
        <v/>
      </c>
      <c r="B1800" s="72" t="str">
        <f t="shared" si="72"/>
        <v/>
      </c>
      <c r="C1800" s="73"/>
      <c r="D1800" s="73"/>
      <c r="E1800" s="73"/>
      <c r="F1800" s="76"/>
      <c r="G1800" s="265"/>
      <c r="H1800" s="122"/>
      <c r="I1800" s="122"/>
      <c r="J1800" s="122"/>
      <c r="K1800" s="122"/>
      <c r="L1800" s="122"/>
      <c r="M1800" s="74"/>
      <c r="N1800" s="75"/>
      <c r="O1800" s="75"/>
      <c r="P1800" s="134" t="str">
        <f>IF(AND('331-CT'!$E$7=TH!H1800,OR(N1800="331",O1800="331")),"x","")</f>
        <v/>
      </c>
    </row>
    <row r="1801" spans="1:16" ht="13.5" customHeight="1">
      <c r="A1801" s="72" t="str">
        <f t="shared" si="71"/>
        <v/>
      </c>
      <c r="B1801" s="72" t="str">
        <f t="shared" si="72"/>
        <v/>
      </c>
      <c r="C1801" s="73"/>
      <c r="D1801" s="73"/>
      <c r="E1801" s="73"/>
      <c r="F1801" s="76"/>
      <c r="G1801" s="265"/>
      <c r="H1801" s="122"/>
      <c r="I1801" s="122"/>
      <c r="J1801" s="122"/>
      <c r="K1801" s="122"/>
      <c r="L1801" s="122"/>
      <c r="M1801" s="74"/>
      <c r="N1801" s="75"/>
      <c r="O1801" s="75"/>
      <c r="P1801" s="134" t="str">
        <f>IF(AND('331-CT'!$E$7=TH!H1801,OR(N1801="331",O1801="331")),"x","")</f>
        <v/>
      </c>
    </row>
    <row r="1802" spans="1:16" ht="13.5" customHeight="1">
      <c r="A1802" s="72" t="str">
        <f t="shared" si="71"/>
        <v/>
      </c>
      <c r="B1802" s="72" t="str">
        <f t="shared" si="72"/>
        <v/>
      </c>
      <c r="C1802" s="73"/>
      <c r="D1802" s="73"/>
      <c r="E1802" s="73"/>
      <c r="F1802" s="76"/>
      <c r="G1802" s="265"/>
      <c r="H1802" s="122"/>
      <c r="I1802" s="122"/>
      <c r="J1802" s="122"/>
      <c r="K1802" s="122"/>
      <c r="L1802" s="122"/>
      <c r="M1802" s="74"/>
      <c r="N1802" s="75"/>
      <c r="O1802" s="75"/>
      <c r="P1802" s="134" t="str">
        <f>IF(AND('331-CT'!$E$7=TH!H1802,OR(N1802="331",O1802="331")),"x","")</f>
        <v/>
      </c>
    </row>
    <row r="1803" spans="1:16" ht="13.5" customHeight="1">
      <c r="A1803" s="72" t="str">
        <f t="shared" si="71"/>
        <v/>
      </c>
      <c r="B1803" s="72" t="str">
        <f t="shared" si="72"/>
        <v/>
      </c>
      <c r="C1803" s="73"/>
      <c r="D1803" s="73"/>
      <c r="E1803" s="73"/>
      <c r="F1803" s="76"/>
      <c r="G1803" s="265"/>
      <c r="H1803" s="122"/>
      <c r="I1803" s="122"/>
      <c r="J1803" s="122"/>
      <c r="K1803" s="122"/>
      <c r="L1803" s="122"/>
      <c r="M1803" s="74"/>
      <c r="N1803" s="75"/>
      <c r="O1803" s="75"/>
      <c r="P1803" s="134" t="str">
        <f>IF(AND('331-CT'!$E$7=TH!H1803,OR(N1803="331",O1803="331")),"x","")</f>
        <v/>
      </c>
    </row>
    <row r="1804" spans="1:16" ht="13.5" customHeight="1">
      <c r="A1804" s="72" t="str">
        <f t="shared" si="71"/>
        <v/>
      </c>
      <c r="B1804" s="72" t="str">
        <f t="shared" si="72"/>
        <v/>
      </c>
      <c r="C1804" s="73"/>
      <c r="D1804" s="73"/>
      <c r="E1804" s="73"/>
      <c r="F1804" s="76"/>
      <c r="G1804" s="265"/>
      <c r="H1804" s="122"/>
      <c r="I1804" s="122"/>
      <c r="J1804" s="122"/>
      <c r="K1804" s="122"/>
      <c r="L1804" s="122"/>
      <c r="M1804" s="74"/>
      <c r="N1804" s="75"/>
      <c r="O1804" s="75"/>
      <c r="P1804" s="134" t="str">
        <f>IF(AND('331-CT'!$E$7=TH!H1804,OR(N1804="331",O1804="331")),"x","")</f>
        <v/>
      </c>
    </row>
    <row r="1805" spans="1:16" ht="13.5" customHeight="1">
      <c r="A1805" s="72" t="str">
        <f t="shared" si="71"/>
        <v/>
      </c>
      <c r="B1805" s="72" t="str">
        <f t="shared" si="72"/>
        <v/>
      </c>
      <c r="C1805" s="73"/>
      <c r="D1805" s="73"/>
      <c r="E1805" s="73"/>
      <c r="F1805" s="76"/>
      <c r="G1805" s="265"/>
      <c r="H1805" s="122"/>
      <c r="I1805" s="122"/>
      <c r="J1805" s="122"/>
      <c r="K1805" s="122"/>
      <c r="L1805" s="122"/>
      <c r="M1805" s="74"/>
      <c r="N1805" s="75"/>
      <c r="O1805" s="75"/>
      <c r="P1805" s="134" t="str">
        <f>IF(AND('331-CT'!$E$7=TH!H1805,OR(N1805="331",O1805="331")),"x","")</f>
        <v/>
      </c>
    </row>
    <row r="1806" spans="1:16" ht="13.5" customHeight="1">
      <c r="A1806" s="72" t="str">
        <f t="shared" si="71"/>
        <v/>
      </c>
      <c r="B1806" s="72" t="str">
        <f t="shared" si="72"/>
        <v/>
      </c>
      <c r="C1806" s="73"/>
      <c r="D1806" s="73"/>
      <c r="E1806" s="73"/>
      <c r="F1806" s="76"/>
      <c r="G1806" s="265"/>
      <c r="H1806" s="122"/>
      <c r="I1806" s="122"/>
      <c r="J1806" s="122"/>
      <c r="K1806" s="122"/>
      <c r="L1806" s="122"/>
      <c r="M1806" s="74"/>
      <c r="N1806" s="75"/>
      <c r="O1806" s="75"/>
      <c r="P1806" s="134" t="str">
        <f>IF(AND('331-CT'!$E$7=TH!H1806,OR(N1806="331",O1806="331")),"x","")</f>
        <v/>
      </c>
    </row>
    <row r="1807" spans="1:16" ht="13.5" customHeight="1">
      <c r="A1807" s="72" t="str">
        <f t="shared" si="71"/>
        <v/>
      </c>
      <c r="B1807" s="72" t="str">
        <f t="shared" si="72"/>
        <v/>
      </c>
      <c r="C1807" s="73"/>
      <c r="D1807" s="73"/>
      <c r="E1807" s="73"/>
      <c r="F1807" s="76"/>
      <c r="G1807" s="265"/>
      <c r="H1807" s="122"/>
      <c r="I1807" s="122"/>
      <c r="J1807" s="122"/>
      <c r="K1807" s="122"/>
      <c r="L1807" s="122"/>
      <c r="M1807" s="74"/>
      <c r="N1807" s="75"/>
      <c r="O1807" s="75"/>
      <c r="P1807" s="134" t="str">
        <f>IF(AND('331-CT'!$E$7=TH!H1807,OR(N1807="331",O1807="331")),"x","")</f>
        <v/>
      </c>
    </row>
    <row r="1808" spans="1:16" ht="13.5" customHeight="1">
      <c r="A1808" s="72" t="str">
        <f t="shared" si="71"/>
        <v/>
      </c>
      <c r="B1808" s="72" t="str">
        <f t="shared" si="72"/>
        <v/>
      </c>
      <c r="C1808" s="73"/>
      <c r="D1808" s="73"/>
      <c r="E1808" s="73"/>
      <c r="F1808" s="76"/>
      <c r="G1808" s="265"/>
      <c r="H1808" s="122"/>
      <c r="I1808" s="122"/>
      <c r="J1808" s="122"/>
      <c r="K1808" s="122"/>
      <c r="L1808" s="122"/>
      <c r="M1808" s="74"/>
      <c r="N1808" s="75"/>
      <c r="O1808" s="75"/>
      <c r="P1808" s="134" t="str">
        <f>IF(AND('331-CT'!$E$7=TH!H1808,OR(N1808="331",O1808="331")),"x","")</f>
        <v/>
      </c>
    </row>
    <row r="1809" spans="1:16" ht="13.5" customHeight="1">
      <c r="A1809" s="72" t="str">
        <f t="shared" si="71"/>
        <v/>
      </c>
      <c r="B1809" s="72" t="str">
        <f t="shared" si="72"/>
        <v/>
      </c>
      <c r="C1809" s="73"/>
      <c r="D1809" s="73"/>
      <c r="E1809" s="73"/>
      <c r="F1809" s="76"/>
      <c r="G1809" s="265"/>
      <c r="H1809" s="122"/>
      <c r="I1809" s="122"/>
      <c r="J1809" s="122"/>
      <c r="K1809" s="122"/>
      <c r="L1809" s="122"/>
      <c r="M1809" s="74"/>
      <c r="N1809" s="75"/>
      <c r="O1809" s="75"/>
      <c r="P1809" s="134" t="str">
        <f>IF(AND('331-CT'!$E$7=TH!H1809,OR(N1809="331",O1809="331")),"x","")</f>
        <v/>
      </c>
    </row>
    <row r="1810" spans="1:16" ht="13.5" customHeight="1">
      <c r="A1810" s="72" t="str">
        <f t="shared" si="71"/>
        <v/>
      </c>
      <c r="B1810" s="72" t="str">
        <f t="shared" si="72"/>
        <v/>
      </c>
      <c r="C1810" s="73"/>
      <c r="D1810" s="73"/>
      <c r="E1810" s="73"/>
      <c r="F1810" s="76"/>
      <c r="G1810" s="265"/>
      <c r="H1810" s="122"/>
      <c r="I1810" s="122"/>
      <c r="J1810" s="122"/>
      <c r="K1810" s="122"/>
      <c r="L1810" s="122"/>
      <c r="M1810" s="74"/>
      <c r="N1810" s="75"/>
      <c r="O1810" s="75"/>
      <c r="P1810" s="134" t="str">
        <f>IF(AND('331-CT'!$E$7=TH!H1810,OR(N1810="331",O1810="331")),"x","")</f>
        <v/>
      </c>
    </row>
    <row r="1811" spans="1:16" ht="13.5" customHeight="1">
      <c r="A1811" s="72" t="str">
        <f t="shared" si="71"/>
        <v/>
      </c>
      <c r="B1811" s="72" t="str">
        <f t="shared" si="72"/>
        <v/>
      </c>
      <c r="C1811" s="73"/>
      <c r="D1811" s="73"/>
      <c r="E1811" s="73"/>
      <c r="F1811" s="76"/>
      <c r="G1811" s="265"/>
      <c r="H1811" s="122"/>
      <c r="I1811" s="122"/>
      <c r="J1811" s="122"/>
      <c r="K1811" s="122"/>
      <c r="L1811" s="122"/>
      <c r="M1811" s="74"/>
      <c r="N1811" s="75"/>
      <c r="O1811" s="75"/>
      <c r="P1811" s="134" t="str">
        <f>IF(AND('331-CT'!$E$7=TH!H1811,OR(N1811="331",O1811="331")),"x","")</f>
        <v/>
      </c>
    </row>
    <row r="1812" spans="1:16" ht="13.5" customHeight="1">
      <c r="A1812" s="72" t="str">
        <f t="shared" si="71"/>
        <v/>
      </c>
      <c r="B1812" s="72" t="str">
        <f t="shared" si="72"/>
        <v/>
      </c>
      <c r="C1812" s="73"/>
      <c r="D1812" s="73"/>
      <c r="E1812" s="73"/>
      <c r="F1812" s="76"/>
      <c r="G1812" s="265"/>
      <c r="H1812" s="122"/>
      <c r="I1812" s="122"/>
      <c r="J1812" s="122"/>
      <c r="K1812" s="122"/>
      <c r="L1812" s="122"/>
      <c r="M1812" s="74"/>
      <c r="N1812" s="75"/>
      <c r="O1812" s="75"/>
      <c r="P1812" s="134" t="str">
        <f>IF(AND('331-CT'!$E$7=TH!H1812,OR(N1812="331",O1812="331")),"x","")</f>
        <v/>
      </c>
    </row>
    <row r="1813" spans="1:16" ht="13.5" customHeight="1">
      <c r="A1813" s="72" t="str">
        <f t="shared" si="71"/>
        <v/>
      </c>
      <c r="B1813" s="72" t="str">
        <f t="shared" si="72"/>
        <v/>
      </c>
      <c r="C1813" s="73"/>
      <c r="D1813" s="73"/>
      <c r="E1813" s="73"/>
      <c r="F1813" s="76"/>
      <c r="G1813" s="265"/>
      <c r="H1813" s="122"/>
      <c r="I1813" s="122"/>
      <c r="J1813" s="122"/>
      <c r="K1813" s="122"/>
      <c r="L1813" s="122"/>
      <c r="M1813" s="74"/>
      <c r="N1813" s="75"/>
      <c r="O1813" s="75"/>
      <c r="P1813" s="134" t="str">
        <f>IF(AND('331-CT'!$E$7=TH!H1813,OR(N1813="331",O1813="331")),"x","")</f>
        <v/>
      </c>
    </row>
    <row r="1814" spans="1:16" ht="13.5" customHeight="1">
      <c r="A1814" s="72" t="str">
        <f t="shared" si="71"/>
        <v/>
      </c>
      <c r="B1814" s="72" t="str">
        <f t="shared" si="72"/>
        <v/>
      </c>
      <c r="C1814" s="73"/>
      <c r="D1814" s="73"/>
      <c r="E1814" s="73"/>
      <c r="F1814" s="76"/>
      <c r="G1814" s="265"/>
      <c r="H1814" s="122"/>
      <c r="I1814" s="122"/>
      <c r="J1814" s="122"/>
      <c r="K1814" s="122"/>
      <c r="L1814" s="122"/>
      <c r="M1814" s="74"/>
      <c r="N1814" s="75"/>
      <c r="O1814" s="75"/>
      <c r="P1814" s="134" t="str">
        <f>IF(AND('331-CT'!$E$7=TH!H1814,OR(N1814="331",O1814="331")),"x","")</f>
        <v/>
      </c>
    </row>
    <row r="1815" spans="1:16" ht="13.5" customHeight="1">
      <c r="A1815" s="72" t="str">
        <f t="shared" si="71"/>
        <v/>
      </c>
      <c r="B1815" s="72" t="str">
        <f t="shared" si="72"/>
        <v/>
      </c>
      <c r="C1815" s="73"/>
      <c r="D1815" s="73"/>
      <c r="E1815" s="73"/>
      <c r="F1815" s="76"/>
      <c r="G1815" s="265"/>
      <c r="H1815" s="122"/>
      <c r="I1815" s="122"/>
      <c r="J1815" s="122"/>
      <c r="K1815" s="122"/>
      <c r="L1815" s="122"/>
      <c r="M1815" s="74"/>
      <c r="N1815" s="75"/>
      <c r="O1815" s="75"/>
      <c r="P1815" s="134" t="str">
        <f>IF(AND('331-CT'!$E$7=TH!H1815,OR(N1815="331",O1815="331")),"x","")</f>
        <v/>
      </c>
    </row>
    <row r="1816" spans="1:16" ht="13.5" customHeight="1">
      <c r="A1816" s="72" t="str">
        <f t="shared" si="71"/>
        <v/>
      </c>
      <c r="B1816" s="72" t="str">
        <f t="shared" si="72"/>
        <v/>
      </c>
      <c r="C1816" s="73"/>
      <c r="D1816" s="73"/>
      <c r="E1816" s="73"/>
      <c r="F1816" s="76"/>
      <c r="G1816" s="265"/>
      <c r="H1816" s="122"/>
      <c r="I1816" s="122"/>
      <c r="J1816" s="122"/>
      <c r="K1816" s="122"/>
      <c r="L1816" s="122"/>
      <c r="M1816" s="74"/>
      <c r="N1816" s="75"/>
      <c r="O1816" s="75"/>
      <c r="P1816" s="134" t="str">
        <f>IF(AND('331-CT'!$E$7=TH!H1816,OR(N1816="331",O1816="331")),"x","")</f>
        <v/>
      </c>
    </row>
    <row r="1817" spans="1:16" ht="13.5" customHeight="1">
      <c r="A1817" s="72" t="str">
        <f t="shared" si="71"/>
        <v/>
      </c>
      <c r="B1817" s="72" t="str">
        <f t="shared" si="72"/>
        <v/>
      </c>
      <c r="C1817" s="73"/>
      <c r="D1817" s="73"/>
      <c r="E1817" s="73"/>
      <c r="F1817" s="76"/>
      <c r="G1817" s="265"/>
      <c r="H1817" s="122"/>
      <c r="I1817" s="122"/>
      <c r="J1817" s="122"/>
      <c r="K1817" s="122"/>
      <c r="L1817" s="122"/>
      <c r="M1817" s="74"/>
      <c r="N1817" s="75"/>
      <c r="O1817" s="75"/>
      <c r="P1817" s="134" t="str">
        <f>IF(AND('331-CT'!$E$7=TH!H1817,OR(N1817="331",O1817="331")),"x","")</f>
        <v/>
      </c>
    </row>
    <row r="1818" spans="1:16" ht="13.5" customHeight="1">
      <c r="A1818" s="72" t="str">
        <f t="shared" si="71"/>
        <v/>
      </c>
      <c r="B1818" s="72" t="str">
        <f t="shared" si="72"/>
        <v/>
      </c>
      <c r="C1818" s="73"/>
      <c r="D1818" s="73"/>
      <c r="E1818" s="73"/>
      <c r="F1818" s="76"/>
      <c r="G1818" s="265"/>
      <c r="H1818" s="122"/>
      <c r="I1818" s="122"/>
      <c r="J1818" s="122"/>
      <c r="K1818" s="122"/>
      <c r="L1818" s="122"/>
      <c r="M1818" s="74"/>
      <c r="N1818" s="75"/>
      <c r="O1818" s="75"/>
      <c r="P1818" s="134" t="str">
        <f>IF(AND('331-CT'!$E$7=TH!H1818,OR(N1818="331",O1818="331")),"x","")</f>
        <v/>
      </c>
    </row>
    <row r="1819" spans="1:16" ht="13.5" customHeight="1">
      <c r="A1819" s="72" t="str">
        <f t="shared" si="71"/>
        <v/>
      </c>
      <c r="B1819" s="72" t="str">
        <f t="shared" si="72"/>
        <v/>
      </c>
      <c r="C1819" s="73"/>
      <c r="D1819" s="73"/>
      <c r="E1819" s="73"/>
      <c r="F1819" s="76"/>
      <c r="G1819" s="265"/>
      <c r="H1819" s="122"/>
      <c r="I1819" s="122"/>
      <c r="J1819" s="122"/>
      <c r="K1819" s="122"/>
      <c r="L1819" s="122"/>
      <c r="M1819" s="74"/>
      <c r="N1819" s="75"/>
      <c r="O1819" s="75"/>
      <c r="P1819" s="134" t="str">
        <f>IF(AND('331-CT'!$E$7=TH!H1819,OR(N1819="331",O1819="331")),"x","")</f>
        <v/>
      </c>
    </row>
    <row r="1820" spans="1:16" ht="13.5" customHeight="1">
      <c r="A1820" s="72" t="str">
        <f t="shared" si="71"/>
        <v/>
      </c>
      <c r="B1820" s="72" t="str">
        <f t="shared" si="72"/>
        <v/>
      </c>
      <c r="C1820" s="73"/>
      <c r="D1820" s="73"/>
      <c r="E1820" s="73"/>
      <c r="F1820" s="76"/>
      <c r="G1820" s="265"/>
      <c r="H1820" s="122"/>
      <c r="I1820" s="122"/>
      <c r="J1820" s="122"/>
      <c r="K1820" s="122"/>
      <c r="L1820" s="122"/>
      <c r="M1820" s="74"/>
      <c r="N1820" s="75"/>
      <c r="O1820" s="75"/>
      <c r="P1820" s="134" t="str">
        <f>IF(AND('331-CT'!$E$7=TH!H1820,OR(N1820="331",O1820="331")),"x","")</f>
        <v/>
      </c>
    </row>
    <row r="1821" spans="1:16" ht="13.5" customHeight="1">
      <c r="A1821" s="72" t="str">
        <f t="shared" si="71"/>
        <v/>
      </c>
      <c r="B1821" s="72" t="str">
        <f t="shared" si="72"/>
        <v/>
      </c>
      <c r="C1821" s="73"/>
      <c r="D1821" s="73"/>
      <c r="E1821" s="73"/>
      <c r="F1821" s="76"/>
      <c r="G1821" s="265"/>
      <c r="H1821" s="122"/>
      <c r="I1821" s="122"/>
      <c r="J1821" s="122"/>
      <c r="K1821" s="122"/>
      <c r="L1821" s="122"/>
      <c r="M1821" s="74"/>
      <c r="N1821" s="75"/>
      <c r="O1821" s="75"/>
      <c r="P1821" s="134" t="str">
        <f>IF(AND('331-CT'!$E$7=TH!H1821,OR(N1821="331",O1821="331")),"x","")</f>
        <v/>
      </c>
    </row>
    <row r="1822" spans="1:16" ht="13.5" customHeight="1">
      <c r="A1822" s="72" t="str">
        <f t="shared" si="71"/>
        <v/>
      </c>
      <c r="B1822" s="72" t="str">
        <f t="shared" si="72"/>
        <v/>
      </c>
      <c r="C1822" s="73"/>
      <c r="D1822" s="73"/>
      <c r="E1822" s="73"/>
      <c r="F1822" s="76"/>
      <c r="G1822" s="265"/>
      <c r="H1822" s="122"/>
      <c r="I1822" s="122"/>
      <c r="J1822" s="122"/>
      <c r="K1822" s="122"/>
      <c r="L1822" s="122"/>
      <c r="M1822" s="74"/>
      <c r="N1822" s="75"/>
      <c r="O1822" s="75"/>
      <c r="P1822" s="134" t="str">
        <f>IF(AND('331-CT'!$E$7=TH!H1822,OR(N1822="331",O1822="331")),"x","")</f>
        <v/>
      </c>
    </row>
    <row r="1823" spans="1:16" ht="13.5" customHeight="1">
      <c r="A1823" s="72" t="str">
        <f t="shared" si="71"/>
        <v/>
      </c>
      <c r="B1823" s="72" t="str">
        <f t="shared" si="72"/>
        <v/>
      </c>
      <c r="C1823" s="73"/>
      <c r="D1823" s="73"/>
      <c r="E1823" s="73"/>
      <c r="F1823" s="76"/>
      <c r="G1823" s="265"/>
      <c r="H1823" s="122"/>
      <c r="I1823" s="122"/>
      <c r="J1823" s="122"/>
      <c r="K1823" s="122"/>
      <c r="L1823" s="122"/>
      <c r="M1823" s="74"/>
      <c r="N1823" s="75"/>
      <c r="O1823" s="75"/>
      <c r="P1823" s="134" t="str">
        <f>IF(AND('331-CT'!$E$7=TH!H1823,OR(N1823="331",O1823="331")),"x","")</f>
        <v/>
      </c>
    </row>
    <row r="1824" spans="1:16" ht="13.5" customHeight="1">
      <c r="A1824" s="72" t="str">
        <f t="shared" si="71"/>
        <v/>
      </c>
      <c r="B1824" s="72" t="str">
        <f t="shared" si="72"/>
        <v/>
      </c>
      <c r="C1824" s="73"/>
      <c r="D1824" s="73"/>
      <c r="E1824" s="73"/>
      <c r="F1824" s="76"/>
      <c r="G1824" s="265"/>
      <c r="H1824" s="122"/>
      <c r="I1824" s="122"/>
      <c r="J1824" s="122"/>
      <c r="K1824" s="122"/>
      <c r="L1824" s="122"/>
      <c r="M1824" s="74"/>
      <c r="N1824" s="75"/>
      <c r="O1824" s="75"/>
      <c r="P1824" s="134" t="str">
        <f>IF(AND('331-CT'!$E$7=TH!H1824,OR(N1824="331",O1824="331")),"x","")</f>
        <v/>
      </c>
    </row>
    <row r="1825" spans="1:16" ht="13.5" customHeight="1">
      <c r="A1825" s="72" t="str">
        <f t="shared" si="71"/>
        <v/>
      </c>
      <c r="B1825" s="72" t="str">
        <f t="shared" si="72"/>
        <v/>
      </c>
      <c r="C1825" s="73"/>
      <c r="D1825" s="73"/>
      <c r="E1825" s="73"/>
      <c r="F1825" s="76"/>
      <c r="G1825" s="265"/>
      <c r="H1825" s="122"/>
      <c r="I1825" s="122"/>
      <c r="J1825" s="122"/>
      <c r="K1825" s="122"/>
      <c r="L1825" s="122"/>
      <c r="M1825" s="74"/>
      <c r="N1825" s="75"/>
      <c r="O1825" s="75"/>
      <c r="P1825" s="134" t="str">
        <f>IF(AND('331-CT'!$E$7=TH!H1825,OR(N1825="331",O1825="331")),"x","")</f>
        <v/>
      </c>
    </row>
  </sheetData>
  <autoFilter ref="A9:Q1825"/>
  <sortState ref="A843:M949">
    <sortCondition ref="C843:C949"/>
  </sortState>
  <mergeCells count="12">
    <mergeCell ref="B7:B8"/>
    <mergeCell ref="A7:A8"/>
    <mergeCell ref="H7:H8"/>
    <mergeCell ref="P7:P8"/>
    <mergeCell ref="C4:O4"/>
    <mergeCell ref="C5:O5"/>
    <mergeCell ref="C7:C8"/>
    <mergeCell ref="D7:E7"/>
    <mergeCell ref="F7:F8"/>
    <mergeCell ref="M7:M8"/>
    <mergeCell ref="N7:O7"/>
    <mergeCell ref="G7:G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pane ySplit="4" topLeftCell="A23" activePane="bottomLeft" state="frozen"/>
      <selection pane="bottomLeft" activeCell="J27" sqref="J27"/>
    </sheetView>
  </sheetViews>
  <sheetFormatPr defaultColWidth="9.140625" defaultRowHeight="30" customHeight="1"/>
  <cols>
    <col min="1" max="1" width="4.7109375" style="391" customWidth="1"/>
    <col min="2" max="2" width="13" style="390" customWidth="1"/>
    <col min="3" max="3" width="21.5703125" style="391" customWidth="1"/>
    <col min="4" max="4" width="21.85546875" style="391" customWidth="1"/>
    <col min="5" max="12" width="14" style="391" customWidth="1"/>
    <col min="13" max="13" width="11.5703125" style="391" customWidth="1"/>
    <col min="14" max="14" width="14" style="391" hidden="1" customWidth="1"/>
    <col min="15" max="15" width="12" style="391" customWidth="1"/>
    <col min="16" max="261" width="8.85546875" style="391"/>
    <col min="262" max="262" width="4.7109375" style="391" customWidth="1"/>
    <col min="263" max="263" width="28" style="391" customWidth="1"/>
    <col min="264" max="264" width="33.42578125" style="391" customWidth="1"/>
    <col min="265" max="265" width="19.7109375" style="391" customWidth="1"/>
    <col min="266" max="269" width="13.85546875" style="391" customWidth="1"/>
    <col min="270" max="270" width="12.28515625" style="391" customWidth="1"/>
    <col min="271" max="517" width="8.85546875" style="391"/>
    <col min="518" max="518" width="4.7109375" style="391" customWidth="1"/>
    <col min="519" max="519" width="28" style="391" customWidth="1"/>
    <col min="520" max="520" width="33.42578125" style="391" customWidth="1"/>
    <col min="521" max="521" width="19.7109375" style="391" customWidth="1"/>
    <col min="522" max="525" width="13.85546875" style="391" customWidth="1"/>
    <col min="526" max="526" width="12.28515625" style="391" customWidth="1"/>
    <col min="527" max="773" width="8.85546875" style="391"/>
    <col min="774" max="774" width="4.7109375" style="391" customWidth="1"/>
    <col min="775" max="775" width="28" style="391" customWidth="1"/>
    <col min="776" max="776" width="33.42578125" style="391" customWidth="1"/>
    <col min="777" max="777" width="19.7109375" style="391" customWidth="1"/>
    <col min="778" max="781" width="13.85546875" style="391" customWidth="1"/>
    <col min="782" max="782" width="12.28515625" style="391" customWidth="1"/>
    <col min="783" max="1029" width="8.85546875" style="391"/>
    <col min="1030" max="1030" width="4.7109375" style="391" customWidth="1"/>
    <col min="1031" max="1031" width="28" style="391" customWidth="1"/>
    <col min="1032" max="1032" width="33.42578125" style="391" customWidth="1"/>
    <col min="1033" max="1033" width="19.7109375" style="391" customWidth="1"/>
    <col min="1034" max="1037" width="13.85546875" style="391" customWidth="1"/>
    <col min="1038" max="1038" width="12.28515625" style="391" customWidth="1"/>
    <col min="1039" max="1285" width="8.85546875" style="391"/>
    <col min="1286" max="1286" width="4.7109375" style="391" customWidth="1"/>
    <col min="1287" max="1287" width="28" style="391" customWidth="1"/>
    <col min="1288" max="1288" width="33.42578125" style="391" customWidth="1"/>
    <col min="1289" max="1289" width="19.7109375" style="391" customWidth="1"/>
    <col min="1290" max="1293" width="13.85546875" style="391" customWidth="1"/>
    <col min="1294" max="1294" width="12.28515625" style="391" customWidth="1"/>
    <col min="1295" max="1541" width="8.85546875" style="391"/>
    <col min="1542" max="1542" width="4.7109375" style="391" customWidth="1"/>
    <col min="1543" max="1543" width="28" style="391" customWidth="1"/>
    <col min="1544" max="1544" width="33.42578125" style="391" customWidth="1"/>
    <col min="1545" max="1545" width="19.7109375" style="391" customWidth="1"/>
    <col min="1546" max="1549" width="13.85546875" style="391" customWidth="1"/>
    <col min="1550" max="1550" width="12.28515625" style="391" customWidth="1"/>
    <col min="1551" max="1797" width="8.85546875" style="391"/>
    <col min="1798" max="1798" width="4.7109375" style="391" customWidth="1"/>
    <col min="1799" max="1799" width="28" style="391" customWidth="1"/>
    <col min="1800" max="1800" width="33.42578125" style="391" customWidth="1"/>
    <col min="1801" max="1801" width="19.7109375" style="391" customWidth="1"/>
    <col min="1802" max="1805" width="13.85546875" style="391" customWidth="1"/>
    <col min="1806" max="1806" width="12.28515625" style="391" customWidth="1"/>
    <col min="1807" max="2053" width="8.85546875" style="391"/>
    <col min="2054" max="2054" width="4.7109375" style="391" customWidth="1"/>
    <col min="2055" max="2055" width="28" style="391" customWidth="1"/>
    <col min="2056" max="2056" width="33.42578125" style="391" customWidth="1"/>
    <col min="2057" max="2057" width="19.7109375" style="391" customWidth="1"/>
    <col min="2058" max="2061" width="13.85546875" style="391" customWidth="1"/>
    <col min="2062" max="2062" width="12.28515625" style="391" customWidth="1"/>
    <col min="2063" max="2309" width="8.85546875" style="391"/>
    <col min="2310" max="2310" width="4.7109375" style="391" customWidth="1"/>
    <col min="2311" max="2311" width="28" style="391" customWidth="1"/>
    <col min="2312" max="2312" width="33.42578125" style="391" customWidth="1"/>
    <col min="2313" max="2313" width="19.7109375" style="391" customWidth="1"/>
    <col min="2314" max="2317" width="13.85546875" style="391" customWidth="1"/>
    <col min="2318" max="2318" width="12.28515625" style="391" customWidth="1"/>
    <col min="2319" max="2565" width="8.85546875" style="391"/>
    <col min="2566" max="2566" width="4.7109375" style="391" customWidth="1"/>
    <col min="2567" max="2567" width="28" style="391" customWidth="1"/>
    <col min="2568" max="2568" width="33.42578125" style="391" customWidth="1"/>
    <col min="2569" max="2569" width="19.7109375" style="391" customWidth="1"/>
    <col min="2570" max="2573" width="13.85546875" style="391" customWidth="1"/>
    <col min="2574" max="2574" width="12.28515625" style="391" customWidth="1"/>
    <col min="2575" max="2821" width="8.85546875" style="391"/>
    <col min="2822" max="2822" width="4.7109375" style="391" customWidth="1"/>
    <col min="2823" max="2823" width="28" style="391" customWidth="1"/>
    <col min="2824" max="2824" width="33.42578125" style="391" customWidth="1"/>
    <col min="2825" max="2825" width="19.7109375" style="391" customWidth="1"/>
    <col min="2826" max="2829" width="13.85546875" style="391" customWidth="1"/>
    <col min="2830" max="2830" width="12.28515625" style="391" customWidth="1"/>
    <col min="2831" max="3077" width="8.85546875" style="391"/>
    <col min="3078" max="3078" width="4.7109375" style="391" customWidth="1"/>
    <col min="3079" max="3079" width="28" style="391" customWidth="1"/>
    <col min="3080" max="3080" width="33.42578125" style="391" customWidth="1"/>
    <col min="3081" max="3081" width="19.7109375" style="391" customWidth="1"/>
    <col min="3082" max="3085" width="13.85546875" style="391" customWidth="1"/>
    <col min="3086" max="3086" width="12.28515625" style="391" customWidth="1"/>
    <col min="3087" max="3333" width="8.85546875" style="391"/>
    <col min="3334" max="3334" width="4.7109375" style="391" customWidth="1"/>
    <col min="3335" max="3335" width="28" style="391" customWidth="1"/>
    <col min="3336" max="3336" width="33.42578125" style="391" customWidth="1"/>
    <col min="3337" max="3337" width="19.7109375" style="391" customWidth="1"/>
    <col min="3338" max="3341" width="13.85546875" style="391" customWidth="1"/>
    <col min="3342" max="3342" width="12.28515625" style="391" customWidth="1"/>
    <col min="3343" max="3589" width="8.85546875" style="391"/>
    <col min="3590" max="3590" width="4.7109375" style="391" customWidth="1"/>
    <col min="3591" max="3591" width="28" style="391" customWidth="1"/>
    <col min="3592" max="3592" width="33.42578125" style="391" customWidth="1"/>
    <col min="3593" max="3593" width="19.7109375" style="391" customWidth="1"/>
    <col min="3594" max="3597" width="13.85546875" style="391" customWidth="1"/>
    <col min="3598" max="3598" width="12.28515625" style="391" customWidth="1"/>
    <col min="3599" max="3845" width="8.85546875" style="391"/>
    <col min="3846" max="3846" width="4.7109375" style="391" customWidth="1"/>
    <col min="3847" max="3847" width="28" style="391" customWidth="1"/>
    <col min="3848" max="3848" width="33.42578125" style="391" customWidth="1"/>
    <col min="3849" max="3849" width="19.7109375" style="391" customWidth="1"/>
    <col min="3850" max="3853" width="13.85546875" style="391" customWidth="1"/>
    <col min="3854" max="3854" width="12.28515625" style="391" customWidth="1"/>
    <col min="3855" max="4101" width="8.85546875" style="391"/>
    <col min="4102" max="4102" width="4.7109375" style="391" customWidth="1"/>
    <col min="4103" max="4103" width="28" style="391" customWidth="1"/>
    <col min="4104" max="4104" width="33.42578125" style="391" customWidth="1"/>
    <col min="4105" max="4105" width="19.7109375" style="391" customWidth="1"/>
    <col min="4106" max="4109" width="13.85546875" style="391" customWidth="1"/>
    <col min="4110" max="4110" width="12.28515625" style="391" customWidth="1"/>
    <col min="4111" max="4357" width="8.85546875" style="391"/>
    <col min="4358" max="4358" width="4.7109375" style="391" customWidth="1"/>
    <col min="4359" max="4359" width="28" style="391" customWidth="1"/>
    <col min="4360" max="4360" width="33.42578125" style="391" customWidth="1"/>
    <col min="4361" max="4361" width="19.7109375" style="391" customWidth="1"/>
    <col min="4362" max="4365" width="13.85546875" style="391" customWidth="1"/>
    <col min="4366" max="4366" width="12.28515625" style="391" customWidth="1"/>
    <col min="4367" max="4613" width="8.85546875" style="391"/>
    <col min="4614" max="4614" width="4.7109375" style="391" customWidth="1"/>
    <col min="4615" max="4615" width="28" style="391" customWidth="1"/>
    <col min="4616" max="4616" width="33.42578125" style="391" customWidth="1"/>
    <col min="4617" max="4617" width="19.7109375" style="391" customWidth="1"/>
    <col min="4618" max="4621" width="13.85546875" style="391" customWidth="1"/>
    <col min="4622" max="4622" width="12.28515625" style="391" customWidth="1"/>
    <col min="4623" max="4869" width="8.85546875" style="391"/>
    <col min="4870" max="4870" width="4.7109375" style="391" customWidth="1"/>
    <col min="4871" max="4871" width="28" style="391" customWidth="1"/>
    <col min="4872" max="4872" width="33.42578125" style="391" customWidth="1"/>
    <col min="4873" max="4873" width="19.7109375" style="391" customWidth="1"/>
    <col min="4874" max="4877" width="13.85546875" style="391" customWidth="1"/>
    <col min="4878" max="4878" width="12.28515625" style="391" customWidth="1"/>
    <col min="4879" max="5125" width="8.85546875" style="391"/>
    <col min="5126" max="5126" width="4.7109375" style="391" customWidth="1"/>
    <col min="5127" max="5127" width="28" style="391" customWidth="1"/>
    <col min="5128" max="5128" width="33.42578125" style="391" customWidth="1"/>
    <col min="5129" max="5129" width="19.7109375" style="391" customWidth="1"/>
    <col min="5130" max="5133" width="13.85546875" style="391" customWidth="1"/>
    <col min="5134" max="5134" width="12.28515625" style="391" customWidth="1"/>
    <col min="5135" max="5381" width="8.85546875" style="391"/>
    <col min="5382" max="5382" width="4.7109375" style="391" customWidth="1"/>
    <col min="5383" max="5383" width="28" style="391" customWidth="1"/>
    <col min="5384" max="5384" width="33.42578125" style="391" customWidth="1"/>
    <col min="5385" max="5385" width="19.7109375" style="391" customWidth="1"/>
    <col min="5386" max="5389" width="13.85546875" style="391" customWidth="1"/>
    <col min="5390" max="5390" width="12.28515625" style="391" customWidth="1"/>
    <col min="5391" max="5637" width="8.85546875" style="391"/>
    <col min="5638" max="5638" width="4.7109375" style="391" customWidth="1"/>
    <col min="5639" max="5639" width="28" style="391" customWidth="1"/>
    <col min="5640" max="5640" width="33.42578125" style="391" customWidth="1"/>
    <col min="5641" max="5641" width="19.7109375" style="391" customWidth="1"/>
    <col min="5642" max="5645" width="13.85546875" style="391" customWidth="1"/>
    <col min="5646" max="5646" width="12.28515625" style="391" customWidth="1"/>
    <col min="5647" max="5893" width="8.85546875" style="391"/>
    <col min="5894" max="5894" width="4.7109375" style="391" customWidth="1"/>
    <col min="5895" max="5895" width="28" style="391" customWidth="1"/>
    <col min="5896" max="5896" width="33.42578125" style="391" customWidth="1"/>
    <col min="5897" max="5897" width="19.7109375" style="391" customWidth="1"/>
    <col min="5898" max="5901" width="13.85546875" style="391" customWidth="1"/>
    <col min="5902" max="5902" width="12.28515625" style="391" customWidth="1"/>
    <col min="5903" max="6149" width="8.85546875" style="391"/>
    <col min="6150" max="6150" width="4.7109375" style="391" customWidth="1"/>
    <col min="6151" max="6151" width="28" style="391" customWidth="1"/>
    <col min="6152" max="6152" width="33.42578125" style="391" customWidth="1"/>
    <col min="6153" max="6153" width="19.7109375" style="391" customWidth="1"/>
    <col min="6154" max="6157" width="13.85546875" style="391" customWidth="1"/>
    <col min="6158" max="6158" width="12.28515625" style="391" customWidth="1"/>
    <col min="6159" max="6405" width="8.85546875" style="391"/>
    <col min="6406" max="6406" width="4.7109375" style="391" customWidth="1"/>
    <col min="6407" max="6407" width="28" style="391" customWidth="1"/>
    <col min="6408" max="6408" width="33.42578125" style="391" customWidth="1"/>
    <col min="6409" max="6409" width="19.7109375" style="391" customWidth="1"/>
    <col min="6410" max="6413" width="13.85546875" style="391" customWidth="1"/>
    <col min="6414" max="6414" width="12.28515625" style="391" customWidth="1"/>
    <col min="6415" max="6661" width="8.85546875" style="391"/>
    <col min="6662" max="6662" width="4.7109375" style="391" customWidth="1"/>
    <col min="6663" max="6663" width="28" style="391" customWidth="1"/>
    <col min="6664" max="6664" width="33.42578125" style="391" customWidth="1"/>
    <col min="6665" max="6665" width="19.7109375" style="391" customWidth="1"/>
    <col min="6666" max="6669" width="13.85546875" style="391" customWidth="1"/>
    <col min="6670" max="6670" width="12.28515625" style="391" customWidth="1"/>
    <col min="6671" max="6917" width="8.85546875" style="391"/>
    <col min="6918" max="6918" width="4.7109375" style="391" customWidth="1"/>
    <col min="6919" max="6919" width="28" style="391" customWidth="1"/>
    <col min="6920" max="6920" width="33.42578125" style="391" customWidth="1"/>
    <col min="6921" max="6921" width="19.7109375" style="391" customWidth="1"/>
    <col min="6922" max="6925" width="13.85546875" style="391" customWidth="1"/>
    <col min="6926" max="6926" width="12.28515625" style="391" customWidth="1"/>
    <col min="6927" max="7173" width="8.85546875" style="391"/>
    <col min="7174" max="7174" width="4.7109375" style="391" customWidth="1"/>
    <col min="7175" max="7175" width="28" style="391" customWidth="1"/>
    <col min="7176" max="7176" width="33.42578125" style="391" customWidth="1"/>
    <col min="7177" max="7177" width="19.7109375" style="391" customWidth="1"/>
    <col min="7178" max="7181" width="13.85546875" style="391" customWidth="1"/>
    <col min="7182" max="7182" width="12.28515625" style="391" customWidth="1"/>
    <col min="7183" max="7429" width="8.85546875" style="391"/>
    <col min="7430" max="7430" width="4.7109375" style="391" customWidth="1"/>
    <col min="7431" max="7431" width="28" style="391" customWidth="1"/>
    <col min="7432" max="7432" width="33.42578125" style="391" customWidth="1"/>
    <col min="7433" max="7433" width="19.7109375" style="391" customWidth="1"/>
    <col min="7434" max="7437" width="13.85546875" style="391" customWidth="1"/>
    <col min="7438" max="7438" width="12.28515625" style="391" customWidth="1"/>
    <col min="7439" max="7685" width="8.85546875" style="391"/>
    <col min="7686" max="7686" width="4.7109375" style="391" customWidth="1"/>
    <col min="7687" max="7687" width="28" style="391" customWidth="1"/>
    <col min="7688" max="7688" width="33.42578125" style="391" customWidth="1"/>
    <col min="7689" max="7689" width="19.7109375" style="391" customWidth="1"/>
    <col min="7690" max="7693" width="13.85546875" style="391" customWidth="1"/>
    <col min="7694" max="7694" width="12.28515625" style="391" customWidth="1"/>
    <col min="7695" max="7941" width="8.85546875" style="391"/>
    <col min="7942" max="7942" width="4.7109375" style="391" customWidth="1"/>
    <col min="7943" max="7943" width="28" style="391" customWidth="1"/>
    <col min="7944" max="7944" width="33.42578125" style="391" customWidth="1"/>
    <col min="7945" max="7945" width="19.7109375" style="391" customWidth="1"/>
    <col min="7946" max="7949" width="13.85546875" style="391" customWidth="1"/>
    <col min="7950" max="7950" width="12.28515625" style="391" customWidth="1"/>
    <col min="7951" max="8197" width="8.85546875" style="391"/>
    <col min="8198" max="8198" width="4.7109375" style="391" customWidth="1"/>
    <col min="8199" max="8199" width="28" style="391" customWidth="1"/>
    <col min="8200" max="8200" width="33.42578125" style="391" customWidth="1"/>
    <col min="8201" max="8201" width="19.7109375" style="391" customWidth="1"/>
    <col min="8202" max="8205" width="13.85546875" style="391" customWidth="1"/>
    <col min="8206" max="8206" width="12.28515625" style="391" customWidth="1"/>
    <col min="8207" max="8453" width="8.85546875" style="391"/>
    <col min="8454" max="8454" width="4.7109375" style="391" customWidth="1"/>
    <col min="8455" max="8455" width="28" style="391" customWidth="1"/>
    <col min="8456" max="8456" width="33.42578125" style="391" customWidth="1"/>
    <col min="8457" max="8457" width="19.7109375" style="391" customWidth="1"/>
    <col min="8458" max="8461" width="13.85546875" style="391" customWidth="1"/>
    <col min="8462" max="8462" width="12.28515625" style="391" customWidth="1"/>
    <col min="8463" max="8709" width="8.85546875" style="391"/>
    <col min="8710" max="8710" width="4.7109375" style="391" customWidth="1"/>
    <col min="8711" max="8711" width="28" style="391" customWidth="1"/>
    <col min="8712" max="8712" width="33.42578125" style="391" customWidth="1"/>
    <col min="8713" max="8713" width="19.7109375" style="391" customWidth="1"/>
    <col min="8714" max="8717" width="13.85546875" style="391" customWidth="1"/>
    <col min="8718" max="8718" width="12.28515625" style="391" customWidth="1"/>
    <col min="8719" max="8965" width="8.85546875" style="391"/>
    <col min="8966" max="8966" width="4.7109375" style="391" customWidth="1"/>
    <col min="8967" max="8967" width="28" style="391" customWidth="1"/>
    <col min="8968" max="8968" width="33.42578125" style="391" customWidth="1"/>
    <col min="8969" max="8969" width="19.7109375" style="391" customWidth="1"/>
    <col min="8970" max="8973" width="13.85546875" style="391" customWidth="1"/>
    <col min="8974" max="8974" width="12.28515625" style="391" customWidth="1"/>
    <col min="8975" max="9221" width="8.85546875" style="391"/>
    <col min="9222" max="9222" width="4.7109375" style="391" customWidth="1"/>
    <col min="9223" max="9223" width="28" style="391" customWidth="1"/>
    <col min="9224" max="9224" width="33.42578125" style="391" customWidth="1"/>
    <col min="9225" max="9225" width="19.7109375" style="391" customWidth="1"/>
    <col min="9226" max="9229" width="13.85546875" style="391" customWidth="1"/>
    <col min="9230" max="9230" width="12.28515625" style="391" customWidth="1"/>
    <col min="9231" max="9477" width="8.85546875" style="391"/>
    <col min="9478" max="9478" width="4.7109375" style="391" customWidth="1"/>
    <col min="9479" max="9479" width="28" style="391" customWidth="1"/>
    <col min="9480" max="9480" width="33.42578125" style="391" customWidth="1"/>
    <col min="9481" max="9481" width="19.7109375" style="391" customWidth="1"/>
    <col min="9482" max="9485" width="13.85546875" style="391" customWidth="1"/>
    <col min="9486" max="9486" width="12.28515625" style="391" customWidth="1"/>
    <col min="9487" max="9733" width="8.85546875" style="391"/>
    <col min="9734" max="9734" width="4.7109375" style="391" customWidth="1"/>
    <col min="9735" max="9735" width="28" style="391" customWidth="1"/>
    <col min="9736" max="9736" width="33.42578125" style="391" customWidth="1"/>
    <col min="9737" max="9737" width="19.7109375" style="391" customWidth="1"/>
    <col min="9738" max="9741" width="13.85546875" style="391" customWidth="1"/>
    <col min="9742" max="9742" width="12.28515625" style="391" customWidth="1"/>
    <col min="9743" max="9989" width="8.85546875" style="391"/>
    <col min="9990" max="9990" width="4.7109375" style="391" customWidth="1"/>
    <col min="9991" max="9991" width="28" style="391" customWidth="1"/>
    <col min="9992" max="9992" width="33.42578125" style="391" customWidth="1"/>
    <col min="9993" max="9993" width="19.7109375" style="391" customWidth="1"/>
    <col min="9994" max="9997" width="13.85546875" style="391" customWidth="1"/>
    <col min="9998" max="9998" width="12.28515625" style="391" customWidth="1"/>
    <col min="9999" max="10245" width="8.85546875" style="391"/>
    <col min="10246" max="10246" width="4.7109375" style="391" customWidth="1"/>
    <col min="10247" max="10247" width="28" style="391" customWidth="1"/>
    <col min="10248" max="10248" width="33.42578125" style="391" customWidth="1"/>
    <col min="10249" max="10249" width="19.7109375" style="391" customWidth="1"/>
    <col min="10250" max="10253" width="13.85546875" style="391" customWidth="1"/>
    <col min="10254" max="10254" width="12.28515625" style="391" customWidth="1"/>
    <col min="10255" max="10501" width="8.85546875" style="391"/>
    <col min="10502" max="10502" width="4.7109375" style="391" customWidth="1"/>
    <col min="10503" max="10503" width="28" style="391" customWidth="1"/>
    <col min="10504" max="10504" width="33.42578125" style="391" customWidth="1"/>
    <col min="10505" max="10505" width="19.7109375" style="391" customWidth="1"/>
    <col min="10506" max="10509" width="13.85546875" style="391" customWidth="1"/>
    <col min="10510" max="10510" width="12.28515625" style="391" customWidth="1"/>
    <col min="10511" max="10757" width="8.85546875" style="391"/>
    <col min="10758" max="10758" width="4.7109375" style="391" customWidth="1"/>
    <col min="10759" max="10759" width="28" style="391" customWidth="1"/>
    <col min="10760" max="10760" width="33.42578125" style="391" customWidth="1"/>
    <col min="10761" max="10761" width="19.7109375" style="391" customWidth="1"/>
    <col min="10762" max="10765" width="13.85546875" style="391" customWidth="1"/>
    <col min="10766" max="10766" width="12.28515625" style="391" customWidth="1"/>
    <col min="10767" max="11013" width="8.85546875" style="391"/>
    <col min="11014" max="11014" width="4.7109375" style="391" customWidth="1"/>
    <col min="11015" max="11015" width="28" style="391" customWidth="1"/>
    <col min="11016" max="11016" width="33.42578125" style="391" customWidth="1"/>
    <col min="11017" max="11017" width="19.7109375" style="391" customWidth="1"/>
    <col min="11018" max="11021" width="13.85546875" style="391" customWidth="1"/>
    <col min="11022" max="11022" width="12.28515625" style="391" customWidth="1"/>
    <col min="11023" max="11269" width="8.85546875" style="391"/>
    <col min="11270" max="11270" width="4.7109375" style="391" customWidth="1"/>
    <col min="11271" max="11271" width="28" style="391" customWidth="1"/>
    <col min="11272" max="11272" width="33.42578125" style="391" customWidth="1"/>
    <col min="11273" max="11273" width="19.7109375" style="391" customWidth="1"/>
    <col min="11274" max="11277" width="13.85546875" style="391" customWidth="1"/>
    <col min="11278" max="11278" width="12.28515625" style="391" customWidth="1"/>
    <col min="11279" max="11525" width="8.85546875" style="391"/>
    <col min="11526" max="11526" width="4.7109375" style="391" customWidth="1"/>
    <col min="11527" max="11527" width="28" style="391" customWidth="1"/>
    <col min="11528" max="11528" width="33.42578125" style="391" customWidth="1"/>
    <col min="11529" max="11529" width="19.7109375" style="391" customWidth="1"/>
    <col min="11530" max="11533" width="13.85546875" style="391" customWidth="1"/>
    <col min="11534" max="11534" width="12.28515625" style="391" customWidth="1"/>
    <col min="11535" max="11781" width="8.85546875" style="391"/>
    <col min="11782" max="11782" width="4.7109375" style="391" customWidth="1"/>
    <col min="11783" max="11783" width="28" style="391" customWidth="1"/>
    <col min="11784" max="11784" width="33.42578125" style="391" customWidth="1"/>
    <col min="11785" max="11785" width="19.7109375" style="391" customWidth="1"/>
    <col min="11786" max="11789" width="13.85546875" style="391" customWidth="1"/>
    <col min="11790" max="11790" width="12.28515625" style="391" customWidth="1"/>
    <col min="11791" max="12037" width="8.85546875" style="391"/>
    <col min="12038" max="12038" width="4.7109375" style="391" customWidth="1"/>
    <col min="12039" max="12039" width="28" style="391" customWidth="1"/>
    <col min="12040" max="12040" width="33.42578125" style="391" customWidth="1"/>
    <col min="12041" max="12041" width="19.7109375" style="391" customWidth="1"/>
    <col min="12042" max="12045" width="13.85546875" style="391" customWidth="1"/>
    <col min="12046" max="12046" width="12.28515625" style="391" customWidth="1"/>
    <col min="12047" max="12293" width="8.85546875" style="391"/>
    <col min="12294" max="12294" width="4.7109375" style="391" customWidth="1"/>
    <col min="12295" max="12295" width="28" style="391" customWidth="1"/>
    <col min="12296" max="12296" width="33.42578125" style="391" customWidth="1"/>
    <col min="12297" max="12297" width="19.7109375" style="391" customWidth="1"/>
    <col min="12298" max="12301" width="13.85546875" style="391" customWidth="1"/>
    <col min="12302" max="12302" width="12.28515625" style="391" customWidth="1"/>
    <col min="12303" max="12549" width="8.85546875" style="391"/>
    <col min="12550" max="12550" width="4.7109375" style="391" customWidth="1"/>
    <col min="12551" max="12551" width="28" style="391" customWidth="1"/>
    <col min="12552" max="12552" width="33.42578125" style="391" customWidth="1"/>
    <col min="12553" max="12553" width="19.7109375" style="391" customWidth="1"/>
    <col min="12554" max="12557" width="13.85546875" style="391" customWidth="1"/>
    <col min="12558" max="12558" width="12.28515625" style="391" customWidth="1"/>
    <col min="12559" max="12805" width="8.85546875" style="391"/>
    <col min="12806" max="12806" width="4.7109375" style="391" customWidth="1"/>
    <col min="12807" max="12807" width="28" style="391" customWidth="1"/>
    <col min="12808" max="12808" width="33.42578125" style="391" customWidth="1"/>
    <col min="12809" max="12809" width="19.7109375" style="391" customWidth="1"/>
    <col min="12810" max="12813" width="13.85546875" style="391" customWidth="1"/>
    <col min="12814" max="12814" width="12.28515625" style="391" customWidth="1"/>
    <col min="12815" max="13061" width="8.85546875" style="391"/>
    <col min="13062" max="13062" width="4.7109375" style="391" customWidth="1"/>
    <col min="13063" max="13063" width="28" style="391" customWidth="1"/>
    <col min="13064" max="13064" width="33.42578125" style="391" customWidth="1"/>
    <col min="13065" max="13065" width="19.7109375" style="391" customWidth="1"/>
    <col min="13066" max="13069" width="13.85546875" style="391" customWidth="1"/>
    <col min="13070" max="13070" width="12.28515625" style="391" customWidth="1"/>
    <col min="13071" max="13317" width="8.85546875" style="391"/>
    <col min="13318" max="13318" width="4.7109375" style="391" customWidth="1"/>
    <col min="13319" max="13319" width="28" style="391" customWidth="1"/>
    <col min="13320" max="13320" width="33.42578125" style="391" customWidth="1"/>
    <col min="13321" max="13321" width="19.7109375" style="391" customWidth="1"/>
    <col min="13322" max="13325" width="13.85546875" style="391" customWidth="1"/>
    <col min="13326" max="13326" width="12.28515625" style="391" customWidth="1"/>
    <col min="13327" max="13573" width="8.85546875" style="391"/>
    <col min="13574" max="13574" width="4.7109375" style="391" customWidth="1"/>
    <col min="13575" max="13575" width="28" style="391" customWidth="1"/>
    <col min="13576" max="13576" width="33.42578125" style="391" customWidth="1"/>
    <col min="13577" max="13577" width="19.7109375" style="391" customWidth="1"/>
    <col min="13578" max="13581" width="13.85546875" style="391" customWidth="1"/>
    <col min="13582" max="13582" width="12.28515625" style="391" customWidth="1"/>
    <col min="13583" max="13829" width="8.85546875" style="391"/>
    <col min="13830" max="13830" width="4.7109375" style="391" customWidth="1"/>
    <col min="13831" max="13831" width="28" style="391" customWidth="1"/>
    <col min="13832" max="13832" width="33.42578125" style="391" customWidth="1"/>
    <col min="13833" max="13833" width="19.7109375" style="391" customWidth="1"/>
    <col min="13834" max="13837" width="13.85546875" style="391" customWidth="1"/>
    <col min="13838" max="13838" width="12.28515625" style="391" customWidth="1"/>
    <col min="13839" max="14085" width="8.85546875" style="391"/>
    <col min="14086" max="14086" width="4.7109375" style="391" customWidth="1"/>
    <col min="14087" max="14087" width="28" style="391" customWidth="1"/>
    <col min="14088" max="14088" width="33.42578125" style="391" customWidth="1"/>
    <col min="14089" max="14089" width="19.7109375" style="391" customWidth="1"/>
    <col min="14090" max="14093" width="13.85546875" style="391" customWidth="1"/>
    <col min="14094" max="14094" width="12.28515625" style="391" customWidth="1"/>
    <col min="14095" max="14341" width="8.85546875" style="391"/>
    <col min="14342" max="14342" width="4.7109375" style="391" customWidth="1"/>
    <col min="14343" max="14343" width="28" style="391" customWidth="1"/>
    <col min="14344" max="14344" width="33.42578125" style="391" customWidth="1"/>
    <col min="14345" max="14345" width="19.7109375" style="391" customWidth="1"/>
    <col min="14346" max="14349" width="13.85546875" style="391" customWidth="1"/>
    <col min="14350" max="14350" width="12.28515625" style="391" customWidth="1"/>
    <col min="14351" max="14597" width="8.85546875" style="391"/>
    <col min="14598" max="14598" width="4.7109375" style="391" customWidth="1"/>
    <col min="14599" max="14599" width="28" style="391" customWidth="1"/>
    <col min="14600" max="14600" width="33.42578125" style="391" customWidth="1"/>
    <col min="14601" max="14601" width="19.7109375" style="391" customWidth="1"/>
    <col min="14602" max="14605" width="13.85546875" style="391" customWidth="1"/>
    <col min="14606" max="14606" width="12.28515625" style="391" customWidth="1"/>
    <col min="14607" max="14853" width="8.85546875" style="391"/>
    <col min="14854" max="14854" width="4.7109375" style="391" customWidth="1"/>
    <col min="14855" max="14855" width="28" style="391" customWidth="1"/>
    <col min="14856" max="14856" width="33.42578125" style="391" customWidth="1"/>
    <col min="14857" max="14857" width="19.7109375" style="391" customWidth="1"/>
    <col min="14858" max="14861" width="13.85546875" style="391" customWidth="1"/>
    <col min="14862" max="14862" width="12.28515625" style="391" customWidth="1"/>
    <col min="14863" max="15109" width="8.85546875" style="391"/>
    <col min="15110" max="15110" width="4.7109375" style="391" customWidth="1"/>
    <col min="15111" max="15111" width="28" style="391" customWidth="1"/>
    <col min="15112" max="15112" width="33.42578125" style="391" customWidth="1"/>
    <col min="15113" max="15113" width="19.7109375" style="391" customWidth="1"/>
    <col min="15114" max="15117" width="13.85546875" style="391" customWidth="1"/>
    <col min="15118" max="15118" width="12.28515625" style="391" customWidth="1"/>
    <col min="15119" max="15365" width="8.85546875" style="391"/>
    <col min="15366" max="15366" width="4.7109375" style="391" customWidth="1"/>
    <col min="15367" max="15367" width="28" style="391" customWidth="1"/>
    <col min="15368" max="15368" width="33.42578125" style="391" customWidth="1"/>
    <col min="15369" max="15369" width="19.7109375" style="391" customWidth="1"/>
    <col min="15370" max="15373" width="13.85546875" style="391" customWidth="1"/>
    <col min="15374" max="15374" width="12.28515625" style="391" customWidth="1"/>
    <col min="15375" max="15621" width="8.85546875" style="391"/>
    <col min="15622" max="15622" width="4.7109375" style="391" customWidth="1"/>
    <col min="15623" max="15623" width="28" style="391" customWidth="1"/>
    <col min="15624" max="15624" width="33.42578125" style="391" customWidth="1"/>
    <col min="15625" max="15625" width="19.7109375" style="391" customWidth="1"/>
    <col min="15626" max="15629" width="13.85546875" style="391" customWidth="1"/>
    <col min="15630" max="15630" width="12.28515625" style="391" customWidth="1"/>
    <col min="15631" max="15877" width="8.85546875" style="391"/>
    <col min="15878" max="15878" width="4.7109375" style="391" customWidth="1"/>
    <col min="15879" max="15879" width="28" style="391" customWidth="1"/>
    <col min="15880" max="15880" width="33.42578125" style="391" customWidth="1"/>
    <col min="15881" max="15881" width="19.7109375" style="391" customWidth="1"/>
    <col min="15882" max="15885" width="13.85546875" style="391" customWidth="1"/>
    <col min="15886" max="15886" width="12.28515625" style="391" customWidth="1"/>
    <col min="15887" max="16133" width="8.85546875" style="391"/>
    <col min="16134" max="16134" width="4.7109375" style="391" customWidth="1"/>
    <col min="16135" max="16135" width="28" style="391" customWidth="1"/>
    <col min="16136" max="16136" width="33.42578125" style="391" customWidth="1"/>
    <col min="16137" max="16137" width="19.7109375" style="391" customWidth="1"/>
    <col min="16138" max="16141" width="13.85546875" style="391" customWidth="1"/>
    <col min="16142" max="16142" width="12.28515625" style="391" customWidth="1"/>
    <col min="16143" max="16143" width="8.85546875" style="391"/>
    <col min="16144" max="16384" width="9.140625" style="391"/>
  </cols>
  <sheetData>
    <row r="1" spans="1:15" ht="18.75" customHeight="1">
      <c r="A1" s="389"/>
    </row>
    <row r="2" spans="1:15" s="389" customFormat="1" ht="23.25" customHeight="1">
      <c r="A2" s="446" t="s">
        <v>79</v>
      </c>
      <c r="B2" s="447" t="s">
        <v>667</v>
      </c>
      <c r="C2" s="447" t="s">
        <v>668</v>
      </c>
      <c r="D2" s="447" t="s">
        <v>669</v>
      </c>
      <c r="E2" s="452" t="s">
        <v>875</v>
      </c>
      <c r="F2" s="453"/>
      <c r="G2" s="453"/>
      <c r="H2" s="453"/>
      <c r="I2" s="454"/>
      <c r="J2" s="458" t="s">
        <v>876</v>
      </c>
      <c r="K2" s="458"/>
      <c r="L2" s="458"/>
      <c r="M2" s="458"/>
      <c r="N2" s="447" t="s">
        <v>723</v>
      </c>
    </row>
    <row r="3" spans="1:15" ht="23.25" customHeight="1">
      <c r="A3" s="446"/>
      <c r="B3" s="449"/>
      <c r="C3" s="449"/>
      <c r="D3" s="449"/>
      <c r="E3" s="447" t="s">
        <v>670</v>
      </c>
      <c r="F3" s="450" t="s">
        <v>671</v>
      </c>
      <c r="G3" s="451"/>
      <c r="H3" s="447" t="s">
        <v>672</v>
      </c>
      <c r="I3" s="455" t="s">
        <v>1055</v>
      </c>
      <c r="J3" s="449" t="s">
        <v>670</v>
      </c>
      <c r="K3" s="449" t="s">
        <v>672</v>
      </c>
      <c r="L3" s="457" t="s">
        <v>1055</v>
      </c>
      <c r="M3" s="449" t="s">
        <v>1063</v>
      </c>
      <c r="N3" s="449"/>
    </row>
    <row r="4" spans="1:15" ht="32.25" customHeight="1">
      <c r="A4" s="446"/>
      <c r="B4" s="448"/>
      <c r="C4" s="448"/>
      <c r="D4" s="448"/>
      <c r="E4" s="448"/>
      <c r="F4" s="392" t="s">
        <v>881</v>
      </c>
      <c r="G4" s="392" t="s">
        <v>882</v>
      </c>
      <c r="H4" s="448"/>
      <c r="I4" s="456"/>
      <c r="J4" s="448"/>
      <c r="K4" s="448"/>
      <c r="L4" s="456"/>
      <c r="M4" s="448"/>
      <c r="N4" s="448"/>
    </row>
    <row r="5" spans="1:15" ht="40.5" customHeight="1">
      <c r="A5" s="405">
        <f>ROW()-4</f>
        <v>1</v>
      </c>
      <c r="B5" s="393"/>
      <c r="C5" s="394" t="s">
        <v>83</v>
      </c>
      <c r="D5" s="394"/>
      <c r="E5" s="395"/>
      <c r="F5" s="395">
        <f t="shared" ref="F5:F35" si="0">SUMIFS(TH,KHN,"2412",KHC,"331",KH,C5)</f>
        <v>0</v>
      </c>
      <c r="G5" s="395">
        <f t="array" ref="G5">SUM(IF("331"&amp;C5=KHC&amp;KH,TH))</f>
        <v>199400666</v>
      </c>
      <c r="H5" s="395">
        <f t="array" ref="H5">SUM(IF("331"&amp;C5=KHN&amp;KH,TH))</f>
        <v>233808666</v>
      </c>
      <c r="I5" s="423">
        <f>G5-H5</f>
        <v>-34408000</v>
      </c>
      <c r="J5" s="395">
        <f>IF(E5&gt;G5,E5,G5)</f>
        <v>199400666</v>
      </c>
      <c r="K5" s="395">
        <f>H5</f>
        <v>233808666</v>
      </c>
      <c r="L5" s="423">
        <f>J5-K5</f>
        <v>-34408000</v>
      </c>
      <c r="M5" s="395"/>
      <c r="N5" s="395">
        <f>IF(E5&gt;F5,E5,F5)</f>
        <v>0</v>
      </c>
      <c r="O5" s="396"/>
    </row>
    <row r="6" spans="1:15" ht="40.5" customHeight="1">
      <c r="A6" s="405">
        <f t="shared" ref="A6:A37" si="1">ROW()-4</f>
        <v>2</v>
      </c>
      <c r="B6" s="393" t="s">
        <v>381</v>
      </c>
      <c r="C6" s="394" t="s">
        <v>108</v>
      </c>
      <c r="D6" s="394" t="s">
        <v>673</v>
      </c>
      <c r="E6" s="395">
        <v>80000000</v>
      </c>
      <c r="F6" s="395">
        <f t="shared" si="0"/>
        <v>72727273</v>
      </c>
      <c r="G6" s="395">
        <f t="array" ref="G6">SUM(IF("331"&amp;C6=KHC&amp;KH,TH))</f>
        <v>80000000</v>
      </c>
      <c r="H6" s="395">
        <f t="array" ref="H6">SUM(IF("331"&amp;C6=KHN&amp;KH,TH))</f>
        <v>80000000</v>
      </c>
      <c r="I6" s="423">
        <f t="shared" ref="I6:I35" si="2">G6-H6</f>
        <v>0</v>
      </c>
      <c r="J6" s="395">
        <f t="shared" ref="J6:J21" si="3">IF(E6&gt;G6,E6,G6)</f>
        <v>80000000</v>
      </c>
      <c r="K6" s="395">
        <f t="shared" ref="K6:K21" si="4">H6</f>
        <v>80000000</v>
      </c>
      <c r="L6" s="423">
        <f t="shared" ref="L6:L35" si="5">J6-K6</f>
        <v>0</v>
      </c>
      <c r="M6" s="395"/>
      <c r="N6" s="395">
        <f t="shared" ref="N6:N37" si="6">IF(E6&gt;F6,E6,F6)</f>
        <v>80000000</v>
      </c>
      <c r="O6" s="396"/>
    </row>
    <row r="7" spans="1:15" ht="40.5" customHeight="1">
      <c r="A7" s="405">
        <f t="shared" si="1"/>
        <v>3</v>
      </c>
      <c r="B7" s="397" t="s">
        <v>674</v>
      </c>
      <c r="C7" s="398" t="s">
        <v>132</v>
      </c>
      <c r="D7" s="398" t="s">
        <v>675</v>
      </c>
      <c r="E7" s="399"/>
      <c r="F7" s="395">
        <f t="shared" si="0"/>
        <v>28000005</v>
      </c>
      <c r="G7" s="395">
        <f t="array" ref="G7">SUM(IF("331"&amp;C7=KHC&amp;KH,TH))</f>
        <v>30800005</v>
      </c>
      <c r="H7" s="395">
        <f t="array" ref="H7">SUM(IF("331"&amp;C7=KHN&amp;KH,TH))</f>
        <v>30800005</v>
      </c>
      <c r="I7" s="423">
        <f t="shared" si="2"/>
        <v>0</v>
      </c>
      <c r="J7" s="395">
        <f t="shared" si="3"/>
        <v>30800005</v>
      </c>
      <c r="K7" s="395">
        <f t="shared" si="4"/>
        <v>30800005</v>
      </c>
      <c r="L7" s="423">
        <f t="shared" si="5"/>
        <v>0</v>
      </c>
      <c r="M7" s="395"/>
      <c r="N7" s="395">
        <f t="shared" si="6"/>
        <v>28000005</v>
      </c>
      <c r="O7" s="396"/>
    </row>
    <row r="8" spans="1:15" ht="40.5" customHeight="1">
      <c r="A8" s="405">
        <f t="shared" si="1"/>
        <v>4</v>
      </c>
      <c r="B8" s="397" t="s">
        <v>701</v>
      </c>
      <c r="C8" s="398" t="s">
        <v>284</v>
      </c>
      <c r="D8" s="398" t="s">
        <v>702</v>
      </c>
      <c r="E8" s="399"/>
      <c r="F8" s="395">
        <f t="shared" si="0"/>
        <v>30440000</v>
      </c>
      <c r="G8" s="395">
        <f t="array" ref="G8">SUM(IF("331"&amp;C8=KHC&amp;KH,TH))</f>
        <v>30440000</v>
      </c>
      <c r="H8" s="395">
        <f t="array" ref="H8">SUM(IF("331"&amp;C8=KHN&amp;KH,TH))</f>
        <v>30440000</v>
      </c>
      <c r="I8" s="423">
        <f t="shared" si="2"/>
        <v>0</v>
      </c>
      <c r="J8" s="395">
        <f t="shared" si="3"/>
        <v>30440000</v>
      </c>
      <c r="K8" s="395">
        <f t="shared" si="4"/>
        <v>30440000</v>
      </c>
      <c r="L8" s="423">
        <f t="shared" si="5"/>
        <v>0</v>
      </c>
      <c r="M8" s="395"/>
      <c r="N8" s="395">
        <f t="shared" si="6"/>
        <v>30440000</v>
      </c>
      <c r="O8" s="396"/>
    </row>
    <row r="9" spans="1:15" ht="40.5" customHeight="1">
      <c r="A9" s="405">
        <f t="shared" si="1"/>
        <v>5</v>
      </c>
      <c r="B9" s="397"/>
      <c r="C9" s="398" t="s">
        <v>311</v>
      </c>
      <c r="D9" s="398" t="s">
        <v>883</v>
      </c>
      <c r="E9" s="399"/>
      <c r="F9" s="395">
        <f t="shared" si="0"/>
        <v>19645867</v>
      </c>
      <c r="G9" s="395">
        <f t="array" ref="G9">SUM(IF("331"&amp;C9=KHC&amp;KH,TH))</f>
        <v>21610454</v>
      </c>
      <c r="H9" s="395">
        <f t="array" ref="H9">SUM(IF("331"&amp;C9=KHN&amp;KH,TH))</f>
        <v>21610454</v>
      </c>
      <c r="I9" s="423">
        <f t="shared" si="2"/>
        <v>0</v>
      </c>
      <c r="J9" s="395">
        <f t="shared" si="3"/>
        <v>21610454</v>
      </c>
      <c r="K9" s="395">
        <f t="shared" si="4"/>
        <v>21610454</v>
      </c>
      <c r="L9" s="423">
        <f t="shared" si="5"/>
        <v>0</v>
      </c>
      <c r="M9" s="395"/>
      <c r="N9" s="395">
        <f t="shared" si="6"/>
        <v>19645867</v>
      </c>
      <c r="O9" s="396"/>
    </row>
    <row r="10" spans="1:15" ht="40.5" customHeight="1">
      <c r="A10" s="405">
        <f t="shared" si="1"/>
        <v>6</v>
      </c>
      <c r="B10" s="397"/>
      <c r="C10" s="398" t="s">
        <v>440</v>
      </c>
      <c r="D10" s="398" t="s">
        <v>438</v>
      </c>
      <c r="E10" s="399"/>
      <c r="F10" s="395">
        <f t="shared" si="0"/>
        <v>30000000</v>
      </c>
      <c r="G10" s="395">
        <f t="array" ref="G10">SUM(IF("331"&amp;C10=KHC&amp;KH,TH))</f>
        <v>33000000</v>
      </c>
      <c r="H10" s="395">
        <f t="array" ref="H10">SUM(IF("331"&amp;C10=KHN&amp;KH,TH))</f>
        <v>33000000</v>
      </c>
      <c r="I10" s="423">
        <f t="shared" si="2"/>
        <v>0</v>
      </c>
      <c r="J10" s="395">
        <f t="shared" si="3"/>
        <v>33000000</v>
      </c>
      <c r="K10" s="395">
        <f t="shared" si="4"/>
        <v>33000000</v>
      </c>
      <c r="L10" s="423">
        <f t="shared" si="5"/>
        <v>0</v>
      </c>
      <c r="M10" s="395"/>
      <c r="N10" s="395">
        <f t="shared" si="6"/>
        <v>30000000</v>
      </c>
      <c r="O10" s="396"/>
    </row>
    <row r="11" spans="1:15" ht="40.5" customHeight="1">
      <c r="A11" s="405">
        <f t="shared" si="1"/>
        <v>7</v>
      </c>
      <c r="B11" s="397" t="s">
        <v>384</v>
      </c>
      <c r="C11" s="398" t="s">
        <v>129</v>
      </c>
      <c r="D11" s="398" t="s">
        <v>676</v>
      </c>
      <c r="E11" s="399">
        <v>16327199</v>
      </c>
      <c r="F11" s="395">
        <f t="shared" si="0"/>
        <v>14842908</v>
      </c>
      <c r="G11" s="395">
        <f t="array" ref="G11">SUM(IF("331"&amp;C11=KHC&amp;KH,TH))</f>
        <v>16327199</v>
      </c>
      <c r="H11" s="395">
        <f t="array" ref="H11">SUM(IF("331"&amp;C11=KHN&amp;KH,TH))</f>
        <v>16327199</v>
      </c>
      <c r="I11" s="423">
        <f t="shared" si="2"/>
        <v>0</v>
      </c>
      <c r="J11" s="395">
        <f t="shared" si="3"/>
        <v>16327199</v>
      </c>
      <c r="K11" s="395">
        <f t="shared" si="4"/>
        <v>16327199</v>
      </c>
      <c r="L11" s="423">
        <f t="shared" si="5"/>
        <v>0</v>
      </c>
      <c r="M11" s="395"/>
      <c r="N11" s="395">
        <f t="shared" si="6"/>
        <v>16327199</v>
      </c>
      <c r="O11" s="396"/>
    </row>
    <row r="12" spans="1:15" ht="40.5" customHeight="1">
      <c r="A12" s="405">
        <f t="shared" si="1"/>
        <v>8</v>
      </c>
      <c r="B12" s="397" t="s">
        <v>677</v>
      </c>
      <c r="C12" s="398" t="s">
        <v>89</v>
      </c>
      <c r="D12" s="398" t="s">
        <v>678</v>
      </c>
      <c r="E12" s="399">
        <f>1262599800+324737600</f>
        <v>1587337400</v>
      </c>
      <c r="F12" s="395">
        <f t="shared" si="0"/>
        <v>1443034000</v>
      </c>
      <c r="G12" s="395">
        <f t="array" ref="G12">SUM(IF("331"&amp;C12=KHC&amp;KH,TH))</f>
        <v>1587337400</v>
      </c>
      <c r="H12" s="395">
        <f t="array" ref="H12">SUM(IF("331"&amp;C12=KHN&amp;KH,TH))</f>
        <v>1587337400</v>
      </c>
      <c r="I12" s="423">
        <f t="shared" si="2"/>
        <v>0</v>
      </c>
      <c r="J12" s="395">
        <f t="shared" si="3"/>
        <v>1587337400</v>
      </c>
      <c r="K12" s="395">
        <f t="shared" si="4"/>
        <v>1587337400</v>
      </c>
      <c r="L12" s="423">
        <f t="shared" si="5"/>
        <v>0</v>
      </c>
      <c r="M12" s="395"/>
      <c r="N12" s="395">
        <f t="shared" si="6"/>
        <v>1587337400</v>
      </c>
      <c r="O12" s="396"/>
    </row>
    <row r="13" spans="1:15" ht="40.5" customHeight="1">
      <c r="A13" s="405">
        <f t="shared" si="1"/>
        <v>9</v>
      </c>
      <c r="B13" s="397" t="s">
        <v>387</v>
      </c>
      <c r="C13" s="398" t="s">
        <v>91</v>
      </c>
      <c r="D13" s="398" t="s">
        <v>679</v>
      </c>
      <c r="E13" s="399">
        <v>230800000</v>
      </c>
      <c r="F13" s="395">
        <f t="shared" si="0"/>
        <v>262727273</v>
      </c>
      <c r="G13" s="395">
        <f t="array" ref="G13">SUM(IF("331"&amp;C13=KHC&amp;KH,TH))</f>
        <v>289000000</v>
      </c>
      <c r="H13" s="395">
        <f t="array" ref="H13">SUM(IF("331"&amp;C13=KHN&amp;KH,TH))</f>
        <v>289000000</v>
      </c>
      <c r="I13" s="423">
        <f t="shared" si="2"/>
        <v>0</v>
      </c>
      <c r="J13" s="395">
        <f t="shared" si="3"/>
        <v>289000000</v>
      </c>
      <c r="K13" s="395">
        <f t="shared" si="4"/>
        <v>289000000</v>
      </c>
      <c r="L13" s="423">
        <f t="shared" si="5"/>
        <v>0</v>
      </c>
      <c r="M13" s="395"/>
      <c r="N13" s="395">
        <f t="shared" si="6"/>
        <v>262727273</v>
      </c>
      <c r="O13" s="396"/>
    </row>
    <row r="14" spans="1:15" ht="40.5" customHeight="1">
      <c r="A14" s="405">
        <f>ROW()-4</f>
        <v>10</v>
      </c>
      <c r="B14" s="397" t="s">
        <v>707</v>
      </c>
      <c r="C14" s="398" t="s">
        <v>304</v>
      </c>
      <c r="D14" s="398" t="s">
        <v>708</v>
      </c>
      <c r="E14" s="399">
        <v>150126466</v>
      </c>
      <c r="F14" s="395">
        <f t="shared" si="0"/>
        <v>136478605</v>
      </c>
      <c r="G14" s="395">
        <f t="array" ref="G14">SUM(IF("331"&amp;C14=KHC&amp;KH,TH))</f>
        <v>150454066</v>
      </c>
      <c r="H14" s="395">
        <f t="array" ref="H14">SUM(IF("331"&amp;C14=KHN&amp;KH,TH))</f>
        <v>150454066</v>
      </c>
      <c r="I14" s="423">
        <f t="shared" si="2"/>
        <v>0</v>
      </c>
      <c r="J14" s="395">
        <f t="shared" si="3"/>
        <v>150454066</v>
      </c>
      <c r="K14" s="395">
        <f t="shared" si="4"/>
        <v>150454066</v>
      </c>
      <c r="L14" s="423">
        <f t="shared" si="5"/>
        <v>0</v>
      </c>
      <c r="M14" s="395"/>
      <c r="N14" s="395">
        <f t="shared" si="6"/>
        <v>150126466</v>
      </c>
      <c r="O14" s="396"/>
    </row>
    <row r="15" spans="1:15" ht="40.5" customHeight="1">
      <c r="A15" s="405">
        <f t="shared" si="1"/>
        <v>11</v>
      </c>
      <c r="B15" s="397" t="s">
        <v>703</v>
      </c>
      <c r="C15" s="398" t="s">
        <v>356</v>
      </c>
      <c r="D15" s="398" t="s">
        <v>704</v>
      </c>
      <c r="E15" s="399"/>
      <c r="F15" s="395">
        <f t="shared" si="0"/>
        <v>48236364</v>
      </c>
      <c r="G15" s="395">
        <f t="array" ref="G15">SUM(IF("331"&amp;C15=KHC&amp;KH,TH))</f>
        <v>53060000</v>
      </c>
      <c r="H15" s="395">
        <f t="array" ref="H15">SUM(IF("331"&amp;C15=KHN&amp;KH,TH))</f>
        <v>53060000</v>
      </c>
      <c r="I15" s="423">
        <f t="shared" si="2"/>
        <v>0</v>
      </c>
      <c r="J15" s="395">
        <f t="shared" si="3"/>
        <v>53060000</v>
      </c>
      <c r="K15" s="395">
        <f t="shared" si="4"/>
        <v>53060000</v>
      </c>
      <c r="L15" s="423">
        <f t="shared" si="5"/>
        <v>0</v>
      </c>
      <c r="M15" s="395"/>
      <c r="N15" s="395">
        <f t="shared" si="6"/>
        <v>48236364</v>
      </c>
      <c r="O15" s="396"/>
    </row>
    <row r="16" spans="1:15" ht="40.5" customHeight="1">
      <c r="A16" s="405">
        <f t="shared" si="1"/>
        <v>12</v>
      </c>
      <c r="B16" s="397"/>
      <c r="C16" s="398" t="s">
        <v>90</v>
      </c>
      <c r="D16" s="398"/>
      <c r="E16" s="399"/>
      <c r="F16" s="395">
        <f t="shared" si="0"/>
        <v>0</v>
      </c>
      <c r="G16" s="395">
        <f t="array" ref="G16">SUM(IF("331"&amp;C16=KHC&amp;KH,TH))</f>
        <v>0</v>
      </c>
      <c r="H16" s="395">
        <f t="array" ref="H16">SUM(IF("331"&amp;C16=KHN&amp;KH,TH))</f>
        <v>60000000</v>
      </c>
      <c r="I16" s="423">
        <f t="shared" si="2"/>
        <v>-60000000</v>
      </c>
      <c r="J16" s="395">
        <f t="shared" si="3"/>
        <v>0</v>
      </c>
      <c r="K16" s="395">
        <f t="shared" si="4"/>
        <v>60000000</v>
      </c>
      <c r="L16" s="423">
        <f t="shared" si="5"/>
        <v>-60000000</v>
      </c>
      <c r="M16" s="395"/>
      <c r="N16" s="395">
        <f t="shared" si="6"/>
        <v>0</v>
      </c>
      <c r="O16" s="396"/>
    </row>
    <row r="17" spans="1:15" ht="40.5" customHeight="1">
      <c r="A17" s="405">
        <f t="shared" si="1"/>
        <v>13</v>
      </c>
      <c r="B17" s="397" t="s">
        <v>712</v>
      </c>
      <c r="C17" s="400" t="s">
        <v>86</v>
      </c>
      <c r="D17" s="398" t="s">
        <v>874</v>
      </c>
      <c r="E17" s="399">
        <f>60500000+428000000</f>
        <v>488500000</v>
      </c>
      <c r="F17" s="395">
        <f t="shared" si="0"/>
        <v>444090909</v>
      </c>
      <c r="G17" s="395">
        <f t="array" ref="G17">SUM(IF("331"&amp;C17=KHC&amp;KH,TH))</f>
        <v>488500000</v>
      </c>
      <c r="H17" s="395">
        <f t="array" ref="H17">SUM(IF("331"&amp;C17=KHN&amp;KH,TH))</f>
        <v>188900000</v>
      </c>
      <c r="I17" s="423">
        <f t="shared" si="2"/>
        <v>299600000</v>
      </c>
      <c r="J17" s="395">
        <f t="shared" si="3"/>
        <v>488500000</v>
      </c>
      <c r="K17" s="395">
        <f t="shared" si="4"/>
        <v>188900000</v>
      </c>
      <c r="L17" s="423">
        <f t="shared" si="5"/>
        <v>299600000</v>
      </c>
      <c r="M17" s="395"/>
      <c r="N17" s="395">
        <f t="shared" si="6"/>
        <v>488500000</v>
      </c>
      <c r="O17" s="396"/>
    </row>
    <row r="18" spans="1:15" ht="40.5" customHeight="1">
      <c r="A18" s="405">
        <f t="shared" si="1"/>
        <v>14</v>
      </c>
      <c r="B18" s="397" t="s">
        <v>680</v>
      </c>
      <c r="C18" s="398" t="s">
        <v>109</v>
      </c>
      <c r="D18" s="398" t="s">
        <v>681</v>
      </c>
      <c r="E18" s="399">
        <v>200000000</v>
      </c>
      <c r="F18" s="395">
        <f t="shared" si="0"/>
        <v>181818182</v>
      </c>
      <c r="G18" s="395">
        <f t="array" ref="G18">SUM(IF("331"&amp;C18=KHC&amp;KH,TH))</f>
        <v>200000000</v>
      </c>
      <c r="H18" s="395">
        <f t="array" ref="H18">SUM(IF("331"&amp;C18=KHN&amp;KH,TH))</f>
        <v>200000000</v>
      </c>
      <c r="I18" s="423">
        <f t="shared" si="2"/>
        <v>0</v>
      </c>
      <c r="J18" s="395">
        <f>IF(E18&gt;G18,E18,G18)</f>
        <v>200000000</v>
      </c>
      <c r="K18" s="395">
        <f t="shared" si="4"/>
        <v>200000000</v>
      </c>
      <c r="L18" s="423">
        <f t="shared" si="5"/>
        <v>0</v>
      </c>
      <c r="M18" s="395"/>
      <c r="N18" s="395">
        <f t="shared" si="6"/>
        <v>200000000</v>
      </c>
      <c r="O18" s="396"/>
    </row>
    <row r="19" spans="1:15" ht="40.5" customHeight="1">
      <c r="A19" s="405">
        <f t="shared" si="1"/>
        <v>15</v>
      </c>
      <c r="B19" s="397" t="s">
        <v>400</v>
      </c>
      <c r="C19" s="398" t="s">
        <v>299</v>
      </c>
      <c r="D19" s="398" t="s">
        <v>872</v>
      </c>
      <c r="E19" s="399">
        <f>226999800+866000000</f>
        <v>1092999800</v>
      </c>
      <c r="F19" s="395">
        <f t="shared" si="0"/>
        <v>875917018</v>
      </c>
      <c r="G19" s="395">
        <f t="array" ref="G19">SUM(IF("331"&amp;C19=KHC&amp;KH,TH))</f>
        <v>963508720</v>
      </c>
      <c r="H19" s="395">
        <f t="array" ref="H19">SUM(IF("331"&amp;C19=KHN&amp;KH,TH))</f>
        <v>963508720</v>
      </c>
      <c r="I19" s="423">
        <f t="shared" si="2"/>
        <v>0</v>
      </c>
      <c r="J19" s="395">
        <f>G19</f>
        <v>963508720</v>
      </c>
      <c r="K19" s="395">
        <f t="shared" si="4"/>
        <v>963508720</v>
      </c>
      <c r="L19" s="423">
        <f t="shared" si="5"/>
        <v>0</v>
      </c>
      <c r="M19" s="395"/>
      <c r="N19" s="395">
        <f t="shared" si="6"/>
        <v>1092999800</v>
      </c>
      <c r="O19" s="396"/>
    </row>
    <row r="20" spans="1:15" ht="40.5" customHeight="1">
      <c r="A20" s="405">
        <f t="shared" si="1"/>
        <v>16</v>
      </c>
      <c r="B20" s="397" t="s">
        <v>699</v>
      </c>
      <c r="C20" s="398" t="s">
        <v>301</v>
      </c>
      <c r="D20" s="398" t="s">
        <v>700</v>
      </c>
      <c r="E20" s="399">
        <v>570000000</v>
      </c>
      <c r="F20" s="395">
        <f t="shared" si="0"/>
        <v>518181818</v>
      </c>
      <c r="G20" s="395">
        <f t="array" ref="G20">SUM(IF("331"&amp;C20=KHC&amp;KH,TH))</f>
        <v>570000000</v>
      </c>
      <c r="H20" s="395">
        <f t="array" ref="H20">SUM(IF("331"&amp;C20=KHN&amp;KH,TH))</f>
        <v>570000000</v>
      </c>
      <c r="I20" s="423">
        <f t="shared" si="2"/>
        <v>0</v>
      </c>
      <c r="J20" s="395">
        <f t="shared" si="3"/>
        <v>570000000</v>
      </c>
      <c r="K20" s="395">
        <f t="shared" si="4"/>
        <v>570000000</v>
      </c>
      <c r="L20" s="423">
        <f t="shared" si="5"/>
        <v>0</v>
      </c>
      <c r="M20" s="395"/>
      <c r="N20" s="395">
        <f t="shared" si="6"/>
        <v>570000000</v>
      </c>
      <c r="O20" s="396"/>
    </row>
    <row r="21" spans="1:15" ht="40.5" customHeight="1">
      <c r="A21" s="405">
        <f t="shared" si="1"/>
        <v>17</v>
      </c>
      <c r="B21" s="397" t="s">
        <v>710</v>
      </c>
      <c r="C21" s="398" t="s">
        <v>480</v>
      </c>
      <c r="D21" s="398" t="s">
        <v>711</v>
      </c>
      <c r="E21" s="399">
        <v>599632000</v>
      </c>
      <c r="F21" s="395">
        <f t="shared" si="0"/>
        <v>545120000</v>
      </c>
      <c r="G21" s="395">
        <f t="array" ref="G21">SUM(IF("331"&amp;C21=KHC&amp;KH,TH))</f>
        <v>599632000</v>
      </c>
      <c r="H21" s="395">
        <f t="array" ref="H21">SUM(IF("331"&amp;C21=KHN&amp;KH,TH))</f>
        <v>400000000</v>
      </c>
      <c r="I21" s="423">
        <f t="shared" si="2"/>
        <v>199632000</v>
      </c>
      <c r="J21" s="395">
        <f t="shared" si="3"/>
        <v>599632000</v>
      </c>
      <c r="K21" s="395">
        <f t="shared" si="4"/>
        <v>400000000</v>
      </c>
      <c r="L21" s="423">
        <f t="shared" si="5"/>
        <v>199632000</v>
      </c>
      <c r="M21" s="395"/>
      <c r="N21" s="395">
        <f t="shared" si="6"/>
        <v>599632000</v>
      </c>
      <c r="O21" s="396"/>
    </row>
    <row r="22" spans="1:15" ht="40.5" customHeight="1">
      <c r="A22" s="405">
        <f t="shared" si="1"/>
        <v>18</v>
      </c>
      <c r="B22" s="397" t="s">
        <v>682</v>
      </c>
      <c r="C22" s="398" t="s">
        <v>85</v>
      </c>
      <c r="D22" s="398" t="s">
        <v>683</v>
      </c>
      <c r="E22" s="399">
        <v>11322555140</v>
      </c>
      <c r="F22" s="395">
        <f t="shared" si="0"/>
        <v>7727272727</v>
      </c>
      <c r="G22" s="395">
        <f t="array" ref="G22">SUM(IF("331"&amp;C22=KHC&amp;KH,TH))</f>
        <v>8500000000</v>
      </c>
      <c r="H22" s="395">
        <f t="array" ref="H22">SUM(IF("331"&amp;C22=KHN&amp;KH,TH))</f>
        <v>9350000000</v>
      </c>
      <c r="I22" s="423">
        <f t="shared" si="2"/>
        <v>-850000000</v>
      </c>
      <c r="J22" s="395">
        <v>11322555140</v>
      </c>
      <c r="K22" s="395">
        <f>'TH - TT'!$I$132</f>
        <v>9058500000</v>
      </c>
      <c r="L22" s="423">
        <f t="shared" si="5"/>
        <v>2264055140</v>
      </c>
      <c r="M22" s="395"/>
      <c r="N22" s="395">
        <f t="shared" si="6"/>
        <v>11322555140</v>
      </c>
      <c r="O22" s="396"/>
    </row>
    <row r="23" spans="1:15" ht="40.5" customHeight="1">
      <c r="A23" s="405">
        <f t="shared" si="1"/>
        <v>19</v>
      </c>
      <c r="B23" s="397" t="s">
        <v>684</v>
      </c>
      <c r="C23" s="398" t="s">
        <v>111</v>
      </c>
      <c r="D23" s="398" t="s">
        <v>873</v>
      </c>
      <c r="E23" s="399">
        <f>2508700000+501400000</f>
        <v>3010100000</v>
      </c>
      <c r="F23" s="395">
        <f t="shared" si="0"/>
        <v>2736454546</v>
      </c>
      <c r="G23" s="395">
        <f t="array" ref="G23">SUM(IF("331"&amp;C23=KHC&amp;KH,TH))</f>
        <v>3010100000</v>
      </c>
      <c r="H23" s="395">
        <f t="array" ref="H23">SUM(IF("331"&amp;C23=KHN&amp;KH,TH))</f>
        <v>3010100000</v>
      </c>
      <c r="I23" s="423">
        <f t="shared" si="2"/>
        <v>0</v>
      </c>
      <c r="J23" s="395">
        <f>2248700000+76140000</f>
        <v>2324840000</v>
      </c>
      <c r="K23" s="395">
        <f>'TH - TT'!$I$147</f>
        <v>2212405000</v>
      </c>
      <c r="L23" s="423">
        <f t="shared" si="5"/>
        <v>112435000</v>
      </c>
      <c r="M23" s="395" t="s">
        <v>1064</v>
      </c>
      <c r="N23" s="395">
        <f t="shared" si="6"/>
        <v>3010100000</v>
      </c>
      <c r="O23" s="396"/>
    </row>
    <row r="24" spans="1:15" ht="40.5" customHeight="1">
      <c r="A24" s="413">
        <f t="shared" si="1"/>
        <v>20</v>
      </c>
      <c r="B24" s="397" t="s">
        <v>685</v>
      </c>
      <c r="C24" s="398" t="s">
        <v>138</v>
      </c>
      <c r="D24" s="398" t="s">
        <v>686</v>
      </c>
      <c r="E24" s="399">
        <v>3500000000</v>
      </c>
      <c r="F24" s="395">
        <f t="shared" si="0"/>
        <v>2000000000</v>
      </c>
      <c r="G24" s="395">
        <f t="array" ref="G24">SUM(IF("331"&amp;C24=KHC&amp;KH,TH))</f>
        <v>2200000000</v>
      </c>
      <c r="H24" s="395">
        <f t="array" ref="H24">SUM(IF("331"&amp;C24=KHN&amp;KH,TH))</f>
        <v>3200000000</v>
      </c>
      <c r="I24" s="423">
        <f t="shared" si="2"/>
        <v>-1000000000</v>
      </c>
      <c r="J24" s="395">
        <v>2910000000</v>
      </c>
      <c r="K24" s="395">
        <f>'TH - TT'!$I$158</f>
        <v>2500000000</v>
      </c>
      <c r="L24" s="423">
        <f t="shared" si="5"/>
        <v>410000000</v>
      </c>
      <c r="M24" s="395"/>
      <c r="N24" s="395">
        <f t="shared" si="6"/>
        <v>3500000000</v>
      </c>
      <c r="O24" s="396"/>
    </row>
    <row r="25" spans="1:15" ht="40.5" customHeight="1">
      <c r="A25" s="414">
        <f t="shared" si="1"/>
        <v>21</v>
      </c>
      <c r="B25" s="397" t="s">
        <v>396</v>
      </c>
      <c r="C25" s="398" t="s">
        <v>150</v>
      </c>
      <c r="D25" s="398" t="s">
        <v>687</v>
      </c>
      <c r="E25" s="399">
        <v>1858997690</v>
      </c>
      <c r="F25" s="395">
        <f t="shared" si="0"/>
        <v>1721370700</v>
      </c>
      <c r="G25" s="395">
        <f t="array" ref="G25">SUM(IF("331"&amp;C25=KHC&amp;KH,TH))</f>
        <v>1893507770</v>
      </c>
      <c r="H25" s="395">
        <f t="array" ref="H25">SUM(IF("331"&amp;C25=KHN&amp;KH,TH))</f>
        <v>860000000</v>
      </c>
      <c r="I25" s="423">
        <f t="shared" si="2"/>
        <v>1033507770</v>
      </c>
      <c r="J25" s="395">
        <v>1300000000</v>
      </c>
      <c r="K25" s="395">
        <f>'TH - TT'!I165</f>
        <v>660000000</v>
      </c>
      <c r="L25" s="423">
        <f t="shared" si="5"/>
        <v>640000000</v>
      </c>
      <c r="M25" s="395"/>
      <c r="N25" s="395">
        <f t="shared" si="6"/>
        <v>1858997690</v>
      </c>
      <c r="O25" s="396"/>
    </row>
    <row r="26" spans="1:15" ht="40.5" customHeight="1">
      <c r="A26" s="414">
        <f t="shared" si="1"/>
        <v>22</v>
      </c>
      <c r="B26" s="397" t="s">
        <v>405</v>
      </c>
      <c r="C26" s="400" t="s">
        <v>305</v>
      </c>
      <c r="D26" s="398" t="s">
        <v>688</v>
      </c>
      <c r="E26" s="399">
        <v>3652000000</v>
      </c>
      <c r="F26" s="395">
        <f t="shared" si="0"/>
        <v>0</v>
      </c>
      <c r="G26" s="395">
        <f t="array" ref="G26">SUM(IF("331"&amp;C26=KHC&amp;KH,TH))</f>
        <v>0</v>
      </c>
      <c r="H26" s="395">
        <f t="array" ref="H26">SUM(IF("331"&amp;C26=KHN&amp;KH,TH))</f>
        <v>2050000000</v>
      </c>
      <c r="I26" s="423">
        <f t="shared" si="2"/>
        <v>-2050000000</v>
      </c>
      <c r="J26" s="395">
        <v>2552000000</v>
      </c>
      <c r="K26" s="395">
        <f>'TH - TT'!I180</f>
        <v>1100000000</v>
      </c>
      <c r="L26" s="423">
        <f t="shared" si="5"/>
        <v>1452000000</v>
      </c>
      <c r="M26" s="395"/>
      <c r="N26" s="395">
        <f t="shared" si="6"/>
        <v>3652000000</v>
      </c>
      <c r="O26" s="396"/>
    </row>
    <row r="27" spans="1:15" ht="40.5" customHeight="1">
      <c r="A27" s="414">
        <f t="shared" si="1"/>
        <v>23</v>
      </c>
      <c r="B27" s="397" t="s">
        <v>689</v>
      </c>
      <c r="C27" s="398" t="s">
        <v>151</v>
      </c>
      <c r="D27" s="398" t="s">
        <v>690</v>
      </c>
      <c r="E27" s="399">
        <v>700150000</v>
      </c>
      <c r="F27" s="395">
        <f t="shared" si="0"/>
        <v>636500000</v>
      </c>
      <c r="G27" s="395">
        <f t="array" ref="G27">SUM(IF("331"&amp;C27=KHC&amp;KH,TH))</f>
        <v>700150000</v>
      </c>
      <c r="H27" s="395">
        <f t="array" ref="H27">SUM(IF("331"&amp;C27=KHN&amp;KH,TH))</f>
        <v>700150000</v>
      </c>
      <c r="I27" s="423">
        <f t="shared" si="2"/>
        <v>0</v>
      </c>
      <c r="J27" s="395">
        <f>485650000+49500000+15000000-5200000</f>
        <v>544950000</v>
      </c>
      <c r="K27" s="395">
        <f>'TH - TT'!$I$187</f>
        <v>544950000</v>
      </c>
      <c r="L27" s="423">
        <f>J27-K27</f>
        <v>0</v>
      </c>
      <c r="M27" s="395"/>
      <c r="N27" s="395">
        <f t="shared" si="6"/>
        <v>700150000</v>
      </c>
      <c r="O27" s="396"/>
    </row>
    <row r="28" spans="1:15" ht="40.5" customHeight="1">
      <c r="A28" s="414">
        <f t="shared" si="1"/>
        <v>24</v>
      </c>
      <c r="B28" s="397" t="s">
        <v>691</v>
      </c>
      <c r="C28" s="398" t="s">
        <v>152</v>
      </c>
      <c r="D28" s="398" t="s">
        <v>692</v>
      </c>
      <c r="E28" s="399">
        <v>394100000</v>
      </c>
      <c r="F28" s="395">
        <f t="shared" si="0"/>
        <v>358272727</v>
      </c>
      <c r="G28" s="395">
        <f t="array" ref="G28">SUM(IF("331"&amp;C28=KHC&amp;KH,TH))</f>
        <v>394100000</v>
      </c>
      <c r="H28" s="395">
        <f t="array" ref="H28">SUM(IF("331"&amp;C28=KHN&amp;KH,TH))</f>
        <v>300000000</v>
      </c>
      <c r="I28" s="423">
        <f t="shared" si="2"/>
        <v>94100000</v>
      </c>
      <c r="J28" s="395">
        <v>298500000</v>
      </c>
      <c r="K28" s="395">
        <f>'TH - TT'!I193</f>
        <v>200000000</v>
      </c>
      <c r="L28" s="423">
        <f t="shared" si="5"/>
        <v>98500000</v>
      </c>
      <c r="M28" s="395"/>
      <c r="N28" s="395">
        <f t="shared" si="6"/>
        <v>394100000</v>
      </c>
      <c r="O28" s="396"/>
    </row>
    <row r="29" spans="1:15" ht="40.5" customHeight="1">
      <c r="A29" s="414">
        <f t="shared" si="1"/>
        <v>25</v>
      </c>
      <c r="B29" s="397" t="s">
        <v>693</v>
      </c>
      <c r="C29" s="398" t="s">
        <v>172</v>
      </c>
      <c r="D29" s="398" t="s">
        <v>694</v>
      </c>
      <c r="E29" s="399">
        <f>898744036+627830692</f>
        <v>1526574728</v>
      </c>
      <c r="F29" s="395">
        <f t="shared" si="0"/>
        <v>809090909</v>
      </c>
      <c r="G29" s="395">
        <f t="array" ref="G29">SUM(IF("331"&amp;C29=KHC&amp;KH,TH))</f>
        <v>890000000</v>
      </c>
      <c r="H29" s="395">
        <f t="array" ref="H29">SUM(IF("331"&amp;C29=KHN&amp;KH,TH))</f>
        <v>1250000000</v>
      </c>
      <c r="I29" s="423">
        <f t="shared" si="2"/>
        <v>-360000000</v>
      </c>
      <c r="J29" s="395">
        <v>1201326457</v>
      </c>
      <c r="K29" s="395">
        <f>'TH - TT'!I206</f>
        <v>950000000</v>
      </c>
      <c r="L29" s="423">
        <f t="shared" si="5"/>
        <v>251326457</v>
      </c>
      <c r="M29" s="395"/>
      <c r="N29" s="395">
        <f t="shared" si="6"/>
        <v>1526574728</v>
      </c>
      <c r="O29" s="396"/>
    </row>
    <row r="30" spans="1:15" ht="40.5" customHeight="1">
      <c r="A30" s="414">
        <f t="shared" si="1"/>
        <v>26</v>
      </c>
      <c r="B30" s="397" t="s">
        <v>695</v>
      </c>
      <c r="C30" s="398" t="s">
        <v>190</v>
      </c>
      <c r="D30" s="398" t="s">
        <v>696</v>
      </c>
      <c r="E30" s="399">
        <v>893000000</v>
      </c>
      <c r="F30" s="395">
        <f t="shared" si="0"/>
        <v>1101009166</v>
      </c>
      <c r="G30" s="395">
        <f t="array" ref="G30">SUM(IF("331"&amp;C30=KHC&amp;KH,TH))</f>
        <v>1211110079</v>
      </c>
      <c r="H30" s="395">
        <f t="array" ref="H30">SUM(IF("331"&amp;C30=KHN&amp;KH,TH))</f>
        <v>1211110079</v>
      </c>
      <c r="I30" s="423">
        <f t="shared" si="2"/>
        <v>0</v>
      </c>
      <c r="J30" s="395">
        <f>'TH - TT'!H218</f>
        <v>1120135707</v>
      </c>
      <c r="K30" s="395">
        <f>'TH - TT'!I218</f>
        <v>1120135707</v>
      </c>
      <c r="L30" s="423">
        <f t="shared" si="5"/>
        <v>0</v>
      </c>
      <c r="M30" s="395"/>
      <c r="N30" s="395">
        <f t="shared" si="6"/>
        <v>1101009166</v>
      </c>
      <c r="O30" s="396"/>
    </row>
    <row r="31" spans="1:15" ht="40.5" customHeight="1">
      <c r="A31" s="414">
        <f t="shared" si="1"/>
        <v>27</v>
      </c>
      <c r="B31" s="397" t="s">
        <v>697</v>
      </c>
      <c r="C31" s="398" t="s">
        <v>268</v>
      </c>
      <c r="D31" s="398" t="s">
        <v>698</v>
      </c>
      <c r="E31" s="399">
        <v>1489950000</v>
      </c>
      <c r="F31" s="395">
        <f t="shared" si="0"/>
        <v>0</v>
      </c>
      <c r="G31" s="395">
        <f t="array" ref="G31">SUM(IF("331"&amp;C31=KHC&amp;KH,TH))</f>
        <v>0</v>
      </c>
      <c r="H31" s="395">
        <f t="array" ref="H31">SUM(IF("331"&amp;C31=KHN&amp;KH,TH))</f>
        <v>1600000000</v>
      </c>
      <c r="I31" s="423">
        <f t="shared" si="2"/>
        <v>-1600000000</v>
      </c>
      <c r="J31" s="395">
        <v>868450000</v>
      </c>
      <c r="K31" s="395">
        <f>'TH - TT'!I228</f>
        <v>800000000</v>
      </c>
      <c r="L31" s="423">
        <f t="shared" si="5"/>
        <v>68450000</v>
      </c>
      <c r="M31" s="395"/>
      <c r="N31" s="395">
        <f t="shared" si="6"/>
        <v>1489950000</v>
      </c>
      <c r="O31" s="396"/>
    </row>
    <row r="32" spans="1:15" ht="40.5" customHeight="1">
      <c r="A32" s="414">
        <f t="shared" si="1"/>
        <v>28</v>
      </c>
      <c r="B32" s="397" t="s">
        <v>705</v>
      </c>
      <c r="C32" s="398" t="s">
        <v>406</v>
      </c>
      <c r="D32" s="398" t="s">
        <v>706</v>
      </c>
      <c r="E32" s="399">
        <f>J32</f>
        <v>434232000</v>
      </c>
      <c r="F32" s="395">
        <f t="shared" si="0"/>
        <v>0</v>
      </c>
      <c r="G32" s="395">
        <f t="array" ref="G32">SUM(IF("331"&amp;C32=KHC&amp;KH,TH))</f>
        <v>0</v>
      </c>
      <c r="H32" s="395">
        <f t="array" ref="H32">SUM(IF("331"&amp;C32=KHN&amp;KH,TH))</f>
        <v>360000000</v>
      </c>
      <c r="I32" s="423">
        <f t="shared" si="2"/>
        <v>-360000000</v>
      </c>
      <c r="J32" s="395">
        <v>434232000</v>
      </c>
      <c r="K32" s="395">
        <f>'TH - TT'!I239</f>
        <v>370000000</v>
      </c>
      <c r="L32" s="423">
        <f t="shared" si="5"/>
        <v>64232000</v>
      </c>
      <c r="M32" s="395"/>
      <c r="N32" s="395">
        <f>IF(E32&gt;F32,E32,F32)</f>
        <v>434232000</v>
      </c>
      <c r="O32" s="396"/>
    </row>
    <row r="33" spans="1:15" ht="40.5" customHeight="1">
      <c r="A33" s="393">
        <f t="shared" si="1"/>
        <v>29</v>
      </c>
      <c r="B33" s="397"/>
      <c r="C33" s="398" t="s">
        <v>601</v>
      </c>
      <c r="D33" s="398" t="s">
        <v>598</v>
      </c>
      <c r="E33" s="399"/>
      <c r="F33" s="395">
        <f t="shared" si="0"/>
        <v>68181818</v>
      </c>
      <c r="G33" s="395">
        <f t="array" ref="G33">SUM(IF("331"&amp;C33=KHC&amp;KH,TH))</f>
        <v>75000000</v>
      </c>
      <c r="H33" s="395">
        <f t="array" ref="H33">SUM(IF("331"&amp;C33=KHN&amp;KH,TH))</f>
        <v>75000000</v>
      </c>
      <c r="I33" s="423">
        <f t="shared" si="2"/>
        <v>0</v>
      </c>
      <c r="J33" s="395">
        <f t="shared" ref="J33:J35" si="7">IF(E33&gt;G33,E33,G33)</f>
        <v>75000000</v>
      </c>
      <c r="K33" s="395">
        <f>H33</f>
        <v>75000000</v>
      </c>
      <c r="L33" s="423">
        <f t="shared" si="5"/>
        <v>0</v>
      </c>
      <c r="M33" s="395"/>
      <c r="N33" s="395">
        <f t="shared" si="6"/>
        <v>68181818</v>
      </c>
      <c r="O33" s="396"/>
    </row>
    <row r="34" spans="1:15" ht="40.5" customHeight="1">
      <c r="A34" s="393">
        <f t="shared" si="1"/>
        <v>30</v>
      </c>
      <c r="B34" s="397"/>
      <c r="C34" s="398" t="s">
        <v>631</v>
      </c>
      <c r="D34" s="398" t="s">
        <v>877</v>
      </c>
      <c r="E34" s="399"/>
      <c r="F34" s="395">
        <f t="shared" si="0"/>
        <v>20382000</v>
      </c>
      <c r="G34" s="395">
        <f t="array" ref="G34">SUM(IF("331"&amp;C34=KHC&amp;KH,TH))</f>
        <v>20382000</v>
      </c>
      <c r="H34" s="395">
        <f t="array" ref="H34">SUM(IF("331"&amp;C34=KHN&amp;KH,TH))</f>
        <v>20382000</v>
      </c>
      <c r="I34" s="423">
        <f t="shared" si="2"/>
        <v>0</v>
      </c>
      <c r="J34" s="395">
        <f t="shared" si="7"/>
        <v>20382000</v>
      </c>
      <c r="K34" s="395">
        <f t="shared" ref="K34:K35" si="8">H34</f>
        <v>20382000</v>
      </c>
      <c r="L34" s="423">
        <f t="shared" si="5"/>
        <v>0</v>
      </c>
      <c r="M34" s="395"/>
      <c r="N34" s="395">
        <f t="shared" si="6"/>
        <v>20382000</v>
      </c>
      <c r="O34" s="396"/>
    </row>
    <row r="35" spans="1:15" ht="40.5" customHeight="1">
      <c r="A35" s="393">
        <f t="shared" si="1"/>
        <v>31</v>
      </c>
      <c r="B35" s="397"/>
      <c r="C35" s="398" t="s">
        <v>790</v>
      </c>
      <c r="D35" s="398" t="s">
        <v>878</v>
      </c>
      <c r="E35" s="399"/>
      <c r="F35" s="395">
        <f t="shared" si="0"/>
        <v>15221000</v>
      </c>
      <c r="G35" s="395">
        <f t="array" ref="G35">SUM(IF("331"&amp;C35=KHC&amp;KH,TH))</f>
        <v>16743100</v>
      </c>
      <c r="H35" s="395">
        <f t="array" ref="H35">SUM(IF("331"&amp;C35=KHN&amp;KH,TH))</f>
        <v>16743100</v>
      </c>
      <c r="I35" s="423">
        <f t="shared" si="2"/>
        <v>0</v>
      </c>
      <c r="J35" s="395">
        <f t="shared" si="7"/>
        <v>16743100</v>
      </c>
      <c r="K35" s="395">
        <f t="shared" si="8"/>
        <v>16743100</v>
      </c>
      <c r="L35" s="423">
        <f t="shared" si="5"/>
        <v>0</v>
      </c>
      <c r="M35" s="395"/>
      <c r="N35" s="395">
        <f t="shared" si="6"/>
        <v>15221000</v>
      </c>
      <c r="O35" s="396"/>
    </row>
    <row r="36" spans="1:15" ht="40.5" customHeight="1">
      <c r="A36" s="393">
        <f t="shared" si="1"/>
        <v>32</v>
      </c>
      <c r="B36" s="401"/>
      <c r="C36" s="398" t="s">
        <v>880</v>
      </c>
      <c r="D36" s="398"/>
      <c r="E36" s="399"/>
      <c r="F36" s="395">
        <f>SUMIFS(TH,KHN,"2412",KHC,"1111")</f>
        <v>1079663138</v>
      </c>
      <c r="G36" s="395">
        <f>SUMIFS(TH,KHN,"2412",KHC,"1111")</f>
        <v>1079663138</v>
      </c>
      <c r="H36" s="395">
        <f>$G$36</f>
        <v>1079663138</v>
      </c>
      <c r="I36" s="423"/>
      <c r="J36" s="395">
        <f t="shared" ref="J36:K36" si="9">$G$36</f>
        <v>1079663138</v>
      </c>
      <c r="K36" s="395">
        <f t="shared" si="9"/>
        <v>1079663138</v>
      </c>
      <c r="L36" s="423"/>
      <c r="M36" s="395"/>
      <c r="N36" s="395">
        <f t="shared" si="6"/>
        <v>1079663138</v>
      </c>
      <c r="O36" s="396"/>
    </row>
    <row r="37" spans="1:15" ht="40.5" customHeight="1">
      <c r="A37" s="393">
        <f t="shared" si="1"/>
        <v>33</v>
      </c>
      <c r="B37" s="401" t="s">
        <v>239</v>
      </c>
      <c r="C37" s="398" t="s">
        <v>879</v>
      </c>
      <c r="D37" s="398"/>
      <c r="E37" s="399"/>
      <c r="F37" s="395">
        <f t="array" ref="F37">SUM(IF(B37=KHN,TH))</f>
        <v>2031565927</v>
      </c>
      <c r="G37" s="395">
        <f t="array" ref="G37">SUM(IF(B37=KHN,TH))</f>
        <v>2031565927</v>
      </c>
      <c r="H37" s="395">
        <f>$G$37</f>
        <v>2031565927</v>
      </c>
      <c r="I37" s="423"/>
      <c r="J37" s="395">
        <f t="shared" ref="J37:K37" si="10">$G$37</f>
        <v>2031565927</v>
      </c>
      <c r="K37" s="395">
        <f t="shared" si="10"/>
        <v>2031565927</v>
      </c>
      <c r="L37" s="423"/>
      <c r="M37" s="395"/>
      <c r="N37" s="395">
        <f t="shared" si="6"/>
        <v>2031565927</v>
      </c>
      <c r="O37" s="396"/>
    </row>
    <row r="38" spans="1:15" ht="30" customHeight="1">
      <c r="A38" s="402"/>
      <c r="B38" s="397"/>
      <c r="C38" s="398"/>
      <c r="D38" s="398"/>
      <c r="E38" s="399"/>
      <c r="F38" s="399"/>
      <c r="G38" s="399"/>
      <c r="H38" s="395"/>
      <c r="I38" s="423"/>
      <c r="J38" s="395"/>
      <c r="K38" s="395"/>
      <c r="L38" s="423"/>
      <c r="M38" s="395"/>
      <c r="N38" s="395"/>
    </row>
    <row r="39" spans="1:15" ht="30" customHeight="1">
      <c r="A39" s="446" t="s">
        <v>709</v>
      </c>
      <c r="B39" s="446"/>
      <c r="C39" s="446"/>
      <c r="D39" s="446"/>
      <c r="E39" s="403">
        <f t="shared" ref="E39:L39" si="11">SUM(E5:E38)</f>
        <v>33797382423</v>
      </c>
      <c r="F39" s="403">
        <f t="shared" si="11"/>
        <v>24956244880</v>
      </c>
      <c r="G39" s="403">
        <f t="shared" si="11"/>
        <v>27335392524</v>
      </c>
      <c r="H39" s="403">
        <f t="shared" si="11"/>
        <v>32022960754</v>
      </c>
      <c r="I39" s="424">
        <f t="shared" si="11"/>
        <v>-4687568230</v>
      </c>
      <c r="J39" s="403">
        <f t="shared" si="11"/>
        <v>33413413979</v>
      </c>
      <c r="K39" s="403">
        <f t="shared" si="11"/>
        <v>27647591382</v>
      </c>
      <c r="L39" s="424">
        <f t="shared" si="11"/>
        <v>5765822597</v>
      </c>
      <c r="M39" s="403"/>
      <c r="N39" s="403">
        <f>SUM(N5:N38)</f>
        <v>37408654981</v>
      </c>
    </row>
    <row r="40" spans="1:15" ht="30" customHeight="1">
      <c r="F40" s="404">
        <f>CDPS!$E$19</f>
        <v>24956244880</v>
      </c>
      <c r="G40" s="404"/>
    </row>
    <row r="41" spans="1:15" ht="30" customHeight="1">
      <c r="F41" s="396">
        <f>F39-F40</f>
        <v>0</v>
      </c>
      <c r="G41" s="396"/>
    </row>
  </sheetData>
  <mergeCells count="16">
    <mergeCell ref="A39:D39"/>
    <mergeCell ref="E3:E4"/>
    <mergeCell ref="N2:N4"/>
    <mergeCell ref="H3:H4"/>
    <mergeCell ref="A2:A4"/>
    <mergeCell ref="F3:G3"/>
    <mergeCell ref="B2:B4"/>
    <mergeCell ref="C2:C4"/>
    <mergeCell ref="D2:D4"/>
    <mergeCell ref="J3:J4"/>
    <mergeCell ref="K3:K4"/>
    <mergeCell ref="E2:I2"/>
    <mergeCell ref="I3:I4"/>
    <mergeCell ref="L3:L4"/>
    <mergeCell ref="J2:M2"/>
    <mergeCell ref="M3:M4"/>
  </mergeCells>
  <hyperlinks>
    <hyperlink ref="A5" location="'TH - TT'!A5" display="'TH - TT'!A5"/>
    <hyperlink ref="A6" location="'TH - TT'!A18" display="'TH - TT'!A18"/>
    <hyperlink ref="A7" location="'TH - TT'!A21" display="'TH - TT'!A21"/>
    <hyperlink ref="A8" location="'TH - TT'!A24" display="'TH - TT'!A24"/>
    <hyperlink ref="A9" location="'TH - TT'!A27" display="'TH - TT'!A27"/>
    <hyperlink ref="A10" location="'TH - TT'!A30" display="'TH - TT'!A30"/>
    <hyperlink ref="A11" location="'TH - TT'!A33" display="'TH - TT'!A33"/>
    <hyperlink ref="A12" location="'TH - TT'!A36" display="'TH - TT'!A36"/>
    <hyperlink ref="A13" location="'TH - TT'!A45" display="'TH - TT'!A45"/>
    <hyperlink ref="A14" location="'TH - TT'!A54" display="'TH - TT'!A54"/>
    <hyperlink ref="A15" location="'TH - TT'!A59" display="'TH - TT'!A59"/>
    <hyperlink ref="A16" location="'TH - TT'!A62" display="'TH - TT'!A62"/>
    <hyperlink ref="A17" location="'TH - TT'!A66" display="'TH - TT'!A66"/>
    <hyperlink ref="A18" location="'TH - TT'!A74" display="'TH - TT'!A74"/>
    <hyperlink ref="A19" location="'TH - TT'!A80" display="'TH - TT'!A80"/>
    <hyperlink ref="A20" location="'TH - TT'!A91" display="'TH - TT'!A91"/>
    <hyperlink ref="A21" location="'TH - TT'!A96" display="'TH - TT'!A96"/>
    <hyperlink ref="A22" location="'TH - TT'!A100" display="'TH - TT'!A100"/>
    <hyperlink ref="A23" location="'TH - TT'!A127" display="'TH - TT'!A127"/>
    <hyperlink ref="A24" location="'TH - TT'!A142" display="'TH - TT'!A142"/>
    <hyperlink ref="A25" location="'TH - TT'!A155" display="'TH - TT'!A155"/>
    <hyperlink ref="A26" location="'TH - TT'!A163" display="'TH - TT'!A163"/>
    <hyperlink ref="A27" location="'TH - TT'!A174" display="'TH - TT'!A174"/>
    <hyperlink ref="A28" location="'TH - TT'!A180" display="'TH - TT'!A180"/>
    <hyperlink ref="A29" location="'TH - TT'!A184" display="'TH - TT'!A184"/>
    <hyperlink ref="A30" location="'TH - TT'!A198" display="'TH - TT'!A198"/>
    <hyperlink ref="A31" location="'TH - TT'!A210" display="'TH - TT'!A210"/>
    <hyperlink ref="A32" location="'TH - TT'!A220" display="'TH - TT'!A220"/>
  </hyperlinks>
  <pageMargins left="0.17" right="0.13" top="0.24" bottom="0.16" header="0.3" footer="0.16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5"/>
  </sheetPr>
  <dimension ref="A1:M256"/>
  <sheetViews>
    <sheetView workbookViewId="0">
      <pane xSplit="8" ySplit="4" topLeftCell="I162" activePane="bottomRight" state="frozen"/>
      <selection pane="topRight" activeCell="G1" sqref="G1"/>
      <selection pane="bottomLeft" activeCell="A5" sqref="A5"/>
      <selection pane="bottomRight" activeCell="G131" sqref="A131:XFD134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0.5703125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494" t="str">
        <f ca="1">"CHI PHÍ XÂY DỰNG TRÀ VINH   " &amp; TEXT(NOW(),"dd/MM/yyyy")</f>
        <v>CHI PHÍ XÂY DỰNG TRÀ VINH   24/03/2016</v>
      </c>
      <c r="B1" s="494"/>
      <c r="C1" s="494"/>
      <c r="D1" s="494"/>
      <c r="E1" s="494"/>
      <c r="F1" s="494"/>
      <c r="G1" s="494"/>
      <c r="H1" s="494"/>
      <c r="I1" s="494"/>
      <c r="J1" s="494"/>
      <c r="K1" s="494"/>
      <c r="L1" s="303"/>
    </row>
    <row r="3" spans="1:12" s="145" customFormat="1" ht="19.5" customHeight="1">
      <c r="A3" s="495" t="s">
        <v>79</v>
      </c>
      <c r="B3" s="495" t="s">
        <v>359</v>
      </c>
      <c r="C3" s="495" t="s">
        <v>360</v>
      </c>
      <c r="D3" s="495" t="s">
        <v>361</v>
      </c>
      <c r="E3" s="496" t="s">
        <v>362</v>
      </c>
      <c r="F3" s="497"/>
      <c r="G3" s="498"/>
      <c r="H3" s="496" t="s">
        <v>363</v>
      </c>
      <c r="I3" s="498"/>
      <c r="J3" s="499" t="s">
        <v>364</v>
      </c>
      <c r="K3" s="495" t="s">
        <v>365</v>
      </c>
      <c r="L3" s="199"/>
    </row>
    <row r="4" spans="1:12" s="148" customFormat="1" ht="19.5" customHeight="1">
      <c r="A4" s="495"/>
      <c r="B4" s="495"/>
      <c r="C4" s="495"/>
      <c r="D4" s="495"/>
      <c r="E4" s="147" t="s">
        <v>429</v>
      </c>
      <c r="F4" s="146" t="s">
        <v>366</v>
      </c>
      <c r="G4" s="147" t="s">
        <v>367</v>
      </c>
      <c r="H4" s="146" t="s">
        <v>366</v>
      </c>
      <c r="I4" s="147" t="s">
        <v>367</v>
      </c>
      <c r="J4" s="500"/>
      <c r="K4" s="495"/>
      <c r="L4" s="304"/>
    </row>
    <row r="5" spans="1:12" s="148" customFormat="1" ht="19.5" customHeight="1">
      <c r="A5" s="493">
        <v>1</v>
      </c>
      <c r="B5" s="501" t="s">
        <v>83</v>
      </c>
      <c r="C5" s="149" t="s">
        <v>368</v>
      </c>
      <c r="D5" s="150"/>
      <c r="E5" s="151"/>
      <c r="F5" s="151"/>
      <c r="G5" s="151"/>
      <c r="H5" s="151"/>
      <c r="I5" s="151"/>
      <c r="J5" s="150"/>
      <c r="K5" s="152"/>
      <c r="L5" s="304"/>
    </row>
    <row r="6" spans="1:12" s="148" customFormat="1" ht="19.5" customHeight="1">
      <c r="A6" s="493"/>
      <c r="B6" s="502"/>
      <c r="C6" s="149" t="s">
        <v>369</v>
      </c>
      <c r="D6" s="150"/>
      <c r="E6" s="151"/>
      <c r="F6" s="151">
        <f>G6</f>
        <v>44880000</v>
      </c>
      <c r="G6" s="151">
        <v>44880000</v>
      </c>
      <c r="H6" s="151"/>
      <c r="I6" s="151">
        <v>44880000</v>
      </c>
      <c r="J6" s="150">
        <v>40091</v>
      </c>
      <c r="K6" s="152" t="s">
        <v>370</v>
      </c>
      <c r="L6" s="304"/>
    </row>
    <row r="7" spans="1:12" s="153" customFormat="1" ht="17.25" customHeight="1">
      <c r="A7" s="493"/>
      <c r="B7" s="502"/>
      <c r="C7" s="149" t="s">
        <v>371</v>
      </c>
      <c r="D7" s="150">
        <v>40623</v>
      </c>
      <c r="E7" s="151">
        <v>32288666</v>
      </c>
      <c r="F7" s="151">
        <v>32288666</v>
      </c>
      <c r="G7" s="151">
        <v>32288666</v>
      </c>
      <c r="H7" s="151">
        <v>32288666</v>
      </c>
      <c r="I7" s="151">
        <v>32288666</v>
      </c>
      <c r="J7" s="150">
        <v>40623</v>
      </c>
      <c r="K7" s="152" t="s">
        <v>372</v>
      </c>
      <c r="L7" s="305"/>
    </row>
    <row r="8" spans="1:12" s="153" customFormat="1" ht="17.25" customHeight="1">
      <c r="A8" s="493"/>
      <c r="B8" s="502"/>
      <c r="C8" s="149" t="s">
        <v>373</v>
      </c>
      <c r="D8" s="150">
        <v>40875</v>
      </c>
      <c r="E8" s="151">
        <v>29920000</v>
      </c>
      <c r="F8" s="151">
        <v>29920000</v>
      </c>
      <c r="G8" s="151">
        <v>29920000</v>
      </c>
      <c r="H8" s="151">
        <v>29920000</v>
      </c>
      <c r="I8" s="151">
        <v>29920000</v>
      </c>
      <c r="J8" s="150">
        <v>40872</v>
      </c>
      <c r="K8" s="152" t="s">
        <v>372</v>
      </c>
      <c r="L8" s="305"/>
    </row>
    <row r="9" spans="1:12" s="153" customFormat="1" ht="17.25" customHeight="1">
      <c r="A9" s="493"/>
      <c r="B9" s="502"/>
      <c r="C9" s="149" t="s">
        <v>374</v>
      </c>
      <c r="D9" s="150"/>
      <c r="E9" s="151"/>
      <c r="F9" s="151">
        <v>29920000</v>
      </c>
      <c r="G9" s="151">
        <v>29920000</v>
      </c>
      <c r="H9" s="151"/>
      <c r="I9" s="151">
        <v>29920000</v>
      </c>
      <c r="J9" s="150">
        <v>41193</v>
      </c>
      <c r="K9" s="152" t="s">
        <v>372</v>
      </c>
      <c r="L9" s="305"/>
    </row>
    <row r="10" spans="1:12" s="153" customFormat="1" ht="17.25" customHeight="1">
      <c r="A10" s="493"/>
      <c r="B10" s="502"/>
      <c r="C10" s="149" t="s">
        <v>375</v>
      </c>
      <c r="D10" s="150">
        <v>41653</v>
      </c>
      <c r="E10" s="151">
        <v>29920000</v>
      </c>
      <c r="F10" s="151">
        <v>29920000</v>
      </c>
      <c r="G10" s="151">
        <v>29920000</v>
      </c>
      <c r="H10" s="151">
        <v>29920000</v>
      </c>
      <c r="I10" s="151">
        <v>29920000</v>
      </c>
      <c r="J10" s="150">
        <v>41641</v>
      </c>
      <c r="K10" s="152" t="s">
        <v>372</v>
      </c>
      <c r="L10" s="305"/>
    </row>
    <row r="11" spans="1:12" s="153" customFormat="1" ht="17.25" customHeight="1">
      <c r="A11" s="493"/>
      <c r="B11" s="502"/>
      <c r="C11" s="149" t="s">
        <v>376</v>
      </c>
      <c r="D11" s="150">
        <v>41785</v>
      </c>
      <c r="E11" s="151">
        <v>36432000</v>
      </c>
      <c r="F11" s="151">
        <v>36432000</v>
      </c>
      <c r="G11" s="151">
        <v>36432000</v>
      </c>
      <c r="H11" s="151">
        <v>36432000</v>
      </c>
      <c r="I11" s="151">
        <v>36432000</v>
      </c>
      <c r="J11" s="150">
        <v>41780</v>
      </c>
      <c r="K11" s="152" t="s">
        <v>372</v>
      </c>
      <c r="L11" s="305"/>
    </row>
    <row r="12" spans="1:12" s="153" customFormat="1" ht="17.25" customHeight="1">
      <c r="A12" s="493"/>
      <c r="B12" s="502"/>
      <c r="C12" s="149" t="s">
        <v>377</v>
      </c>
      <c r="D12" s="150">
        <v>41934</v>
      </c>
      <c r="E12" s="151">
        <v>34408000</v>
      </c>
      <c r="F12" s="151">
        <v>34408000</v>
      </c>
      <c r="G12" s="151">
        <v>34408000</v>
      </c>
      <c r="H12" s="151">
        <v>34408000</v>
      </c>
      <c r="I12" s="151">
        <v>34408000</v>
      </c>
      <c r="J12" s="150">
        <v>41918</v>
      </c>
      <c r="K12" s="152" t="s">
        <v>372</v>
      </c>
      <c r="L12" s="305"/>
    </row>
    <row r="13" spans="1:12" s="153" customFormat="1" ht="17.25" customHeight="1">
      <c r="A13" s="493"/>
      <c r="B13" s="502"/>
      <c r="C13" s="149" t="s">
        <v>378</v>
      </c>
      <c r="D13" s="150">
        <v>42152</v>
      </c>
      <c r="E13" s="151">
        <v>36432000</v>
      </c>
      <c r="F13" s="151">
        <v>36432000</v>
      </c>
      <c r="G13" s="151">
        <v>36432000</v>
      </c>
      <c r="H13" s="151">
        <v>36432000</v>
      </c>
      <c r="I13" s="151">
        <v>36432000</v>
      </c>
      <c r="J13" s="150">
        <v>42153</v>
      </c>
      <c r="K13" s="152" t="s">
        <v>372</v>
      </c>
      <c r="L13" s="305"/>
    </row>
    <row r="14" spans="1:12" s="153" customFormat="1" ht="17.25" customHeight="1">
      <c r="A14" s="493"/>
      <c r="B14" s="502"/>
      <c r="C14" s="154"/>
      <c r="D14" s="155"/>
      <c r="E14" s="156"/>
      <c r="F14" s="156"/>
      <c r="G14" s="151"/>
      <c r="H14" s="156"/>
      <c r="I14" s="156"/>
      <c r="J14" s="155"/>
      <c r="K14" s="227"/>
      <c r="L14" s="305"/>
    </row>
    <row r="15" spans="1:12" s="153" customFormat="1" ht="17.25" customHeight="1">
      <c r="A15" s="493"/>
      <c r="B15" s="502"/>
      <c r="C15" s="154"/>
      <c r="D15" s="155"/>
      <c r="E15" s="156"/>
      <c r="F15" s="156"/>
      <c r="G15" s="151"/>
      <c r="H15" s="156"/>
      <c r="I15" s="156"/>
      <c r="J15" s="155"/>
      <c r="K15" s="157"/>
      <c r="L15" s="305"/>
    </row>
    <row r="16" spans="1:12" s="161" customFormat="1" ht="17.25" customHeight="1">
      <c r="A16" s="493"/>
      <c r="B16" s="502"/>
      <c r="C16" s="470" t="s">
        <v>94</v>
      </c>
      <c r="D16" s="471"/>
      <c r="E16" s="158">
        <f>SUM(E5:E15)</f>
        <v>199400666</v>
      </c>
      <c r="F16" s="158">
        <f>SUM(F5:F15)</f>
        <v>274200666</v>
      </c>
      <c r="G16" s="158">
        <f>SUM(G5:G15)</f>
        <v>274200666</v>
      </c>
      <c r="H16" s="158">
        <f>SUM(H5:H15)</f>
        <v>199400666</v>
      </c>
      <c r="I16" s="158">
        <f>SUM(I5:I15)</f>
        <v>274200666</v>
      </c>
      <c r="J16" s="159"/>
      <c r="K16" s="160" t="s">
        <v>42</v>
      </c>
      <c r="L16" s="302"/>
    </row>
    <row r="17" spans="1:12" s="161" customFormat="1" ht="17.25" customHeight="1">
      <c r="A17" s="493"/>
      <c r="B17" s="503"/>
      <c r="C17" s="470" t="s">
        <v>379</v>
      </c>
      <c r="D17" s="471"/>
      <c r="E17" s="162"/>
      <c r="F17" s="162"/>
      <c r="G17" s="163">
        <f>E16-G16</f>
        <v>-74800000</v>
      </c>
      <c r="H17" s="162"/>
      <c r="I17" s="163">
        <f>H16-I16</f>
        <v>-74800000</v>
      </c>
      <c r="J17" s="159"/>
      <c r="K17" s="160"/>
      <c r="L17" s="302"/>
    </row>
    <row r="18" spans="1:12" s="153" customFormat="1" ht="17.25" customHeight="1">
      <c r="A18" s="493">
        <v>2</v>
      </c>
      <c r="B18" s="493" t="s">
        <v>108</v>
      </c>
      <c r="C18" s="152" t="s">
        <v>381</v>
      </c>
      <c r="D18" s="150">
        <v>41718</v>
      </c>
      <c r="E18" s="167">
        <v>80000000</v>
      </c>
      <c r="F18" s="218">
        <v>80000000</v>
      </c>
      <c r="G18" s="164">
        <v>80000000</v>
      </c>
      <c r="H18" s="167">
        <v>80000000</v>
      </c>
      <c r="I18" s="164">
        <v>80000000</v>
      </c>
      <c r="J18" s="168">
        <v>41871</v>
      </c>
      <c r="K18" s="157" t="s">
        <v>372</v>
      </c>
      <c r="L18" s="305"/>
    </row>
    <row r="19" spans="1:12" s="161" customFormat="1" ht="17.25" customHeight="1">
      <c r="A19" s="493"/>
      <c r="B19" s="493"/>
      <c r="C19" s="470" t="s">
        <v>94</v>
      </c>
      <c r="D19" s="471"/>
      <c r="E19" s="158">
        <f>SUM(E18:E18)</f>
        <v>80000000</v>
      </c>
      <c r="F19" s="158">
        <f>SUM(F18:F18)</f>
        <v>80000000</v>
      </c>
      <c r="G19" s="158">
        <f>SUM(G18:G18)</f>
        <v>80000000</v>
      </c>
      <c r="H19" s="158">
        <f>SUM(H18:H18)</f>
        <v>80000000</v>
      </c>
      <c r="I19" s="158">
        <f>SUM(I18:I18)</f>
        <v>80000000</v>
      </c>
      <c r="J19" s="159"/>
      <c r="K19" s="160" t="s">
        <v>42</v>
      </c>
      <c r="L19" s="302"/>
    </row>
    <row r="20" spans="1:12" s="161" customFormat="1" ht="17.25" customHeight="1">
      <c r="A20" s="493"/>
      <c r="B20" s="493"/>
      <c r="C20" s="470" t="s">
        <v>379</v>
      </c>
      <c r="D20" s="471"/>
      <c r="E20" s="162"/>
      <c r="F20" s="162"/>
      <c r="G20" s="163">
        <f>E19-G19</f>
        <v>0</v>
      </c>
      <c r="H20" s="162"/>
      <c r="I20" s="163">
        <f>H19-I19</f>
        <v>0</v>
      </c>
      <c r="J20" s="159"/>
      <c r="K20" s="160"/>
      <c r="L20" s="302"/>
    </row>
    <row r="21" spans="1:12" s="153" customFormat="1" ht="17.25" customHeight="1">
      <c r="A21" s="493">
        <v>3</v>
      </c>
      <c r="B21" s="493" t="s">
        <v>382</v>
      </c>
      <c r="C21" s="152"/>
      <c r="D21" s="150"/>
      <c r="E21" s="167">
        <v>30800005</v>
      </c>
      <c r="F21" s="218">
        <f>E21</f>
        <v>30800005</v>
      </c>
      <c r="G21" s="164">
        <v>30800005</v>
      </c>
      <c r="H21" s="167">
        <v>30800005</v>
      </c>
      <c r="I21" s="164">
        <v>30800005</v>
      </c>
      <c r="J21" s="168">
        <v>41942</v>
      </c>
      <c r="K21" s="157" t="s">
        <v>372</v>
      </c>
      <c r="L21" s="305"/>
    </row>
    <row r="22" spans="1:12" s="161" customFormat="1" ht="17.25" customHeight="1">
      <c r="A22" s="493"/>
      <c r="B22" s="493"/>
      <c r="C22" s="470" t="s">
        <v>94</v>
      </c>
      <c r="D22" s="471"/>
      <c r="E22" s="158">
        <f>SUM(E21:E21)</f>
        <v>30800005</v>
      </c>
      <c r="F22" s="158">
        <f>SUM(F21:F21)</f>
        <v>30800005</v>
      </c>
      <c r="G22" s="158">
        <f>SUM(G21:G21)</f>
        <v>30800005</v>
      </c>
      <c r="H22" s="158">
        <f>SUM(H21:H21)</f>
        <v>30800005</v>
      </c>
      <c r="I22" s="158">
        <f>SUM(I21:I21)</f>
        <v>30800005</v>
      </c>
      <c r="J22" s="159"/>
      <c r="K22" s="160" t="s">
        <v>42</v>
      </c>
      <c r="L22" s="302"/>
    </row>
    <row r="23" spans="1:12" s="161" customFormat="1" ht="17.25" customHeight="1">
      <c r="A23" s="493"/>
      <c r="B23" s="493"/>
      <c r="C23" s="470" t="s">
        <v>379</v>
      </c>
      <c r="D23" s="471"/>
      <c r="E23" s="162"/>
      <c r="F23" s="162"/>
      <c r="G23" s="163">
        <f>E22-G22</f>
        <v>0</v>
      </c>
      <c r="H23" s="162"/>
      <c r="I23" s="163">
        <f>H22-I22</f>
        <v>0</v>
      </c>
      <c r="J23" s="159"/>
      <c r="K23" s="160"/>
      <c r="L23" s="302"/>
    </row>
    <row r="24" spans="1:12" s="153" customFormat="1" ht="17.25" customHeight="1">
      <c r="A24" s="493">
        <v>4</v>
      </c>
      <c r="B24" s="493" t="s">
        <v>284</v>
      </c>
      <c r="C24" s="152"/>
      <c r="D24" s="150"/>
      <c r="E24" s="167">
        <v>30440000</v>
      </c>
      <c r="F24" s="218">
        <f>E24</f>
        <v>30440000</v>
      </c>
      <c r="G24" s="164">
        <v>30440000</v>
      </c>
      <c r="H24" s="167">
        <v>30440000</v>
      </c>
      <c r="I24" s="164">
        <v>30440000</v>
      </c>
      <c r="J24" s="168">
        <v>42174</v>
      </c>
      <c r="K24" s="157" t="s">
        <v>372</v>
      </c>
      <c r="L24" s="305"/>
    </row>
    <row r="25" spans="1:12" s="161" customFormat="1" ht="17.25" customHeight="1">
      <c r="A25" s="493"/>
      <c r="B25" s="493"/>
      <c r="C25" s="470" t="s">
        <v>94</v>
      </c>
      <c r="D25" s="471"/>
      <c r="E25" s="158">
        <f>SUM(E24:E24)</f>
        <v>30440000</v>
      </c>
      <c r="F25" s="158">
        <f>SUM(F24:F24)</f>
        <v>30440000</v>
      </c>
      <c r="G25" s="158">
        <f>SUM(G24:G24)</f>
        <v>30440000</v>
      </c>
      <c r="H25" s="158">
        <f>SUM(H24:H24)</f>
        <v>30440000</v>
      </c>
      <c r="I25" s="158">
        <f>SUM(I24:I24)</f>
        <v>30440000</v>
      </c>
      <c r="J25" s="159"/>
      <c r="K25" s="160" t="s">
        <v>42</v>
      </c>
      <c r="L25" s="302"/>
    </row>
    <row r="26" spans="1:12" s="161" customFormat="1" ht="17.25" customHeight="1">
      <c r="A26" s="493"/>
      <c r="B26" s="493"/>
      <c r="C26" s="470" t="s">
        <v>379</v>
      </c>
      <c r="D26" s="471"/>
      <c r="E26" s="162"/>
      <c r="F26" s="162"/>
      <c r="G26" s="163">
        <f>E25-G25</f>
        <v>0</v>
      </c>
      <c r="H26" s="162"/>
      <c r="I26" s="163">
        <f>H25-I25</f>
        <v>0</v>
      </c>
      <c r="J26" s="159"/>
      <c r="K26" s="160"/>
      <c r="L26" s="302"/>
    </row>
    <row r="27" spans="1:12" s="153" customFormat="1" ht="18" customHeight="1">
      <c r="A27" s="493">
        <v>5</v>
      </c>
      <c r="B27" s="493" t="s">
        <v>383</v>
      </c>
      <c r="C27" s="152"/>
      <c r="D27" s="150"/>
      <c r="E27" s="167">
        <v>21610454</v>
      </c>
      <c r="F27" s="218">
        <v>21610454</v>
      </c>
      <c r="G27" s="164">
        <v>21610454</v>
      </c>
      <c r="H27" s="167">
        <v>21610454</v>
      </c>
      <c r="I27" s="164">
        <v>21610454</v>
      </c>
      <c r="J27" s="168">
        <v>42188</v>
      </c>
      <c r="K27" s="157" t="s">
        <v>372</v>
      </c>
      <c r="L27" s="305"/>
    </row>
    <row r="28" spans="1:12" s="161" customFormat="1" ht="18" customHeight="1">
      <c r="A28" s="493"/>
      <c r="B28" s="493"/>
      <c r="C28" s="470" t="s">
        <v>94</v>
      </c>
      <c r="D28" s="471"/>
      <c r="E28" s="158">
        <f>SUM(E27:E27)</f>
        <v>21610454</v>
      </c>
      <c r="F28" s="158">
        <f>SUM(F27:F27)</f>
        <v>21610454</v>
      </c>
      <c r="G28" s="158">
        <f>SUM(G27:G27)</f>
        <v>21610454</v>
      </c>
      <c r="H28" s="158">
        <f>SUM(H27:H27)</f>
        <v>21610454</v>
      </c>
      <c r="I28" s="158">
        <f>SUM(I27:I27)</f>
        <v>21610454</v>
      </c>
      <c r="J28" s="159"/>
      <c r="K28" s="160" t="s">
        <v>42</v>
      </c>
      <c r="L28" s="302"/>
    </row>
    <row r="29" spans="1:12" s="161" customFormat="1" ht="18" customHeight="1">
      <c r="A29" s="493"/>
      <c r="B29" s="493"/>
      <c r="C29" s="470" t="s">
        <v>379</v>
      </c>
      <c r="D29" s="471"/>
      <c r="E29" s="162"/>
      <c r="F29" s="162"/>
      <c r="G29" s="163">
        <f>E28-G28</f>
        <v>0</v>
      </c>
      <c r="H29" s="162"/>
      <c r="I29" s="163">
        <f>H28-I28</f>
        <v>0</v>
      </c>
      <c r="J29" s="159"/>
      <c r="K29" s="160"/>
      <c r="L29" s="302"/>
    </row>
    <row r="30" spans="1:12" s="153" customFormat="1" ht="18" customHeight="1">
      <c r="A30" s="493">
        <v>6</v>
      </c>
      <c r="B30" s="493" t="s">
        <v>440</v>
      </c>
      <c r="C30" s="235"/>
      <c r="D30" s="238"/>
      <c r="E30" s="237">
        <v>33000000</v>
      </c>
      <c r="F30" s="237">
        <f>E30</f>
        <v>33000000</v>
      </c>
      <c r="G30" s="164">
        <f>F30</f>
        <v>33000000</v>
      </c>
      <c r="H30" s="237">
        <f>F30</f>
        <v>33000000</v>
      </c>
      <c r="I30" s="164">
        <f>F30</f>
        <v>33000000</v>
      </c>
      <c r="J30" s="236">
        <v>42235</v>
      </c>
      <c r="K30" s="234" t="s">
        <v>372</v>
      </c>
      <c r="L30" s="305"/>
    </row>
    <row r="31" spans="1:12" s="161" customFormat="1" ht="18" customHeight="1">
      <c r="A31" s="493"/>
      <c r="B31" s="493"/>
      <c r="C31" s="470" t="s">
        <v>94</v>
      </c>
      <c r="D31" s="471"/>
      <c r="E31" s="158">
        <f>SUM(E30:E30)</f>
        <v>33000000</v>
      </c>
      <c r="F31" s="158">
        <f>SUM(F30:F30)</f>
        <v>33000000</v>
      </c>
      <c r="G31" s="158">
        <f>SUM(G30:G30)</f>
        <v>33000000</v>
      </c>
      <c r="H31" s="158">
        <f>SUM(H30:H30)</f>
        <v>33000000</v>
      </c>
      <c r="I31" s="158">
        <f>SUM(I30:I30)</f>
        <v>33000000</v>
      </c>
      <c r="J31" s="159"/>
      <c r="K31" s="160" t="s">
        <v>42</v>
      </c>
      <c r="L31" s="302"/>
    </row>
    <row r="32" spans="1:12" s="161" customFormat="1" ht="18" customHeight="1">
      <c r="A32" s="493"/>
      <c r="B32" s="493"/>
      <c r="C32" s="470" t="s">
        <v>379</v>
      </c>
      <c r="D32" s="471"/>
      <c r="E32" s="162"/>
      <c r="F32" s="162"/>
      <c r="G32" s="163">
        <f>E31-G31</f>
        <v>0</v>
      </c>
      <c r="H32" s="162"/>
      <c r="I32" s="163">
        <f>H31-I31</f>
        <v>0</v>
      </c>
      <c r="J32" s="159"/>
      <c r="K32" s="160"/>
      <c r="L32" s="302"/>
    </row>
    <row r="33" spans="1:12" s="153" customFormat="1" ht="18" customHeight="1">
      <c r="A33" s="493">
        <v>7</v>
      </c>
      <c r="B33" s="493" t="s">
        <v>188</v>
      </c>
      <c r="C33" s="152" t="s">
        <v>384</v>
      </c>
      <c r="D33" s="150">
        <v>41904</v>
      </c>
      <c r="E33" s="167">
        <v>16327199</v>
      </c>
      <c r="F33" s="218">
        <v>16327199</v>
      </c>
      <c r="G33" s="164">
        <v>16327199</v>
      </c>
      <c r="H33" s="167">
        <v>16327199</v>
      </c>
      <c r="I33" s="164">
        <v>16327199</v>
      </c>
      <c r="J33" s="168">
        <v>41915</v>
      </c>
      <c r="K33" s="157" t="s">
        <v>372</v>
      </c>
      <c r="L33" s="305"/>
    </row>
    <row r="34" spans="1:12" s="161" customFormat="1" ht="18" customHeight="1">
      <c r="A34" s="493"/>
      <c r="B34" s="493"/>
      <c r="C34" s="470" t="s">
        <v>94</v>
      </c>
      <c r="D34" s="471"/>
      <c r="E34" s="158">
        <f>SUM(E33:E33)</f>
        <v>16327199</v>
      </c>
      <c r="F34" s="158">
        <f>SUM(F33:F33)</f>
        <v>16327199</v>
      </c>
      <c r="G34" s="158">
        <f>SUM(G33:G33)</f>
        <v>16327199</v>
      </c>
      <c r="H34" s="158">
        <f>SUM(H33:H33)</f>
        <v>16327199</v>
      </c>
      <c r="I34" s="158">
        <f>SUM(I33:I33)</f>
        <v>16327199</v>
      </c>
      <c r="J34" s="159"/>
      <c r="K34" s="160" t="s">
        <v>42</v>
      </c>
      <c r="L34" s="302"/>
    </row>
    <row r="35" spans="1:12" s="161" customFormat="1" ht="18" customHeight="1">
      <c r="A35" s="493"/>
      <c r="B35" s="493"/>
      <c r="C35" s="470" t="s">
        <v>379</v>
      </c>
      <c r="D35" s="471"/>
      <c r="E35" s="162"/>
      <c r="F35" s="162"/>
      <c r="G35" s="163">
        <f>E34-G34</f>
        <v>0</v>
      </c>
      <c r="H35" s="162"/>
      <c r="I35" s="163">
        <f>H34-I34</f>
        <v>0</v>
      </c>
      <c r="J35" s="159"/>
      <c r="K35" s="160"/>
      <c r="L35" s="302"/>
    </row>
    <row r="36" spans="1:12" s="153" customFormat="1" ht="17.25" customHeight="1">
      <c r="A36" s="493">
        <v>8</v>
      </c>
      <c r="B36" s="493" t="s">
        <v>89</v>
      </c>
      <c r="C36" s="507" t="s">
        <v>385</v>
      </c>
      <c r="D36" s="515">
        <v>41697</v>
      </c>
      <c r="E36" s="514">
        <f>324737600+1262599800</f>
        <v>1587337400</v>
      </c>
      <c r="F36" s="514">
        <f>324737600+1262599800</f>
        <v>1587337400</v>
      </c>
      <c r="G36" s="164">
        <v>43824000</v>
      </c>
      <c r="H36" s="514">
        <f>324737600+1262599800</f>
        <v>1587337400</v>
      </c>
      <c r="I36" s="164">
        <v>43824000</v>
      </c>
      <c r="J36" s="168">
        <v>41664</v>
      </c>
      <c r="K36" s="157" t="s">
        <v>372</v>
      </c>
      <c r="L36" s="305"/>
    </row>
    <row r="37" spans="1:12" s="153" customFormat="1" ht="17.25" customHeight="1">
      <c r="A37" s="493"/>
      <c r="B37" s="493"/>
      <c r="C37" s="507"/>
      <c r="D37" s="507"/>
      <c r="E37" s="514"/>
      <c r="F37" s="514"/>
      <c r="G37" s="151">
        <v>76462320</v>
      </c>
      <c r="H37" s="514"/>
      <c r="I37" s="151">
        <v>76462320</v>
      </c>
      <c r="J37" s="150">
        <v>41699</v>
      </c>
      <c r="K37" s="152" t="s">
        <v>372</v>
      </c>
      <c r="L37" s="305"/>
    </row>
    <row r="38" spans="1:12" s="153" customFormat="1" ht="17.25" customHeight="1">
      <c r="A38" s="493"/>
      <c r="B38" s="493"/>
      <c r="C38" s="507"/>
      <c r="D38" s="507"/>
      <c r="E38" s="514"/>
      <c r="F38" s="514"/>
      <c r="G38" s="151">
        <v>133147080</v>
      </c>
      <c r="H38" s="514"/>
      <c r="I38" s="151">
        <v>133147080</v>
      </c>
      <c r="J38" s="150">
        <v>41718</v>
      </c>
      <c r="K38" s="152" t="s">
        <v>372</v>
      </c>
      <c r="L38" s="305"/>
    </row>
    <row r="39" spans="1:12" s="153" customFormat="1" ht="17.25" customHeight="1">
      <c r="A39" s="493"/>
      <c r="B39" s="493"/>
      <c r="C39" s="507"/>
      <c r="D39" s="507"/>
      <c r="E39" s="514"/>
      <c r="F39" s="514"/>
      <c r="G39" s="151">
        <v>378779940</v>
      </c>
      <c r="H39" s="514"/>
      <c r="I39" s="151">
        <v>378779940</v>
      </c>
      <c r="J39" s="150">
        <v>41834</v>
      </c>
      <c r="K39" s="152" t="s">
        <v>372</v>
      </c>
      <c r="L39" s="305"/>
    </row>
    <row r="40" spans="1:12" s="153" customFormat="1" ht="17.25" customHeight="1">
      <c r="A40" s="493"/>
      <c r="B40" s="493"/>
      <c r="C40" s="507"/>
      <c r="D40" s="507"/>
      <c r="E40" s="514"/>
      <c r="F40" s="514"/>
      <c r="G40" s="156">
        <v>252519960</v>
      </c>
      <c r="H40" s="514"/>
      <c r="I40" s="156">
        <v>252519960</v>
      </c>
      <c r="J40" s="155">
        <v>41865</v>
      </c>
      <c r="K40" s="169" t="s">
        <v>372</v>
      </c>
      <c r="L40" s="305"/>
    </row>
    <row r="41" spans="1:12" s="153" customFormat="1" ht="17.25" customHeight="1">
      <c r="A41" s="493"/>
      <c r="B41" s="493"/>
      <c r="C41" s="507"/>
      <c r="D41" s="507"/>
      <c r="E41" s="514"/>
      <c r="F41" s="514"/>
      <c r="G41" s="151">
        <v>378779940</v>
      </c>
      <c r="H41" s="514"/>
      <c r="I41" s="151">
        <v>378779940</v>
      </c>
      <c r="J41" s="150">
        <v>41871</v>
      </c>
      <c r="K41" s="169" t="s">
        <v>372</v>
      </c>
      <c r="L41" s="305"/>
    </row>
    <row r="42" spans="1:12" s="153" customFormat="1" ht="17.25" customHeight="1">
      <c r="A42" s="493"/>
      <c r="B42" s="493"/>
      <c r="C42" s="507"/>
      <c r="D42" s="507"/>
      <c r="E42" s="514"/>
      <c r="F42" s="514"/>
      <c r="G42" s="170">
        <v>323824160</v>
      </c>
      <c r="H42" s="514"/>
      <c r="I42" s="170">
        <v>323824160</v>
      </c>
      <c r="J42" s="171">
        <v>41928</v>
      </c>
      <c r="K42" s="169" t="s">
        <v>372</v>
      </c>
      <c r="L42" s="305"/>
    </row>
    <row r="43" spans="1:12" s="161" customFormat="1" ht="18" customHeight="1">
      <c r="A43" s="493"/>
      <c r="B43" s="493"/>
      <c r="C43" s="470" t="s">
        <v>94</v>
      </c>
      <c r="D43" s="471"/>
      <c r="E43" s="158">
        <f>SUM(E36:E42)</f>
        <v>1587337400</v>
      </c>
      <c r="F43" s="158">
        <f>SUM(F36:F42)</f>
        <v>1587337400</v>
      </c>
      <c r="G43" s="158">
        <f>SUM(G36:G42)</f>
        <v>1587337400</v>
      </c>
      <c r="H43" s="158">
        <f>SUM(H36:H42)</f>
        <v>1587337400</v>
      </c>
      <c r="I43" s="158">
        <f>SUM(I36:I42)</f>
        <v>1587337400</v>
      </c>
      <c r="J43" s="159"/>
      <c r="K43" s="160" t="s">
        <v>42</v>
      </c>
      <c r="L43" s="302"/>
    </row>
    <row r="44" spans="1:12" s="161" customFormat="1" ht="18" customHeight="1">
      <c r="A44" s="493"/>
      <c r="B44" s="493"/>
      <c r="C44" s="470" t="s">
        <v>379</v>
      </c>
      <c r="D44" s="471"/>
      <c r="E44" s="162"/>
      <c r="F44" s="162"/>
      <c r="G44" s="163">
        <f>E43-G43</f>
        <v>0</v>
      </c>
      <c r="H44" s="162"/>
      <c r="I44" s="163">
        <f>H43-I43</f>
        <v>0</v>
      </c>
      <c r="J44" s="159"/>
      <c r="K44" s="160"/>
      <c r="L44" s="302"/>
    </row>
    <row r="45" spans="1:12" s="153" customFormat="1" ht="17.25" customHeight="1">
      <c r="A45" s="493">
        <v>9</v>
      </c>
      <c r="B45" s="493" t="s">
        <v>91</v>
      </c>
      <c r="C45" s="507" t="s">
        <v>387</v>
      </c>
      <c r="D45" s="515">
        <v>41627</v>
      </c>
      <c r="E45" s="514">
        <v>289000000</v>
      </c>
      <c r="F45" s="514">
        <v>289000000</v>
      </c>
      <c r="G45" s="151">
        <v>20000000</v>
      </c>
      <c r="H45" s="514">
        <v>289000000</v>
      </c>
      <c r="I45" s="151">
        <v>20000000</v>
      </c>
      <c r="J45" s="168">
        <v>41664</v>
      </c>
      <c r="K45" s="157" t="s">
        <v>372</v>
      </c>
      <c r="L45" s="305"/>
    </row>
    <row r="46" spans="1:12" s="153" customFormat="1" ht="17.25" customHeight="1">
      <c r="A46" s="493"/>
      <c r="B46" s="493"/>
      <c r="C46" s="507"/>
      <c r="D46" s="507"/>
      <c r="E46" s="514"/>
      <c r="F46" s="514"/>
      <c r="G46" s="151">
        <v>20000000</v>
      </c>
      <c r="H46" s="514"/>
      <c r="I46" s="151">
        <v>20000000</v>
      </c>
      <c r="J46" s="168">
        <v>41843</v>
      </c>
      <c r="K46" s="157" t="s">
        <v>372</v>
      </c>
      <c r="L46" s="305"/>
    </row>
    <row r="47" spans="1:12" s="153" customFormat="1" ht="17.25" customHeight="1">
      <c r="A47" s="493"/>
      <c r="B47" s="493"/>
      <c r="C47" s="507"/>
      <c r="D47" s="507"/>
      <c r="E47" s="514"/>
      <c r="F47" s="514"/>
      <c r="G47" s="151">
        <v>50000000</v>
      </c>
      <c r="H47" s="514"/>
      <c r="I47" s="151">
        <v>50000000</v>
      </c>
      <c r="J47" s="168">
        <v>41851</v>
      </c>
      <c r="K47" s="157" t="s">
        <v>372</v>
      </c>
      <c r="L47" s="305"/>
    </row>
    <row r="48" spans="1:12" s="153" customFormat="1" ht="17.25" customHeight="1">
      <c r="A48" s="493"/>
      <c r="B48" s="493"/>
      <c r="C48" s="507"/>
      <c r="D48" s="507"/>
      <c r="E48" s="514"/>
      <c r="F48" s="514"/>
      <c r="G48" s="151">
        <v>50000000</v>
      </c>
      <c r="H48" s="514"/>
      <c r="I48" s="151">
        <v>50000000</v>
      </c>
      <c r="J48" s="150">
        <v>41858</v>
      </c>
      <c r="K48" s="152" t="s">
        <v>372</v>
      </c>
      <c r="L48" s="305"/>
    </row>
    <row r="49" spans="1:12" s="153" customFormat="1" ht="17.25" customHeight="1">
      <c r="A49" s="493"/>
      <c r="B49" s="493"/>
      <c r="C49" s="507"/>
      <c r="D49" s="507"/>
      <c r="E49" s="514"/>
      <c r="F49" s="514"/>
      <c r="G49" s="151">
        <v>50000000</v>
      </c>
      <c r="H49" s="514"/>
      <c r="I49" s="151">
        <v>50000000</v>
      </c>
      <c r="J49" s="150">
        <v>41871</v>
      </c>
      <c r="K49" s="152" t="s">
        <v>372</v>
      </c>
      <c r="L49" s="305"/>
    </row>
    <row r="50" spans="1:12" s="153" customFormat="1" ht="17.25" customHeight="1">
      <c r="A50" s="493"/>
      <c r="B50" s="493"/>
      <c r="C50" s="507"/>
      <c r="D50" s="507"/>
      <c r="E50" s="514"/>
      <c r="F50" s="514"/>
      <c r="G50" s="151">
        <v>50000000</v>
      </c>
      <c r="H50" s="514"/>
      <c r="I50" s="151">
        <v>50000000</v>
      </c>
      <c r="J50" s="155">
        <v>41894</v>
      </c>
      <c r="K50" s="152" t="s">
        <v>372</v>
      </c>
      <c r="L50" s="305"/>
    </row>
    <row r="51" spans="1:12" s="153" customFormat="1" ht="17.25" customHeight="1">
      <c r="A51" s="493"/>
      <c r="B51" s="493"/>
      <c r="C51" s="507"/>
      <c r="D51" s="507"/>
      <c r="E51" s="514"/>
      <c r="F51" s="514"/>
      <c r="G51" s="170">
        <v>49000000</v>
      </c>
      <c r="H51" s="514"/>
      <c r="I51" s="170">
        <v>49000000</v>
      </c>
      <c r="J51" s="171">
        <v>41942</v>
      </c>
      <c r="K51" s="152" t="s">
        <v>372</v>
      </c>
      <c r="L51" s="305"/>
    </row>
    <row r="52" spans="1:12" s="161" customFormat="1" ht="18" customHeight="1">
      <c r="A52" s="493"/>
      <c r="B52" s="493"/>
      <c r="C52" s="470" t="s">
        <v>94</v>
      </c>
      <c r="D52" s="471"/>
      <c r="E52" s="158">
        <f>SUM(E45:E51)</f>
        <v>289000000</v>
      </c>
      <c r="F52" s="158">
        <f>SUM(F45:F51)</f>
        <v>289000000</v>
      </c>
      <c r="G52" s="158">
        <f>SUM(G45:G51)</f>
        <v>289000000</v>
      </c>
      <c r="H52" s="158">
        <f>SUM(H45:H51)</f>
        <v>289000000</v>
      </c>
      <c r="I52" s="158">
        <f>SUM(I45:I51)</f>
        <v>289000000</v>
      </c>
      <c r="J52" s="159"/>
      <c r="K52" s="160" t="s">
        <v>42</v>
      </c>
      <c r="L52" s="302"/>
    </row>
    <row r="53" spans="1:12" s="161" customFormat="1" ht="18" customHeight="1">
      <c r="A53" s="493"/>
      <c r="B53" s="493"/>
      <c r="C53" s="470" t="s">
        <v>379</v>
      </c>
      <c r="D53" s="471"/>
      <c r="E53" s="162"/>
      <c r="F53" s="162"/>
      <c r="G53" s="163">
        <f>E52-G52</f>
        <v>0</v>
      </c>
      <c r="H53" s="162"/>
      <c r="I53" s="163">
        <f>H52-I52</f>
        <v>0</v>
      </c>
      <c r="J53" s="159"/>
      <c r="K53" s="160"/>
      <c r="L53" s="302"/>
    </row>
    <row r="54" spans="1:12" ht="16.5" customHeight="1">
      <c r="A54" s="464">
        <v>10</v>
      </c>
      <c r="B54" s="465" t="s">
        <v>304</v>
      </c>
      <c r="C54" s="466" t="s">
        <v>404</v>
      </c>
      <c r="D54" s="468">
        <v>42182</v>
      </c>
      <c r="E54" s="459">
        <v>150126466</v>
      </c>
      <c r="F54" s="459">
        <v>150126466</v>
      </c>
      <c r="G54" s="172">
        <v>45000000</v>
      </c>
      <c r="H54" s="459">
        <v>150126466</v>
      </c>
      <c r="I54" s="172">
        <v>45000000</v>
      </c>
      <c r="J54" s="176">
        <v>42185</v>
      </c>
      <c r="K54" s="174" t="s">
        <v>372</v>
      </c>
    </row>
    <row r="55" spans="1:12" ht="16.5" customHeight="1">
      <c r="A55" s="464"/>
      <c r="B55" s="465"/>
      <c r="C55" s="467"/>
      <c r="D55" s="467"/>
      <c r="E55" s="460"/>
      <c r="F55" s="460"/>
      <c r="G55" s="138">
        <v>105126466</v>
      </c>
      <c r="H55" s="460"/>
      <c r="I55" s="138">
        <v>105126466</v>
      </c>
      <c r="J55" s="176">
        <v>42195</v>
      </c>
      <c r="K55" s="174" t="s">
        <v>372</v>
      </c>
    </row>
    <row r="56" spans="1:12" ht="16.5" customHeight="1">
      <c r="A56" s="464"/>
      <c r="B56" s="465"/>
      <c r="C56" s="282"/>
      <c r="D56" s="283"/>
      <c r="E56" s="279"/>
      <c r="F56" s="279"/>
      <c r="G56" s="279"/>
      <c r="H56" s="279"/>
      <c r="I56" s="279"/>
      <c r="J56" s="278"/>
      <c r="K56" s="277"/>
    </row>
    <row r="57" spans="1:12" s="161" customFormat="1" ht="18" customHeight="1">
      <c r="A57" s="464"/>
      <c r="B57" s="465"/>
      <c r="C57" s="470" t="s">
        <v>94</v>
      </c>
      <c r="D57" s="471"/>
      <c r="E57" s="158">
        <f>SUM(E54:E55)</f>
        <v>150126466</v>
      </c>
      <c r="F57" s="158">
        <f>SUM(F54:F55)</f>
        <v>150126466</v>
      </c>
      <c r="G57" s="158">
        <f>SUM(G54:G55)</f>
        <v>150126466</v>
      </c>
      <c r="H57" s="158">
        <f>SUM(H54:H55)</f>
        <v>150126466</v>
      </c>
      <c r="I57" s="158">
        <f>SUM(I54:I55)</f>
        <v>150126466</v>
      </c>
      <c r="J57" s="159"/>
      <c r="K57" s="160" t="s">
        <v>42</v>
      </c>
      <c r="L57" s="302"/>
    </row>
    <row r="58" spans="1:12" s="161" customFormat="1" ht="18" customHeight="1">
      <c r="A58" s="464"/>
      <c r="B58" s="465"/>
      <c r="C58" s="470" t="s">
        <v>379</v>
      </c>
      <c r="D58" s="471"/>
      <c r="E58" s="162"/>
      <c r="F58" s="162"/>
      <c r="G58" s="163">
        <f>E57-G57</f>
        <v>0</v>
      </c>
      <c r="H58" s="162"/>
      <c r="I58" s="163">
        <f>H57-I57</f>
        <v>0</v>
      </c>
      <c r="J58" s="159"/>
      <c r="K58" s="160"/>
      <c r="L58" s="302"/>
    </row>
    <row r="59" spans="1:12" ht="16.5" customHeight="1">
      <c r="A59" s="464">
        <v>11</v>
      </c>
      <c r="B59" s="465" t="s">
        <v>356</v>
      </c>
      <c r="C59" s="208" t="s">
        <v>425</v>
      </c>
      <c r="D59" s="209">
        <v>42206</v>
      </c>
      <c r="E59" s="210">
        <v>53060000</v>
      </c>
      <c r="F59" s="221">
        <f>E59</f>
        <v>53060000</v>
      </c>
      <c r="G59" s="210">
        <v>53060000</v>
      </c>
      <c r="H59" s="210">
        <v>53060000</v>
      </c>
      <c r="I59" s="210">
        <v>53060000</v>
      </c>
      <c r="J59" s="205">
        <v>42212</v>
      </c>
      <c r="K59" s="211" t="s">
        <v>372</v>
      </c>
    </row>
    <row r="60" spans="1:12" s="161" customFormat="1" ht="18" customHeight="1">
      <c r="A60" s="464"/>
      <c r="B60" s="465"/>
      <c r="C60" s="470" t="s">
        <v>94</v>
      </c>
      <c r="D60" s="471"/>
      <c r="E60" s="158">
        <f>SUM(E59:E59)</f>
        <v>53060000</v>
      </c>
      <c r="F60" s="158">
        <f>SUM(F59:F59)</f>
        <v>53060000</v>
      </c>
      <c r="G60" s="158">
        <f>SUM(G59:G59)</f>
        <v>53060000</v>
      </c>
      <c r="H60" s="158">
        <f>SUM(H59:H59)</f>
        <v>53060000</v>
      </c>
      <c r="I60" s="158">
        <f>SUM(I59:I59)</f>
        <v>53060000</v>
      </c>
      <c r="J60" s="159"/>
      <c r="K60" s="160" t="s">
        <v>42</v>
      </c>
      <c r="L60" s="302"/>
    </row>
    <row r="61" spans="1:12" s="161" customFormat="1" ht="18" customHeight="1">
      <c r="A61" s="464"/>
      <c r="B61" s="465"/>
      <c r="C61" s="470" t="s">
        <v>379</v>
      </c>
      <c r="D61" s="471"/>
      <c r="E61" s="162"/>
      <c r="F61" s="162"/>
      <c r="G61" s="163">
        <f>E60-G60</f>
        <v>0</v>
      </c>
      <c r="H61" s="162"/>
      <c r="I61" s="163">
        <f>H60-I60</f>
        <v>0</v>
      </c>
      <c r="J61" s="159"/>
      <c r="K61" s="160"/>
      <c r="L61" s="302"/>
    </row>
    <row r="62" spans="1:12" ht="17.25" customHeight="1">
      <c r="A62" s="464">
        <v>12</v>
      </c>
      <c r="B62" s="464" t="s">
        <v>90</v>
      </c>
      <c r="C62" s="477" t="s">
        <v>388</v>
      </c>
      <c r="D62" s="479">
        <v>41353</v>
      </c>
      <c r="E62" s="473"/>
      <c r="F62" s="473">
        <v>100000000</v>
      </c>
      <c r="G62" s="177">
        <v>30000000</v>
      </c>
      <c r="H62" s="473">
        <v>100000000</v>
      </c>
      <c r="I62" s="177">
        <v>30000000</v>
      </c>
      <c r="J62" s="173">
        <v>41723</v>
      </c>
      <c r="K62" s="174" t="s">
        <v>372</v>
      </c>
    </row>
    <row r="63" spans="1:12" ht="17.25" customHeight="1">
      <c r="A63" s="464"/>
      <c r="B63" s="464"/>
      <c r="C63" s="477"/>
      <c r="D63" s="479"/>
      <c r="E63" s="473"/>
      <c r="F63" s="473"/>
      <c r="G63" s="172">
        <v>30000000</v>
      </c>
      <c r="H63" s="473"/>
      <c r="I63" s="172">
        <v>30000000</v>
      </c>
      <c r="J63" s="176">
        <v>41813</v>
      </c>
      <c r="K63" s="178" t="s">
        <v>372</v>
      </c>
    </row>
    <row r="64" spans="1:12" s="161" customFormat="1" ht="18" customHeight="1">
      <c r="A64" s="464"/>
      <c r="B64" s="464"/>
      <c r="C64" s="470" t="s">
        <v>94</v>
      </c>
      <c r="D64" s="471"/>
      <c r="E64" s="158">
        <f>SUM(E62:E63)</f>
        <v>0</v>
      </c>
      <c r="F64" s="158">
        <f>SUM(F62:F63)</f>
        <v>100000000</v>
      </c>
      <c r="G64" s="158">
        <f t="shared" ref="G64:I64" si="0">SUM(G62:G63)</f>
        <v>60000000</v>
      </c>
      <c r="H64" s="158">
        <f t="shared" si="0"/>
        <v>100000000</v>
      </c>
      <c r="I64" s="158">
        <f t="shared" si="0"/>
        <v>60000000</v>
      </c>
      <c r="J64" s="159"/>
      <c r="K64" s="160" t="s">
        <v>42</v>
      </c>
      <c r="L64" s="302"/>
    </row>
    <row r="65" spans="1:13" s="161" customFormat="1" ht="18" customHeight="1">
      <c r="A65" s="464"/>
      <c r="B65" s="464"/>
      <c r="C65" s="470" t="s">
        <v>379</v>
      </c>
      <c r="D65" s="471"/>
      <c r="E65" s="162"/>
      <c r="F65" s="162"/>
      <c r="G65" s="163">
        <f>E64-G64</f>
        <v>-60000000</v>
      </c>
      <c r="H65" s="162"/>
      <c r="I65" s="163">
        <f>H64-I64</f>
        <v>40000000</v>
      </c>
      <c r="J65" s="159"/>
      <c r="K65" s="160"/>
      <c r="L65" s="302"/>
    </row>
    <row r="66" spans="1:13" s="153" customFormat="1" ht="17.25" customHeight="1">
      <c r="A66" s="501">
        <v>13</v>
      </c>
      <c r="B66" s="501" t="s">
        <v>86</v>
      </c>
      <c r="C66" s="506" t="s">
        <v>380</v>
      </c>
      <c r="D66" s="508">
        <v>41292</v>
      </c>
      <c r="E66" s="504">
        <v>60500000</v>
      </c>
      <c r="F66" s="504">
        <v>60500000</v>
      </c>
      <c r="G66" s="164">
        <v>27500000</v>
      </c>
      <c r="H66" s="517">
        <v>60500000</v>
      </c>
      <c r="I66" s="164">
        <v>27500000</v>
      </c>
      <c r="J66" s="165">
        <v>41641</v>
      </c>
      <c r="K66" s="157" t="s">
        <v>372</v>
      </c>
      <c r="L66" s="305"/>
    </row>
    <row r="67" spans="1:13" s="153" customFormat="1" ht="17.25" customHeight="1">
      <c r="A67" s="502"/>
      <c r="B67" s="502"/>
      <c r="C67" s="507"/>
      <c r="D67" s="507"/>
      <c r="E67" s="505"/>
      <c r="F67" s="505"/>
      <c r="G67" s="151">
        <v>33000000</v>
      </c>
      <c r="H67" s="514"/>
      <c r="I67" s="151">
        <v>33000000</v>
      </c>
      <c r="J67" s="166">
        <v>41775</v>
      </c>
      <c r="K67" s="157" t="s">
        <v>372</v>
      </c>
      <c r="L67" s="305"/>
    </row>
    <row r="68" spans="1:13" s="161" customFormat="1" ht="17.25" customHeight="1">
      <c r="A68" s="502"/>
      <c r="B68" s="502"/>
      <c r="C68" s="470" t="s">
        <v>94</v>
      </c>
      <c r="D68" s="471"/>
      <c r="E68" s="158">
        <f>SUM(E66:E67)</f>
        <v>60500000</v>
      </c>
      <c r="F68" s="158">
        <f>SUM(F66:F67)</f>
        <v>60500000</v>
      </c>
      <c r="G68" s="158">
        <f>SUM(G66:G67)</f>
        <v>60500000</v>
      </c>
      <c r="H68" s="158">
        <f>SUM(H66:H67)</f>
        <v>60500000</v>
      </c>
      <c r="I68" s="158">
        <f>SUM(I66:I67)</f>
        <v>60500000</v>
      </c>
      <c r="J68" s="159"/>
      <c r="K68" s="160" t="s">
        <v>42</v>
      </c>
      <c r="L68" s="302"/>
    </row>
    <row r="69" spans="1:13" s="161" customFormat="1" ht="17.25" customHeight="1">
      <c r="A69" s="502"/>
      <c r="B69" s="502"/>
      <c r="C69" s="470" t="s">
        <v>379</v>
      </c>
      <c r="D69" s="471"/>
      <c r="E69" s="162"/>
      <c r="F69" s="162"/>
      <c r="G69" s="163">
        <f>E68-G68</f>
        <v>0</v>
      </c>
      <c r="H69" s="162"/>
      <c r="I69" s="163">
        <f>H68-I68</f>
        <v>0</v>
      </c>
      <c r="J69" s="159"/>
      <c r="K69" s="160"/>
      <c r="L69" s="302"/>
    </row>
    <row r="70" spans="1:13" s="153" customFormat="1" ht="17.25" customHeight="1">
      <c r="A70" s="502"/>
      <c r="B70" s="502"/>
      <c r="C70" s="506" t="s">
        <v>452</v>
      </c>
      <c r="D70" s="508">
        <v>42217</v>
      </c>
      <c r="E70" s="504">
        <v>428000000</v>
      </c>
      <c r="F70" s="504">
        <v>428000000</v>
      </c>
      <c r="G70" s="164">
        <v>128400000</v>
      </c>
      <c r="H70" s="504">
        <v>428000000</v>
      </c>
      <c r="I70" s="164">
        <v>128400000</v>
      </c>
      <c r="J70" s="165">
        <v>42236</v>
      </c>
      <c r="K70" s="227" t="s">
        <v>372</v>
      </c>
      <c r="L70" s="305"/>
    </row>
    <row r="71" spans="1:13" s="153" customFormat="1" ht="17.25" customHeight="1">
      <c r="A71" s="502"/>
      <c r="B71" s="502"/>
      <c r="C71" s="507"/>
      <c r="D71" s="507"/>
      <c r="E71" s="505"/>
      <c r="F71" s="505"/>
      <c r="G71" s="151"/>
      <c r="H71" s="505"/>
      <c r="I71" s="151"/>
      <c r="J71" s="166"/>
      <c r="K71" s="227"/>
      <c r="L71" s="305"/>
    </row>
    <row r="72" spans="1:13" s="161" customFormat="1" ht="17.25" customHeight="1">
      <c r="A72" s="502"/>
      <c r="B72" s="502"/>
      <c r="C72" s="470" t="s">
        <v>94</v>
      </c>
      <c r="D72" s="471"/>
      <c r="E72" s="158">
        <f>SUM(E70:E71)</f>
        <v>428000000</v>
      </c>
      <c r="F72" s="158">
        <f>SUM(F70:F71)</f>
        <v>428000000</v>
      </c>
      <c r="G72" s="158">
        <f>SUM(G70:G71)</f>
        <v>128400000</v>
      </c>
      <c r="H72" s="158">
        <f>SUM(H70:H71)</f>
        <v>428000000</v>
      </c>
      <c r="I72" s="158">
        <f>SUM(I70:I71)</f>
        <v>128400000</v>
      </c>
      <c r="J72" s="159"/>
      <c r="K72" s="160" t="s">
        <v>42</v>
      </c>
      <c r="L72" s="302"/>
    </row>
    <row r="73" spans="1:13" s="161" customFormat="1" ht="17.25" customHeight="1">
      <c r="A73" s="503"/>
      <c r="B73" s="503"/>
      <c r="C73" s="470" t="s">
        <v>379</v>
      </c>
      <c r="D73" s="471"/>
      <c r="E73" s="162"/>
      <c r="F73" s="162"/>
      <c r="G73" s="163">
        <f>E72-G72</f>
        <v>299600000</v>
      </c>
      <c r="H73" s="162"/>
      <c r="I73" s="163">
        <f>H72-I72</f>
        <v>299600000</v>
      </c>
      <c r="J73" s="159"/>
      <c r="K73" s="160"/>
      <c r="L73" s="302"/>
      <c r="M73" s="301"/>
    </row>
    <row r="74" spans="1:13" ht="17.25" customHeight="1">
      <c r="A74" s="464">
        <v>14</v>
      </c>
      <c r="B74" s="464" t="s">
        <v>109</v>
      </c>
      <c r="C74" s="477" t="s">
        <v>388</v>
      </c>
      <c r="D74" s="479">
        <v>41353</v>
      </c>
      <c r="E74" s="473"/>
      <c r="F74" s="473">
        <v>200000000</v>
      </c>
      <c r="G74" s="172">
        <f>IF(I74&gt;0,I74,0)</f>
        <v>50000000</v>
      </c>
      <c r="H74" s="473">
        <v>200000000</v>
      </c>
      <c r="I74" s="177">
        <v>50000000</v>
      </c>
      <c r="J74" s="173">
        <v>41871</v>
      </c>
      <c r="K74" s="174" t="s">
        <v>372</v>
      </c>
    </row>
    <row r="75" spans="1:13" ht="17.25" customHeight="1">
      <c r="A75" s="464"/>
      <c r="B75" s="464"/>
      <c r="C75" s="477"/>
      <c r="D75" s="479"/>
      <c r="E75" s="473"/>
      <c r="F75" s="473"/>
      <c r="G75" s="172">
        <f t="shared" ref="G75:G77" si="1">IF(I75&gt;0,I75,0)</f>
        <v>50000000</v>
      </c>
      <c r="H75" s="473"/>
      <c r="I75" s="177">
        <v>50000000</v>
      </c>
      <c r="J75" s="176">
        <v>42034</v>
      </c>
      <c r="K75" s="174" t="s">
        <v>372</v>
      </c>
    </row>
    <row r="76" spans="1:13" ht="17.25" customHeight="1">
      <c r="A76" s="464"/>
      <c r="B76" s="464"/>
      <c r="C76" s="477"/>
      <c r="D76" s="479"/>
      <c r="E76" s="473"/>
      <c r="F76" s="473"/>
      <c r="G76" s="172">
        <f t="shared" si="1"/>
        <v>50000000</v>
      </c>
      <c r="H76" s="473"/>
      <c r="I76" s="177">
        <v>50000000</v>
      </c>
      <c r="J76" s="176">
        <v>42144</v>
      </c>
      <c r="K76" s="174" t="s">
        <v>372</v>
      </c>
    </row>
    <row r="77" spans="1:13" ht="17.25" customHeight="1">
      <c r="A77" s="464"/>
      <c r="B77" s="464"/>
      <c r="C77" s="477"/>
      <c r="D77" s="479"/>
      <c r="E77" s="473"/>
      <c r="F77" s="473"/>
      <c r="G77" s="172">
        <f t="shared" si="1"/>
        <v>0</v>
      </c>
      <c r="H77" s="473"/>
      <c r="I77" s="151"/>
      <c r="J77" s="183"/>
      <c r="K77" s="184"/>
    </row>
    <row r="78" spans="1:13" s="161" customFormat="1" ht="18" customHeight="1">
      <c r="A78" s="464"/>
      <c r="B78" s="464"/>
      <c r="C78" s="470" t="s">
        <v>94</v>
      </c>
      <c r="D78" s="471"/>
      <c r="E78" s="158">
        <f>SUM(E74:E77)</f>
        <v>0</v>
      </c>
      <c r="F78" s="158">
        <f>SUM(F74:F77)</f>
        <v>200000000</v>
      </c>
      <c r="G78" s="158">
        <f>SUM(G74:G77)</f>
        <v>150000000</v>
      </c>
      <c r="H78" s="158">
        <f>SUM(H74:H77)</f>
        <v>200000000</v>
      </c>
      <c r="I78" s="158">
        <f>SUM(I74:I77)</f>
        <v>150000000</v>
      </c>
      <c r="J78" s="159"/>
      <c r="K78" s="160" t="s">
        <v>42</v>
      </c>
      <c r="L78" s="302"/>
    </row>
    <row r="79" spans="1:13" s="161" customFormat="1" ht="18" customHeight="1">
      <c r="A79" s="464"/>
      <c r="B79" s="464"/>
      <c r="C79" s="470" t="s">
        <v>379</v>
      </c>
      <c r="D79" s="471"/>
      <c r="E79" s="162"/>
      <c r="F79" s="162"/>
      <c r="G79" s="163">
        <f>E78-G78</f>
        <v>-150000000</v>
      </c>
      <c r="H79" s="162"/>
      <c r="I79" s="163">
        <f>H78-I78</f>
        <v>50000000</v>
      </c>
      <c r="J79" s="159"/>
      <c r="K79" s="160"/>
      <c r="L79" s="302"/>
    </row>
    <row r="80" spans="1:13" ht="16.5" customHeight="1">
      <c r="A80" s="464">
        <v>15</v>
      </c>
      <c r="B80" s="464" t="s">
        <v>399</v>
      </c>
      <c r="C80" s="477" t="s">
        <v>400</v>
      </c>
      <c r="D80" s="479">
        <v>42118</v>
      </c>
      <c r="E80" s="473">
        <v>255297700</v>
      </c>
      <c r="F80" s="473">
        <v>255297700</v>
      </c>
      <c r="G80" s="172">
        <v>100000000</v>
      </c>
      <c r="H80" s="473">
        <v>255297700</v>
      </c>
      <c r="I80" s="172">
        <v>100000000</v>
      </c>
      <c r="J80" s="176">
        <v>42131</v>
      </c>
      <c r="K80" s="174" t="s">
        <v>372</v>
      </c>
    </row>
    <row r="81" spans="1:12" ht="16.5" customHeight="1">
      <c r="A81" s="464"/>
      <c r="B81" s="464"/>
      <c r="C81" s="477"/>
      <c r="D81" s="479"/>
      <c r="E81" s="473"/>
      <c r="F81" s="473"/>
      <c r="G81" s="172">
        <v>100000000</v>
      </c>
      <c r="H81" s="473"/>
      <c r="I81" s="172">
        <v>100000000</v>
      </c>
      <c r="J81" s="176">
        <v>42157</v>
      </c>
      <c r="K81" s="174" t="s">
        <v>372</v>
      </c>
    </row>
    <row r="82" spans="1:12" ht="16.5" customHeight="1">
      <c r="A82" s="464"/>
      <c r="B82" s="464"/>
      <c r="C82" s="477"/>
      <c r="D82" s="479"/>
      <c r="E82" s="473"/>
      <c r="F82" s="473"/>
      <c r="G82" s="172">
        <v>55297700</v>
      </c>
      <c r="H82" s="473"/>
      <c r="I82" s="172">
        <v>55297700</v>
      </c>
      <c r="J82" s="176">
        <v>42195</v>
      </c>
      <c r="K82" s="174" t="s">
        <v>372</v>
      </c>
    </row>
    <row r="83" spans="1:12" s="161" customFormat="1" ht="18" customHeight="1">
      <c r="A83" s="464"/>
      <c r="B83" s="464"/>
      <c r="C83" s="470" t="s">
        <v>94</v>
      </c>
      <c r="D83" s="471"/>
      <c r="E83" s="158">
        <f>SUM(E80:E82)</f>
        <v>255297700</v>
      </c>
      <c r="F83" s="158">
        <f>SUM(F80:F82)</f>
        <v>255297700</v>
      </c>
      <c r="G83" s="158">
        <f>SUM(G80:G82)</f>
        <v>255297700</v>
      </c>
      <c r="H83" s="158">
        <f>SUM(H80:H82)</f>
        <v>255297700</v>
      </c>
      <c r="I83" s="158">
        <f>SUM(I80:I82)</f>
        <v>255297700</v>
      </c>
      <c r="J83" s="159"/>
      <c r="K83" s="160" t="s">
        <v>42</v>
      </c>
      <c r="L83" s="302"/>
    </row>
    <row r="84" spans="1:12" s="161" customFormat="1" ht="18" customHeight="1">
      <c r="A84" s="464"/>
      <c r="B84" s="464"/>
      <c r="C84" s="470" t="s">
        <v>379</v>
      </c>
      <c r="D84" s="471"/>
      <c r="E84" s="162"/>
      <c r="F84" s="162"/>
      <c r="G84" s="163">
        <f>E83-G83</f>
        <v>0</v>
      </c>
      <c r="H84" s="162"/>
      <c r="I84" s="163">
        <f>H83-I83</f>
        <v>0</v>
      </c>
      <c r="J84" s="159"/>
      <c r="K84" s="160"/>
      <c r="L84" s="302"/>
    </row>
    <row r="85" spans="1:12" ht="16.5" customHeight="1">
      <c r="A85" s="464"/>
      <c r="B85" s="464"/>
      <c r="C85" s="487" t="s">
        <v>493</v>
      </c>
      <c r="D85" s="490">
        <v>42203</v>
      </c>
      <c r="E85" s="484">
        <f>H85</f>
        <v>708211020</v>
      </c>
      <c r="F85" s="484">
        <f>188280000+102950000+150022500</f>
        <v>441252500</v>
      </c>
      <c r="G85" s="179">
        <v>100000000</v>
      </c>
      <c r="H85" s="474">
        <f>188280000+102950000+150022500+59760000+114906620+92291900</f>
        <v>708211020</v>
      </c>
      <c r="I85" s="179">
        <v>100000000</v>
      </c>
      <c r="J85" s="189">
        <v>42174</v>
      </c>
      <c r="K85" s="432" t="s">
        <v>372</v>
      </c>
    </row>
    <row r="86" spans="1:12" ht="16.5" customHeight="1">
      <c r="A86" s="464"/>
      <c r="B86" s="464"/>
      <c r="C86" s="488"/>
      <c r="D86" s="491"/>
      <c r="E86" s="460"/>
      <c r="F86" s="460"/>
      <c r="G86" s="172">
        <v>200000000</v>
      </c>
      <c r="H86" s="473"/>
      <c r="I86" s="172">
        <v>200000000</v>
      </c>
      <c r="J86" s="429">
        <v>42212</v>
      </c>
      <c r="K86" s="428" t="s">
        <v>372</v>
      </c>
    </row>
    <row r="87" spans="1:12" ht="16.5" customHeight="1">
      <c r="A87" s="464"/>
      <c r="B87" s="464"/>
      <c r="C87" s="488"/>
      <c r="D87" s="491"/>
      <c r="E87" s="460"/>
      <c r="F87" s="460"/>
      <c r="G87" s="172">
        <f>I87</f>
        <v>201012500</v>
      </c>
      <c r="H87" s="473"/>
      <c r="I87" s="172">
        <v>201012500</v>
      </c>
      <c r="J87" s="429">
        <v>42266</v>
      </c>
      <c r="K87" s="428" t="s">
        <v>372</v>
      </c>
    </row>
    <row r="88" spans="1:12" ht="16.5" customHeight="1">
      <c r="A88" s="464"/>
      <c r="B88" s="464"/>
      <c r="C88" s="488"/>
      <c r="D88" s="491"/>
      <c r="E88" s="460"/>
      <c r="F88" s="460"/>
      <c r="G88" s="172">
        <f>I88</f>
        <v>114906620</v>
      </c>
      <c r="H88" s="473"/>
      <c r="I88" s="172">
        <v>114906620</v>
      </c>
      <c r="J88" s="429">
        <v>42349</v>
      </c>
      <c r="K88" s="428" t="s">
        <v>372</v>
      </c>
    </row>
    <row r="89" spans="1:12" ht="16.5" customHeight="1">
      <c r="A89" s="464"/>
      <c r="B89" s="464"/>
      <c r="C89" s="488"/>
      <c r="D89" s="491"/>
      <c r="E89" s="460"/>
      <c r="F89" s="460"/>
      <c r="G89" s="172"/>
      <c r="H89" s="473"/>
      <c r="I89" s="172"/>
      <c r="J89" s="429"/>
      <c r="K89" s="428"/>
    </row>
    <row r="90" spans="1:12" ht="16.5" customHeight="1">
      <c r="A90" s="464"/>
      <c r="B90" s="464"/>
      <c r="C90" s="489"/>
      <c r="D90" s="492"/>
      <c r="E90" s="485"/>
      <c r="F90" s="485"/>
      <c r="G90" s="385"/>
      <c r="H90" s="475"/>
      <c r="I90" s="385"/>
      <c r="J90" s="191"/>
      <c r="K90" s="430"/>
    </row>
    <row r="91" spans="1:12" s="161" customFormat="1" ht="18" customHeight="1">
      <c r="A91" s="464"/>
      <c r="B91" s="464"/>
      <c r="C91" s="470" t="s">
        <v>94</v>
      </c>
      <c r="D91" s="471"/>
      <c r="E91" s="158">
        <f>SUM(E85:E87)</f>
        <v>708211020</v>
      </c>
      <c r="F91" s="158">
        <f>SUM(F85:F87)</f>
        <v>441252500</v>
      </c>
      <c r="G91" s="158">
        <f>SUM(G85:G90)</f>
        <v>615919120</v>
      </c>
      <c r="H91" s="158">
        <f>SUM(H85:H87)</f>
        <v>708211020</v>
      </c>
      <c r="I91" s="158">
        <f>SUM(I85:I88)</f>
        <v>615919120</v>
      </c>
      <c r="J91" s="159"/>
      <c r="K91" s="160" t="s">
        <v>42</v>
      </c>
      <c r="L91" s="302"/>
    </row>
    <row r="92" spans="1:12" s="161" customFormat="1" ht="18" customHeight="1">
      <c r="A92" s="464"/>
      <c r="B92" s="464"/>
      <c r="C92" s="470" t="s">
        <v>379</v>
      </c>
      <c r="D92" s="471"/>
      <c r="E92" s="162"/>
      <c r="F92" s="162"/>
      <c r="G92" s="163">
        <f>E91-G91</f>
        <v>92291900</v>
      </c>
      <c r="H92" s="162"/>
      <c r="I92" s="163">
        <f>H91-I91</f>
        <v>92291900</v>
      </c>
      <c r="J92" s="159"/>
      <c r="K92" s="160"/>
      <c r="L92" s="302"/>
    </row>
    <row r="93" spans="1:12" ht="16.5" customHeight="1">
      <c r="A93" s="464">
        <v>16</v>
      </c>
      <c r="B93" s="465" t="s">
        <v>301</v>
      </c>
      <c r="C93" s="466" t="s">
        <v>403</v>
      </c>
      <c r="D93" s="468"/>
      <c r="E93" s="459">
        <f>F93</f>
        <v>570000000</v>
      </c>
      <c r="F93" s="459">
        <v>570000000</v>
      </c>
      <c r="G93" s="172">
        <v>171000000</v>
      </c>
      <c r="H93" s="459">
        <v>570000000</v>
      </c>
      <c r="I93" s="172">
        <v>171000000</v>
      </c>
      <c r="J93" s="176">
        <v>42174</v>
      </c>
      <c r="K93" s="174" t="s">
        <v>372</v>
      </c>
    </row>
    <row r="94" spans="1:12" ht="16.5" customHeight="1">
      <c r="A94" s="464"/>
      <c r="B94" s="465"/>
      <c r="C94" s="467"/>
      <c r="D94" s="469"/>
      <c r="E94" s="460"/>
      <c r="F94" s="460"/>
      <c r="G94" s="172">
        <v>228000000</v>
      </c>
      <c r="H94" s="460"/>
      <c r="I94" s="172">
        <v>228000000</v>
      </c>
      <c r="J94" s="176">
        <v>42251</v>
      </c>
      <c r="K94" s="243" t="s">
        <v>372</v>
      </c>
    </row>
    <row r="95" spans="1:12" ht="16.5" customHeight="1">
      <c r="A95" s="464"/>
      <c r="B95" s="465"/>
      <c r="C95" s="467"/>
      <c r="D95" s="469"/>
      <c r="E95" s="460"/>
      <c r="F95" s="460"/>
      <c r="G95" s="177">
        <f>I95</f>
        <v>171000000</v>
      </c>
      <c r="H95" s="460"/>
      <c r="I95" s="151">
        <v>171000000</v>
      </c>
      <c r="J95" s="429">
        <v>42399</v>
      </c>
      <c r="K95" s="431" t="s">
        <v>372</v>
      </c>
    </row>
    <row r="96" spans="1:12" ht="16.5" customHeight="1">
      <c r="A96" s="464"/>
      <c r="B96" s="465"/>
      <c r="C96" s="467"/>
      <c r="D96" s="469"/>
      <c r="E96" s="460"/>
      <c r="F96" s="460"/>
      <c r="G96" s="177"/>
      <c r="H96" s="460"/>
      <c r="I96" s="172"/>
      <c r="J96" s="429"/>
      <c r="K96" s="431"/>
    </row>
    <row r="97" spans="1:12" ht="16.5" customHeight="1">
      <c r="A97" s="464"/>
      <c r="B97" s="465"/>
      <c r="C97" s="467"/>
      <c r="D97" s="467"/>
      <c r="E97" s="460"/>
      <c r="F97" s="460"/>
      <c r="G97" s="138"/>
      <c r="H97" s="460"/>
      <c r="I97" s="151"/>
      <c r="J97" s="176"/>
      <c r="K97" s="431"/>
    </row>
    <row r="98" spans="1:12" s="161" customFormat="1" ht="18" customHeight="1">
      <c r="A98" s="464"/>
      <c r="B98" s="465"/>
      <c r="C98" s="470" t="s">
        <v>94</v>
      </c>
      <c r="D98" s="471"/>
      <c r="E98" s="158">
        <f>SUM(E93:E97)</f>
        <v>570000000</v>
      </c>
      <c r="F98" s="158">
        <f>SUM(F93:F97)</f>
        <v>570000000</v>
      </c>
      <c r="G98" s="158">
        <f>SUM(G93:G97)</f>
        <v>570000000</v>
      </c>
      <c r="H98" s="158">
        <f>SUM(H93:H97)</f>
        <v>570000000</v>
      </c>
      <c r="I98" s="158">
        <f>SUM(I93:I97)</f>
        <v>570000000</v>
      </c>
      <c r="J98" s="159"/>
      <c r="K98" s="160" t="s">
        <v>42</v>
      </c>
      <c r="L98" s="302"/>
    </row>
    <row r="99" spans="1:12" s="161" customFormat="1" ht="18" customHeight="1">
      <c r="A99" s="464"/>
      <c r="B99" s="465"/>
      <c r="C99" s="470" t="s">
        <v>379</v>
      </c>
      <c r="D99" s="471"/>
      <c r="E99" s="162"/>
      <c r="F99" s="162"/>
      <c r="G99" s="163">
        <f>E98-G98</f>
        <v>0</v>
      </c>
      <c r="H99" s="162"/>
      <c r="I99" s="163">
        <f>H98-I98</f>
        <v>0</v>
      </c>
      <c r="J99" s="159"/>
      <c r="K99" s="160"/>
      <c r="L99" s="302"/>
    </row>
    <row r="100" spans="1:12" ht="16.5" customHeight="1">
      <c r="A100" s="464">
        <v>17</v>
      </c>
      <c r="B100" s="465" t="s">
        <v>453</v>
      </c>
      <c r="C100" s="472" t="s">
        <v>441</v>
      </c>
      <c r="D100" s="468">
        <v>42230</v>
      </c>
      <c r="E100" s="459">
        <v>599632000</v>
      </c>
      <c r="F100" s="459">
        <f>E100</f>
        <v>599632000</v>
      </c>
      <c r="G100" s="151">
        <v>200000000</v>
      </c>
      <c r="H100" s="459">
        <v>599632000</v>
      </c>
      <c r="I100" s="151">
        <v>200000000</v>
      </c>
      <c r="J100" s="228">
        <v>42236</v>
      </c>
      <c r="K100" s="230" t="s">
        <v>372</v>
      </c>
    </row>
    <row r="101" spans="1:12" ht="16.5" customHeight="1">
      <c r="A101" s="464"/>
      <c r="B101" s="465"/>
      <c r="C101" s="467"/>
      <c r="D101" s="469"/>
      <c r="E101" s="460"/>
      <c r="F101" s="460"/>
      <c r="G101" s="164"/>
      <c r="H101" s="460"/>
      <c r="I101" s="151"/>
      <c r="J101" s="228"/>
      <c r="K101" s="230"/>
    </row>
    <row r="102" spans="1:12" s="161" customFormat="1" ht="18" customHeight="1">
      <c r="A102" s="464"/>
      <c r="B102" s="465"/>
      <c r="C102" s="470" t="s">
        <v>94</v>
      </c>
      <c r="D102" s="471"/>
      <c r="E102" s="158">
        <f>SUM(E100:E101)</f>
        <v>599632000</v>
      </c>
      <c r="F102" s="158">
        <f>SUM(F100:F101)</f>
        <v>599632000</v>
      </c>
      <c r="G102" s="158">
        <f>SUM(G100:G101)</f>
        <v>200000000</v>
      </c>
      <c r="H102" s="158">
        <f>SUM(H100:H101)</f>
        <v>599632000</v>
      </c>
      <c r="I102" s="158">
        <f>SUM(I100:I101)</f>
        <v>200000000</v>
      </c>
      <c r="J102" s="159"/>
      <c r="K102" s="160" t="s">
        <v>42</v>
      </c>
      <c r="L102" s="302"/>
    </row>
    <row r="103" spans="1:12" s="161" customFormat="1" ht="18" customHeight="1">
      <c r="A103" s="464"/>
      <c r="B103" s="465"/>
      <c r="C103" s="470" t="s">
        <v>379</v>
      </c>
      <c r="D103" s="471"/>
      <c r="E103" s="162"/>
      <c r="F103" s="162"/>
      <c r="G103" s="163">
        <f>E102-G102</f>
        <v>399632000</v>
      </c>
      <c r="H103" s="162"/>
      <c r="I103" s="163">
        <f>H102-I102</f>
        <v>399632000</v>
      </c>
      <c r="J103" s="159"/>
      <c r="K103" s="160"/>
      <c r="L103" s="302"/>
    </row>
    <row r="104" spans="1:12" ht="17.25" customHeight="1">
      <c r="A104" s="464">
        <v>18</v>
      </c>
      <c r="B104" s="464" t="s">
        <v>85</v>
      </c>
      <c r="C104" s="476" t="s">
        <v>389</v>
      </c>
      <c r="D104" s="509">
        <v>40549</v>
      </c>
      <c r="E104" s="474">
        <v>1000000000</v>
      </c>
      <c r="F104" s="474">
        <v>1150000000</v>
      </c>
      <c r="G104" s="172">
        <f t="shared" ref="G104:G116" si="2">IF(I104&gt;0,I104,0)</f>
        <v>100000000</v>
      </c>
      <c r="H104" s="474">
        <v>1150000000</v>
      </c>
      <c r="I104" s="177">
        <v>100000000</v>
      </c>
      <c r="J104" s="173">
        <v>40570</v>
      </c>
      <c r="K104" s="174" t="s">
        <v>372</v>
      </c>
    </row>
    <row r="105" spans="1:12" ht="17.25" customHeight="1">
      <c r="A105" s="464"/>
      <c r="B105" s="464"/>
      <c r="C105" s="477"/>
      <c r="D105" s="510"/>
      <c r="E105" s="473"/>
      <c r="F105" s="473"/>
      <c r="G105" s="172">
        <f t="shared" si="2"/>
        <v>50000000</v>
      </c>
      <c r="H105" s="473"/>
      <c r="I105" s="172">
        <v>50000000</v>
      </c>
      <c r="J105" s="173">
        <v>40588</v>
      </c>
      <c r="K105" s="174" t="s">
        <v>372</v>
      </c>
    </row>
    <row r="106" spans="1:12" ht="17.25" customHeight="1">
      <c r="A106" s="464"/>
      <c r="B106" s="464"/>
      <c r="C106" s="477"/>
      <c r="D106" s="510"/>
      <c r="E106" s="473"/>
      <c r="F106" s="473"/>
      <c r="G106" s="172">
        <f t="shared" si="2"/>
        <v>100000000</v>
      </c>
      <c r="H106" s="473"/>
      <c r="I106" s="172">
        <v>100000000</v>
      </c>
      <c r="J106" s="173">
        <v>40605</v>
      </c>
      <c r="K106" s="174" t="s">
        <v>372</v>
      </c>
    </row>
    <row r="107" spans="1:12" ht="17.25" customHeight="1">
      <c r="A107" s="464"/>
      <c r="B107" s="464"/>
      <c r="C107" s="477"/>
      <c r="D107" s="510"/>
      <c r="E107" s="473"/>
      <c r="F107" s="473"/>
      <c r="G107" s="172"/>
      <c r="H107" s="473"/>
      <c r="I107" s="172">
        <v>100000000</v>
      </c>
      <c r="J107" s="173">
        <v>40612</v>
      </c>
      <c r="K107" s="174" t="s">
        <v>386</v>
      </c>
    </row>
    <row r="108" spans="1:12" ht="17.25" customHeight="1">
      <c r="A108" s="464"/>
      <c r="B108" s="464"/>
      <c r="C108" s="477"/>
      <c r="D108" s="510"/>
      <c r="E108" s="473"/>
      <c r="F108" s="473"/>
      <c r="G108" s="172">
        <f t="shared" si="2"/>
        <v>200000000</v>
      </c>
      <c r="H108" s="473"/>
      <c r="I108" s="172">
        <v>200000000</v>
      </c>
      <c r="J108" s="173">
        <v>40623</v>
      </c>
      <c r="K108" s="174" t="s">
        <v>372</v>
      </c>
    </row>
    <row r="109" spans="1:12" ht="17.25" customHeight="1">
      <c r="A109" s="464"/>
      <c r="B109" s="464"/>
      <c r="C109" s="477"/>
      <c r="D109" s="510"/>
      <c r="E109" s="473"/>
      <c r="F109" s="473"/>
      <c r="G109" s="172">
        <f t="shared" si="2"/>
        <v>0</v>
      </c>
      <c r="H109" s="473"/>
      <c r="I109" s="172">
        <v>-91500000</v>
      </c>
      <c r="J109" s="173">
        <v>40627</v>
      </c>
      <c r="K109" s="174" t="s">
        <v>390</v>
      </c>
    </row>
    <row r="110" spans="1:12" ht="17.25" customHeight="1">
      <c r="A110" s="464"/>
      <c r="B110" s="464"/>
      <c r="C110" s="477"/>
      <c r="D110" s="510"/>
      <c r="E110" s="473"/>
      <c r="F110" s="473"/>
      <c r="G110" s="172">
        <f t="shared" si="2"/>
        <v>100000000</v>
      </c>
      <c r="H110" s="473"/>
      <c r="I110" s="172">
        <v>100000000</v>
      </c>
      <c r="J110" s="173">
        <v>40630</v>
      </c>
      <c r="K110" s="174" t="s">
        <v>372</v>
      </c>
    </row>
    <row r="111" spans="1:12" ht="17.25" customHeight="1">
      <c r="A111" s="464"/>
      <c r="B111" s="464"/>
      <c r="C111" s="477"/>
      <c r="D111" s="510"/>
      <c r="E111" s="473"/>
      <c r="F111" s="473"/>
      <c r="G111" s="172"/>
      <c r="H111" s="473"/>
      <c r="I111" s="172">
        <v>100000000</v>
      </c>
      <c r="J111" s="173">
        <v>40676</v>
      </c>
      <c r="K111" s="174" t="s">
        <v>386</v>
      </c>
    </row>
    <row r="112" spans="1:12" ht="17.25" customHeight="1">
      <c r="A112" s="464"/>
      <c r="B112" s="464"/>
      <c r="C112" s="477"/>
      <c r="D112" s="510"/>
      <c r="E112" s="473"/>
      <c r="F112" s="473"/>
      <c r="G112" s="172">
        <f t="shared" si="2"/>
        <v>100000000</v>
      </c>
      <c r="H112" s="473"/>
      <c r="I112" s="172">
        <v>100000000</v>
      </c>
      <c r="J112" s="173">
        <v>40686</v>
      </c>
      <c r="K112" s="174" t="s">
        <v>372</v>
      </c>
    </row>
    <row r="113" spans="1:12" s="180" customFormat="1" ht="17.25" customHeight="1">
      <c r="A113" s="464"/>
      <c r="B113" s="464"/>
      <c r="C113" s="477"/>
      <c r="D113" s="510"/>
      <c r="E113" s="473"/>
      <c r="F113" s="473"/>
      <c r="G113" s="172">
        <f t="shared" si="2"/>
        <v>50000000</v>
      </c>
      <c r="H113" s="473"/>
      <c r="I113" s="172">
        <v>50000000</v>
      </c>
      <c r="J113" s="173">
        <v>40690</v>
      </c>
      <c r="K113" s="174" t="s">
        <v>372</v>
      </c>
      <c r="L113" s="306"/>
    </row>
    <row r="114" spans="1:12" s="180" customFormat="1" ht="17.25" customHeight="1">
      <c r="A114" s="464"/>
      <c r="B114" s="464"/>
      <c r="C114" s="477"/>
      <c r="D114" s="510"/>
      <c r="E114" s="473"/>
      <c r="F114" s="473"/>
      <c r="G114" s="172">
        <f t="shared" si="2"/>
        <v>100000000</v>
      </c>
      <c r="H114" s="473"/>
      <c r="I114" s="172">
        <v>100000000</v>
      </c>
      <c r="J114" s="173">
        <v>40724</v>
      </c>
      <c r="K114" s="174" t="s">
        <v>372</v>
      </c>
      <c r="L114" s="306"/>
    </row>
    <row r="115" spans="1:12" s="180" customFormat="1" ht="17.25" customHeight="1">
      <c r="A115" s="464"/>
      <c r="B115" s="464"/>
      <c r="C115" s="477"/>
      <c r="D115" s="510"/>
      <c r="E115" s="473"/>
      <c r="F115" s="473"/>
      <c r="G115" s="172"/>
      <c r="H115" s="473"/>
      <c r="I115" s="172">
        <v>100000000</v>
      </c>
      <c r="J115" s="176">
        <v>40747</v>
      </c>
      <c r="K115" s="178" t="s">
        <v>386</v>
      </c>
      <c r="L115" s="306"/>
    </row>
    <row r="116" spans="1:12" ht="17.25" customHeight="1">
      <c r="A116" s="464"/>
      <c r="B116" s="464"/>
      <c r="C116" s="477"/>
      <c r="D116" s="510"/>
      <c r="E116" s="473"/>
      <c r="F116" s="473"/>
      <c r="G116" s="172">
        <f t="shared" si="2"/>
        <v>50000000</v>
      </c>
      <c r="H116" s="473"/>
      <c r="I116" s="172">
        <v>50000000</v>
      </c>
      <c r="J116" s="176">
        <v>41115</v>
      </c>
      <c r="K116" s="174" t="s">
        <v>372</v>
      </c>
    </row>
    <row r="117" spans="1:12" ht="17.25" customHeight="1">
      <c r="A117" s="464"/>
      <c r="B117" s="464"/>
      <c r="C117" s="477" t="s">
        <v>391</v>
      </c>
      <c r="D117" s="510">
        <v>41860</v>
      </c>
      <c r="E117" s="473">
        <v>7500000000</v>
      </c>
      <c r="F117" s="473">
        <v>10172555140</v>
      </c>
      <c r="G117" s="172">
        <f>IF(I117&gt;0,I117,0)</f>
        <v>800000000</v>
      </c>
      <c r="H117" s="473">
        <v>10172555140</v>
      </c>
      <c r="I117" s="172">
        <v>800000000</v>
      </c>
      <c r="J117" s="176">
        <v>41905</v>
      </c>
      <c r="K117" s="174" t="s">
        <v>372</v>
      </c>
    </row>
    <row r="118" spans="1:12" ht="17.25" customHeight="1">
      <c r="A118" s="464"/>
      <c r="B118" s="464"/>
      <c r="C118" s="477"/>
      <c r="D118" s="510"/>
      <c r="E118" s="473"/>
      <c r="F118" s="473"/>
      <c r="G118" s="172">
        <f t="shared" ref="G118:G131" si="3">IF(I118&gt;0,I118,0)</f>
        <v>1500000000</v>
      </c>
      <c r="H118" s="473"/>
      <c r="I118" s="172">
        <v>1500000000</v>
      </c>
      <c r="J118" s="176">
        <v>41935</v>
      </c>
      <c r="K118" s="174" t="s">
        <v>372</v>
      </c>
    </row>
    <row r="119" spans="1:12" ht="17.25" customHeight="1">
      <c r="A119" s="464"/>
      <c r="B119" s="464"/>
      <c r="C119" s="477"/>
      <c r="D119" s="510"/>
      <c r="E119" s="473"/>
      <c r="F119" s="473"/>
      <c r="G119" s="172">
        <f t="shared" si="3"/>
        <v>1000000000</v>
      </c>
      <c r="H119" s="473"/>
      <c r="I119" s="172">
        <v>1000000000</v>
      </c>
      <c r="J119" s="176">
        <v>41963</v>
      </c>
      <c r="K119" s="174" t="s">
        <v>372</v>
      </c>
    </row>
    <row r="120" spans="1:12" ht="17.25" customHeight="1">
      <c r="A120" s="464"/>
      <c r="B120" s="464"/>
      <c r="C120" s="477"/>
      <c r="D120" s="510"/>
      <c r="E120" s="473"/>
      <c r="F120" s="473"/>
      <c r="G120" s="172">
        <f t="shared" si="3"/>
        <v>1000000000</v>
      </c>
      <c r="H120" s="473"/>
      <c r="I120" s="172">
        <v>1000000000</v>
      </c>
      <c r="J120" s="176">
        <v>41984</v>
      </c>
      <c r="K120" s="174" t="s">
        <v>372</v>
      </c>
    </row>
    <row r="121" spans="1:12" ht="17.25" customHeight="1">
      <c r="A121" s="464"/>
      <c r="B121" s="464"/>
      <c r="C121" s="477"/>
      <c r="D121" s="510"/>
      <c r="E121" s="473"/>
      <c r="F121" s="473"/>
      <c r="G121" s="172">
        <f t="shared" si="3"/>
        <v>700000000</v>
      </c>
      <c r="H121" s="473"/>
      <c r="I121" s="172">
        <v>700000000</v>
      </c>
      <c r="J121" s="176">
        <v>42034</v>
      </c>
      <c r="K121" s="174" t="s">
        <v>372</v>
      </c>
      <c r="L121" s="197" t="s">
        <v>392</v>
      </c>
    </row>
    <row r="122" spans="1:12" ht="17.25" customHeight="1">
      <c r="A122" s="464"/>
      <c r="B122" s="464"/>
      <c r="C122" s="477"/>
      <c r="D122" s="510"/>
      <c r="E122" s="473"/>
      <c r="F122" s="473"/>
      <c r="G122" s="172">
        <f t="shared" si="3"/>
        <v>500000000</v>
      </c>
      <c r="H122" s="473"/>
      <c r="I122" s="172">
        <v>500000000</v>
      </c>
      <c r="J122" s="176">
        <v>42096</v>
      </c>
      <c r="K122" s="174" t="s">
        <v>372</v>
      </c>
    </row>
    <row r="123" spans="1:12" ht="17.25" customHeight="1">
      <c r="A123" s="464"/>
      <c r="B123" s="464"/>
      <c r="C123" s="477"/>
      <c r="D123" s="510"/>
      <c r="E123" s="473"/>
      <c r="F123" s="473"/>
      <c r="G123" s="172">
        <f t="shared" si="3"/>
        <v>500000000</v>
      </c>
      <c r="H123" s="473"/>
      <c r="I123" s="172">
        <v>500000000</v>
      </c>
      <c r="J123" s="176">
        <v>42116</v>
      </c>
      <c r="K123" s="174" t="s">
        <v>372</v>
      </c>
    </row>
    <row r="124" spans="1:12" ht="17.25" customHeight="1">
      <c r="A124" s="464"/>
      <c r="B124" s="464"/>
      <c r="C124" s="477"/>
      <c r="D124" s="510"/>
      <c r="E124" s="473"/>
      <c r="F124" s="473"/>
      <c r="G124" s="172">
        <f t="shared" si="3"/>
        <v>500000000</v>
      </c>
      <c r="H124" s="473"/>
      <c r="I124" s="172">
        <v>500000000</v>
      </c>
      <c r="J124" s="176">
        <v>42138</v>
      </c>
      <c r="K124" s="174" t="s">
        <v>372</v>
      </c>
    </row>
    <row r="125" spans="1:12" ht="17.25" customHeight="1">
      <c r="A125" s="464"/>
      <c r="B125" s="464"/>
      <c r="C125" s="477"/>
      <c r="D125" s="510"/>
      <c r="E125" s="473"/>
      <c r="F125" s="473"/>
      <c r="G125" s="172">
        <f t="shared" si="3"/>
        <v>1000000000</v>
      </c>
      <c r="H125" s="473"/>
      <c r="I125" s="138">
        <v>1000000000</v>
      </c>
      <c r="J125" s="176">
        <v>42187</v>
      </c>
      <c r="K125" s="174" t="s">
        <v>372</v>
      </c>
    </row>
    <row r="126" spans="1:12" ht="17.25" customHeight="1">
      <c r="A126" s="464"/>
      <c r="B126" s="464"/>
      <c r="C126" s="466"/>
      <c r="D126" s="512"/>
      <c r="E126" s="459"/>
      <c r="F126" s="459"/>
      <c r="G126" s="172">
        <f t="shared" si="3"/>
        <v>300000000</v>
      </c>
      <c r="H126" s="459"/>
      <c r="I126" s="223">
        <v>300000000</v>
      </c>
      <c r="J126" s="219">
        <v>42209</v>
      </c>
      <c r="K126" s="222" t="s">
        <v>372</v>
      </c>
    </row>
    <row r="127" spans="1:12" ht="17.25" customHeight="1">
      <c r="A127" s="464"/>
      <c r="B127" s="464"/>
      <c r="C127" s="466"/>
      <c r="D127" s="512"/>
      <c r="E127" s="459"/>
      <c r="F127" s="459"/>
      <c r="G127" s="172">
        <f t="shared" si="3"/>
        <v>200000000</v>
      </c>
      <c r="H127" s="459"/>
      <c r="I127" s="226">
        <v>200000000</v>
      </c>
      <c r="J127" s="228">
        <v>42342</v>
      </c>
      <c r="K127" s="378" t="s">
        <v>372</v>
      </c>
    </row>
    <row r="128" spans="1:12" ht="17.25" customHeight="1">
      <c r="A128" s="464"/>
      <c r="B128" s="464"/>
      <c r="C128" s="466"/>
      <c r="D128" s="512"/>
      <c r="E128" s="459"/>
      <c r="F128" s="459"/>
      <c r="G128" s="172">
        <f t="shared" si="3"/>
        <v>200000000</v>
      </c>
      <c r="H128" s="459"/>
      <c r="I128" s="426">
        <v>200000000</v>
      </c>
      <c r="J128" s="429">
        <v>42399</v>
      </c>
      <c r="K128" s="431" t="s">
        <v>372</v>
      </c>
    </row>
    <row r="129" spans="1:12" ht="17.25" customHeight="1">
      <c r="A129" s="464"/>
      <c r="B129" s="464"/>
      <c r="C129" s="466"/>
      <c r="D129" s="512"/>
      <c r="E129" s="459"/>
      <c r="F129" s="459"/>
      <c r="G129" s="172">
        <f t="shared" si="3"/>
        <v>300000000</v>
      </c>
      <c r="H129" s="459"/>
      <c r="I129" s="426">
        <v>300000000</v>
      </c>
      <c r="J129" s="429">
        <v>42403</v>
      </c>
      <c r="K129" s="431" t="s">
        <v>372</v>
      </c>
    </row>
    <row r="130" spans="1:12" ht="17.25" customHeight="1">
      <c r="A130" s="464"/>
      <c r="B130" s="464"/>
      <c r="C130" s="466"/>
      <c r="D130" s="512"/>
      <c r="E130" s="459"/>
      <c r="F130" s="459"/>
      <c r="G130" s="172">
        <f t="shared" si="3"/>
        <v>0</v>
      </c>
      <c r="H130" s="459"/>
      <c r="I130" s="426">
        <v>-500000000</v>
      </c>
      <c r="J130" s="429">
        <v>42191</v>
      </c>
      <c r="K130" s="433" t="s">
        <v>390</v>
      </c>
    </row>
    <row r="131" spans="1:12" ht="17.25" customHeight="1">
      <c r="A131" s="464"/>
      <c r="B131" s="464"/>
      <c r="C131" s="511"/>
      <c r="D131" s="513"/>
      <c r="E131" s="475"/>
      <c r="F131" s="475"/>
      <c r="G131" s="172">
        <f t="shared" si="3"/>
        <v>0</v>
      </c>
      <c r="H131" s="475"/>
      <c r="I131" s="138"/>
      <c r="J131" s="176"/>
      <c r="K131" s="174"/>
    </row>
    <row r="132" spans="1:12" s="161" customFormat="1" ht="18" customHeight="1">
      <c r="A132" s="464"/>
      <c r="B132" s="464"/>
      <c r="C132" s="470" t="s">
        <v>94</v>
      </c>
      <c r="D132" s="471"/>
      <c r="E132" s="158">
        <f>SUM(E104:E131)</f>
        <v>8500000000</v>
      </c>
      <c r="F132" s="158">
        <f>SUM(F104:F131)</f>
        <v>11322555140</v>
      </c>
      <c r="G132" s="158">
        <f>SUM(G104:G131)</f>
        <v>9350000000</v>
      </c>
      <c r="H132" s="158">
        <f>SUM(H104:H131)</f>
        <v>11322555140</v>
      </c>
      <c r="I132" s="158">
        <f>SUM(I104:I131)</f>
        <v>9058500000</v>
      </c>
      <c r="J132" s="159"/>
      <c r="K132" s="160" t="s">
        <v>42</v>
      </c>
      <c r="L132" s="302"/>
    </row>
    <row r="133" spans="1:12" s="161" customFormat="1" ht="18" customHeight="1">
      <c r="A133" s="464"/>
      <c r="B133" s="464"/>
      <c r="C133" s="470" t="s">
        <v>379</v>
      </c>
      <c r="D133" s="471"/>
      <c r="E133" s="162"/>
      <c r="F133" s="162"/>
      <c r="G133" s="163">
        <f>E132-G132</f>
        <v>-850000000</v>
      </c>
      <c r="H133" s="162"/>
      <c r="I133" s="163">
        <f>H132-I132</f>
        <v>2264055140</v>
      </c>
      <c r="J133" s="159"/>
      <c r="K133" s="160"/>
      <c r="L133" s="302"/>
    </row>
    <row r="134" spans="1:12" ht="17.25" customHeight="1">
      <c r="A134" s="464">
        <v>19</v>
      </c>
      <c r="B134" s="464" t="s">
        <v>111</v>
      </c>
      <c r="C134" s="466" t="s">
        <v>393</v>
      </c>
      <c r="D134" s="468">
        <v>41871</v>
      </c>
      <c r="E134" s="459">
        <v>2200000000</v>
      </c>
      <c r="F134" s="459">
        <f>2508700000</f>
        <v>2508700000</v>
      </c>
      <c r="G134" s="172">
        <f>IF(I134&gt;0,I134,0)</f>
        <v>752610000</v>
      </c>
      <c r="H134" s="459">
        <v>1858000000</v>
      </c>
      <c r="I134" s="172">
        <v>752610000</v>
      </c>
      <c r="J134" s="173">
        <v>41905</v>
      </c>
      <c r="K134" s="174" t="s">
        <v>372</v>
      </c>
    </row>
    <row r="135" spans="1:12" s="180" customFormat="1" ht="17.25" customHeight="1">
      <c r="A135" s="464"/>
      <c r="B135" s="464"/>
      <c r="C135" s="467"/>
      <c r="D135" s="467"/>
      <c r="E135" s="460"/>
      <c r="F135" s="460"/>
      <c r="G135" s="172">
        <f t="shared" ref="G135:G146" si="4">IF(I135&gt;0,I135,0)</f>
        <v>0</v>
      </c>
      <c r="H135" s="460"/>
      <c r="I135" s="185">
        <v>-200000000</v>
      </c>
      <c r="J135" s="186">
        <v>41907</v>
      </c>
      <c r="K135" s="187" t="s">
        <v>390</v>
      </c>
      <c r="L135" s="306"/>
    </row>
    <row r="136" spans="1:12" ht="17.25" customHeight="1">
      <c r="A136" s="464"/>
      <c r="B136" s="464"/>
      <c r="C136" s="467"/>
      <c r="D136" s="467"/>
      <c r="E136" s="460"/>
      <c r="F136" s="460"/>
      <c r="G136" s="172">
        <f t="shared" si="4"/>
        <v>500000000</v>
      </c>
      <c r="H136" s="460"/>
      <c r="I136" s="172">
        <v>500000000</v>
      </c>
      <c r="J136" s="173">
        <v>41942</v>
      </c>
      <c r="K136" s="174" t="s">
        <v>372</v>
      </c>
    </row>
    <row r="137" spans="1:12" ht="17.25" customHeight="1">
      <c r="A137" s="464"/>
      <c r="B137" s="464"/>
      <c r="C137" s="467"/>
      <c r="D137" s="467"/>
      <c r="E137" s="460"/>
      <c r="F137" s="460"/>
      <c r="G137" s="172">
        <f t="shared" si="4"/>
        <v>0</v>
      </c>
      <c r="H137" s="460"/>
      <c r="I137" s="185">
        <v>-100000000</v>
      </c>
      <c r="J137" s="186">
        <v>41951</v>
      </c>
      <c r="K137" s="187" t="s">
        <v>390</v>
      </c>
    </row>
    <row r="138" spans="1:12" ht="17.25" customHeight="1">
      <c r="A138" s="464"/>
      <c r="B138" s="464"/>
      <c r="C138" s="467"/>
      <c r="D138" s="467"/>
      <c r="E138" s="460"/>
      <c r="F138" s="460"/>
      <c r="G138" s="172">
        <f t="shared" si="4"/>
        <v>500000000</v>
      </c>
      <c r="H138" s="460"/>
      <c r="I138" s="172">
        <v>500000000</v>
      </c>
      <c r="J138" s="173">
        <v>42010</v>
      </c>
      <c r="K138" s="174" t="s">
        <v>372</v>
      </c>
    </row>
    <row r="139" spans="1:12" ht="17.25" customHeight="1">
      <c r="A139" s="464"/>
      <c r="B139" s="464"/>
      <c r="C139" s="467" t="s">
        <v>394</v>
      </c>
      <c r="D139" s="469">
        <v>42139</v>
      </c>
      <c r="E139" s="478">
        <f>308700000+501400000</f>
        <v>810100000</v>
      </c>
      <c r="F139" s="478">
        <f>184000000+317400000</f>
        <v>501400000</v>
      </c>
      <c r="G139" s="172">
        <f t="shared" si="4"/>
        <v>0</v>
      </c>
      <c r="H139" s="460">
        <f>139900000+250800000</f>
        <v>390700000</v>
      </c>
      <c r="I139" s="185">
        <v>-100000000</v>
      </c>
      <c r="J139" s="186">
        <v>42017</v>
      </c>
      <c r="K139" s="187" t="s">
        <v>390</v>
      </c>
    </row>
    <row r="140" spans="1:12" ht="17.25" customHeight="1">
      <c r="A140" s="464"/>
      <c r="B140" s="464"/>
      <c r="C140" s="467"/>
      <c r="D140" s="469"/>
      <c r="E140" s="478"/>
      <c r="F140" s="478"/>
      <c r="G140" s="172">
        <f t="shared" si="4"/>
        <v>251000000</v>
      </c>
      <c r="H140" s="460"/>
      <c r="I140" s="172">
        <v>251000000</v>
      </c>
      <c r="J140" s="173">
        <v>42094</v>
      </c>
      <c r="K140" s="174" t="s">
        <v>372</v>
      </c>
    </row>
    <row r="141" spans="1:12" ht="17.25" customHeight="1">
      <c r="A141" s="464"/>
      <c r="B141" s="464"/>
      <c r="C141" s="467"/>
      <c r="D141" s="469"/>
      <c r="E141" s="478"/>
      <c r="F141" s="478"/>
      <c r="G141" s="172">
        <f t="shared" si="4"/>
        <v>200000000</v>
      </c>
      <c r="H141" s="460"/>
      <c r="I141" s="172">
        <v>200000000</v>
      </c>
      <c r="J141" s="173">
        <v>42170</v>
      </c>
      <c r="K141" s="174" t="s">
        <v>372</v>
      </c>
    </row>
    <row r="142" spans="1:12" ht="17.25" customHeight="1">
      <c r="A142" s="464"/>
      <c r="B142" s="464"/>
      <c r="C142" s="467"/>
      <c r="D142" s="469"/>
      <c r="E142" s="478"/>
      <c r="F142" s="478"/>
      <c r="G142" s="172">
        <f t="shared" si="4"/>
        <v>400000000</v>
      </c>
      <c r="H142" s="460"/>
      <c r="I142" s="172">
        <v>400000000</v>
      </c>
      <c r="J142" s="173">
        <v>42199</v>
      </c>
      <c r="K142" s="174" t="s">
        <v>372</v>
      </c>
    </row>
    <row r="143" spans="1:12" ht="17.25" customHeight="1">
      <c r="A143" s="464"/>
      <c r="B143" s="464"/>
      <c r="C143" s="467"/>
      <c r="D143" s="469"/>
      <c r="E143" s="478"/>
      <c r="F143" s="478"/>
      <c r="G143" s="172">
        <f t="shared" si="4"/>
        <v>0</v>
      </c>
      <c r="H143" s="460"/>
      <c r="I143" s="185">
        <v>-200000000</v>
      </c>
      <c r="J143" s="173">
        <v>42202</v>
      </c>
      <c r="K143" s="187" t="s">
        <v>390</v>
      </c>
    </row>
    <row r="144" spans="1:12" ht="17.25" customHeight="1">
      <c r="A144" s="464"/>
      <c r="B144" s="464"/>
      <c r="C144" s="467"/>
      <c r="D144" s="469"/>
      <c r="E144" s="478"/>
      <c r="F144" s="478"/>
      <c r="G144" s="172">
        <f t="shared" si="4"/>
        <v>406490000</v>
      </c>
      <c r="H144" s="460"/>
      <c r="I144" s="151">
        <v>406490000</v>
      </c>
      <c r="J144" s="173">
        <v>42366</v>
      </c>
      <c r="K144" s="384" t="s">
        <v>372</v>
      </c>
    </row>
    <row r="145" spans="1:12" ht="17.25" customHeight="1">
      <c r="A145" s="464"/>
      <c r="B145" s="464"/>
      <c r="C145" s="467"/>
      <c r="D145" s="469"/>
      <c r="E145" s="478"/>
      <c r="F145" s="478"/>
      <c r="G145" s="172">
        <f t="shared" si="4"/>
        <v>0</v>
      </c>
      <c r="H145" s="460"/>
      <c r="I145" s="151">
        <v>-197695000</v>
      </c>
      <c r="J145" s="173">
        <v>42368</v>
      </c>
      <c r="K145" s="187" t="s">
        <v>390</v>
      </c>
    </row>
    <row r="146" spans="1:12" ht="17.25" customHeight="1">
      <c r="A146" s="464"/>
      <c r="B146" s="464"/>
      <c r="C146" s="467"/>
      <c r="D146" s="469"/>
      <c r="E146" s="478"/>
      <c r="F146" s="478"/>
      <c r="G146" s="172">
        <f t="shared" si="4"/>
        <v>0</v>
      </c>
      <c r="H146" s="460"/>
      <c r="I146" s="151"/>
      <c r="J146" s="151"/>
      <c r="K146" s="151"/>
    </row>
    <row r="147" spans="1:12" s="161" customFormat="1" ht="18" customHeight="1">
      <c r="A147" s="464"/>
      <c r="B147" s="464"/>
      <c r="C147" s="470" t="s">
        <v>94</v>
      </c>
      <c r="D147" s="471"/>
      <c r="E147" s="158">
        <f>SUM(E134:E146)</f>
        <v>3010100000</v>
      </c>
      <c r="F147" s="158">
        <f>SUM(F134:F146)</f>
        <v>3010100000</v>
      </c>
      <c r="G147" s="158">
        <f>SUM(G134:G146)</f>
        <v>3010100000</v>
      </c>
      <c r="H147" s="158">
        <f>SUM(H134:H146)</f>
        <v>2248700000</v>
      </c>
      <c r="I147" s="158">
        <f>SUM(I134:I146)</f>
        <v>2212405000</v>
      </c>
      <c r="J147" s="160" t="s">
        <v>1061</v>
      </c>
      <c r="K147" s="160" t="s">
        <v>42</v>
      </c>
      <c r="L147" s="302"/>
    </row>
    <row r="148" spans="1:12" s="161" customFormat="1" ht="18" customHeight="1">
      <c r="A148" s="464"/>
      <c r="B148" s="464"/>
      <c r="C148" s="470" t="s">
        <v>379</v>
      </c>
      <c r="D148" s="471"/>
      <c r="E148" s="162"/>
      <c r="F148" s="162"/>
      <c r="G148" s="163">
        <f>E147-G147</f>
        <v>0</v>
      </c>
      <c r="H148" s="162">
        <f>H147-K148+J148</f>
        <v>2212405000</v>
      </c>
      <c r="I148" s="163">
        <f>H148-I147</f>
        <v>0</v>
      </c>
      <c r="J148" s="322">
        <v>76140000</v>
      </c>
      <c r="K148" s="160">
        <f>H147*5%</f>
        <v>112435000</v>
      </c>
      <c r="L148" s="302" t="s">
        <v>1062</v>
      </c>
    </row>
    <row r="149" spans="1:12" ht="17.25" customHeight="1">
      <c r="A149" s="464">
        <v>20</v>
      </c>
      <c r="B149" s="464" t="s">
        <v>138</v>
      </c>
      <c r="C149" s="477" t="s">
        <v>395</v>
      </c>
      <c r="D149" s="479">
        <v>42014</v>
      </c>
      <c r="E149" s="473">
        <f>2200000000</f>
        <v>2200000000</v>
      </c>
      <c r="F149" s="473">
        <v>3500000000</v>
      </c>
      <c r="G149" s="172">
        <f>IF(I149&gt;0,I149,0)</f>
        <v>600000000</v>
      </c>
      <c r="H149" s="473">
        <v>2910000000</v>
      </c>
      <c r="I149" s="177">
        <v>600000000</v>
      </c>
      <c r="J149" s="173">
        <v>42034</v>
      </c>
      <c r="K149" s="174" t="s">
        <v>372</v>
      </c>
    </row>
    <row r="150" spans="1:12" ht="17.25" customHeight="1">
      <c r="A150" s="464"/>
      <c r="B150" s="464"/>
      <c r="C150" s="477"/>
      <c r="D150" s="477"/>
      <c r="E150" s="473"/>
      <c r="F150" s="473"/>
      <c r="G150" s="172">
        <f t="shared" ref="G150:G157" si="5">IF(I150&gt;0,I150,0)</f>
        <v>600000000</v>
      </c>
      <c r="H150" s="473"/>
      <c r="I150" s="177">
        <v>600000000</v>
      </c>
      <c r="J150" s="176">
        <v>42088</v>
      </c>
      <c r="K150" s="174" t="s">
        <v>372</v>
      </c>
    </row>
    <row r="151" spans="1:12" ht="17.25" customHeight="1">
      <c r="A151" s="464"/>
      <c r="B151" s="464"/>
      <c r="C151" s="477"/>
      <c r="D151" s="477"/>
      <c r="E151" s="473"/>
      <c r="F151" s="473"/>
      <c r="G151" s="172">
        <f t="shared" si="5"/>
        <v>500000000</v>
      </c>
      <c r="H151" s="473"/>
      <c r="I151" s="172">
        <v>500000000</v>
      </c>
      <c r="J151" s="176">
        <v>42131</v>
      </c>
      <c r="K151" s="174" t="s">
        <v>372</v>
      </c>
    </row>
    <row r="152" spans="1:12" ht="17.25" customHeight="1">
      <c r="A152" s="464"/>
      <c r="B152" s="464"/>
      <c r="C152" s="477"/>
      <c r="D152" s="477"/>
      <c r="E152" s="473"/>
      <c r="F152" s="473"/>
      <c r="G152" s="172">
        <f t="shared" si="5"/>
        <v>500000000</v>
      </c>
      <c r="H152" s="473"/>
      <c r="I152" s="172">
        <v>500000000</v>
      </c>
      <c r="J152" s="176">
        <v>42142</v>
      </c>
      <c r="K152" s="174" t="s">
        <v>372</v>
      </c>
    </row>
    <row r="153" spans="1:12" ht="17.25" customHeight="1">
      <c r="A153" s="464"/>
      <c r="B153" s="464"/>
      <c r="C153" s="477"/>
      <c r="D153" s="477"/>
      <c r="E153" s="473"/>
      <c r="F153" s="473"/>
      <c r="G153" s="172">
        <f t="shared" si="5"/>
        <v>0</v>
      </c>
      <c r="H153" s="473"/>
      <c r="I153" s="185">
        <v>-500000000</v>
      </c>
      <c r="J153" s="186">
        <v>42144</v>
      </c>
      <c r="K153" s="187" t="s">
        <v>390</v>
      </c>
    </row>
    <row r="154" spans="1:12" ht="17.25" customHeight="1">
      <c r="A154" s="464"/>
      <c r="B154" s="464"/>
      <c r="C154" s="477"/>
      <c r="D154" s="477"/>
      <c r="E154" s="473"/>
      <c r="F154" s="473"/>
      <c r="G154" s="172">
        <f t="shared" si="5"/>
        <v>500000000</v>
      </c>
      <c r="H154" s="473"/>
      <c r="I154" s="172">
        <v>500000000</v>
      </c>
      <c r="J154" s="176">
        <v>42164</v>
      </c>
      <c r="K154" s="174" t="s">
        <v>372</v>
      </c>
    </row>
    <row r="155" spans="1:12" ht="17.25" customHeight="1">
      <c r="A155" s="464"/>
      <c r="B155" s="464"/>
      <c r="C155" s="477"/>
      <c r="D155" s="477"/>
      <c r="E155" s="473"/>
      <c r="F155" s="473"/>
      <c r="G155" s="172">
        <f t="shared" si="5"/>
        <v>500000000</v>
      </c>
      <c r="H155" s="473"/>
      <c r="I155" s="172">
        <v>500000000</v>
      </c>
      <c r="J155" s="176">
        <v>42199</v>
      </c>
      <c r="K155" s="174" t="s">
        <v>372</v>
      </c>
    </row>
    <row r="156" spans="1:12" ht="17.25" customHeight="1">
      <c r="A156" s="464"/>
      <c r="B156" s="464"/>
      <c r="C156" s="477"/>
      <c r="D156" s="477"/>
      <c r="E156" s="473"/>
      <c r="F156" s="473"/>
      <c r="G156" s="172">
        <f t="shared" si="5"/>
        <v>0</v>
      </c>
      <c r="H156" s="473"/>
      <c r="I156" s="172">
        <v>-200000000</v>
      </c>
      <c r="J156" s="176">
        <v>42205</v>
      </c>
      <c r="K156" s="187" t="s">
        <v>390</v>
      </c>
    </row>
    <row r="157" spans="1:12" ht="17.25" customHeight="1">
      <c r="A157" s="464"/>
      <c r="B157" s="464"/>
      <c r="C157" s="477"/>
      <c r="D157" s="477"/>
      <c r="E157" s="473"/>
      <c r="F157" s="473"/>
      <c r="G157" s="172">
        <f t="shared" si="5"/>
        <v>0</v>
      </c>
      <c r="H157" s="473"/>
      <c r="I157" s="151"/>
      <c r="J157" s="176"/>
      <c r="K157" s="174"/>
    </row>
    <row r="158" spans="1:12" s="161" customFormat="1" ht="18" customHeight="1">
      <c r="A158" s="464"/>
      <c r="B158" s="464"/>
      <c r="C158" s="470" t="s">
        <v>94</v>
      </c>
      <c r="D158" s="471"/>
      <c r="E158" s="158">
        <f>SUM(E149:E157)</f>
        <v>2200000000</v>
      </c>
      <c r="F158" s="158">
        <f>SUM(F149:F157)</f>
        <v>3500000000</v>
      </c>
      <c r="G158" s="158">
        <f>SUM(G149:G157)</f>
        <v>3200000000</v>
      </c>
      <c r="H158" s="158">
        <f>SUM(H149:H157)</f>
        <v>2910000000</v>
      </c>
      <c r="I158" s="158">
        <f>SUM(I149:I157)</f>
        <v>2500000000</v>
      </c>
      <c r="J158" s="159"/>
      <c r="K158" s="160" t="s">
        <v>42</v>
      </c>
      <c r="L158" s="302"/>
    </row>
    <row r="159" spans="1:12" s="161" customFormat="1" ht="18" customHeight="1">
      <c r="A159" s="464"/>
      <c r="B159" s="464"/>
      <c r="C159" s="470" t="s">
        <v>379</v>
      </c>
      <c r="D159" s="471"/>
      <c r="E159" s="162"/>
      <c r="F159" s="162"/>
      <c r="G159" s="163">
        <f>E158-G158</f>
        <v>-1000000000</v>
      </c>
      <c r="H159" s="162"/>
      <c r="I159" s="163">
        <f>H158-I158</f>
        <v>410000000</v>
      </c>
      <c r="J159" s="159"/>
      <c r="K159" s="160"/>
      <c r="L159" s="302"/>
    </row>
    <row r="160" spans="1:12" ht="17.25" customHeight="1">
      <c r="A160" s="464">
        <v>21</v>
      </c>
      <c r="B160" s="464" t="s">
        <v>150</v>
      </c>
      <c r="C160" s="477" t="s">
        <v>396</v>
      </c>
      <c r="D160" s="479">
        <v>42088</v>
      </c>
      <c r="E160" s="473">
        <v>1893507770</v>
      </c>
      <c r="F160" s="473">
        <v>1858997690</v>
      </c>
      <c r="G160" s="172">
        <f t="shared" ref="G160:G164" si="6">IF(I160&gt;0,I160,0)</f>
        <v>360000000</v>
      </c>
      <c r="H160" s="473">
        <v>1300000000</v>
      </c>
      <c r="I160" s="177">
        <v>360000000</v>
      </c>
      <c r="J160" s="173">
        <v>42094</v>
      </c>
      <c r="K160" s="174" t="s">
        <v>372</v>
      </c>
    </row>
    <row r="161" spans="1:12" ht="17.25" customHeight="1">
      <c r="A161" s="464"/>
      <c r="B161" s="464"/>
      <c r="C161" s="477"/>
      <c r="D161" s="479"/>
      <c r="E161" s="473"/>
      <c r="F161" s="473"/>
      <c r="G161" s="172">
        <f t="shared" si="6"/>
        <v>500000000</v>
      </c>
      <c r="H161" s="473"/>
      <c r="I161" s="177">
        <v>500000000</v>
      </c>
      <c r="J161" s="173">
        <v>42381</v>
      </c>
      <c r="K161" s="422" t="s">
        <v>372</v>
      </c>
    </row>
    <row r="162" spans="1:12" ht="17.25" customHeight="1">
      <c r="A162" s="464"/>
      <c r="B162" s="464"/>
      <c r="C162" s="477"/>
      <c r="D162" s="479"/>
      <c r="E162" s="473"/>
      <c r="F162" s="473"/>
      <c r="G162" s="172">
        <f t="shared" si="6"/>
        <v>0</v>
      </c>
      <c r="H162" s="473"/>
      <c r="I162" s="172">
        <v>-200000000</v>
      </c>
      <c r="J162" s="173">
        <v>42382</v>
      </c>
      <c r="K162" s="187" t="s">
        <v>390</v>
      </c>
    </row>
    <row r="163" spans="1:12" ht="17.25" customHeight="1">
      <c r="A163" s="464"/>
      <c r="B163" s="464"/>
      <c r="C163" s="477"/>
      <c r="D163" s="479"/>
      <c r="E163" s="473"/>
      <c r="F163" s="473"/>
      <c r="G163" s="172">
        <f t="shared" si="6"/>
        <v>0</v>
      </c>
      <c r="H163" s="473"/>
      <c r="I163" s="177"/>
      <c r="J163" s="173"/>
      <c r="K163" s="422"/>
    </row>
    <row r="164" spans="1:12" ht="17.25" customHeight="1">
      <c r="A164" s="464"/>
      <c r="B164" s="464"/>
      <c r="C164" s="477"/>
      <c r="D164" s="477"/>
      <c r="E164" s="473"/>
      <c r="F164" s="473"/>
      <c r="G164" s="172">
        <f t="shared" si="6"/>
        <v>0</v>
      </c>
      <c r="H164" s="473"/>
      <c r="I164" s="151"/>
      <c r="J164" s="176"/>
      <c r="K164" s="174"/>
    </row>
    <row r="165" spans="1:12" s="161" customFormat="1" ht="18" customHeight="1">
      <c r="A165" s="464"/>
      <c r="B165" s="464"/>
      <c r="C165" s="470" t="s">
        <v>94</v>
      </c>
      <c r="D165" s="471"/>
      <c r="E165" s="158">
        <f>SUM(E160:E164)</f>
        <v>1893507770</v>
      </c>
      <c r="F165" s="158">
        <f>SUM(F160:F164)</f>
        <v>1858997690</v>
      </c>
      <c r="G165" s="158">
        <f>SUM(G160:G164)</f>
        <v>860000000</v>
      </c>
      <c r="H165" s="158">
        <f>SUM(H160:H164)</f>
        <v>1300000000</v>
      </c>
      <c r="I165" s="158">
        <f>SUM(I160:I164)</f>
        <v>660000000</v>
      </c>
      <c r="J165" s="159"/>
      <c r="K165" s="160" t="s">
        <v>42</v>
      </c>
      <c r="L165" s="302"/>
    </row>
    <row r="166" spans="1:12" s="161" customFormat="1" ht="18" customHeight="1">
      <c r="A166" s="464"/>
      <c r="B166" s="464"/>
      <c r="C166" s="470" t="s">
        <v>379</v>
      </c>
      <c r="D166" s="471"/>
      <c r="E166" s="162"/>
      <c r="F166" s="162"/>
      <c r="G166" s="163">
        <f>E165-G165</f>
        <v>1033507770</v>
      </c>
      <c r="H166" s="162"/>
      <c r="I166" s="163">
        <f>H165-I165</f>
        <v>640000000</v>
      </c>
      <c r="J166" s="159"/>
      <c r="K166" s="160"/>
      <c r="L166" s="302"/>
    </row>
    <row r="167" spans="1:12" ht="16.5" customHeight="1">
      <c r="A167" s="464">
        <v>22</v>
      </c>
      <c r="B167" s="465" t="s">
        <v>305</v>
      </c>
      <c r="C167" s="466" t="s">
        <v>405</v>
      </c>
      <c r="D167" s="468">
        <v>42173</v>
      </c>
      <c r="E167" s="459"/>
      <c r="F167" s="459">
        <v>3652000000</v>
      </c>
      <c r="G167" s="172">
        <f>IF(I167&gt;0,I167,0)</f>
        <v>100000000</v>
      </c>
      <c r="H167" s="459">
        <v>2552000000</v>
      </c>
      <c r="I167" s="172">
        <v>100000000</v>
      </c>
      <c r="J167" s="176">
        <v>42185</v>
      </c>
      <c r="K167" s="174" t="s">
        <v>372</v>
      </c>
    </row>
    <row r="168" spans="1:12" ht="16.5" customHeight="1">
      <c r="A168" s="464"/>
      <c r="B168" s="465"/>
      <c r="C168" s="467"/>
      <c r="D168" s="467"/>
      <c r="E168" s="460"/>
      <c r="F168" s="460"/>
      <c r="G168" s="172">
        <f t="shared" ref="G168:G179" si="7">IF(I168&gt;0,I168,0)</f>
        <v>200000000</v>
      </c>
      <c r="H168" s="460"/>
      <c r="I168" s="172">
        <v>200000000</v>
      </c>
      <c r="J168" s="176">
        <v>42187</v>
      </c>
      <c r="K168" s="174" t="s">
        <v>372</v>
      </c>
    </row>
    <row r="169" spans="1:12" ht="16.5" customHeight="1">
      <c r="A169" s="464"/>
      <c r="B169" s="465"/>
      <c r="C169" s="467"/>
      <c r="D169" s="467"/>
      <c r="E169" s="460"/>
      <c r="F169" s="460"/>
      <c r="G169" s="172">
        <f t="shared" si="7"/>
        <v>500000000</v>
      </c>
      <c r="H169" s="460"/>
      <c r="I169" s="172">
        <v>500000000</v>
      </c>
      <c r="J169" s="217">
        <v>42229</v>
      </c>
      <c r="K169" s="216" t="s">
        <v>372</v>
      </c>
    </row>
    <row r="170" spans="1:12" ht="16.5" customHeight="1">
      <c r="A170" s="464"/>
      <c r="B170" s="465"/>
      <c r="C170" s="467"/>
      <c r="D170" s="467"/>
      <c r="E170" s="460"/>
      <c r="F170" s="460"/>
      <c r="G170" s="172">
        <f t="shared" si="7"/>
        <v>0</v>
      </c>
      <c r="H170" s="460"/>
      <c r="I170" s="193">
        <v>-300000000</v>
      </c>
      <c r="J170" s="194">
        <v>42234</v>
      </c>
      <c r="K170" s="195" t="s">
        <v>390</v>
      </c>
    </row>
    <row r="171" spans="1:12" ht="16.5" customHeight="1">
      <c r="A171" s="464"/>
      <c r="B171" s="465"/>
      <c r="C171" s="467"/>
      <c r="D171" s="467"/>
      <c r="E171" s="460"/>
      <c r="F171" s="460"/>
      <c r="G171" s="172">
        <f t="shared" si="7"/>
        <v>400000000</v>
      </c>
      <c r="H171" s="460"/>
      <c r="I171" s="172">
        <v>400000000</v>
      </c>
      <c r="J171" s="284">
        <v>42275</v>
      </c>
      <c r="K171" s="285" t="s">
        <v>372</v>
      </c>
    </row>
    <row r="172" spans="1:12" ht="16.5" customHeight="1">
      <c r="A172" s="464"/>
      <c r="B172" s="465"/>
      <c r="C172" s="467"/>
      <c r="D172" s="467"/>
      <c r="E172" s="460"/>
      <c r="F172" s="460"/>
      <c r="G172" s="172">
        <f t="shared" si="7"/>
        <v>0</v>
      </c>
      <c r="H172" s="460"/>
      <c r="I172" s="193">
        <v>-200000000</v>
      </c>
      <c r="J172" s="194">
        <v>42279</v>
      </c>
      <c r="K172" s="195" t="s">
        <v>390</v>
      </c>
    </row>
    <row r="173" spans="1:12" ht="16.5" customHeight="1">
      <c r="A173" s="464"/>
      <c r="B173" s="465"/>
      <c r="C173" s="467"/>
      <c r="D173" s="467"/>
      <c r="E173" s="460"/>
      <c r="F173" s="460"/>
      <c r="G173" s="172">
        <f t="shared" si="7"/>
        <v>150000000</v>
      </c>
      <c r="H173" s="460"/>
      <c r="I173" s="172">
        <v>150000000</v>
      </c>
      <c r="J173" s="300">
        <v>42291</v>
      </c>
      <c r="K173" s="299" t="s">
        <v>372</v>
      </c>
    </row>
    <row r="174" spans="1:12" ht="16.5" customHeight="1">
      <c r="A174" s="464"/>
      <c r="B174" s="465"/>
      <c r="C174" s="467"/>
      <c r="D174" s="467"/>
      <c r="E174" s="460"/>
      <c r="F174" s="460"/>
      <c r="G174" s="172">
        <f t="shared" si="7"/>
        <v>400000000</v>
      </c>
      <c r="H174" s="460"/>
      <c r="I174" s="172">
        <v>400000000</v>
      </c>
      <c r="J174" s="300">
        <v>42305</v>
      </c>
      <c r="K174" s="299" t="s">
        <v>372</v>
      </c>
    </row>
    <row r="175" spans="1:12" ht="16.5" customHeight="1">
      <c r="A175" s="464"/>
      <c r="B175" s="465"/>
      <c r="C175" s="467"/>
      <c r="D175" s="467"/>
      <c r="E175" s="460"/>
      <c r="F175" s="460"/>
      <c r="G175" s="172">
        <f t="shared" si="7"/>
        <v>0</v>
      </c>
      <c r="H175" s="460"/>
      <c r="I175" s="172">
        <v>-250000000</v>
      </c>
      <c r="J175" s="194">
        <v>42311</v>
      </c>
      <c r="K175" s="195" t="s">
        <v>390</v>
      </c>
    </row>
    <row r="176" spans="1:12" ht="16.5" customHeight="1">
      <c r="A176" s="464"/>
      <c r="B176" s="465"/>
      <c r="C176" s="467"/>
      <c r="D176" s="467"/>
      <c r="E176" s="460"/>
      <c r="F176" s="460"/>
      <c r="G176" s="172">
        <f t="shared" si="7"/>
        <v>300000000</v>
      </c>
      <c r="H176" s="460"/>
      <c r="I176" s="172">
        <v>300000000</v>
      </c>
      <c r="J176" s="300">
        <v>42374</v>
      </c>
      <c r="K176" s="416" t="s">
        <v>372</v>
      </c>
    </row>
    <row r="177" spans="1:12" ht="16.5" customHeight="1">
      <c r="A177" s="464"/>
      <c r="B177" s="465"/>
      <c r="C177" s="467"/>
      <c r="D177" s="467"/>
      <c r="E177" s="460"/>
      <c r="F177" s="460"/>
      <c r="G177" s="172">
        <f t="shared" si="7"/>
        <v>0</v>
      </c>
      <c r="H177" s="460"/>
      <c r="I177" s="172">
        <v>-200000000</v>
      </c>
      <c r="J177" s="194">
        <v>42374</v>
      </c>
      <c r="K177" s="195" t="s">
        <v>390</v>
      </c>
    </row>
    <row r="178" spans="1:12" ht="16.5" customHeight="1">
      <c r="A178" s="464"/>
      <c r="B178" s="465"/>
      <c r="C178" s="467"/>
      <c r="D178" s="467"/>
      <c r="E178" s="460"/>
      <c r="F178" s="460"/>
      <c r="G178" s="172">
        <f t="shared" si="7"/>
        <v>0</v>
      </c>
      <c r="H178" s="460"/>
      <c r="I178" s="172"/>
      <c r="J178" s="300"/>
      <c r="K178" s="299"/>
    </row>
    <row r="179" spans="1:12" ht="16.5" customHeight="1">
      <c r="A179" s="464"/>
      <c r="B179" s="465"/>
      <c r="C179" s="486"/>
      <c r="D179" s="486"/>
      <c r="E179" s="516"/>
      <c r="F179" s="516"/>
      <c r="G179" s="172">
        <f t="shared" si="7"/>
        <v>0</v>
      </c>
      <c r="H179" s="516"/>
      <c r="I179" s="172"/>
      <c r="J179" s="297"/>
      <c r="K179" s="298"/>
    </row>
    <row r="180" spans="1:12" s="161" customFormat="1" ht="18" customHeight="1">
      <c r="A180" s="464"/>
      <c r="B180" s="465"/>
      <c r="C180" s="470" t="s">
        <v>94</v>
      </c>
      <c r="D180" s="471"/>
      <c r="E180" s="158">
        <f>SUM(E167:E179)</f>
        <v>0</v>
      </c>
      <c r="F180" s="158">
        <f>SUM(F167:F179)</f>
        <v>3652000000</v>
      </c>
      <c r="G180" s="158">
        <f>SUM(G167:G179)</f>
        <v>2050000000</v>
      </c>
      <c r="H180" s="158">
        <f>SUM(H167:H179)</f>
        <v>2552000000</v>
      </c>
      <c r="I180" s="158">
        <f>SUM(I167:I179)</f>
        <v>1100000000</v>
      </c>
      <c r="J180" s="159"/>
      <c r="K180" s="160" t="s">
        <v>42</v>
      </c>
      <c r="L180" s="302"/>
    </row>
    <row r="181" spans="1:12" s="161" customFormat="1" ht="18" customHeight="1">
      <c r="A181" s="464"/>
      <c r="B181" s="465"/>
      <c r="C181" s="470" t="s">
        <v>379</v>
      </c>
      <c r="D181" s="471"/>
      <c r="E181" s="162"/>
      <c r="F181" s="162"/>
      <c r="G181" s="163">
        <f>E180-G180</f>
        <v>-2050000000</v>
      </c>
      <c r="H181" s="162"/>
      <c r="I181" s="163">
        <f>H180-I180</f>
        <v>1452000000</v>
      </c>
      <c r="J181" s="159"/>
      <c r="K181" s="160"/>
      <c r="L181" s="302"/>
    </row>
    <row r="182" spans="1:12" ht="17.25" customHeight="1">
      <c r="A182" s="464">
        <v>23</v>
      </c>
      <c r="B182" s="464" t="s">
        <v>151</v>
      </c>
      <c r="C182" s="477"/>
      <c r="D182" s="479">
        <v>42094</v>
      </c>
      <c r="E182" s="473">
        <f>650650000+49500000</f>
        <v>700150000</v>
      </c>
      <c r="F182" s="473">
        <f>650650000+49500000</f>
        <v>700150000</v>
      </c>
      <c r="G182" s="172">
        <f t="shared" ref="G182:G186" si="8">IF(I182&gt;0,I182,0)</f>
        <v>195195000</v>
      </c>
      <c r="H182" s="473">
        <f>485650000+49500000+15000000-5200000</f>
        <v>544950000</v>
      </c>
      <c r="I182" s="172">
        <v>195195000</v>
      </c>
      <c r="J182" s="176">
        <v>42103</v>
      </c>
      <c r="K182" s="174" t="s">
        <v>372</v>
      </c>
    </row>
    <row r="183" spans="1:12" ht="17.25" customHeight="1">
      <c r="A183" s="464"/>
      <c r="B183" s="464"/>
      <c r="C183" s="477"/>
      <c r="D183" s="479"/>
      <c r="E183" s="473"/>
      <c r="F183" s="473"/>
      <c r="G183" s="172">
        <f t="shared" si="8"/>
        <v>140000000</v>
      </c>
      <c r="H183" s="473"/>
      <c r="I183" s="172">
        <v>140000000</v>
      </c>
      <c r="J183" s="176">
        <v>42170</v>
      </c>
      <c r="K183" s="174" t="s">
        <v>372</v>
      </c>
    </row>
    <row r="184" spans="1:12" ht="17.25" customHeight="1">
      <c r="A184" s="464"/>
      <c r="B184" s="464"/>
      <c r="C184" s="477"/>
      <c r="D184" s="479"/>
      <c r="E184" s="473"/>
      <c r="F184" s="473"/>
      <c r="G184" s="172">
        <f t="shared" si="8"/>
        <v>50000000</v>
      </c>
      <c r="H184" s="473"/>
      <c r="I184" s="172">
        <v>50000000</v>
      </c>
      <c r="J184" s="377">
        <v>42319</v>
      </c>
      <c r="K184" s="378" t="s">
        <v>372</v>
      </c>
    </row>
    <row r="185" spans="1:12" ht="17.25" customHeight="1">
      <c r="A185" s="464"/>
      <c r="B185" s="464"/>
      <c r="C185" s="477"/>
      <c r="D185" s="479"/>
      <c r="E185" s="473"/>
      <c r="F185" s="473"/>
      <c r="G185" s="172">
        <f t="shared" si="8"/>
        <v>314955000</v>
      </c>
      <c r="H185" s="473"/>
      <c r="I185" s="172">
        <v>314955000</v>
      </c>
      <c r="J185" s="377">
        <v>42375</v>
      </c>
      <c r="K185" s="418" t="s">
        <v>372</v>
      </c>
    </row>
    <row r="186" spans="1:12" ht="16.5" customHeight="1">
      <c r="A186" s="464"/>
      <c r="B186" s="464"/>
      <c r="C186" s="477"/>
      <c r="D186" s="479"/>
      <c r="E186" s="473"/>
      <c r="F186" s="473"/>
      <c r="G186" s="172">
        <f t="shared" si="8"/>
        <v>0</v>
      </c>
      <c r="H186" s="473"/>
      <c r="I186" s="151">
        <v>-155200000</v>
      </c>
      <c r="J186" s="176">
        <v>42380</v>
      </c>
      <c r="K186" s="421" t="s">
        <v>372</v>
      </c>
    </row>
    <row r="187" spans="1:12" s="161" customFormat="1" ht="18" customHeight="1">
      <c r="A187" s="464"/>
      <c r="B187" s="464"/>
      <c r="C187" s="470" t="s">
        <v>94</v>
      </c>
      <c r="D187" s="471"/>
      <c r="E187" s="158">
        <f>SUM(E182:E186)</f>
        <v>700150000</v>
      </c>
      <c r="F187" s="158">
        <f>SUM(F182:F186)</f>
        <v>700150000</v>
      </c>
      <c r="G187" s="158">
        <f>SUM(G182:G186)</f>
        <v>700150000</v>
      </c>
      <c r="H187" s="158">
        <f>SUM(H182:H186)</f>
        <v>544950000</v>
      </c>
      <c r="I187" s="158">
        <f>SUM(I182:I186)</f>
        <v>544950000</v>
      </c>
      <c r="J187" s="159"/>
      <c r="K187" s="160" t="s">
        <v>42</v>
      </c>
      <c r="L187" s="302"/>
    </row>
    <row r="188" spans="1:12" s="161" customFormat="1" ht="18" customHeight="1">
      <c r="A188" s="464"/>
      <c r="B188" s="464"/>
      <c r="C188" s="470" t="s">
        <v>379</v>
      </c>
      <c r="D188" s="471"/>
      <c r="E188" s="162"/>
      <c r="F188" s="162"/>
      <c r="G188" s="163">
        <f>E187-G187</f>
        <v>0</v>
      </c>
      <c r="H188" s="162"/>
      <c r="I188" s="163">
        <f>H187-I187</f>
        <v>0</v>
      </c>
      <c r="J188" s="159"/>
      <c r="K188" s="160"/>
      <c r="L188" s="302"/>
    </row>
    <row r="189" spans="1:12" ht="16.5" customHeight="1">
      <c r="A189" s="464">
        <v>24</v>
      </c>
      <c r="B189" s="464" t="s">
        <v>152</v>
      </c>
      <c r="C189" s="477" t="s">
        <v>397</v>
      </c>
      <c r="D189" s="479">
        <v>41618</v>
      </c>
      <c r="E189" s="473">
        <v>394100000</v>
      </c>
      <c r="F189" s="473">
        <v>394100000</v>
      </c>
      <c r="G189" s="172">
        <f t="shared" ref="G189:G192" si="9">IF(I189&gt;0,I189,0)</f>
        <v>100000000</v>
      </c>
      <c r="H189" s="473">
        <v>298500000</v>
      </c>
      <c r="I189" s="172">
        <v>100000000</v>
      </c>
      <c r="J189" s="176">
        <v>42116</v>
      </c>
      <c r="K189" s="174" t="s">
        <v>372</v>
      </c>
    </row>
    <row r="190" spans="1:12" ht="16.5" customHeight="1">
      <c r="A190" s="464"/>
      <c r="B190" s="464"/>
      <c r="C190" s="477"/>
      <c r="D190" s="479"/>
      <c r="E190" s="473"/>
      <c r="F190" s="473"/>
      <c r="G190" s="172">
        <f t="shared" si="9"/>
        <v>200000000</v>
      </c>
      <c r="H190" s="473"/>
      <c r="I190" s="172">
        <v>200000000</v>
      </c>
      <c r="J190" s="420">
        <v>42381</v>
      </c>
      <c r="K190" s="422" t="s">
        <v>372</v>
      </c>
    </row>
    <row r="191" spans="1:12" ht="16.5" customHeight="1">
      <c r="A191" s="464"/>
      <c r="B191" s="464"/>
      <c r="C191" s="477"/>
      <c r="D191" s="479"/>
      <c r="E191" s="473"/>
      <c r="F191" s="473"/>
      <c r="G191" s="172">
        <f t="shared" si="9"/>
        <v>0</v>
      </c>
      <c r="H191" s="473"/>
      <c r="I191" s="172">
        <v>-100000000</v>
      </c>
      <c r="J191" s="420">
        <v>42382</v>
      </c>
      <c r="K191" s="195" t="s">
        <v>390</v>
      </c>
    </row>
    <row r="192" spans="1:12" ht="16.5" customHeight="1">
      <c r="A192" s="464"/>
      <c r="B192" s="464"/>
      <c r="C192" s="477"/>
      <c r="D192" s="479"/>
      <c r="E192" s="473"/>
      <c r="F192" s="473"/>
      <c r="G192" s="172">
        <f t="shared" si="9"/>
        <v>0</v>
      </c>
      <c r="H192" s="473"/>
      <c r="I192" s="151"/>
      <c r="J192" s="176"/>
      <c r="K192" s="188"/>
    </row>
    <row r="193" spans="1:12" s="161" customFormat="1" ht="18" customHeight="1">
      <c r="A193" s="464"/>
      <c r="B193" s="464"/>
      <c r="C193" s="470" t="s">
        <v>94</v>
      </c>
      <c r="D193" s="471"/>
      <c r="E193" s="158">
        <f>SUM(E189:E192)</f>
        <v>394100000</v>
      </c>
      <c r="F193" s="158">
        <f>SUM(F189:F192)</f>
        <v>394100000</v>
      </c>
      <c r="G193" s="158">
        <f>SUM(G189:G192)</f>
        <v>300000000</v>
      </c>
      <c r="H193" s="158">
        <f>SUM(H189:H192)</f>
        <v>298500000</v>
      </c>
      <c r="I193" s="158">
        <f>SUM(I189:I192)</f>
        <v>200000000</v>
      </c>
      <c r="J193" s="159"/>
      <c r="K193" s="160" t="s">
        <v>42</v>
      </c>
      <c r="L193" s="302"/>
    </row>
    <row r="194" spans="1:12" s="161" customFormat="1" ht="18" customHeight="1">
      <c r="A194" s="464"/>
      <c r="B194" s="464"/>
      <c r="C194" s="470" t="s">
        <v>379</v>
      </c>
      <c r="D194" s="471"/>
      <c r="E194" s="162"/>
      <c r="F194" s="162"/>
      <c r="G194" s="163">
        <f>E193-G193</f>
        <v>94100000</v>
      </c>
      <c r="H194" s="162"/>
      <c r="I194" s="163">
        <f>H193-I193</f>
        <v>98500000</v>
      </c>
      <c r="J194" s="159"/>
      <c r="K194" s="160"/>
      <c r="L194" s="302"/>
    </row>
    <row r="195" spans="1:12" ht="16.5" customHeight="1">
      <c r="A195" s="464">
        <v>25</v>
      </c>
      <c r="B195" s="464" t="s">
        <v>172</v>
      </c>
      <c r="C195" s="477" t="s">
        <v>398</v>
      </c>
      <c r="D195" s="479"/>
      <c r="E195" s="473">
        <v>890000000</v>
      </c>
      <c r="F195" s="473">
        <v>898744036</v>
      </c>
      <c r="G195" s="172">
        <f t="shared" ref="G195:G205" si="10">IF(I195&gt;0,I195,0)</f>
        <v>150000000</v>
      </c>
      <c r="H195" s="473">
        <f>663683801</f>
        <v>663683801</v>
      </c>
      <c r="I195" s="172">
        <v>150000000</v>
      </c>
      <c r="J195" s="176">
        <v>42132</v>
      </c>
      <c r="K195" s="174" t="s">
        <v>372</v>
      </c>
    </row>
    <row r="196" spans="1:12" ht="16.5" customHeight="1">
      <c r="A196" s="464"/>
      <c r="B196" s="464"/>
      <c r="C196" s="477"/>
      <c r="D196" s="479"/>
      <c r="E196" s="473"/>
      <c r="F196" s="473"/>
      <c r="G196" s="172">
        <f t="shared" si="10"/>
        <v>150000000</v>
      </c>
      <c r="H196" s="473"/>
      <c r="I196" s="172">
        <v>150000000</v>
      </c>
      <c r="J196" s="176">
        <v>42144</v>
      </c>
      <c r="K196" s="174" t="s">
        <v>372</v>
      </c>
    </row>
    <row r="197" spans="1:12" ht="16.5" customHeight="1">
      <c r="A197" s="464"/>
      <c r="B197" s="464"/>
      <c r="C197" s="477"/>
      <c r="D197" s="479"/>
      <c r="E197" s="473"/>
      <c r="F197" s="473"/>
      <c r="G197" s="172">
        <f t="shared" si="10"/>
        <v>50000000</v>
      </c>
      <c r="H197" s="473"/>
      <c r="I197" s="172">
        <v>50000000</v>
      </c>
      <c r="J197" s="176">
        <v>42157</v>
      </c>
      <c r="K197" s="174" t="s">
        <v>372</v>
      </c>
    </row>
    <row r="198" spans="1:12" ht="16.5" customHeight="1">
      <c r="A198" s="464"/>
      <c r="B198" s="464"/>
      <c r="C198" s="477"/>
      <c r="D198" s="479"/>
      <c r="E198" s="473"/>
      <c r="F198" s="473"/>
      <c r="G198" s="172">
        <f t="shared" si="10"/>
        <v>200000000</v>
      </c>
      <c r="H198" s="473"/>
      <c r="I198" s="172">
        <v>200000000</v>
      </c>
      <c r="J198" s="176">
        <v>42167</v>
      </c>
      <c r="K198" s="174" t="s">
        <v>372</v>
      </c>
    </row>
    <row r="199" spans="1:12" ht="16.5" customHeight="1">
      <c r="A199" s="464"/>
      <c r="B199" s="464"/>
      <c r="C199" s="477"/>
      <c r="D199" s="479"/>
      <c r="E199" s="473"/>
      <c r="F199" s="473"/>
      <c r="G199" s="172">
        <f t="shared" si="10"/>
        <v>100000000</v>
      </c>
      <c r="H199" s="473"/>
      <c r="I199" s="172">
        <v>100000000</v>
      </c>
      <c r="J199" s="176">
        <v>42198</v>
      </c>
      <c r="K199" s="174" t="s">
        <v>372</v>
      </c>
    </row>
    <row r="200" spans="1:12" ht="16.5" customHeight="1">
      <c r="A200" s="464"/>
      <c r="B200" s="464"/>
      <c r="C200" s="477" t="s">
        <v>413</v>
      </c>
      <c r="D200" s="479"/>
      <c r="E200" s="473"/>
      <c r="F200" s="473">
        <v>627830692</v>
      </c>
      <c r="G200" s="172">
        <f t="shared" si="10"/>
        <v>400000000</v>
      </c>
      <c r="H200" s="473">
        <v>304043967</v>
      </c>
      <c r="I200" s="172">
        <v>400000000</v>
      </c>
      <c r="J200" s="176">
        <v>42219</v>
      </c>
      <c r="K200" s="174" t="s">
        <v>372</v>
      </c>
    </row>
    <row r="201" spans="1:12" ht="16.5" customHeight="1">
      <c r="A201" s="464"/>
      <c r="B201" s="464"/>
      <c r="C201" s="477"/>
      <c r="D201" s="479"/>
      <c r="E201" s="473"/>
      <c r="F201" s="473"/>
      <c r="G201" s="172">
        <f t="shared" si="10"/>
        <v>0</v>
      </c>
      <c r="H201" s="473"/>
      <c r="I201" s="193">
        <v>-200000000</v>
      </c>
      <c r="J201" s="194">
        <v>42220</v>
      </c>
      <c r="K201" s="195" t="s">
        <v>390</v>
      </c>
    </row>
    <row r="202" spans="1:12" ht="16.5" customHeight="1">
      <c r="A202" s="464"/>
      <c r="B202" s="464"/>
      <c r="C202" s="477"/>
      <c r="D202" s="479"/>
      <c r="E202" s="473"/>
      <c r="F202" s="473"/>
      <c r="G202" s="172">
        <f t="shared" si="10"/>
        <v>200000000</v>
      </c>
      <c r="H202" s="473"/>
      <c r="I202" s="172">
        <v>200000000</v>
      </c>
      <c r="J202" s="415">
        <v>42368</v>
      </c>
      <c r="K202" s="416" t="s">
        <v>372</v>
      </c>
    </row>
    <row r="203" spans="1:12" ht="16.5" customHeight="1">
      <c r="A203" s="464"/>
      <c r="B203" s="464"/>
      <c r="C203" s="477"/>
      <c r="D203" s="479"/>
      <c r="E203" s="473"/>
      <c r="F203" s="473"/>
      <c r="G203" s="172">
        <f t="shared" si="10"/>
        <v>0</v>
      </c>
      <c r="H203" s="473"/>
      <c r="I203" s="193">
        <v>-100000000</v>
      </c>
      <c r="J203" s="194">
        <v>42368</v>
      </c>
      <c r="K203" s="195" t="s">
        <v>390</v>
      </c>
    </row>
    <row r="204" spans="1:12" ht="16.5" customHeight="1">
      <c r="A204" s="464"/>
      <c r="B204" s="464"/>
      <c r="C204" s="477"/>
      <c r="D204" s="479"/>
      <c r="E204" s="473"/>
      <c r="F204" s="473"/>
      <c r="G204" s="172">
        <f t="shared" si="10"/>
        <v>0</v>
      </c>
      <c r="H204" s="473"/>
      <c r="I204" s="172"/>
      <c r="J204" s="415"/>
      <c r="K204" s="419"/>
    </row>
    <row r="205" spans="1:12" ht="16.5" customHeight="1">
      <c r="A205" s="464"/>
      <c r="B205" s="464"/>
      <c r="C205" s="477"/>
      <c r="D205" s="479"/>
      <c r="E205" s="473"/>
      <c r="F205" s="473"/>
      <c r="G205" s="172">
        <f t="shared" si="10"/>
        <v>0</v>
      </c>
      <c r="H205" s="473"/>
      <c r="I205" s="172"/>
      <c r="J205" s="415"/>
      <c r="K205" s="416"/>
    </row>
    <row r="206" spans="1:12" s="161" customFormat="1" ht="18" customHeight="1">
      <c r="A206" s="464"/>
      <c r="B206" s="464"/>
      <c r="C206" s="470" t="s">
        <v>94</v>
      </c>
      <c r="D206" s="471"/>
      <c r="E206" s="158">
        <f>SUM(E195:E205)</f>
        <v>890000000</v>
      </c>
      <c r="F206" s="158">
        <f>SUM(F195:F205)</f>
        <v>1526574728</v>
      </c>
      <c r="G206" s="158">
        <f>SUM(G195:G205)</f>
        <v>1250000000</v>
      </c>
      <c r="H206" s="158">
        <f>SUM(H195:H205)</f>
        <v>967727768</v>
      </c>
      <c r="I206" s="158">
        <f>SUM(I195:I205)</f>
        <v>950000000</v>
      </c>
      <c r="J206" s="159"/>
      <c r="K206" s="160" t="s">
        <v>42</v>
      </c>
      <c r="L206" s="302"/>
    </row>
    <row r="207" spans="1:12" s="161" customFormat="1" ht="18" customHeight="1">
      <c r="A207" s="464"/>
      <c r="B207" s="464"/>
      <c r="C207" s="470" t="s">
        <v>379</v>
      </c>
      <c r="D207" s="471"/>
      <c r="E207" s="162"/>
      <c r="F207" s="162"/>
      <c r="G207" s="163">
        <f>E206-G206</f>
        <v>-360000000</v>
      </c>
      <c r="H207" s="162"/>
      <c r="I207" s="163">
        <f>H206-I206</f>
        <v>17727768</v>
      </c>
      <c r="J207" s="159"/>
      <c r="K207" s="160"/>
      <c r="L207" s="302"/>
    </row>
    <row r="208" spans="1:12" ht="16.5" customHeight="1">
      <c r="A208" s="464">
        <v>26</v>
      </c>
      <c r="B208" s="465" t="s">
        <v>190</v>
      </c>
      <c r="C208" s="480" t="s">
        <v>401</v>
      </c>
      <c r="D208" s="482">
        <v>42125</v>
      </c>
      <c r="E208" s="179">
        <v>99315638</v>
      </c>
      <c r="F208" s="484">
        <v>893000000</v>
      </c>
      <c r="G208" s="172">
        <f t="shared" ref="G208" si="11">IF(I208&gt;0,I208,0)</f>
        <v>200000000</v>
      </c>
      <c r="H208" s="179">
        <v>99315000</v>
      </c>
      <c r="I208" s="179">
        <v>200000000</v>
      </c>
      <c r="J208" s="189">
        <v>42144</v>
      </c>
      <c r="K208" s="190" t="s">
        <v>372</v>
      </c>
    </row>
    <row r="209" spans="1:12" ht="16.5" customHeight="1">
      <c r="A209" s="464"/>
      <c r="B209" s="465"/>
      <c r="C209" s="467"/>
      <c r="D209" s="469"/>
      <c r="E209" s="172">
        <v>525544049</v>
      </c>
      <c r="F209" s="460"/>
      <c r="G209" s="172">
        <f t="shared" ref="G209:G217" si="12">IF(I209&gt;0,I209,0)</f>
        <v>250000000</v>
      </c>
      <c r="H209" s="172">
        <v>278359000</v>
      </c>
      <c r="I209" s="172">
        <v>250000000</v>
      </c>
      <c r="J209" s="176">
        <v>42188</v>
      </c>
      <c r="K209" s="178" t="s">
        <v>372</v>
      </c>
    </row>
    <row r="210" spans="1:12" ht="16.5" customHeight="1">
      <c r="A210" s="464"/>
      <c r="B210" s="465"/>
      <c r="C210" s="467"/>
      <c r="D210" s="469"/>
      <c r="F210" s="460"/>
      <c r="G210" s="172">
        <f t="shared" si="12"/>
        <v>300000000</v>
      </c>
      <c r="H210" s="172">
        <v>247185000</v>
      </c>
      <c r="I210" s="181">
        <v>300000000</v>
      </c>
      <c r="J210" s="176">
        <v>42219</v>
      </c>
      <c r="K210" s="178" t="s">
        <v>372</v>
      </c>
    </row>
    <row r="211" spans="1:12" ht="16.5" customHeight="1">
      <c r="A211" s="464"/>
      <c r="B211" s="465"/>
      <c r="C211" s="467"/>
      <c r="D211" s="469"/>
      <c r="E211" s="172">
        <v>60382018</v>
      </c>
      <c r="F211" s="460"/>
      <c r="G211" s="172">
        <f t="shared" si="12"/>
        <v>0</v>
      </c>
      <c r="H211" s="172">
        <v>61180000</v>
      </c>
      <c r="I211" s="181">
        <v>-100000000</v>
      </c>
      <c r="J211" s="176">
        <v>42220</v>
      </c>
      <c r="K211" s="187" t="s">
        <v>390</v>
      </c>
    </row>
    <row r="212" spans="1:12" ht="16.5" customHeight="1">
      <c r="A212" s="464"/>
      <c r="B212" s="465"/>
      <c r="C212" s="467"/>
      <c r="D212" s="469"/>
      <c r="E212" s="172">
        <v>295513229</v>
      </c>
      <c r="F212" s="460"/>
      <c r="G212" s="172">
        <f t="shared" si="12"/>
        <v>150000000</v>
      </c>
      <c r="H212" s="172">
        <v>303311000</v>
      </c>
      <c r="I212" s="225">
        <v>150000000</v>
      </c>
      <c r="J212" s="229">
        <v>42251</v>
      </c>
      <c r="K212" s="242" t="s">
        <v>372</v>
      </c>
    </row>
    <row r="213" spans="1:12" ht="16.5" customHeight="1">
      <c r="A213" s="464"/>
      <c r="B213" s="465"/>
      <c r="C213" s="467"/>
      <c r="D213" s="469"/>
      <c r="E213" s="172">
        <v>81027109</v>
      </c>
      <c r="F213" s="460"/>
      <c r="G213" s="172">
        <f t="shared" si="12"/>
        <v>150000000</v>
      </c>
      <c r="H213" s="172">
        <v>82240000</v>
      </c>
      <c r="I213" s="294">
        <v>150000000</v>
      </c>
      <c r="J213" s="295">
        <v>42279</v>
      </c>
      <c r="K213" s="292" t="s">
        <v>372</v>
      </c>
    </row>
    <row r="214" spans="1:12" ht="16.5" customHeight="1">
      <c r="A214" s="464"/>
      <c r="B214" s="465"/>
      <c r="C214" s="467"/>
      <c r="D214" s="469"/>
      <c r="E214" s="172">
        <v>11344513</v>
      </c>
      <c r="F214" s="460"/>
      <c r="G214" s="379">
        <v>123128513</v>
      </c>
      <c r="H214" s="386">
        <v>19689000</v>
      </c>
      <c r="I214" s="382">
        <v>123128513</v>
      </c>
      <c r="J214" s="381">
        <v>42366</v>
      </c>
      <c r="K214" s="383" t="s">
        <v>372</v>
      </c>
    </row>
    <row r="215" spans="1:12" ht="16.5" customHeight="1">
      <c r="A215" s="464"/>
      <c r="B215" s="465"/>
      <c r="C215" s="467"/>
      <c r="D215" s="469"/>
      <c r="E215" s="197">
        <v>100001957</v>
      </c>
      <c r="F215" s="460"/>
      <c r="G215" s="425">
        <v>37981566</v>
      </c>
      <c r="H215" s="386">
        <v>8483500</v>
      </c>
      <c r="I215" s="379">
        <v>37978500</v>
      </c>
      <c r="J215" s="381">
        <v>42403</v>
      </c>
      <c r="K215" s="428" t="s">
        <v>372</v>
      </c>
    </row>
    <row r="216" spans="1:12" ht="16.5" customHeight="1">
      <c r="A216" s="464"/>
      <c r="B216" s="465"/>
      <c r="C216" s="467"/>
      <c r="D216" s="469"/>
      <c r="E216" s="172">
        <v>37981566</v>
      </c>
      <c r="F216" s="460"/>
      <c r="G216" s="172"/>
      <c r="H216" s="386">
        <v>11344513</v>
      </c>
      <c r="I216" s="379">
        <v>9028694</v>
      </c>
      <c r="J216" s="427">
        <v>42403</v>
      </c>
      <c r="K216" s="380" t="s">
        <v>1202</v>
      </c>
    </row>
    <row r="217" spans="1:12" ht="16.5" customHeight="1">
      <c r="A217" s="464"/>
      <c r="B217" s="465"/>
      <c r="C217" s="481"/>
      <c r="D217" s="483"/>
      <c r="E217" s="385"/>
      <c r="F217" s="485"/>
      <c r="G217" s="172">
        <f t="shared" si="12"/>
        <v>0</v>
      </c>
      <c r="H217" s="425">
        <v>9028694</v>
      </c>
      <c r="I217" s="182"/>
      <c r="J217" s="191"/>
      <c r="K217" s="192"/>
    </row>
    <row r="218" spans="1:12" s="161" customFormat="1" ht="18" customHeight="1">
      <c r="A218" s="464"/>
      <c r="B218" s="465"/>
      <c r="C218" s="470" t="s">
        <v>94</v>
      </c>
      <c r="D218" s="471"/>
      <c r="E218" s="158">
        <f>SUM(E208:E217)</f>
        <v>1211110079</v>
      </c>
      <c r="F218" s="158">
        <f>SUM(F208:F217)</f>
        <v>893000000</v>
      </c>
      <c r="G218" s="158">
        <f t="shared" ref="G218:I218" si="13">SUM(G208:G217)</f>
        <v>1211110079</v>
      </c>
      <c r="H218" s="158">
        <f>SUM(H208:H217)</f>
        <v>1120135707</v>
      </c>
      <c r="I218" s="158">
        <f t="shared" si="13"/>
        <v>1120135707</v>
      </c>
      <c r="J218" s="160"/>
      <c r="K218" s="160" t="s">
        <v>42</v>
      </c>
      <c r="L218" s="302"/>
    </row>
    <row r="219" spans="1:12" s="161" customFormat="1" ht="18" customHeight="1">
      <c r="A219" s="464"/>
      <c r="B219" s="465"/>
      <c r="C219" s="470" t="s">
        <v>379</v>
      </c>
      <c r="D219" s="471"/>
      <c r="E219" s="162"/>
      <c r="F219" s="162"/>
      <c r="G219" s="163">
        <f>E218-G218</f>
        <v>0</v>
      </c>
      <c r="H219" s="162"/>
      <c r="I219" s="163">
        <f>H218-I218</f>
        <v>0</v>
      </c>
      <c r="J219" s="162"/>
      <c r="K219" s="387"/>
      <c r="L219" s="302"/>
    </row>
    <row r="220" spans="1:12" ht="16.5" customHeight="1">
      <c r="A220" s="464">
        <v>27</v>
      </c>
      <c r="B220" s="465" t="s">
        <v>268</v>
      </c>
      <c r="C220" s="466" t="s">
        <v>402</v>
      </c>
      <c r="D220" s="468">
        <v>42125</v>
      </c>
      <c r="E220" s="459"/>
      <c r="F220" s="459">
        <v>1489950000</v>
      </c>
      <c r="G220" s="172">
        <f>IF(I220&gt;0,I220,0)</f>
        <v>200000000</v>
      </c>
      <c r="H220" s="459">
        <v>868450000</v>
      </c>
      <c r="I220" s="172">
        <v>200000000</v>
      </c>
      <c r="J220" s="176">
        <v>42150</v>
      </c>
      <c r="K220" s="174" t="s">
        <v>372</v>
      </c>
    </row>
    <row r="221" spans="1:12" ht="16.5" customHeight="1">
      <c r="A221" s="464"/>
      <c r="B221" s="465"/>
      <c r="C221" s="467"/>
      <c r="D221" s="467"/>
      <c r="E221" s="460"/>
      <c r="F221" s="460"/>
      <c r="G221" s="172">
        <f t="shared" ref="G221:G227" si="14">IF(I221&gt;0,I221,0)</f>
        <v>500000000</v>
      </c>
      <c r="H221" s="460"/>
      <c r="I221" s="172">
        <v>500000000</v>
      </c>
      <c r="J221" s="176">
        <v>42198</v>
      </c>
      <c r="K221" s="174" t="s">
        <v>372</v>
      </c>
    </row>
    <row r="222" spans="1:12" ht="16.5" customHeight="1">
      <c r="A222" s="464"/>
      <c r="B222" s="465"/>
      <c r="C222" s="467"/>
      <c r="D222" s="467"/>
      <c r="E222" s="460"/>
      <c r="F222" s="460"/>
      <c r="G222" s="172">
        <f t="shared" si="14"/>
        <v>0</v>
      </c>
      <c r="H222" s="460"/>
      <c r="I222" s="193">
        <v>-300000000</v>
      </c>
      <c r="J222" s="194">
        <v>42199</v>
      </c>
      <c r="K222" s="195" t="s">
        <v>390</v>
      </c>
    </row>
    <row r="223" spans="1:12" ht="16.5" customHeight="1">
      <c r="A223" s="464"/>
      <c r="B223" s="465"/>
      <c r="C223" s="467"/>
      <c r="D223" s="467"/>
      <c r="E223" s="460"/>
      <c r="F223" s="460"/>
      <c r="G223" s="172">
        <f t="shared" si="14"/>
        <v>500000000</v>
      </c>
      <c r="H223" s="460"/>
      <c r="I223" s="172">
        <v>500000000</v>
      </c>
      <c r="J223" s="233">
        <v>42241</v>
      </c>
      <c r="K223" s="232" t="s">
        <v>372</v>
      </c>
    </row>
    <row r="224" spans="1:12" ht="16.5" customHeight="1">
      <c r="A224" s="464"/>
      <c r="B224" s="465"/>
      <c r="C224" s="467"/>
      <c r="D224" s="467"/>
      <c r="E224" s="460"/>
      <c r="F224" s="460"/>
      <c r="G224" s="172">
        <f t="shared" si="14"/>
        <v>0</v>
      </c>
      <c r="H224" s="460"/>
      <c r="I224" s="193">
        <v>-300000000</v>
      </c>
      <c r="J224" s="194">
        <v>42242</v>
      </c>
      <c r="K224" s="195" t="s">
        <v>390</v>
      </c>
    </row>
    <row r="225" spans="1:12" ht="16.5" customHeight="1">
      <c r="A225" s="464"/>
      <c r="B225" s="465"/>
      <c r="C225" s="467"/>
      <c r="D225" s="467"/>
      <c r="E225" s="460"/>
      <c r="F225" s="460"/>
      <c r="G225" s="172">
        <f t="shared" si="14"/>
        <v>400000000</v>
      </c>
      <c r="H225" s="460"/>
      <c r="I225" s="172">
        <v>400000000</v>
      </c>
      <c r="J225" s="293">
        <v>42279</v>
      </c>
      <c r="K225" s="296" t="s">
        <v>372</v>
      </c>
    </row>
    <row r="226" spans="1:12" ht="16.5" customHeight="1">
      <c r="A226" s="464"/>
      <c r="B226" s="465"/>
      <c r="C226" s="467"/>
      <c r="D226" s="467"/>
      <c r="E226" s="460"/>
      <c r="F226" s="460"/>
      <c r="G226" s="172">
        <f t="shared" si="14"/>
        <v>0</v>
      </c>
      <c r="H226" s="460"/>
      <c r="I226" s="193">
        <v>-200000000</v>
      </c>
      <c r="J226" s="194">
        <v>42286</v>
      </c>
      <c r="K226" s="195" t="s">
        <v>390</v>
      </c>
    </row>
    <row r="227" spans="1:12" ht="16.5" customHeight="1">
      <c r="A227" s="464"/>
      <c r="B227" s="465"/>
      <c r="C227" s="467"/>
      <c r="D227" s="467"/>
      <c r="E227" s="460"/>
      <c r="F227" s="460"/>
      <c r="G227" s="172">
        <f t="shared" si="14"/>
        <v>0</v>
      </c>
      <c r="H227" s="460"/>
      <c r="I227" s="151"/>
      <c r="J227" s="176"/>
      <c r="K227" s="188"/>
    </row>
    <row r="228" spans="1:12" s="161" customFormat="1" ht="18" customHeight="1">
      <c r="A228" s="464"/>
      <c r="B228" s="465"/>
      <c r="C228" s="470" t="s">
        <v>94</v>
      </c>
      <c r="D228" s="471"/>
      <c r="E228" s="158">
        <f>SUM(E220:E227)</f>
        <v>0</v>
      </c>
      <c r="F228" s="158">
        <f>SUM(F220:F227)</f>
        <v>1489950000</v>
      </c>
      <c r="G228" s="158">
        <f>SUM(G220:G227)</f>
        <v>1600000000</v>
      </c>
      <c r="H228" s="158">
        <f>SUM(H220:H227)</f>
        <v>868450000</v>
      </c>
      <c r="I228" s="158">
        <f>SUM(I220:I227)</f>
        <v>800000000</v>
      </c>
      <c r="J228" s="159"/>
      <c r="K228" s="160" t="s">
        <v>42</v>
      </c>
      <c r="L228" s="302"/>
    </row>
    <row r="229" spans="1:12" s="161" customFormat="1" ht="18" customHeight="1">
      <c r="A229" s="464"/>
      <c r="B229" s="465"/>
      <c r="C229" s="470" t="s">
        <v>379</v>
      </c>
      <c r="D229" s="471"/>
      <c r="E229" s="162"/>
      <c r="F229" s="162"/>
      <c r="G229" s="163">
        <f>E228-G228</f>
        <v>-1600000000</v>
      </c>
      <c r="H229" s="162"/>
      <c r="I229" s="163">
        <f>H228-I228</f>
        <v>68450000</v>
      </c>
      <c r="J229" s="159"/>
      <c r="K229" s="160"/>
      <c r="L229" s="302"/>
    </row>
    <row r="230" spans="1:12" ht="16.5" customHeight="1">
      <c r="A230" s="464">
        <v>28</v>
      </c>
      <c r="B230" s="465" t="s">
        <v>406</v>
      </c>
      <c r="C230" s="466" t="s">
        <v>407</v>
      </c>
      <c r="D230" s="468">
        <v>42205</v>
      </c>
      <c r="E230" s="459"/>
      <c r="F230" s="459">
        <v>434232000</v>
      </c>
      <c r="G230" s="172">
        <f t="shared" ref="G230:G238" si="15">IF(I230&gt;0,I230,0)</f>
        <v>90000000</v>
      </c>
      <c r="H230" s="459">
        <f>F230</f>
        <v>434232000</v>
      </c>
      <c r="I230" s="151">
        <v>90000000</v>
      </c>
      <c r="J230" s="176">
        <v>42212</v>
      </c>
      <c r="K230" s="174" t="s">
        <v>372</v>
      </c>
    </row>
    <row r="231" spans="1:12" ht="16.5" customHeight="1">
      <c r="A231" s="464"/>
      <c r="B231" s="465"/>
      <c r="C231" s="467"/>
      <c r="D231" s="469"/>
      <c r="E231" s="460"/>
      <c r="F231" s="460"/>
      <c r="G231" s="172">
        <f t="shared" si="15"/>
        <v>50000000</v>
      </c>
      <c r="H231" s="460"/>
      <c r="I231" s="151">
        <v>50000000</v>
      </c>
      <c r="J231" s="214">
        <v>42229</v>
      </c>
      <c r="K231" s="215" t="s">
        <v>372</v>
      </c>
    </row>
    <row r="232" spans="1:12" ht="16.5" customHeight="1">
      <c r="A232" s="464"/>
      <c r="B232" s="465"/>
      <c r="C232" s="467"/>
      <c r="D232" s="469"/>
      <c r="E232" s="460"/>
      <c r="F232" s="460"/>
      <c r="G232" s="172">
        <f t="shared" si="15"/>
        <v>50000000</v>
      </c>
      <c r="H232" s="460"/>
      <c r="I232" s="151">
        <v>50000000</v>
      </c>
      <c r="J232" s="233">
        <v>42241</v>
      </c>
      <c r="K232" s="232" t="s">
        <v>372</v>
      </c>
    </row>
    <row r="233" spans="1:12" ht="16.5" customHeight="1">
      <c r="A233" s="464"/>
      <c r="B233" s="465"/>
      <c r="C233" s="467"/>
      <c r="D233" s="469"/>
      <c r="E233" s="460"/>
      <c r="F233" s="460"/>
      <c r="G233" s="172">
        <f t="shared" si="15"/>
        <v>50000000</v>
      </c>
      <c r="H233" s="460"/>
      <c r="I233" s="151">
        <v>50000000</v>
      </c>
      <c r="J233" s="281">
        <v>42251</v>
      </c>
      <c r="K233" s="280" t="s">
        <v>372</v>
      </c>
    </row>
    <row r="234" spans="1:12" ht="16.5" customHeight="1">
      <c r="A234" s="464"/>
      <c r="B234" s="465"/>
      <c r="C234" s="467"/>
      <c r="D234" s="469"/>
      <c r="E234" s="460"/>
      <c r="F234" s="460"/>
      <c r="G234" s="172">
        <f t="shared" si="15"/>
        <v>30000000</v>
      </c>
      <c r="H234" s="460"/>
      <c r="I234" s="151">
        <v>30000000</v>
      </c>
      <c r="J234" s="308">
        <v>42285</v>
      </c>
      <c r="K234" s="309" t="s">
        <v>372</v>
      </c>
    </row>
    <row r="235" spans="1:12" ht="16.5" customHeight="1">
      <c r="A235" s="464"/>
      <c r="B235" s="465"/>
      <c r="C235" s="467"/>
      <c r="D235" s="469"/>
      <c r="E235" s="460"/>
      <c r="F235" s="460"/>
      <c r="G235" s="172"/>
      <c r="H235" s="460"/>
      <c r="I235" s="151">
        <v>10000000</v>
      </c>
      <c r="J235" s="308">
        <v>42306</v>
      </c>
      <c r="K235" s="309" t="s">
        <v>386</v>
      </c>
    </row>
    <row r="236" spans="1:12" ht="16.5" customHeight="1">
      <c r="A236" s="464"/>
      <c r="B236" s="465"/>
      <c r="C236" s="467"/>
      <c r="D236" s="469"/>
      <c r="E236" s="460"/>
      <c r="F236" s="460"/>
      <c r="G236" s="172">
        <f t="shared" si="15"/>
        <v>30000000</v>
      </c>
      <c r="H236" s="460"/>
      <c r="I236" s="151">
        <v>30000000</v>
      </c>
      <c r="J236" s="326">
        <v>42342</v>
      </c>
      <c r="K236" s="378" t="s">
        <v>372</v>
      </c>
    </row>
    <row r="237" spans="1:12" ht="16.5" customHeight="1">
      <c r="A237" s="464"/>
      <c r="B237" s="465"/>
      <c r="C237" s="467"/>
      <c r="D237" s="469"/>
      <c r="E237" s="460"/>
      <c r="F237" s="460"/>
      <c r="G237" s="172">
        <f t="shared" si="15"/>
        <v>60000000</v>
      </c>
      <c r="H237" s="460"/>
      <c r="I237" s="151">
        <v>60000000</v>
      </c>
      <c r="J237" s="326">
        <v>42403</v>
      </c>
      <c r="K237" s="431" t="s">
        <v>372</v>
      </c>
    </row>
    <row r="238" spans="1:12" ht="16.5" customHeight="1">
      <c r="A238" s="464"/>
      <c r="B238" s="465"/>
      <c r="C238" s="467"/>
      <c r="D238" s="467"/>
      <c r="E238" s="460"/>
      <c r="F238" s="460"/>
      <c r="G238" s="172">
        <f t="shared" si="15"/>
        <v>0</v>
      </c>
      <c r="H238" s="460"/>
      <c r="I238" s="151"/>
      <c r="J238" s="176"/>
      <c r="K238" s="298"/>
    </row>
    <row r="239" spans="1:12" s="161" customFormat="1" ht="18" customHeight="1">
      <c r="A239" s="464"/>
      <c r="B239" s="465"/>
      <c r="C239" s="470" t="s">
        <v>94</v>
      </c>
      <c r="D239" s="471"/>
      <c r="E239" s="158">
        <f>SUM(E230:E238)</f>
        <v>0</v>
      </c>
      <c r="F239" s="158">
        <f>SUM(F230:F238)</f>
        <v>434232000</v>
      </c>
      <c r="G239" s="158">
        <f>SUM(G230:G238)</f>
        <v>360000000</v>
      </c>
      <c r="H239" s="158">
        <f>SUM(H230:H238)</f>
        <v>434232000</v>
      </c>
      <c r="I239" s="158">
        <f>SUM(I230:I238)</f>
        <v>370000000</v>
      </c>
      <c r="J239" s="159"/>
      <c r="K239" s="160" t="s">
        <v>42</v>
      </c>
      <c r="L239" s="302"/>
    </row>
    <row r="240" spans="1:12" s="161" customFormat="1" ht="18" customHeight="1">
      <c r="A240" s="464"/>
      <c r="B240" s="465"/>
      <c r="C240" s="470" t="s">
        <v>379</v>
      </c>
      <c r="D240" s="471"/>
      <c r="E240" s="162"/>
      <c r="F240" s="162"/>
      <c r="G240" s="163">
        <f>E239-G239</f>
        <v>-360000000</v>
      </c>
      <c r="H240" s="162"/>
      <c r="I240" s="163">
        <f>H239-I239</f>
        <v>64232000</v>
      </c>
      <c r="J240" s="159"/>
      <c r="K240" s="160"/>
      <c r="L240" s="302"/>
    </row>
    <row r="241" spans="1:13" ht="27" customHeight="1">
      <c r="A241" s="464">
        <v>29</v>
      </c>
      <c r="B241" s="465" t="s">
        <v>427</v>
      </c>
      <c r="C241" s="207" t="str">
        <f ca="1">"Chi phí TM (có HĐ) đến "&amp; TEXT(NOW(),"dd/MM/yy")</f>
        <v>Chi phí TM (có HĐ) đến 24/03/16</v>
      </c>
      <c r="D241" s="189"/>
      <c r="E241" s="212">
        <f t="array" ref="E241">SUM(IF(KHN&amp;KHC="642"&amp;"1111",TH))</f>
        <v>147203467</v>
      </c>
      <c r="F241" s="223">
        <f t="array" ref="F241">SUM(IF(KHN&amp;KHC="642"&amp;"1111",TH))</f>
        <v>147203467</v>
      </c>
      <c r="G241" s="212">
        <f>F241</f>
        <v>147203467</v>
      </c>
      <c r="H241" s="226">
        <f t="shared" ref="H241:I241" si="16">G241</f>
        <v>147203467</v>
      </c>
      <c r="I241" s="226">
        <f t="shared" si="16"/>
        <v>147203467</v>
      </c>
      <c r="J241" s="205" t="str">
        <f>IF(D241&lt;&gt;"",D241,"")</f>
        <v/>
      </c>
      <c r="K241" s="211" t="s">
        <v>386</v>
      </c>
    </row>
    <row r="242" spans="1:13" ht="16.5" customHeight="1">
      <c r="A242" s="464"/>
      <c r="B242" s="465"/>
      <c r="C242" s="211" t="str">
        <f ca="1">"CP lãi vay ( 09/2014 - "&amp;MONTH(NOW())&amp;"/"&amp;YEAR(NOW())&amp;" )"</f>
        <v>CP lãi vay ( 09/2014 - 3/2016 )</v>
      </c>
      <c r="D242" s="173"/>
      <c r="E242" s="212">
        <f t="array" ref="E242">SUM(IF(KHN&amp;KHC="635"&amp;"1121",TH))</f>
        <v>2031565927</v>
      </c>
      <c r="F242" s="223">
        <f t="array" ref="F242">SUM(IF(KHN&amp;KHC="635"&amp;"1121",TH))</f>
        <v>2031565927</v>
      </c>
      <c r="G242" s="226">
        <f t="shared" ref="G242:I245" si="17">F242</f>
        <v>2031565927</v>
      </c>
      <c r="H242" s="226">
        <f t="shared" si="17"/>
        <v>2031565927</v>
      </c>
      <c r="I242" s="226">
        <f t="shared" si="17"/>
        <v>2031565927</v>
      </c>
      <c r="J242" s="205" t="str">
        <f t="shared" ref="J242" si="18">IF(D242&lt;&gt;"",D242,"")</f>
        <v/>
      </c>
      <c r="K242" s="211" t="s">
        <v>386</v>
      </c>
    </row>
    <row r="243" spans="1:13" ht="16.5" customHeight="1">
      <c r="A243" s="464"/>
      <c r="B243" s="465"/>
      <c r="C243" s="211" t="s">
        <v>426</v>
      </c>
      <c r="D243" s="173">
        <v>42130</v>
      </c>
      <c r="E243" s="226"/>
      <c r="F243" s="223">
        <v>23000000</v>
      </c>
      <c r="G243" s="226">
        <f t="shared" si="17"/>
        <v>23000000</v>
      </c>
      <c r="H243" s="226">
        <f t="shared" si="17"/>
        <v>23000000</v>
      </c>
      <c r="I243" s="226">
        <f t="shared" si="17"/>
        <v>23000000</v>
      </c>
      <c r="J243" s="205">
        <f t="shared" ref="J243:J245" si="19">IF(D243&lt;&gt;"",D243,"")</f>
        <v>42130</v>
      </c>
      <c r="K243" s="211" t="s">
        <v>386</v>
      </c>
    </row>
    <row r="244" spans="1:13" ht="16.5" customHeight="1">
      <c r="A244" s="464"/>
      <c r="B244" s="465"/>
      <c r="C244" s="204" t="s">
        <v>428</v>
      </c>
      <c r="D244" s="205">
        <v>42224</v>
      </c>
      <c r="E244" s="206"/>
      <c r="F244" s="220">
        <v>3740000</v>
      </c>
      <c r="G244" s="226">
        <f t="shared" si="17"/>
        <v>3740000</v>
      </c>
      <c r="H244" s="226">
        <f t="shared" si="17"/>
        <v>3740000</v>
      </c>
      <c r="I244" s="226">
        <f t="shared" si="17"/>
        <v>3740000</v>
      </c>
      <c r="J244" s="205">
        <f t="shared" si="19"/>
        <v>42224</v>
      </c>
      <c r="K244" s="211" t="s">
        <v>386</v>
      </c>
    </row>
    <row r="245" spans="1:13" ht="16.5" customHeight="1">
      <c r="A245" s="464"/>
      <c r="B245" s="465"/>
      <c r="C245" s="204"/>
      <c r="D245" s="205"/>
      <c r="E245" s="206"/>
      <c r="F245" s="220"/>
      <c r="G245" s="226">
        <f t="shared" si="17"/>
        <v>0</v>
      </c>
      <c r="H245" s="226">
        <f t="shared" si="17"/>
        <v>0</v>
      </c>
      <c r="I245" s="226">
        <f t="shared" si="17"/>
        <v>0</v>
      </c>
      <c r="J245" s="205" t="str">
        <f t="shared" si="19"/>
        <v/>
      </c>
      <c r="K245" s="211"/>
    </row>
    <row r="246" spans="1:13" s="161" customFormat="1" ht="18" customHeight="1">
      <c r="A246" s="464"/>
      <c r="B246" s="465"/>
      <c r="C246" s="470" t="s">
        <v>94</v>
      </c>
      <c r="D246" s="471"/>
      <c r="E246" s="158">
        <f>SUM(E241:E245)</f>
        <v>2178769394</v>
      </c>
      <c r="F246" s="158">
        <f>SUM(F241:F245)</f>
        <v>2205509394</v>
      </c>
      <c r="G246" s="158">
        <f>SUM(G241:G245)</f>
        <v>2205509394</v>
      </c>
      <c r="H246" s="158">
        <f>SUM(H241:H245)</f>
        <v>2205509394</v>
      </c>
      <c r="I246" s="158">
        <f>SUM(I241:I245)</f>
        <v>2205509394</v>
      </c>
      <c r="J246" s="159"/>
      <c r="K246" s="160" t="s">
        <v>42</v>
      </c>
      <c r="L246" s="302"/>
    </row>
    <row r="247" spans="1:13" s="161" customFormat="1" ht="18" customHeight="1">
      <c r="A247" s="464"/>
      <c r="B247" s="465"/>
      <c r="C247" s="470" t="s">
        <v>379</v>
      </c>
      <c r="D247" s="471"/>
      <c r="E247" s="162"/>
      <c r="F247" s="162"/>
      <c r="G247" s="163"/>
      <c r="H247" s="162"/>
      <c r="I247" s="163">
        <f>H246-I246</f>
        <v>0</v>
      </c>
      <c r="J247" s="159"/>
      <c r="K247" s="160"/>
      <c r="L247" s="302"/>
    </row>
    <row r="248" spans="1:13" ht="28.5" customHeight="1">
      <c r="A248" s="461" t="s">
        <v>408</v>
      </c>
      <c r="B248" s="462"/>
      <c r="C248" s="462"/>
      <c r="D248" s="463"/>
      <c r="E248" s="146">
        <f>SUMIF(DSTT,"x",$E$7:$E$247)</f>
        <v>26090480153</v>
      </c>
      <c r="F248" s="146">
        <f>SUMIF(DSTT,"x",$F$7:$F$247)</f>
        <v>36207753342</v>
      </c>
      <c r="G248" s="146">
        <f>SUMIF(DSTT,"x",$G$7:$G$247)</f>
        <v>30702888483</v>
      </c>
      <c r="H248" s="146">
        <f>SUMIF(DSTT,"x",$H$7:$H$247)</f>
        <v>32185502919</v>
      </c>
      <c r="I248" s="146">
        <f>SUMIF(DSTT,"x",$I$7:$I$247)</f>
        <v>26327519111</v>
      </c>
      <c r="J248" s="196"/>
      <c r="K248" s="196"/>
      <c r="M248" s="197"/>
    </row>
    <row r="249" spans="1:13" ht="17.25" customHeight="1"/>
    <row r="250" spans="1:13" ht="17.25" customHeight="1"/>
    <row r="251" spans="1:13" ht="17.25" customHeight="1"/>
    <row r="252" spans="1:13" ht="17.25" customHeight="1">
      <c r="J252" s="198" t="s">
        <v>386</v>
      </c>
      <c r="K252" s="199">
        <f>SUMIF(DSTT,J252,DSTT1)</f>
        <v>2515509394</v>
      </c>
    </row>
    <row r="253" spans="1:13" ht="17.25" customHeight="1">
      <c r="J253" s="198" t="s">
        <v>372</v>
      </c>
      <c r="K253" s="199">
        <f>SUMIF(DSTT,J253,DSTT1)</f>
        <v>28297296023</v>
      </c>
      <c r="L253" s="197">
        <f>'331'!E41</f>
        <v>29308592604</v>
      </c>
      <c r="M253" s="200">
        <f>K253-L253+L254</f>
        <v>-1010968981</v>
      </c>
    </row>
    <row r="254" spans="1:13" ht="17.25" customHeight="1">
      <c r="J254" s="201" t="s">
        <v>390</v>
      </c>
      <c r="K254" s="199">
        <f>SUMIF(DSTT,J254,DSTT1)</f>
        <v>-4539195000</v>
      </c>
      <c r="L254" s="197">
        <f>327600</f>
        <v>327600</v>
      </c>
    </row>
    <row r="255" spans="1:13" ht="17.25" customHeight="1"/>
    <row r="256" spans="1:13" ht="17.25" customHeight="1">
      <c r="K256" s="202"/>
    </row>
  </sheetData>
  <autoFilter ref="A4:M229"/>
  <mergeCells count="253">
    <mergeCell ref="F45:F51"/>
    <mergeCell ref="F54:F55"/>
    <mergeCell ref="F62:F63"/>
    <mergeCell ref="E54:E55"/>
    <mergeCell ref="H139:H146"/>
    <mergeCell ref="H36:H42"/>
    <mergeCell ref="H62:H63"/>
    <mergeCell ref="H45:H51"/>
    <mergeCell ref="E167:E179"/>
    <mergeCell ref="H167:H179"/>
    <mergeCell ref="F167:F179"/>
    <mergeCell ref="F80:F82"/>
    <mergeCell ref="F93:F97"/>
    <mergeCell ref="E160:E164"/>
    <mergeCell ref="H80:H82"/>
    <mergeCell ref="H70:H71"/>
    <mergeCell ref="E104:E116"/>
    <mergeCell ref="F70:F71"/>
    <mergeCell ref="F36:F42"/>
    <mergeCell ref="E74:E77"/>
    <mergeCell ref="F66:F67"/>
    <mergeCell ref="E62:E63"/>
    <mergeCell ref="H160:H164"/>
    <mergeCell ref="H66:H67"/>
    <mergeCell ref="A62:A65"/>
    <mergeCell ref="B62:B65"/>
    <mergeCell ref="C62:C63"/>
    <mergeCell ref="D62:D63"/>
    <mergeCell ref="C68:D68"/>
    <mergeCell ref="C69:D69"/>
    <mergeCell ref="C64:D64"/>
    <mergeCell ref="C65:D65"/>
    <mergeCell ref="E36:E42"/>
    <mergeCell ref="C43:D43"/>
    <mergeCell ref="C44:D44"/>
    <mergeCell ref="E45:E51"/>
    <mergeCell ref="C52:D52"/>
    <mergeCell ref="D45:D51"/>
    <mergeCell ref="C53:D53"/>
    <mergeCell ref="A45:A53"/>
    <mergeCell ref="B45:B53"/>
    <mergeCell ref="C45:C51"/>
    <mergeCell ref="C54:C55"/>
    <mergeCell ref="D54:D55"/>
    <mergeCell ref="A36:A44"/>
    <mergeCell ref="B36:B44"/>
    <mergeCell ref="C36:C42"/>
    <mergeCell ref="D36:D42"/>
    <mergeCell ref="A182:A188"/>
    <mergeCell ref="B182:B188"/>
    <mergeCell ref="C182:C186"/>
    <mergeCell ref="D182:D186"/>
    <mergeCell ref="C159:D159"/>
    <mergeCell ref="E117:E131"/>
    <mergeCell ref="C70:C71"/>
    <mergeCell ref="D70:D71"/>
    <mergeCell ref="E70:E71"/>
    <mergeCell ref="A74:A79"/>
    <mergeCell ref="B74:B79"/>
    <mergeCell ref="C79:D79"/>
    <mergeCell ref="C160:C164"/>
    <mergeCell ref="C99:D99"/>
    <mergeCell ref="D160:D164"/>
    <mergeCell ref="D104:D116"/>
    <mergeCell ref="C117:C131"/>
    <mergeCell ref="D117:D131"/>
    <mergeCell ref="A134:A148"/>
    <mergeCell ref="B134:B148"/>
    <mergeCell ref="C134:C138"/>
    <mergeCell ref="D134:D138"/>
    <mergeCell ref="A149:A159"/>
    <mergeCell ref="B149:B159"/>
    <mergeCell ref="A160:A166"/>
    <mergeCell ref="B160:B166"/>
    <mergeCell ref="C139:C146"/>
    <mergeCell ref="D139:D146"/>
    <mergeCell ref="A1:K1"/>
    <mergeCell ref="A3:A4"/>
    <mergeCell ref="B3:B4"/>
    <mergeCell ref="C3:C4"/>
    <mergeCell ref="D3:D4"/>
    <mergeCell ref="E3:G3"/>
    <mergeCell ref="H3:I3"/>
    <mergeCell ref="J3:J4"/>
    <mergeCell ref="K3:K4"/>
    <mergeCell ref="A5:A17"/>
    <mergeCell ref="B5:B17"/>
    <mergeCell ref="C16:D16"/>
    <mergeCell ref="C17:D17"/>
    <mergeCell ref="E66:E67"/>
    <mergeCell ref="C66:C67"/>
    <mergeCell ref="D66:D67"/>
    <mergeCell ref="A18:A20"/>
    <mergeCell ref="B18:B20"/>
    <mergeCell ref="A66:A73"/>
    <mergeCell ref="B66:B73"/>
    <mergeCell ref="C19:D19"/>
    <mergeCell ref="C20:D20"/>
    <mergeCell ref="A27:A29"/>
    <mergeCell ref="B27:B29"/>
    <mergeCell ref="C28:D28"/>
    <mergeCell ref="C29:D29"/>
    <mergeCell ref="A33:A35"/>
    <mergeCell ref="B33:B35"/>
    <mergeCell ref="C34:D34"/>
    <mergeCell ref="C35:D35"/>
    <mergeCell ref="C23:D23"/>
    <mergeCell ref="A24:A26"/>
    <mergeCell ref="B24:B26"/>
    <mergeCell ref="C25:D25"/>
    <mergeCell ref="C26:D26"/>
    <mergeCell ref="A21:A23"/>
    <mergeCell ref="A30:A32"/>
    <mergeCell ref="B30:B32"/>
    <mergeCell ref="C31:D31"/>
    <mergeCell ref="C32:D32"/>
    <mergeCell ref="B21:B23"/>
    <mergeCell ref="C22:D22"/>
    <mergeCell ref="A104:A133"/>
    <mergeCell ref="B104:B133"/>
    <mergeCell ref="C74:C77"/>
    <mergeCell ref="D74:D77"/>
    <mergeCell ref="F104:F116"/>
    <mergeCell ref="F117:F131"/>
    <mergeCell ref="F74:F77"/>
    <mergeCell ref="C91:D91"/>
    <mergeCell ref="C92:D92"/>
    <mergeCell ref="A93:A99"/>
    <mergeCell ref="B93:B99"/>
    <mergeCell ref="C93:C97"/>
    <mergeCell ref="D93:D97"/>
    <mergeCell ref="A100:A103"/>
    <mergeCell ref="E80:E82"/>
    <mergeCell ref="C83:D83"/>
    <mergeCell ref="C84:D84"/>
    <mergeCell ref="E93:E97"/>
    <mergeCell ref="C85:C90"/>
    <mergeCell ref="D85:D90"/>
    <mergeCell ref="E85:E90"/>
    <mergeCell ref="F85:F90"/>
    <mergeCell ref="E182:E186"/>
    <mergeCell ref="H182:H186"/>
    <mergeCell ref="C187:D187"/>
    <mergeCell ref="C188:D188"/>
    <mergeCell ref="F182:F186"/>
    <mergeCell ref="B189:B194"/>
    <mergeCell ref="C189:C192"/>
    <mergeCell ref="D189:D192"/>
    <mergeCell ref="E189:E192"/>
    <mergeCell ref="H189:H192"/>
    <mergeCell ref="C193:D193"/>
    <mergeCell ref="C194:D194"/>
    <mergeCell ref="F189:F192"/>
    <mergeCell ref="F195:F199"/>
    <mergeCell ref="E195:E199"/>
    <mergeCell ref="H195:H199"/>
    <mergeCell ref="A80:A92"/>
    <mergeCell ref="B80:B92"/>
    <mergeCell ref="C80:C82"/>
    <mergeCell ref="D80:D82"/>
    <mergeCell ref="A195:A207"/>
    <mergeCell ref="B195:B207"/>
    <mergeCell ref="C195:C199"/>
    <mergeCell ref="D195:D199"/>
    <mergeCell ref="C132:D132"/>
    <mergeCell ref="C133:D133"/>
    <mergeCell ref="A167:A181"/>
    <mergeCell ref="B167:B181"/>
    <mergeCell ref="C167:C179"/>
    <mergeCell ref="D167:D179"/>
    <mergeCell ref="C180:D180"/>
    <mergeCell ref="C181:D181"/>
    <mergeCell ref="A189:A194"/>
    <mergeCell ref="C166:D166"/>
    <mergeCell ref="C147:D147"/>
    <mergeCell ref="C148:D148"/>
    <mergeCell ref="C158:D158"/>
    <mergeCell ref="H220:H227"/>
    <mergeCell ref="C228:D228"/>
    <mergeCell ref="C229:D229"/>
    <mergeCell ref="F220:F227"/>
    <mergeCell ref="H200:H205"/>
    <mergeCell ref="A208:A219"/>
    <mergeCell ref="B208:B219"/>
    <mergeCell ref="C208:C217"/>
    <mergeCell ref="D208:D217"/>
    <mergeCell ref="C218:D218"/>
    <mergeCell ref="C219:D219"/>
    <mergeCell ref="F200:F205"/>
    <mergeCell ref="C200:C205"/>
    <mergeCell ref="F208:F217"/>
    <mergeCell ref="C206:D206"/>
    <mergeCell ref="C207:D207"/>
    <mergeCell ref="E200:E205"/>
    <mergeCell ref="D200:D205"/>
    <mergeCell ref="C165:D165"/>
    <mergeCell ref="F160:F164"/>
    <mergeCell ref="E134:E138"/>
    <mergeCell ref="H134:H138"/>
    <mergeCell ref="F149:F157"/>
    <mergeCell ref="H149:H157"/>
    <mergeCell ref="E149:E157"/>
    <mergeCell ref="E139:E146"/>
    <mergeCell ref="F134:F138"/>
    <mergeCell ref="F139:F146"/>
    <mergeCell ref="C149:C157"/>
    <mergeCell ref="D149:D157"/>
    <mergeCell ref="H74:H77"/>
    <mergeCell ref="C78:D78"/>
    <mergeCell ref="H104:H116"/>
    <mergeCell ref="H117:H131"/>
    <mergeCell ref="C73:D73"/>
    <mergeCell ref="C104:C116"/>
    <mergeCell ref="H93:H97"/>
    <mergeCell ref="C98:D98"/>
    <mergeCell ref="C72:D72"/>
    <mergeCell ref="H85:H90"/>
    <mergeCell ref="H230:H238"/>
    <mergeCell ref="C239:D239"/>
    <mergeCell ref="C240:D240"/>
    <mergeCell ref="A241:A247"/>
    <mergeCell ref="B241:B247"/>
    <mergeCell ref="C246:D246"/>
    <mergeCell ref="C247:D247"/>
    <mergeCell ref="H54:H55"/>
    <mergeCell ref="C57:D57"/>
    <mergeCell ref="C58:D58"/>
    <mergeCell ref="A59:A61"/>
    <mergeCell ref="B59:B61"/>
    <mergeCell ref="C60:D60"/>
    <mergeCell ref="C61:D61"/>
    <mergeCell ref="B100:B103"/>
    <mergeCell ref="C100:C101"/>
    <mergeCell ref="D100:D101"/>
    <mergeCell ref="E100:E101"/>
    <mergeCell ref="F100:F101"/>
    <mergeCell ref="H100:H101"/>
    <mergeCell ref="C102:D102"/>
    <mergeCell ref="C103:D103"/>
    <mergeCell ref="A54:A58"/>
    <mergeCell ref="B54:B58"/>
    <mergeCell ref="F230:F238"/>
    <mergeCell ref="A248:D248"/>
    <mergeCell ref="A230:A240"/>
    <mergeCell ref="B230:B240"/>
    <mergeCell ref="C230:C238"/>
    <mergeCell ref="D230:D238"/>
    <mergeCell ref="E230:E238"/>
    <mergeCell ref="A220:A229"/>
    <mergeCell ref="B220:B229"/>
    <mergeCell ref="C220:C227"/>
    <mergeCell ref="D220:D227"/>
    <mergeCell ref="E220:E227"/>
  </mergeCells>
  <pageMargins left="0.16" right="0.12" top="0.27" bottom="0.2" header="0.2" footer="0.17"/>
  <pageSetup paperSize="9" orientation="landscape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45"/>
  <sheetViews>
    <sheetView showZeros="0" topLeftCell="A16" workbookViewId="0">
      <selection activeCell="B34" sqref="B34"/>
    </sheetView>
  </sheetViews>
  <sheetFormatPr defaultColWidth="8" defaultRowHeight="17.25" customHeight="1"/>
  <cols>
    <col min="1" max="1" width="5.5703125" style="12" customWidth="1"/>
    <col min="2" max="2" width="45.7109375" style="12" customWidth="1"/>
    <col min="3" max="4" width="7.28515625" style="12" hidden="1" customWidth="1"/>
    <col min="5" max="5" width="15.28515625" style="12" bestFit="1" customWidth="1"/>
    <col min="6" max="6" width="15.5703125" style="12" customWidth="1"/>
    <col min="7" max="7" width="13.28515625" style="12" customWidth="1"/>
    <col min="8" max="8" width="13.5703125" style="12" customWidth="1"/>
    <col min="9" max="9" width="17.140625" style="20" customWidth="1"/>
    <col min="10" max="10" width="13.140625" style="12" customWidth="1"/>
    <col min="11" max="16384" width="8" style="12"/>
  </cols>
  <sheetData>
    <row r="1" spans="1:10" ht="31.5" customHeight="1">
      <c r="A1" s="521" t="s">
        <v>424</v>
      </c>
      <c r="B1" s="521"/>
      <c r="C1" s="521"/>
      <c r="D1" s="521"/>
      <c r="E1" s="521"/>
    </row>
    <row r="2" spans="1:10" s="13" customFormat="1" ht="17.25" customHeight="1">
      <c r="A2" s="522" t="s">
        <v>79</v>
      </c>
      <c r="B2" s="524" t="s">
        <v>80</v>
      </c>
      <c r="C2" s="518" t="s">
        <v>81</v>
      </c>
      <c r="D2" s="519"/>
      <c r="E2" s="518" t="s">
        <v>82</v>
      </c>
      <c r="F2" s="519"/>
      <c r="G2" s="518" t="s">
        <v>102</v>
      </c>
      <c r="H2" s="519"/>
      <c r="I2" s="520"/>
    </row>
    <row r="3" spans="1:10" s="13" customFormat="1" ht="17.25" customHeight="1">
      <c r="A3" s="523"/>
      <c r="B3" s="525"/>
      <c r="C3" s="203" t="s">
        <v>103</v>
      </c>
      <c r="D3" s="203" t="s">
        <v>104</v>
      </c>
      <c r="E3" s="203" t="s">
        <v>103</v>
      </c>
      <c r="F3" s="203" t="s">
        <v>104</v>
      </c>
      <c r="G3" s="203" t="s">
        <v>103</v>
      </c>
      <c r="H3" s="203" t="s">
        <v>104</v>
      </c>
      <c r="I3" s="520"/>
    </row>
    <row r="4" spans="1:10" s="13" customFormat="1" ht="17.25" customHeight="1">
      <c r="A4" s="6">
        <f>ROW()-3</f>
        <v>1</v>
      </c>
      <c r="B4" s="7" t="s">
        <v>83</v>
      </c>
      <c r="C4" s="8"/>
      <c r="D4" s="8"/>
      <c r="E4" s="8">
        <f t="array" ref="E4">SUM(IF("331"&amp;B4=KHN&amp;KH,TH))</f>
        <v>233808666</v>
      </c>
      <c r="F4" s="8">
        <f t="array" ref="F4">SUM(IF("331"&amp;B4=KHC&amp;KH,TH))</f>
        <v>199400666</v>
      </c>
      <c r="G4" s="213">
        <f>ROUND(MAX(C4+E4-D4-F4,0),2)</f>
        <v>34408000</v>
      </c>
      <c r="H4" s="213">
        <f>ROUND(MAX(D4+F4-C4-E4,0),2)</f>
        <v>0</v>
      </c>
      <c r="I4" s="21"/>
    </row>
    <row r="5" spans="1:10" s="13" customFormat="1" ht="17.25" customHeight="1">
      <c r="A5" s="6">
        <f t="shared" ref="A5:A39" si="0">ROW()-3</f>
        <v>2</v>
      </c>
      <c r="B5" s="7" t="s">
        <v>86</v>
      </c>
      <c r="C5" s="8"/>
      <c r="D5" s="8"/>
      <c r="E5" s="8">
        <f t="array" ref="E5">SUM(IF("331"&amp;B5=KHN&amp;KH,TH))</f>
        <v>188900000</v>
      </c>
      <c r="F5" s="8">
        <f t="array" ref="F5">SUM(IF("331"&amp;B5=KHC&amp;KH,TH))</f>
        <v>488500000</v>
      </c>
      <c r="G5" s="213">
        <f>ROUND(MAX(C5+E5-D5-F5,0),2)</f>
        <v>0</v>
      </c>
      <c r="H5" s="213">
        <f>ROUND(MAX(D5+F5-C5-E5,0),2)</f>
        <v>299600000</v>
      </c>
      <c r="I5" s="21"/>
      <c r="J5" s="307"/>
    </row>
    <row r="6" spans="1:10" s="14" customFormat="1" ht="17.25" customHeight="1">
      <c r="A6" s="6">
        <f t="shared" si="0"/>
        <v>3</v>
      </c>
      <c r="B6" s="9" t="s">
        <v>108</v>
      </c>
      <c r="C6" s="10"/>
      <c r="D6" s="10"/>
      <c r="E6" s="8">
        <f t="array" ref="E6">SUM(IF("331"&amp;B6=KHN&amp;KH,TH))</f>
        <v>80000000</v>
      </c>
      <c r="F6" s="8">
        <f t="array" ref="F6">SUM(IF("331"&amp;B6=KHC&amp;KH,TH))</f>
        <v>80000000</v>
      </c>
      <c r="G6" s="213">
        <f t="shared" ref="G6" si="1">ROUND(MAX(C6+E6-D6-F6,0),2)</f>
        <v>0</v>
      </c>
      <c r="H6" s="213">
        <f t="shared" ref="H6" si="2">ROUND(MAX(D6+F6-C6-E6,0),2)</f>
        <v>0</v>
      </c>
      <c r="I6" s="21"/>
      <c r="J6" s="307"/>
    </row>
    <row r="7" spans="1:10" s="14" customFormat="1" ht="17.25" customHeight="1">
      <c r="A7" s="6">
        <f t="shared" si="0"/>
        <v>4</v>
      </c>
      <c r="B7" s="9" t="s">
        <v>132</v>
      </c>
      <c r="C7" s="10"/>
      <c r="D7" s="10"/>
      <c r="E7" s="8">
        <f t="array" ref="E7">SUM(IF("331"&amp;B7=KHN&amp;KH,TH))</f>
        <v>30800005</v>
      </c>
      <c r="F7" s="8">
        <f t="array" ref="F7">SUM(IF("331"&amp;B7=KHC&amp;KH,TH))</f>
        <v>30800005</v>
      </c>
      <c r="G7" s="213">
        <f t="shared" ref="G7:G30" si="3">ROUND(MAX(C7+E7-D7-F7,0),2)</f>
        <v>0</v>
      </c>
      <c r="H7" s="213">
        <f t="shared" ref="H7:H30" si="4">ROUND(MAX(D7+F7-C7-E7,0),2)</f>
        <v>0</v>
      </c>
      <c r="I7" s="21"/>
      <c r="J7" s="307"/>
    </row>
    <row r="8" spans="1:10" s="14" customFormat="1" ht="17.25" customHeight="1">
      <c r="A8" s="6">
        <f t="shared" si="0"/>
        <v>5</v>
      </c>
      <c r="B8" s="9" t="s">
        <v>129</v>
      </c>
      <c r="C8" s="10"/>
      <c r="D8" s="10"/>
      <c r="E8" s="8">
        <f t="array" ref="E8">SUM(IF("331"&amp;B8=KHN&amp;KH,TH))</f>
        <v>16327199</v>
      </c>
      <c r="F8" s="8">
        <f t="array" ref="F8">SUM(IF("331"&amp;B8=KHC&amp;KH,TH))</f>
        <v>16327199</v>
      </c>
      <c r="G8" s="213">
        <f t="shared" si="3"/>
        <v>0</v>
      </c>
      <c r="H8" s="213">
        <f t="shared" si="4"/>
        <v>0</v>
      </c>
      <c r="I8" s="21"/>
      <c r="J8" s="307"/>
    </row>
    <row r="9" spans="1:10" s="14" customFormat="1" ht="17.25" customHeight="1">
      <c r="A9" s="6">
        <f t="shared" si="0"/>
        <v>6</v>
      </c>
      <c r="B9" s="9" t="s">
        <v>89</v>
      </c>
      <c r="C9" s="10"/>
      <c r="D9" s="10"/>
      <c r="E9" s="8">
        <f t="array" ref="E9">SUM(IF("331"&amp;B9=KHN&amp;KH,TH))</f>
        <v>1587337400</v>
      </c>
      <c r="F9" s="8">
        <f t="array" ref="F9">SUM(IF("331"&amp;B9=KHC&amp;KH,TH))</f>
        <v>1587337400</v>
      </c>
      <c r="G9" s="213">
        <f t="shared" si="3"/>
        <v>0</v>
      </c>
      <c r="H9" s="213">
        <f t="shared" si="4"/>
        <v>0</v>
      </c>
      <c r="I9" s="21"/>
      <c r="J9" s="307"/>
    </row>
    <row r="10" spans="1:10" s="14" customFormat="1" ht="17.25" customHeight="1">
      <c r="A10" s="6">
        <f t="shared" si="0"/>
        <v>7</v>
      </c>
      <c r="B10" s="9" t="s">
        <v>91</v>
      </c>
      <c r="C10" s="10"/>
      <c r="D10" s="10"/>
      <c r="E10" s="8">
        <f t="array" ref="E10">SUM(IF("331"&amp;B10=KHN&amp;KH,TH))</f>
        <v>289000000</v>
      </c>
      <c r="F10" s="8">
        <f t="array" ref="F10">SUM(IF("331"&amp;B10=KHC&amp;KH,TH))</f>
        <v>289000000</v>
      </c>
      <c r="G10" s="213">
        <f t="shared" si="3"/>
        <v>0</v>
      </c>
      <c r="H10" s="213">
        <f t="shared" si="4"/>
        <v>0</v>
      </c>
      <c r="I10" s="21"/>
      <c r="J10" s="307"/>
    </row>
    <row r="11" spans="1:10" s="14" customFormat="1" ht="17.25" customHeight="1">
      <c r="A11" s="6">
        <f t="shared" si="0"/>
        <v>8</v>
      </c>
      <c r="B11" s="9" t="s">
        <v>284</v>
      </c>
      <c r="C11" s="10"/>
      <c r="D11" s="10"/>
      <c r="E11" s="8">
        <f t="array" ref="E11">SUM(IF("331"&amp;B11=KHN&amp;KH,TH))</f>
        <v>30440000</v>
      </c>
      <c r="F11" s="8">
        <f t="array" ref="F11">SUM(IF("331"&amp;B11=KHC&amp;KH,TH))</f>
        <v>30440000</v>
      </c>
      <c r="G11" s="213">
        <f>ROUND(MAX(C11+E11-D11-F11,0),2)</f>
        <v>0</v>
      </c>
      <c r="H11" s="213">
        <f>ROUND(MAX(D11+F11-C11-E11,0),2)</f>
        <v>0</v>
      </c>
      <c r="I11" s="21"/>
      <c r="J11" s="307"/>
    </row>
    <row r="12" spans="1:10" s="14" customFormat="1" ht="17.25" customHeight="1">
      <c r="A12" s="6">
        <f t="shared" si="0"/>
        <v>9</v>
      </c>
      <c r="B12" s="9" t="s">
        <v>304</v>
      </c>
      <c r="C12" s="10"/>
      <c r="D12" s="10"/>
      <c r="E12" s="8">
        <f t="array" ref="E12">SUM(IF("331"&amp;B12=KHN&amp;KH,TH))</f>
        <v>150454066</v>
      </c>
      <c r="F12" s="8">
        <f t="array" ref="F12">SUM(IF("331"&amp;B12=KHC&amp;KH,TH))</f>
        <v>150454066</v>
      </c>
      <c r="G12" s="213">
        <f>ROUND(MAX(C12+E12-D12-F12,0),2)</f>
        <v>0</v>
      </c>
      <c r="H12" s="213">
        <f>ROUND(MAX(D12+F12-C12-E12,0),2)</f>
        <v>0</v>
      </c>
      <c r="I12" s="21"/>
      <c r="J12" s="307"/>
    </row>
    <row r="13" spans="1:10" s="14" customFormat="1" ht="17.25" customHeight="1">
      <c r="A13" s="6">
        <f t="shared" si="0"/>
        <v>10</v>
      </c>
      <c r="B13" s="9" t="s">
        <v>311</v>
      </c>
      <c r="C13" s="10"/>
      <c r="D13" s="10"/>
      <c r="E13" s="8">
        <f t="array" ref="E13">SUM(IF("331"&amp;B13=KHN&amp;KH,TH))</f>
        <v>21610454</v>
      </c>
      <c r="F13" s="8">
        <f t="array" ref="F13">SUM(IF("331"&amp;B13=KHC&amp;KH,TH))</f>
        <v>21610454</v>
      </c>
      <c r="G13" s="213">
        <f>ROUND(MAX(C13+E13-D13-F13,0),2)</f>
        <v>0</v>
      </c>
      <c r="H13" s="213">
        <f>ROUND(MAX(D13+F13-C13-E13,0),2)</f>
        <v>0</v>
      </c>
      <c r="I13" s="21"/>
      <c r="J13" s="307"/>
    </row>
    <row r="14" spans="1:10" s="14" customFormat="1" ht="17.25" customHeight="1">
      <c r="A14" s="6">
        <f t="shared" si="0"/>
        <v>11</v>
      </c>
      <c r="B14" s="9" t="s">
        <v>356</v>
      </c>
      <c r="C14" s="10"/>
      <c r="D14" s="10"/>
      <c r="E14" s="8">
        <f t="array" ref="E14">SUM(IF("331"&amp;B14=KHN&amp;KH,TH))</f>
        <v>53060000</v>
      </c>
      <c r="F14" s="8">
        <f t="array" ref="F14">SUM(IF("331"&amp;B14=KHC&amp;KH,TH))</f>
        <v>53060000</v>
      </c>
      <c r="G14" s="213">
        <f t="shared" ref="G14" si="5">ROUND(MAX(C14+E14-D14-F14,0),2)</f>
        <v>0</v>
      </c>
      <c r="H14" s="213">
        <f t="shared" ref="H14" si="6">ROUND(MAX(D14+F14-C14-E14,0),2)</f>
        <v>0</v>
      </c>
      <c r="I14" s="21"/>
      <c r="J14" s="307"/>
    </row>
    <row r="15" spans="1:10" s="14" customFormat="1" ht="17.25" customHeight="1">
      <c r="A15" s="6">
        <f t="shared" si="0"/>
        <v>12</v>
      </c>
      <c r="B15" s="125" t="s">
        <v>440</v>
      </c>
      <c r="C15" s="10"/>
      <c r="D15" s="10"/>
      <c r="E15" s="8">
        <f t="array" ref="E15">SUM(IF("331"&amp;B15=KHN&amp;KH,TH))</f>
        <v>33000000</v>
      </c>
      <c r="F15" s="8">
        <f t="array" ref="F15">SUM(IF("331"&amp;B15=KHC&amp;KH,TH))</f>
        <v>33000000</v>
      </c>
      <c r="G15" s="213">
        <f>ROUND(MAX(C15+E15-D15-F15,0),2)</f>
        <v>0</v>
      </c>
      <c r="H15" s="213">
        <f>ROUND(MAX(D15+F15-C15-E15,0),2)</f>
        <v>0</v>
      </c>
      <c r="I15" s="21"/>
      <c r="J15" s="307"/>
    </row>
    <row r="16" spans="1:10" s="14" customFormat="1" ht="17.25" customHeight="1">
      <c r="A16" s="6">
        <f t="shared" si="0"/>
        <v>13</v>
      </c>
      <c r="B16" s="9" t="s">
        <v>85</v>
      </c>
      <c r="C16" s="10"/>
      <c r="D16" s="10"/>
      <c r="E16" s="8">
        <f t="array" ref="E16">SUM(IF("331"&amp;B16=KHN&amp;KH,TH))</f>
        <v>9350000000</v>
      </c>
      <c r="F16" s="8">
        <f t="array" ref="F16">SUM(IF("331"&amp;B16=KHC&amp;KH,TH))</f>
        <v>8500000000</v>
      </c>
      <c r="G16" s="213">
        <f t="shared" si="3"/>
        <v>850000000</v>
      </c>
      <c r="H16" s="213">
        <f t="shared" si="4"/>
        <v>0</v>
      </c>
      <c r="I16" s="21"/>
      <c r="J16" s="307"/>
    </row>
    <row r="17" spans="1:10" s="14" customFormat="1" ht="17.25" customHeight="1">
      <c r="A17" s="6">
        <f t="shared" si="0"/>
        <v>14</v>
      </c>
      <c r="B17" s="9" t="s">
        <v>111</v>
      </c>
      <c r="C17" s="10"/>
      <c r="D17" s="10"/>
      <c r="E17" s="8">
        <f t="array" ref="E17">SUM(IF("331"&amp;B17=KHN&amp;KH,TH))</f>
        <v>3010100000</v>
      </c>
      <c r="F17" s="8">
        <f t="array" ref="F17">SUM(IF("331"&amp;B17=KHC&amp;KH,TH))</f>
        <v>3010100000</v>
      </c>
      <c r="G17" s="213">
        <f>ROUND(MAX(C17+E17-D17-F17,0),2)</f>
        <v>0</v>
      </c>
      <c r="H17" s="213">
        <f>ROUND(MAX(D17+F17-C17-E17,0),2)</f>
        <v>0</v>
      </c>
      <c r="I17" s="21"/>
      <c r="J17" s="307"/>
    </row>
    <row r="18" spans="1:10" s="14" customFormat="1" ht="17.25" customHeight="1">
      <c r="A18" s="6">
        <f t="shared" si="0"/>
        <v>15</v>
      </c>
      <c r="B18" s="9" t="s">
        <v>299</v>
      </c>
      <c r="C18" s="10"/>
      <c r="D18" s="10"/>
      <c r="E18" s="8">
        <f t="array" ref="E18">SUM(IF("331"&amp;B18=KHN&amp;KH,TH))</f>
        <v>963508720</v>
      </c>
      <c r="F18" s="8">
        <f t="array" ref="F18">SUM(IF("331"&amp;B18=KHC&amp;KH,TH))</f>
        <v>963508720</v>
      </c>
      <c r="G18" s="213">
        <f>ROUND(MAX(C18+E18-D18-F18,0),2)</f>
        <v>0</v>
      </c>
      <c r="H18" s="213">
        <f>ROUND(MAX(D18+F18-C18-E18,0),2)</f>
        <v>0</v>
      </c>
      <c r="I18" s="21"/>
      <c r="J18" s="307"/>
    </row>
    <row r="19" spans="1:10" s="14" customFormat="1" ht="17.25" customHeight="1">
      <c r="A19" s="6">
        <f t="shared" si="0"/>
        <v>16</v>
      </c>
      <c r="B19" s="9" t="s">
        <v>190</v>
      </c>
      <c r="C19" s="10"/>
      <c r="D19" s="10"/>
      <c r="E19" s="8">
        <f t="array" ref="E19">SUM(IF("331"&amp;B19=KHN&amp;KH,TH))</f>
        <v>1211110079</v>
      </c>
      <c r="F19" s="8">
        <f t="array" ref="F19">SUM(IF("331"&amp;B19=KHC&amp;KH,TH))</f>
        <v>1211110079</v>
      </c>
      <c r="G19" s="213">
        <f>ROUND(MAX(C19+E19-D19-F19,0),2)</f>
        <v>0</v>
      </c>
      <c r="H19" s="213">
        <f>ROUND(MAX(D19+F19-C19-E19,0),2)</f>
        <v>0</v>
      </c>
      <c r="I19" s="21"/>
      <c r="J19" s="307"/>
    </row>
    <row r="20" spans="1:10" s="14" customFormat="1" ht="17.25" customHeight="1">
      <c r="A20" s="6">
        <f t="shared" si="0"/>
        <v>17</v>
      </c>
      <c r="B20" s="125" t="s">
        <v>480</v>
      </c>
      <c r="C20" s="10"/>
      <c r="D20" s="10"/>
      <c r="E20" s="8">
        <f t="array" ref="E20">SUM(IF("331"&amp;B20=KHN&amp;KH,TH))</f>
        <v>400000000</v>
      </c>
      <c r="F20" s="8">
        <f t="array" ref="F20">SUM(IF("331"&amp;B20=KHC&amp;KH,TH))</f>
        <v>599632000</v>
      </c>
      <c r="G20" s="213">
        <f t="shared" ref="G20" si="7">ROUND(MAX(C20+E20-D20-F20,0),2)</f>
        <v>0</v>
      </c>
      <c r="H20" s="213">
        <f t="shared" ref="H20" si="8">ROUND(MAX(D20+F20-C20-E20,0),2)</f>
        <v>199632000</v>
      </c>
      <c r="I20" s="21"/>
      <c r="J20" s="307"/>
    </row>
    <row r="21" spans="1:10" s="14" customFormat="1" ht="17.25" customHeight="1">
      <c r="A21" s="6">
        <f t="shared" si="0"/>
        <v>18</v>
      </c>
      <c r="B21" s="9" t="s">
        <v>172</v>
      </c>
      <c r="C21" s="10"/>
      <c r="D21" s="10"/>
      <c r="E21" s="8">
        <f t="array" ref="E21">SUM(IF("331"&amp;B21=KHN&amp;KH,TH))</f>
        <v>1250000000</v>
      </c>
      <c r="F21" s="8">
        <f t="array" ref="F21">SUM(IF("331"&amp;B21=KHC&amp;KH,TH))</f>
        <v>890000000</v>
      </c>
      <c r="G21" s="213">
        <f>ROUND(MAX(C21+E21-D21-F21,0),2)</f>
        <v>360000000</v>
      </c>
      <c r="H21" s="213">
        <f>ROUND(MAX(D21+F21-C21-E21,0),2)</f>
        <v>0</v>
      </c>
      <c r="I21" s="21"/>
      <c r="J21" s="307"/>
    </row>
    <row r="22" spans="1:10" s="14" customFormat="1" ht="17.25" customHeight="1">
      <c r="A22" s="6">
        <f t="shared" si="0"/>
        <v>19</v>
      </c>
      <c r="B22" s="9" t="s">
        <v>90</v>
      </c>
      <c r="C22" s="10"/>
      <c r="D22" s="10"/>
      <c r="E22" s="8">
        <f t="array" ref="E22">SUM(IF("331"&amp;B22=KHN&amp;KH,TH))</f>
        <v>60000000</v>
      </c>
      <c r="F22" s="8">
        <f t="array" ref="F22">SUM(IF("331"&amp;B22=KHC&amp;KH,TH))</f>
        <v>0</v>
      </c>
      <c r="G22" s="213">
        <f t="shared" si="3"/>
        <v>60000000</v>
      </c>
      <c r="H22" s="213">
        <f t="shared" si="4"/>
        <v>0</v>
      </c>
      <c r="I22" s="21"/>
      <c r="J22" s="307"/>
    </row>
    <row r="23" spans="1:10" s="14" customFormat="1" ht="17.25" customHeight="1">
      <c r="A23" s="6">
        <f t="shared" si="0"/>
        <v>20</v>
      </c>
      <c r="B23" s="9" t="s">
        <v>109</v>
      </c>
      <c r="C23" s="10"/>
      <c r="D23" s="10"/>
      <c r="E23" s="8">
        <f t="array" ref="E23">SUM(IF("331"&amp;B23=KHN&amp;KH,TH))</f>
        <v>200000000</v>
      </c>
      <c r="F23" s="8">
        <f t="array" ref="F23">SUM(IF("331"&amp;B23=KHC&amp;KH,TH))</f>
        <v>200000000</v>
      </c>
      <c r="G23" s="213">
        <f t="shared" si="3"/>
        <v>0</v>
      </c>
      <c r="H23" s="213">
        <f t="shared" si="4"/>
        <v>0</v>
      </c>
      <c r="I23" s="21"/>
      <c r="J23" s="307"/>
    </row>
    <row r="24" spans="1:10" s="14" customFormat="1" ht="17.25" customHeight="1">
      <c r="A24" s="6">
        <f t="shared" si="0"/>
        <v>21</v>
      </c>
      <c r="B24" s="9" t="s">
        <v>138</v>
      </c>
      <c r="C24" s="10"/>
      <c r="D24" s="10"/>
      <c r="E24" s="8">
        <f t="array" ref="E24">SUM(IF("331"&amp;B24=KHN&amp;KH,TH))</f>
        <v>3200000000</v>
      </c>
      <c r="F24" s="8">
        <f t="array" ref="F24">SUM(IF("331"&amp;B24=KHC&amp;KH,TH))</f>
        <v>2200000000</v>
      </c>
      <c r="G24" s="213">
        <f t="shared" si="3"/>
        <v>1000000000</v>
      </c>
      <c r="H24" s="213">
        <f t="shared" si="4"/>
        <v>0</v>
      </c>
      <c r="I24" s="21"/>
      <c r="J24" s="307"/>
    </row>
    <row r="25" spans="1:10" s="14" customFormat="1" ht="17.25" customHeight="1">
      <c r="A25" s="6">
        <f t="shared" si="0"/>
        <v>22</v>
      </c>
      <c r="B25" s="9" t="s">
        <v>150</v>
      </c>
      <c r="C25" s="10"/>
      <c r="D25" s="10"/>
      <c r="E25" s="8">
        <f t="array" ref="E25">SUM(IF("331"&amp;B25=KHN&amp;KH,TH))</f>
        <v>860000000</v>
      </c>
      <c r="F25" s="8">
        <f t="array" ref="F25">SUM(IF("331"&amp;B25=KHC&amp;KH,TH))</f>
        <v>1893507770</v>
      </c>
      <c r="G25" s="213">
        <f t="shared" si="3"/>
        <v>0</v>
      </c>
      <c r="H25" s="213">
        <f t="shared" si="4"/>
        <v>1033507770</v>
      </c>
      <c r="I25" s="21"/>
      <c r="J25" s="307"/>
    </row>
    <row r="26" spans="1:10" s="14" customFormat="1" ht="17.25" customHeight="1">
      <c r="A26" s="6">
        <f t="shared" si="0"/>
        <v>23</v>
      </c>
      <c r="B26" s="9" t="s">
        <v>151</v>
      </c>
      <c r="C26" s="10"/>
      <c r="D26" s="10"/>
      <c r="E26" s="8">
        <f t="array" ref="E26">SUM(IF("331"&amp;B26=KHN&amp;KH,TH))</f>
        <v>700150000</v>
      </c>
      <c r="F26" s="8">
        <f t="array" ref="F26">SUM(IF("331"&amp;B26=KHC&amp;KH,TH))</f>
        <v>700150000</v>
      </c>
      <c r="G26" s="213">
        <f t="shared" si="3"/>
        <v>0</v>
      </c>
      <c r="H26" s="213">
        <f t="shared" si="4"/>
        <v>0</v>
      </c>
      <c r="I26" s="21"/>
      <c r="J26" s="307"/>
    </row>
    <row r="27" spans="1:10" s="14" customFormat="1" ht="17.25" customHeight="1">
      <c r="A27" s="6">
        <f t="shared" si="0"/>
        <v>24</v>
      </c>
      <c r="B27" s="9" t="s">
        <v>152</v>
      </c>
      <c r="C27" s="10"/>
      <c r="D27" s="10"/>
      <c r="E27" s="8">
        <f t="array" ref="E27">SUM(IF("331"&amp;B27=KHN&amp;KH,TH))</f>
        <v>300000000</v>
      </c>
      <c r="F27" s="8">
        <f t="array" ref="F27">SUM(IF("331"&amp;B27=KHC&amp;KH,TH))</f>
        <v>394100000</v>
      </c>
      <c r="G27" s="213">
        <f t="shared" si="3"/>
        <v>0</v>
      </c>
      <c r="H27" s="213">
        <f t="shared" si="4"/>
        <v>94100000</v>
      </c>
      <c r="I27" s="21"/>
      <c r="J27" s="307"/>
    </row>
    <row r="28" spans="1:10" s="14" customFormat="1" ht="17.25" customHeight="1">
      <c r="A28" s="6">
        <f t="shared" si="0"/>
        <v>25</v>
      </c>
      <c r="B28" s="9" t="s">
        <v>268</v>
      </c>
      <c r="C28" s="10"/>
      <c r="D28" s="10"/>
      <c r="E28" s="8">
        <f t="array" ref="E28">SUM(IF("331"&amp;B28=KHN&amp;KH,TH))</f>
        <v>1600000000</v>
      </c>
      <c r="F28" s="8">
        <f t="array" ref="F28">SUM(IF("331"&amp;B28=KHC&amp;KH,TH))</f>
        <v>0</v>
      </c>
      <c r="G28" s="213">
        <f t="shared" si="3"/>
        <v>1600000000</v>
      </c>
      <c r="H28" s="213">
        <f t="shared" si="4"/>
        <v>0</v>
      </c>
      <c r="I28" s="21"/>
      <c r="J28" s="307"/>
    </row>
    <row r="29" spans="1:10" s="14" customFormat="1" ht="17.25" customHeight="1">
      <c r="A29" s="6">
        <f t="shared" si="0"/>
        <v>26</v>
      </c>
      <c r="B29" s="9" t="s">
        <v>301</v>
      </c>
      <c r="C29" s="10"/>
      <c r="D29" s="10"/>
      <c r="E29" s="8">
        <f t="array" ref="E29">SUM(IF("331"&amp;B29=KHN&amp;KH,TH))</f>
        <v>570000000</v>
      </c>
      <c r="F29" s="8">
        <f t="array" ref="F29">SUM(IF("331"&amp;B29=KHC&amp;KH,TH))</f>
        <v>570000000</v>
      </c>
      <c r="G29" s="213">
        <f t="shared" si="3"/>
        <v>0</v>
      </c>
      <c r="H29" s="213">
        <f t="shared" si="4"/>
        <v>0</v>
      </c>
      <c r="I29" s="21"/>
      <c r="J29" s="307"/>
    </row>
    <row r="30" spans="1:10" s="14" customFormat="1" ht="17.25" customHeight="1">
      <c r="A30" s="6">
        <f t="shared" si="0"/>
        <v>27</v>
      </c>
      <c r="B30" s="9" t="s">
        <v>305</v>
      </c>
      <c r="C30" s="10"/>
      <c r="D30" s="10"/>
      <c r="E30" s="8">
        <f t="array" ref="E30">SUM(IF("331"&amp;B30=KHN&amp;KH,TH))</f>
        <v>2050000000</v>
      </c>
      <c r="F30" s="8">
        <f t="array" ref="F30">SUM(IF("331"&amp;B30=KHC&amp;KH,TH))</f>
        <v>0</v>
      </c>
      <c r="G30" s="213">
        <f t="shared" si="3"/>
        <v>2050000000</v>
      </c>
      <c r="H30" s="213">
        <f t="shared" si="4"/>
        <v>0</v>
      </c>
      <c r="I30" s="21"/>
      <c r="J30" s="307"/>
    </row>
    <row r="31" spans="1:10" s="14" customFormat="1" ht="17.25" customHeight="1">
      <c r="A31" s="6">
        <f t="shared" si="0"/>
        <v>28</v>
      </c>
      <c r="B31" s="9" t="s">
        <v>406</v>
      </c>
      <c r="C31" s="10"/>
      <c r="D31" s="10"/>
      <c r="E31" s="8">
        <f t="array" ref="E31">SUM(IF("331"&amp;B31=KHN&amp;KH,TH))</f>
        <v>360000000</v>
      </c>
      <c r="F31" s="8">
        <f t="array" ref="F31">SUM(IF("331"&amp;B31=KHC&amp;KH,TH))</f>
        <v>0</v>
      </c>
      <c r="G31" s="213">
        <f t="shared" ref="G31" si="9">ROUND(MAX(C31+E31-D31-F31,0),2)</f>
        <v>360000000</v>
      </c>
      <c r="H31" s="213">
        <f t="shared" ref="H31" si="10">ROUND(MAX(D31+F31-C31-E31,0),2)</f>
        <v>0</v>
      </c>
      <c r="I31" s="21"/>
      <c r="J31" s="307"/>
    </row>
    <row r="32" spans="1:10" s="14" customFormat="1" ht="17.25" customHeight="1">
      <c r="A32" s="6">
        <f t="shared" si="0"/>
        <v>29</v>
      </c>
      <c r="B32" s="9" t="s">
        <v>601</v>
      </c>
      <c r="C32" s="10"/>
      <c r="D32" s="10"/>
      <c r="E32" s="8">
        <f t="array" ref="E32">SUM(IF("331"&amp;B32=KHN&amp;KH,TH))</f>
        <v>75000000</v>
      </c>
      <c r="F32" s="8">
        <f t="array" ref="F32">SUM(IF("331"&amp;B32=KHC&amp;KH,TH))</f>
        <v>75000000</v>
      </c>
      <c r="G32" s="213">
        <f t="shared" ref="G32" si="11">ROUND(MAX(C32+E32-D32-F32,0),2)</f>
        <v>0</v>
      </c>
      <c r="H32" s="213">
        <f t="shared" ref="H32" si="12">ROUND(MAX(D32+F32-C32-E32,0),2)</f>
        <v>0</v>
      </c>
      <c r="I32" s="21"/>
      <c r="J32" s="307"/>
    </row>
    <row r="33" spans="1:10" s="14" customFormat="1" ht="17.25" customHeight="1">
      <c r="A33" s="6">
        <f t="shared" si="0"/>
        <v>30</v>
      </c>
      <c r="B33" s="9" t="s">
        <v>631</v>
      </c>
      <c r="C33" s="10"/>
      <c r="D33" s="10"/>
      <c r="E33" s="8">
        <f t="array" ref="E33">SUM(IF("331"&amp;B33=KHN&amp;KH,TH))</f>
        <v>20382000</v>
      </c>
      <c r="F33" s="8">
        <f t="array" ref="F33">SUM(IF("331"&amp;B33=KHC&amp;KH,TH))</f>
        <v>20382000</v>
      </c>
      <c r="G33" s="213">
        <f t="shared" ref="G33" si="13">ROUND(MAX(C33+E33-D33-F33,0),2)</f>
        <v>0</v>
      </c>
      <c r="H33" s="213">
        <f t="shared" ref="H33" si="14">ROUND(MAX(D33+F33-C33-E33,0),2)</f>
        <v>0</v>
      </c>
      <c r="I33" s="21"/>
      <c r="J33" s="307"/>
    </row>
    <row r="34" spans="1:10" s="15" customFormat="1" ht="17.25" customHeight="1">
      <c r="A34" s="6">
        <f t="shared" si="0"/>
        <v>31</v>
      </c>
      <c r="B34" s="122" t="s">
        <v>648</v>
      </c>
      <c r="C34" s="10"/>
      <c r="D34" s="10"/>
      <c r="E34" s="8">
        <f t="array" ref="E34">SUM(IF("331"&amp;B34=KHN&amp;KH,TH))</f>
        <v>346827539</v>
      </c>
      <c r="F34" s="8">
        <f t="array" ref="F34">SUM(IF("331"&amp;B34=KHC&amp;KH,TH))</f>
        <v>274004459</v>
      </c>
      <c r="G34" s="213">
        <f t="shared" ref="G34" si="15">ROUND(MAX(C34+E34-D34-F34,0),2)</f>
        <v>72823080</v>
      </c>
      <c r="H34" s="213">
        <f t="shared" ref="H34" si="16">ROUND(MAX(D34+F34-C34-E34,0),2)</f>
        <v>0</v>
      </c>
      <c r="I34" s="21"/>
      <c r="J34" s="307"/>
    </row>
    <row r="35" spans="1:10" s="15" customFormat="1" ht="17.25" customHeight="1">
      <c r="A35" s="6">
        <f t="shared" si="0"/>
        <v>32</v>
      </c>
      <c r="B35" s="122" t="s">
        <v>741</v>
      </c>
      <c r="C35" s="10"/>
      <c r="D35" s="10"/>
      <c r="E35" s="8">
        <f t="array" ref="E35">SUM(IF("331"&amp;B35=KHN&amp;KH,TH))</f>
        <v>21739872</v>
      </c>
      <c r="F35" s="8">
        <f t="array" ref="F35">SUM(IF("331"&amp;B35=KHC&amp;KH,TH))</f>
        <v>21739872</v>
      </c>
      <c r="G35" s="213">
        <f t="shared" ref="G35:G36" si="17">ROUND(MAX(C35+E35-D35-F35,0),2)</f>
        <v>0</v>
      </c>
      <c r="H35" s="213">
        <f t="shared" ref="H35:H36" si="18">ROUND(MAX(D35+F35-C35-E35,0),2)</f>
        <v>0</v>
      </c>
      <c r="I35" s="21"/>
      <c r="J35" s="307"/>
    </row>
    <row r="36" spans="1:10" s="15" customFormat="1" ht="17.25" customHeight="1">
      <c r="A36" s="6">
        <f t="shared" si="0"/>
        <v>33</v>
      </c>
      <c r="B36" s="122" t="s">
        <v>790</v>
      </c>
      <c r="C36" s="10"/>
      <c r="D36" s="10"/>
      <c r="E36" s="8">
        <f t="array" ref="E36">SUM(IF("331"&amp;B36=KHN&amp;KH,TH))</f>
        <v>16743100</v>
      </c>
      <c r="F36" s="8">
        <f t="array" ref="F36">SUM(IF("331"&amp;B36=KHC&amp;KH,TH))</f>
        <v>16743100</v>
      </c>
      <c r="G36" s="213">
        <f t="shared" si="17"/>
        <v>0</v>
      </c>
      <c r="H36" s="213">
        <f t="shared" si="18"/>
        <v>0</v>
      </c>
      <c r="I36" s="21"/>
      <c r="J36" s="307"/>
    </row>
    <row r="37" spans="1:10" s="15" customFormat="1" ht="17.25" customHeight="1">
      <c r="A37" s="6">
        <f t="shared" si="0"/>
        <v>34</v>
      </c>
      <c r="B37" s="122" t="s">
        <v>1069</v>
      </c>
      <c r="C37" s="10"/>
      <c r="D37" s="10"/>
      <c r="E37" s="8">
        <f t="array" ref="E37">SUM(IF("331"&amp;B37=KHN&amp;KH,TH))</f>
        <v>28293504</v>
      </c>
      <c r="F37" s="8">
        <f t="array" ref="F37">SUM(IF("331"&amp;B37=KHC&amp;KH,TH))</f>
        <v>28293504</v>
      </c>
      <c r="G37" s="213">
        <f t="shared" ref="G37:G39" si="19">ROUND(MAX(C37+E37-D37-F37,0),2)</f>
        <v>0</v>
      </c>
      <c r="H37" s="213">
        <f t="shared" ref="H37:H39" si="20">ROUND(MAX(D37+F37-C37-E37,0),2)</f>
        <v>0</v>
      </c>
      <c r="I37" s="21"/>
      <c r="J37" s="307"/>
    </row>
    <row r="38" spans="1:10" s="15" customFormat="1" ht="17.25" customHeight="1">
      <c r="A38" s="6">
        <f t="shared" si="0"/>
        <v>35</v>
      </c>
      <c r="B38" s="122"/>
      <c r="C38" s="10"/>
      <c r="D38" s="10"/>
      <c r="E38" s="8">
        <f t="array" ref="E38">SUM(IF("331"&amp;B38=KHN&amp;KH,TH))</f>
        <v>0</v>
      </c>
      <c r="F38" s="8">
        <f t="array" ref="F38">SUM(IF("331"&amp;B38=KHC&amp;KH,TH))</f>
        <v>0</v>
      </c>
      <c r="G38" s="213">
        <f t="shared" si="19"/>
        <v>0</v>
      </c>
      <c r="H38" s="213">
        <f t="shared" si="20"/>
        <v>0</v>
      </c>
      <c r="I38" s="21"/>
      <c r="J38" s="307"/>
    </row>
    <row r="39" spans="1:10" s="15" customFormat="1" ht="17.25" customHeight="1">
      <c r="A39" s="6">
        <f t="shared" si="0"/>
        <v>36</v>
      </c>
      <c r="B39" s="122"/>
      <c r="C39" s="10"/>
      <c r="D39" s="10"/>
      <c r="E39" s="8">
        <f t="array" ref="E39">SUM(IF("331"&amp;B39=KHN&amp;KH,TH))</f>
        <v>0</v>
      </c>
      <c r="F39" s="8">
        <f t="array" ref="F39">SUM(IF("331"&amp;B39=KHC&amp;KH,TH))</f>
        <v>0</v>
      </c>
      <c r="G39" s="213">
        <f t="shared" si="19"/>
        <v>0</v>
      </c>
      <c r="H39" s="213">
        <f t="shared" si="20"/>
        <v>0</v>
      </c>
      <c r="I39" s="21"/>
      <c r="J39" s="307"/>
    </row>
    <row r="40" spans="1:10" s="15" customFormat="1" ht="17.25" customHeight="1">
      <c r="A40" s="6"/>
      <c r="B40" s="122"/>
      <c r="C40" s="10"/>
      <c r="D40" s="10"/>
      <c r="E40" s="8"/>
      <c r="F40" s="8"/>
      <c r="G40" s="213"/>
      <c r="H40" s="213"/>
      <c r="I40" s="22"/>
      <c r="J40" s="307"/>
    </row>
    <row r="41" spans="1:10" s="19" customFormat="1" ht="17.25" customHeight="1">
      <c r="A41" s="16"/>
      <c r="B41" s="17" t="s">
        <v>94</v>
      </c>
      <c r="C41" s="18">
        <f t="shared" ref="C41:H41" si="21">SUM(C4:C40)</f>
        <v>0</v>
      </c>
      <c r="D41" s="18">
        <f t="shared" si="21"/>
        <v>0</v>
      </c>
      <c r="E41" s="18">
        <f t="shared" si="21"/>
        <v>29308592604</v>
      </c>
      <c r="F41" s="18">
        <f t="shared" si="21"/>
        <v>24548201294</v>
      </c>
      <c r="G41" s="18">
        <f t="shared" si="21"/>
        <v>6387231080</v>
      </c>
      <c r="H41" s="18">
        <f t="shared" si="21"/>
        <v>1626839770</v>
      </c>
      <c r="I41" s="23"/>
      <c r="J41" s="23"/>
    </row>
    <row r="43" spans="1:10" ht="17.25" customHeight="1">
      <c r="E43" s="20">
        <f>CDPS!E21</f>
        <v>29308592604</v>
      </c>
      <c r="F43" s="20">
        <f>CDPS!F21</f>
        <v>24584501294</v>
      </c>
    </row>
    <row r="45" spans="1:10" ht="17.25" customHeight="1">
      <c r="E45" s="143">
        <f>E41-E43</f>
        <v>0</v>
      </c>
      <c r="F45" s="143">
        <f>F41-F43</f>
        <v>-36300000</v>
      </c>
    </row>
  </sheetData>
  <mergeCells count="7">
    <mergeCell ref="G2:H2"/>
    <mergeCell ref="I2:I3"/>
    <mergeCell ref="A1:E1"/>
    <mergeCell ref="A2:A3"/>
    <mergeCell ref="B2:B3"/>
    <mergeCell ref="C2:D2"/>
    <mergeCell ref="E2:F2"/>
  </mergeCells>
  <phoneticPr fontId="22" type="noConversion"/>
  <pageMargins left="0.16" right="0.12" top="0.16" bottom="0.15" header="0.16" footer="0.16"/>
  <pageSetup paperSize="9" scale="95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9"/>
  <sheetViews>
    <sheetView topLeftCell="A4" workbookViewId="0">
      <pane ySplit="10" topLeftCell="A17" activePane="bottomLeft" state="frozen"/>
      <selection activeCell="E10" sqref="E10"/>
      <selection pane="bottomLeft" activeCell="E7" sqref="E7:H7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29</v>
      </c>
      <c r="B1" s="24"/>
      <c r="C1" s="24"/>
      <c r="G1" s="2"/>
      <c r="H1" s="528" t="s">
        <v>186</v>
      </c>
      <c r="I1" s="528"/>
      <c r="J1" s="528"/>
    </row>
    <row r="2" spans="1:10" s="3" customFormat="1" ht="14.25" customHeight="1">
      <c r="A2" s="1" t="s">
        <v>30</v>
      </c>
      <c r="B2" s="24"/>
      <c r="C2" s="24"/>
      <c r="G2" s="25"/>
      <c r="H2" s="529" t="s">
        <v>187</v>
      </c>
      <c r="I2" s="529"/>
      <c r="J2" s="529"/>
    </row>
    <row r="3" spans="1:10" s="3" customFormat="1" ht="14.25" customHeight="1">
      <c r="A3" s="4"/>
      <c r="B3" s="24"/>
      <c r="C3" s="24"/>
      <c r="G3" s="25"/>
      <c r="H3" s="529"/>
      <c r="I3" s="529"/>
      <c r="J3" s="529"/>
    </row>
    <row r="4" spans="1:10" s="5" customFormat="1" ht="28.5" customHeight="1">
      <c r="A4" s="535" t="s">
        <v>64</v>
      </c>
      <c r="B4" s="535"/>
      <c r="C4" s="535"/>
      <c r="D4" s="535"/>
      <c r="E4" s="535"/>
      <c r="F4" s="535"/>
      <c r="G4" s="535"/>
      <c r="H4" s="535"/>
      <c r="I4" s="535"/>
      <c r="J4" s="535"/>
    </row>
    <row r="5" spans="1:10" s="26" customFormat="1" ht="14.25" customHeight="1">
      <c r="E5" s="27" t="s">
        <v>65</v>
      </c>
    </row>
    <row r="6" spans="1:10" s="26" customFormat="1" ht="14.25" customHeight="1">
      <c r="E6" s="27" t="s">
        <v>66</v>
      </c>
    </row>
    <row r="7" spans="1:10" s="26" customFormat="1" ht="14.25" customHeight="1">
      <c r="D7" s="28" t="s">
        <v>185</v>
      </c>
      <c r="E7" s="530" t="s">
        <v>83</v>
      </c>
      <c r="F7" s="530"/>
      <c r="G7" s="530"/>
      <c r="H7" s="530"/>
    </row>
    <row r="8" spans="1:10" s="26" customFormat="1" ht="14.25" customHeight="1">
      <c r="E8" s="27" t="s">
        <v>67</v>
      </c>
    </row>
    <row r="9" spans="1:10" s="26" customFormat="1" ht="6.75" customHeight="1">
      <c r="B9" s="27"/>
      <c r="C9" s="531"/>
      <c r="D9" s="531"/>
      <c r="E9" s="531"/>
      <c r="F9" s="531"/>
      <c r="G9" s="531"/>
      <c r="H9" s="531"/>
      <c r="I9" s="531"/>
      <c r="J9" s="531"/>
    </row>
    <row r="10" spans="1:10" s="26" customFormat="1" ht="14.25" customHeight="1">
      <c r="A10" s="527" t="s">
        <v>50</v>
      </c>
      <c r="B10" s="532" t="s">
        <v>10</v>
      </c>
      <c r="C10" s="532"/>
      <c r="D10" s="527" t="s">
        <v>0</v>
      </c>
      <c r="E10" s="527" t="s">
        <v>31</v>
      </c>
      <c r="F10" s="527" t="s">
        <v>68</v>
      </c>
      <c r="G10" s="533" t="s">
        <v>51</v>
      </c>
      <c r="H10" s="534"/>
      <c r="I10" s="533" t="s">
        <v>69</v>
      </c>
      <c r="J10" s="534"/>
    </row>
    <row r="11" spans="1:10" s="26" customFormat="1" ht="24.75" customHeight="1">
      <c r="A11" s="527"/>
      <c r="B11" s="38" t="s">
        <v>32</v>
      </c>
      <c r="C11" s="38" t="s">
        <v>70</v>
      </c>
      <c r="D11" s="527"/>
      <c r="E11" s="527"/>
      <c r="F11" s="527"/>
      <c r="G11" s="38" t="s">
        <v>52</v>
      </c>
      <c r="H11" s="38" t="s">
        <v>53</v>
      </c>
      <c r="I11" s="38" t="s">
        <v>52</v>
      </c>
      <c r="J11" s="38" t="s">
        <v>53</v>
      </c>
    </row>
    <row r="12" spans="1:10" s="26" customFormat="1" ht="11.25" customHeight="1">
      <c r="A12" s="29" t="s">
        <v>11</v>
      </c>
      <c r="B12" s="30" t="s">
        <v>12</v>
      </c>
      <c r="C12" s="29" t="s">
        <v>13</v>
      </c>
      <c r="D12" s="29" t="s">
        <v>14</v>
      </c>
      <c r="E12" s="29" t="s">
        <v>15</v>
      </c>
      <c r="F12" s="29">
        <v>1</v>
      </c>
      <c r="G12" s="29">
        <v>2</v>
      </c>
      <c r="H12" s="29">
        <v>3</v>
      </c>
      <c r="I12" s="29">
        <v>4</v>
      </c>
      <c r="J12" s="29">
        <v>5</v>
      </c>
    </row>
    <row r="13" spans="1:10" s="26" customFormat="1" ht="18" customHeight="1">
      <c r="A13" s="29"/>
      <c r="B13" s="29"/>
      <c r="C13" s="29"/>
      <c r="D13" s="31" t="s">
        <v>16</v>
      </c>
      <c r="E13" s="29"/>
      <c r="F13" s="32"/>
      <c r="G13" s="32"/>
      <c r="H13" s="32"/>
      <c r="I13" s="128">
        <v>0</v>
      </c>
      <c r="J13" s="128">
        <v>0</v>
      </c>
    </row>
    <row r="14" spans="1:10" s="26" customFormat="1" ht="18" customHeight="1">
      <c r="A14" s="11">
        <f t="shared" ref="A14:A20" ca="1" si="0">IF(C14&lt;&gt;"",C14,"")</f>
        <v>40623</v>
      </c>
      <c r="B14" s="11" t="str">
        <f ca="1">IF(ROWS($1:1)&gt;COUNT(Dong),"",OFFSET(TH!D$1,SMALL(Dong,ROWS($1:1)),))</f>
        <v>CTGS</v>
      </c>
      <c r="C14" s="11">
        <f ca="1">IF(ROWS($1:1)&gt;COUNT(Dong),"",OFFSET(TH!E$1,SMALL(Dong,ROWS($1:1)),))</f>
        <v>40623</v>
      </c>
      <c r="D14" s="126" t="str">
        <f ca="1">IF(ROWS($1:1)&gt;COUNT(Dong),"",OFFSET(TH!F$1,SMALL(Dong,ROWS($1:1)),))</f>
        <v>Thuê quyền SDĐ - KCN Long Đức 26/8/10-15/9/11</v>
      </c>
      <c r="E14" s="127" t="str">
        <f ca="1">IF(ROWS($1:1)&gt;COUNT(Dong),"",IF(OFFSET(TH!N$1,SMALL(Dong,ROWS($1:1)),)="331",OFFSET(TH!O$1,SMALL(Dong,ROWS($1:1)),),OFFSET(TH!N$1,SMALL(Dong,ROWS($1:1)),)))</f>
        <v>642</v>
      </c>
      <c r="F14" s="127"/>
      <c r="G14" s="251">
        <f ca="1">IF(ROWS($1:1)&gt;COUNT(Dong),"",IF(OFFSET(TH!N$1,SMALL(Dong,ROWS($1:1)),)="331",OFFSET(TH!M$1,SMALL(Dong,ROWS($1:1)),),0))</f>
        <v>0</v>
      </c>
      <c r="H14" s="251">
        <f ca="1">IF(ROWS($1:1)&gt;COUNT(Dong),"",IF(OFFSET(TH!O$1,SMALL(Dong,ROWS($1:1)),)="331",OFFSET(TH!M$1,SMALL(Dong,ROWS($1:1)),),0))</f>
        <v>32288666</v>
      </c>
      <c r="I14" s="33">
        <f t="shared" ref="I14:I20" ca="1" si="1">IF(D14&lt;&gt;"",MAX(I13+G14-H14-J13,0),0)</f>
        <v>0</v>
      </c>
      <c r="J14" s="33">
        <f t="shared" ref="J14:J20" ca="1" si="2">IF(D14&lt;&gt;"",MAX(J13+H14-I13-G14,0),0)</f>
        <v>32288666</v>
      </c>
    </row>
    <row r="15" spans="1:10" s="26" customFormat="1" ht="18" customHeight="1">
      <c r="A15" s="11">
        <f t="shared" ca="1" si="0"/>
        <v>40623</v>
      </c>
      <c r="B15" s="11" t="str">
        <f ca="1">IF(ROWS($1:2)&gt;COUNT(Dong),"",OFFSET(TH!D$1,SMALL(Dong,ROWS($1:2)),))</f>
        <v>GBN</v>
      </c>
      <c r="C15" s="11">
        <f ca="1">IF(ROWS($1:2)&gt;COUNT(Dong),"",OFFSET(TH!E$1,SMALL(Dong,ROWS($1:2)),))</f>
        <v>40623</v>
      </c>
      <c r="D15" s="126" t="str">
        <f ca="1">IF(ROWS($1:2)&gt;COUNT(Dong),"",OFFSET(TH!F$1,SMALL(Dong,ROWS($1:2)),))</f>
        <v>Thanh toán CSHT - KCN Long Đức</v>
      </c>
      <c r="E15" s="127" t="str">
        <f ca="1">IF(ROWS($1:2)&gt;COUNT(Dong),"",IF(OFFSET(TH!N$1,SMALL(Dong,ROWS($1:2)),)="331",OFFSET(TH!O$1,SMALL(Dong,ROWS($1:2)),),OFFSET(TH!N$1,SMALL(Dong,ROWS($1:2)),)))</f>
        <v>1121</v>
      </c>
      <c r="F15" s="127"/>
      <c r="G15" s="251">
        <f ca="1">IF(ROWS($1:2)&gt;COUNT(Dong),"",IF(OFFSET(TH!N$1,SMALL(Dong,ROWS($1:2)),)="331",OFFSET(TH!M$1,SMALL(Dong,ROWS($1:2)),),0))</f>
        <v>32288666</v>
      </c>
      <c r="H15" s="251">
        <f ca="1">IF(ROWS($1:2)&gt;COUNT(Dong),"",IF(OFFSET(TH!O$1,SMALL(Dong,ROWS($1:2)),)="331",OFFSET(TH!M$1,SMALL(Dong,ROWS($1:2)),),0))</f>
        <v>0</v>
      </c>
      <c r="I15" s="33">
        <f t="shared" ca="1" si="1"/>
        <v>0</v>
      </c>
      <c r="J15" s="33">
        <f t="shared" ca="1" si="2"/>
        <v>0</v>
      </c>
    </row>
    <row r="16" spans="1:10" s="26" customFormat="1" ht="18" customHeight="1">
      <c r="A16" s="11">
        <f t="shared" ca="1" si="0"/>
        <v>40872</v>
      </c>
      <c r="B16" s="11" t="str">
        <f ca="1">IF(ROWS($1:3)&gt;COUNT(Dong),"",OFFSET(TH!D$1,SMALL(Dong,ROWS($1:3)),))</f>
        <v>GBN</v>
      </c>
      <c r="C16" s="11">
        <f ca="1">IF(ROWS($1:3)&gt;COUNT(Dong),"",OFFSET(TH!E$1,SMALL(Dong,ROWS($1:3)),))</f>
        <v>40872</v>
      </c>
      <c r="D16" s="126" t="str">
        <f ca="1">IF(ROWS($1:3)&gt;COUNT(Dong),"",OFFSET(TH!F$1,SMALL(Dong,ROWS($1:3)),))</f>
        <v>Thanh toán CSHT - KCN Long Đức</v>
      </c>
      <c r="E16" s="127" t="str">
        <f ca="1">IF(ROWS($1:3)&gt;COUNT(Dong),"",IF(OFFSET(TH!N$1,SMALL(Dong,ROWS($1:3)),)="331",OFFSET(TH!O$1,SMALL(Dong,ROWS($1:3)),),OFFSET(TH!N$1,SMALL(Dong,ROWS($1:3)),)))</f>
        <v>1121</v>
      </c>
      <c r="F16" s="127"/>
      <c r="G16" s="251">
        <f ca="1">IF(ROWS($1:3)&gt;COUNT(Dong),"",IF(OFFSET(TH!N$1,SMALL(Dong,ROWS($1:3)),)="331",OFFSET(TH!M$1,SMALL(Dong,ROWS($1:3)),),0))</f>
        <v>29920000</v>
      </c>
      <c r="H16" s="251">
        <f ca="1">IF(ROWS($1:3)&gt;COUNT(Dong),"",IF(OFFSET(TH!O$1,SMALL(Dong,ROWS($1:3)),)="331",OFFSET(TH!M$1,SMALL(Dong,ROWS($1:3)),),0))</f>
        <v>0</v>
      </c>
      <c r="I16" s="33">
        <f t="shared" ca="1" si="1"/>
        <v>29920000</v>
      </c>
      <c r="J16" s="33">
        <f t="shared" ca="1" si="2"/>
        <v>0</v>
      </c>
    </row>
    <row r="17" spans="1:10" s="26" customFormat="1" ht="18" customHeight="1">
      <c r="A17" s="11">
        <f t="shared" ca="1" si="0"/>
        <v>40875</v>
      </c>
      <c r="B17" s="11" t="str">
        <f ca="1">IF(ROWS($1:4)&gt;COUNT(Dong),"",OFFSET(TH!D$1,SMALL(Dong,ROWS($1:4)),))</f>
        <v>CTGS</v>
      </c>
      <c r="C17" s="11">
        <f ca="1">IF(ROWS($1:4)&gt;COUNT(Dong),"",OFFSET(TH!E$1,SMALL(Dong,ROWS($1:4)),))</f>
        <v>40875</v>
      </c>
      <c r="D17" s="126" t="str">
        <f ca="1">IF(ROWS($1:4)&gt;COUNT(Dong),"",OFFSET(TH!F$1,SMALL(Dong,ROWS($1:4)),))</f>
        <v>Tiền sử dụng CSHT - KCN Long Đức 15/9/11-15/9/12</v>
      </c>
      <c r="E17" s="127" t="str">
        <f ca="1">IF(ROWS($1:4)&gt;COUNT(Dong),"",IF(OFFSET(TH!N$1,SMALL(Dong,ROWS($1:4)),)="331",OFFSET(TH!O$1,SMALL(Dong,ROWS($1:4)),),OFFSET(TH!N$1,SMALL(Dong,ROWS($1:4)),)))</f>
        <v>642</v>
      </c>
      <c r="F17" s="127"/>
      <c r="G17" s="251">
        <f ca="1">IF(ROWS($1:4)&gt;COUNT(Dong),"",IF(OFFSET(TH!N$1,SMALL(Dong,ROWS($1:4)),)="331",OFFSET(TH!M$1,SMALL(Dong,ROWS($1:4)),),0))</f>
        <v>0</v>
      </c>
      <c r="H17" s="251">
        <f ca="1">IF(ROWS($1:4)&gt;COUNT(Dong),"",IF(OFFSET(TH!O$1,SMALL(Dong,ROWS($1:4)),)="331",OFFSET(TH!M$1,SMALL(Dong,ROWS($1:4)),),0))</f>
        <v>29920000</v>
      </c>
      <c r="I17" s="33">
        <f t="shared" ca="1" si="1"/>
        <v>0</v>
      </c>
      <c r="J17" s="33">
        <f t="shared" ca="1" si="2"/>
        <v>0</v>
      </c>
    </row>
    <row r="18" spans="1:10" s="26" customFormat="1" ht="18" customHeight="1">
      <c r="A18" s="11">
        <f t="shared" ca="1" si="0"/>
        <v>41193</v>
      </c>
      <c r="B18" s="11" t="str">
        <f ca="1">IF(ROWS($1:5)&gt;COUNT(Dong),"",OFFSET(TH!D$1,SMALL(Dong,ROWS($1:5)),))</f>
        <v>GBN</v>
      </c>
      <c r="C18" s="11">
        <f ca="1">IF(ROWS($1:5)&gt;COUNT(Dong),"",OFFSET(TH!E$1,SMALL(Dong,ROWS($1:5)),))</f>
        <v>41193</v>
      </c>
      <c r="D18" s="126" t="str">
        <f ca="1">IF(ROWS($1:5)&gt;COUNT(Dong),"",OFFSET(TH!F$1,SMALL(Dong,ROWS($1:5)),))</f>
        <v>Thanh toán CSHT - KCN Long Đức</v>
      </c>
      <c r="E18" s="127" t="str">
        <f ca="1">IF(ROWS($1:5)&gt;COUNT(Dong),"",IF(OFFSET(TH!N$1,SMALL(Dong,ROWS($1:5)),)="331",OFFSET(TH!O$1,SMALL(Dong,ROWS($1:5)),),OFFSET(TH!N$1,SMALL(Dong,ROWS($1:5)),)))</f>
        <v>1121</v>
      </c>
      <c r="F18" s="127"/>
      <c r="G18" s="251">
        <f ca="1">IF(ROWS($1:5)&gt;COUNT(Dong),"",IF(OFFSET(TH!N$1,SMALL(Dong,ROWS($1:5)),)="331",OFFSET(TH!M$1,SMALL(Dong,ROWS($1:5)),),0))</f>
        <v>29920000</v>
      </c>
      <c r="H18" s="251">
        <f ca="1">IF(ROWS($1:5)&gt;COUNT(Dong),"",IF(OFFSET(TH!O$1,SMALL(Dong,ROWS($1:5)),)="331",OFFSET(TH!M$1,SMALL(Dong,ROWS($1:5)),),0))</f>
        <v>0</v>
      </c>
      <c r="I18" s="33">
        <f t="shared" ca="1" si="1"/>
        <v>29920000</v>
      </c>
      <c r="J18" s="33">
        <f t="shared" ca="1" si="2"/>
        <v>0</v>
      </c>
    </row>
    <row r="19" spans="1:10" s="26" customFormat="1" ht="18" customHeight="1">
      <c r="A19" s="11">
        <f t="shared" ca="1" si="0"/>
        <v>41653</v>
      </c>
      <c r="B19" s="11" t="str">
        <f ca="1">IF(ROWS($1:6)&gt;COUNT(Dong),"",OFFSET(TH!D$1,SMALL(Dong,ROWS($1:6)),))</f>
        <v>CTGS</v>
      </c>
      <c r="C19" s="11">
        <f ca="1">IF(ROWS($1:6)&gt;COUNT(Dong),"",OFFSET(TH!E$1,SMALL(Dong,ROWS($1:6)),))</f>
        <v>41653</v>
      </c>
      <c r="D19" s="126" t="str">
        <f ca="1">IF(ROWS($1:6)&gt;COUNT(Dong),"",OFFSET(TH!F$1,SMALL(Dong,ROWS($1:6)),))</f>
        <v>Tiền sử dụng CSHT - KCN Long Đức 15/9/13-15/9/14</v>
      </c>
      <c r="E19" s="127" t="str">
        <f ca="1">IF(ROWS($1:6)&gt;COUNT(Dong),"",IF(OFFSET(TH!N$1,SMALL(Dong,ROWS($1:6)),)="331",OFFSET(TH!O$1,SMALL(Dong,ROWS($1:6)),),OFFSET(TH!N$1,SMALL(Dong,ROWS($1:6)),)))</f>
        <v>642</v>
      </c>
      <c r="F19" s="127"/>
      <c r="G19" s="251">
        <f ca="1">IF(ROWS($1:6)&gt;COUNT(Dong),"",IF(OFFSET(TH!N$1,SMALL(Dong,ROWS($1:6)),)="331",OFFSET(TH!M$1,SMALL(Dong,ROWS($1:6)),),0))</f>
        <v>0</v>
      </c>
      <c r="H19" s="251">
        <f ca="1">IF(ROWS($1:6)&gt;COUNT(Dong),"",IF(OFFSET(TH!O$1,SMALL(Dong,ROWS($1:6)),)="331",OFFSET(TH!M$1,SMALL(Dong,ROWS($1:6)),),0))</f>
        <v>27200000</v>
      </c>
      <c r="I19" s="33">
        <f t="shared" ca="1" si="1"/>
        <v>2720000</v>
      </c>
      <c r="J19" s="33">
        <f t="shared" ca="1" si="2"/>
        <v>0</v>
      </c>
    </row>
    <row r="20" spans="1:10" s="26" customFormat="1" ht="18" customHeight="1">
      <c r="A20" s="11">
        <f t="shared" ca="1" si="0"/>
        <v>41653</v>
      </c>
      <c r="B20" s="11" t="str">
        <f ca="1">IF(ROWS($1:7)&gt;COUNT(Dong),"",OFFSET(TH!D$1,SMALL(Dong,ROWS($1:7)),))</f>
        <v>CTGS</v>
      </c>
      <c r="C20" s="11">
        <f ca="1">IF(ROWS($1:7)&gt;COUNT(Dong),"",OFFSET(TH!E$1,SMALL(Dong,ROWS($1:7)),))</f>
        <v>41653</v>
      </c>
      <c r="D20" s="126" t="str">
        <f ca="1">IF(ROWS($1:7)&gt;COUNT(Dong),"",OFFSET(TH!F$1,SMALL(Dong,ROWS($1:7)),))</f>
        <v>VAT CSHT - KCN Long Đức</v>
      </c>
      <c r="E20" s="127" t="str">
        <f ca="1">IF(ROWS($1:7)&gt;COUNT(Dong),"",IF(OFFSET(TH!N$1,SMALL(Dong,ROWS($1:7)),)="331",OFFSET(TH!O$1,SMALL(Dong,ROWS($1:7)),),OFFSET(TH!N$1,SMALL(Dong,ROWS($1:7)),)))</f>
        <v>1331</v>
      </c>
      <c r="F20" s="127"/>
      <c r="G20" s="251">
        <f ca="1">IF(ROWS($1:7)&gt;COUNT(Dong),"",IF(OFFSET(TH!N$1,SMALL(Dong,ROWS($1:7)),)="331",OFFSET(TH!M$1,SMALL(Dong,ROWS($1:7)),),0))</f>
        <v>0</v>
      </c>
      <c r="H20" s="251">
        <f ca="1">IF(ROWS($1:7)&gt;COUNT(Dong),"",IF(OFFSET(TH!O$1,SMALL(Dong,ROWS($1:7)),)="331",OFFSET(TH!M$1,SMALL(Dong,ROWS($1:7)),),0))</f>
        <v>2720000</v>
      </c>
      <c r="I20" s="33">
        <f t="shared" ca="1" si="1"/>
        <v>0</v>
      </c>
      <c r="J20" s="33">
        <f t="shared" ca="1" si="2"/>
        <v>0</v>
      </c>
    </row>
    <row r="21" spans="1:10" s="26" customFormat="1" ht="18" customHeight="1">
      <c r="A21" s="11">
        <f t="shared" ref="A21:A32" ca="1" si="3">IF(C21&lt;&gt;"",C21,"")</f>
        <v>41780</v>
      </c>
      <c r="B21" s="11" t="str">
        <f ca="1">IF(ROWS($1:8)&gt;COUNT(Dong),"",OFFSET(TH!D$1,SMALL(Dong,ROWS($1:8)),))</f>
        <v>GBN</v>
      </c>
      <c r="C21" s="11">
        <f ca="1">IF(ROWS($1:8)&gt;COUNT(Dong),"",OFFSET(TH!E$1,SMALL(Dong,ROWS($1:8)),))</f>
        <v>41780</v>
      </c>
      <c r="D21" s="126" t="str">
        <f ca="1">IF(ROWS($1:8)&gt;COUNT(Dong),"",OFFSET(TH!F$1,SMALL(Dong,ROWS($1:8)),))</f>
        <v>Thanh toán CSHT - KCN Long Đức</v>
      </c>
      <c r="E21" s="127" t="str">
        <f ca="1">IF(ROWS($1:8)&gt;COUNT(Dong),"",IF(OFFSET(TH!N$1,SMALL(Dong,ROWS($1:8)),)="331",OFFSET(TH!O$1,SMALL(Dong,ROWS($1:8)),),OFFSET(TH!N$1,SMALL(Dong,ROWS($1:8)),)))</f>
        <v>1121</v>
      </c>
      <c r="F21" s="127"/>
      <c r="G21" s="108">
        <f ca="1">IF(ROWS($1:8)&gt;COUNT(Dong),"",IF(OFFSET(TH!N$1,SMALL(Dong,ROWS($1:8)),)="331",OFFSET(TH!M$1,SMALL(Dong,ROWS($1:8)),),0))</f>
        <v>36432000</v>
      </c>
      <c r="H21" s="108">
        <f ca="1">IF(ROWS($1:8)&gt;COUNT(Dong),"",IF(OFFSET(TH!O$1,SMALL(Dong,ROWS($1:8)),)="331",OFFSET(TH!M$1,SMALL(Dong,ROWS($1:8)),),0))</f>
        <v>0</v>
      </c>
      <c r="I21" s="33">
        <f t="shared" ref="I21:I32" ca="1" si="4">IF(D21&lt;&gt;"",MAX(I20+G21-H21-J20,0),0)</f>
        <v>36432000</v>
      </c>
      <c r="J21" s="33">
        <f t="shared" ref="J21:J32" ca="1" si="5">IF(D21&lt;&gt;"",MAX(J20+H21-I20-G21,0),0)</f>
        <v>0</v>
      </c>
    </row>
    <row r="22" spans="1:10" s="26" customFormat="1" ht="18" customHeight="1">
      <c r="A22" s="11">
        <f t="shared" ca="1" si="3"/>
        <v>41785</v>
      </c>
      <c r="B22" s="11" t="str">
        <f ca="1">IF(ROWS($1:9)&gt;COUNT(Dong),"",OFFSET(TH!D$1,SMALL(Dong,ROWS($1:9)),))</f>
        <v>CTGS</v>
      </c>
      <c r="C22" s="11">
        <f ca="1">IF(ROWS($1:9)&gt;COUNT(Dong),"",OFFSET(TH!E$1,SMALL(Dong,ROWS($1:9)),))</f>
        <v>41785</v>
      </c>
      <c r="D22" s="126" t="str">
        <f ca="1">IF(ROWS($1:9)&gt;COUNT(Dong),"",OFFSET(TH!F$1,SMALL(Dong,ROWS($1:9)),))</f>
        <v>Thuê quyền SDĐ - KCN Long Đức 08/03/14-08/03/15</v>
      </c>
      <c r="E22" s="127" t="str">
        <f ca="1">IF(ROWS($1:9)&gt;COUNT(Dong),"",IF(OFFSET(TH!N$1,SMALL(Dong,ROWS($1:9)),)="331",OFFSET(TH!O$1,SMALL(Dong,ROWS($1:9)),),OFFSET(TH!N$1,SMALL(Dong,ROWS($1:9)),)))</f>
        <v>642</v>
      </c>
      <c r="F22" s="127"/>
      <c r="G22" s="108">
        <f ca="1">IF(ROWS($1:9)&gt;COUNT(Dong),"",IF(OFFSET(TH!N$1,SMALL(Dong,ROWS($1:9)),)="331",OFFSET(TH!M$1,SMALL(Dong,ROWS($1:9)),),0))</f>
        <v>0</v>
      </c>
      <c r="H22" s="108">
        <f ca="1">IF(ROWS($1:9)&gt;COUNT(Dong),"",IF(OFFSET(TH!O$1,SMALL(Dong,ROWS($1:9)),)="331",OFFSET(TH!M$1,SMALL(Dong,ROWS($1:9)),),0))</f>
        <v>33120000</v>
      </c>
      <c r="I22" s="33">
        <f t="shared" ca="1" si="4"/>
        <v>3312000</v>
      </c>
      <c r="J22" s="33">
        <f t="shared" ca="1" si="5"/>
        <v>0</v>
      </c>
    </row>
    <row r="23" spans="1:10" s="26" customFormat="1" ht="18" customHeight="1">
      <c r="A23" s="11">
        <f t="shared" ca="1" si="3"/>
        <v>41785</v>
      </c>
      <c r="B23" s="11" t="str">
        <f ca="1">IF(ROWS($1:10)&gt;COUNT(Dong),"",OFFSET(TH!D$1,SMALL(Dong,ROWS($1:10)),))</f>
        <v>CTGS</v>
      </c>
      <c r="C23" s="11">
        <f ca="1">IF(ROWS($1:10)&gt;COUNT(Dong),"",OFFSET(TH!E$1,SMALL(Dong,ROWS($1:10)),))</f>
        <v>41785</v>
      </c>
      <c r="D23" s="126" t="str">
        <f ca="1">IF(ROWS($1:10)&gt;COUNT(Dong),"",OFFSET(TH!F$1,SMALL(Dong,ROWS($1:10)),))</f>
        <v>VAT CSHT - KCN Long Đức</v>
      </c>
      <c r="E23" s="127" t="str">
        <f ca="1">IF(ROWS($1:10)&gt;COUNT(Dong),"",IF(OFFSET(TH!N$1,SMALL(Dong,ROWS($1:10)),)="331",OFFSET(TH!O$1,SMALL(Dong,ROWS($1:10)),),OFFSET(TH!N$1,SMALL(Dong,ROWS($1:10)),)))</f>
        <v>1331</v>
      </c>
      <c r="F23" s="127"/>
      <c r="G23" s="108">
        <f ca="1">IF(ROWS($1:10)&gt;COUNT(Dong),"",IF(OFFSET(TH!N$1,SMALL(Dong,ROWS($1:10)),)="331",OFFSET(TH!M$1,SMALL(Dong,ROWS($1:10)),),0))</f>
        <v>0</v>
      </c>
      <c r="H23" s="108">
        <f ca="1">IF(ROWS($1:10)&gt;COUNT(Dong),"",IF(OFFSET(TH!O$1,SMALL(Dong,ROWS($1:10)),)="331",OFFSET(TH!M$1,SMALL(Dong,ROWS($1:10)),),0))</f>
        <v>3312000</v>
      </c>
      <c r="I23" s="33">
        <f t="shared" ca="1" si="4"/>
        <v>0</v>
      </c>
      <c r="J23" s="33">
        <f t="shared" ca="1" si="5"/>
        <v>0</v>
      </c>
    </row>
    <row r="24" spans="1:10" s="26" customFormat="1" ht="18" customHeight="1">
      <c r="A24" s="11">
        <f t="shared" ca="1" si="3"/>
        <v>41918</v>
      </c>
      <c r="B24" s="11" t="str">
        <f ca="1">IF(ROWS($1:11)&gt;COUNT(Dong),"",OFFSET(TH!D$1,SMALL(Dong,ROWS($1:11)),))</f>
        <v>GBN</v>
      </c>
      <c r="C24" s="11">
        <f ca="1">IF(ROWS($1:11)&gt;COUNT(Dong),"",OFFSET(TH!E$1,SMALL(Dong,ROWS($1:11)),))</f>
        <v>41918</v>
      </c>
      <c r="D24" s="126" t="str">
        <f ca="1">IF(ROWS($1:11)&gt;COUNT(Dong),"",OFFSET(TH!F$1,SMALL(Dong,ROWS($1:11)),))</f>
        <v>Thanh toán CSHT - KCN Long Đức 15/09/14 - 15/09/15</v>
      </c>
      <c r="E24" s="127" t="str">
        <f ca="1">IF(ROWS($1:11)&gt;COUNT(Dong),"",IF(OFFSET(TH!N$1,SMALL(Dong,ROWS($1:11)),)="331",OFFSET(TH!O$1,SMALL(Dong,ROWS($1:11)),),OFFSET(TH!N$1,SMALL(Dong,ROWS($1:11)),)))</f>
        <v>1121</v>
      </c>
      <c r="F24" s="127"/>
      <c r="G24" s="108">
        <f ca="1">IF(ROWS($1:11)&gt;COUNT(Dong),"",IF(OFFSET(TH!N$1,SMALL(Dong,ROWS($1:11)),)="331",OFFSET(TH!M$1,SMALL(Dong,ROWS($1:11)),),0))</f>
        <v>34408000</v>
      </c>
      <c r="H24" s="108">
        <f ca="1">IF(ROWS($1:11)&gt;COUNT(Dong),"",IF(OFFSET(TH!O$1,SMALL(Dong,ROWS($1:11)),)="331",OFFSET(TH!M$1,SMALL(Dong,ROWS($1:11)),),0))</f>
        <v>0</v>
      </c>
      <c r="I24" s="33">
        <f t="shared" ca="1" si="4"/>
        <v>34408000</v>
      </c>
      <c r="J24" s="33">
        <f t="shared" ca="1" si="5"/>
        <v>0</v>
      </c>
    </row>
    <row r="25" spans="1:10" s="26" customFormat="1" ht="18" customHeight="1">
      <c r="A25" s="11">
        <f t="shared" ca="1" si="3"/>
        <v>41934</v>
      </c>
      <c r="B25" s="11" t="str">
        <f ca="1">IF(ROWS($1:12)&gt;COUNT(Dong),"",OFFSET(TH!D$1,SMALL(Dong,ROWS($1:12)),))</f>
        <v>CTGS</v>
      </c>
      <c r="C25" s="11">
        <f ca="1">IF(ROWS($1:12)&gt;COUNT(Dong),"",OFFSET(TH!E$1,SMALL(Dong,ROWS($1:12)),))</f>
        <v>41934</v>
      </c>
      <c r="D25" s="126" t="str">
        <f ca="1">IF(ROWS($1:12)&gt;COUNT(Dong),"",OFFSET(TH!F$1,SMALL(Dong,ROWS($1:12)),))</f>
        <v>Phí hạ tầng - KCN Long Đức 15/09/14 - 15/09/15</v>
      </c>
      <c r="E25" s="127" t="str">
        <f ca="1">IF(ROWS($1:12)&gt;COUNT(Dong),"",IF(OFFSET(TH!N$1,SMALL(Dong,ROWS($1:12)),)="331",OFFSET(TH!O$1,SMALL(Dong,ROWS($1:12)),),OFFSET(TH!N$1,SMALL(Dong,ROWS($1:12)),)))</f>
        <v>642</v>
      </c>
      <c r="F25" s="127"/>
      <c r="G25" s="108">
        <f ca="1">IF(ROWS($1:12)&gt;COUNT(Dong),"",IF(OFFSET(TH!N$1,SMALL(Dong,ROWS($1:12)),)="331",OFFSET(TH!M$1,SMALL(Dong,ROWS($1:12)),),0))</f>
        <v>0</v>
      </c>
      <c r="H25" s="108">
        <f ca="1">IF(ROWS($1:12)&gt;COUNT(Dong),"",IF(OFFSET(TH!O$1,SMALL(Dong,ROWS($1:12)),)="331",OFFSET(TH!M$1,SMALL(Dong,ROWS($1:12)),),0))</f>
        <v>31280000</v>
      </c>
      <c r="I25" s="33">
        <f t="shared" ca="1" si="4"/>
        <v>3128000</v>
      </c>
      <c r="J25" s="33">
        <f t="shared" ca="1" si="5"/>
        <v>0</v>
      </c>
    </row>
    <row r="26" spans="1:10" s="26" customFormat="1" ht="18" customHeight="1">
      <c r="A26" s="11">
        <f t="shared" ca="1" si="3"/>
        <v>41934</v>
      </c>
      <c r="B26" s="11" t="str">
        <f ca="1">IF(ROWS($1:13)&gt;COUNT(Dong),"",OFFSET(TH!D$1,SMALL(Dong,ROWS($1:13)),))</f>
        <v>CTGS</v>
      </c>
      <c r="C26" s="11">
        <f ca="1">IF(ROWS($1:13)&gt;COUNT(Dong),"",OFFSET(TH!E$1,SMALL(Dong,ROWS($1:13)),))</f>
        <v>41934</v>
      </c>
      <c r="D26" s="126" t="str">
        <f ca="1">IF(ROWS($1:13)&gt;COUNT(Dong),"",OFFSET(TH!F$1,SMALL(Dong,ROWS($1:13)),))</f>
        <v>VAT CSHT - KCN Long Đức</v>
      </c>
      <c r="E26" s="127" t="str">
        <f ca="1">IF(ROWS($1:13)&gt;COUNT(Dong),"",IF(OFFSET(TH!N$1,SMALL(Dong,ROWS($1:13)),)="331",OFFSET(TH!O$1,SMALL(Dong,ROWS($1:13)),),OFFSET(TH!N$1,SMALL(Dong,ROWS($1:13)),)))</f>
        <v>1331</v>
      </c>
      <c r="F26" s="127"/>
      <c r="G26" s="108">
        <f ca="1">IF(ROWS($1:13)&gt;COUNT(Dong),"",IF(OFFSET(TH!N$1,SMALL(Dong,ROWS($1:13)),)="331",OFFSET(TH!M$1,SMALL(Dong,ROWS($1:13)),),0))</f>
        <v>0</v>
      </c>
      <c r="H26" s="108">
        <f ca="1">IF(ROWS($1:13)&gt;COUNT(Dong),"",IF(OFFSET(TH!O$1,SMALL(Dong,ROWS($1:13)),)="331",OFFSET(TH!M$1,SMALL(Dong,ROWS($1:13)),),0))</f>
        <v>3128000</v>
      </c>
      <c r="I26" s="33">
        <f t="shared" ca="1" si="4"/>
        <v>0</v>
      </c>
      <c r="J26" s="33">
        <f t="shared" ca="1" si="5"/>
        <v>0</v>
      </c>
    </row>
    <row r="27" spans="1:10" s="26" customFormat="1" ht="18" customHeight="1">
      <c r="A27" s="11">
        <f t="shared" ca="1" si="3"/>
        <v>42152</v>
      </c>
      <c r="B27" s="11" t="str">
        <f ca="1">IF(ROWS($1:14)&gt;COUNT(Dong),"",OFFSET(TH!D$1,SMALL(Dong,ROWS($1:14)),))</f>
        <v>GBN</v>
      </c>
      <c r="C27" s="11">
        <f ca="1">IF(ROWS($1:14)&gt;COUNT(Dong),"",OFFSET(TH!E$1,SMALL(Dong,ROWS($1:14)),))</f>
        <v>42152</v>
      </c>
      <c r="D27" s="126" t="str">
        <f ca="1">IF(ROWS($1:14)&gt;COUNT(Dong),"",OFFSET(TH!F$1,SMALL(Dong,ROWS($1:14)),))</f>
        <v>Thanh toán phí thuê QSDĐ 09/3/15 đến 6/3/16</v>
      </c>
      <c r="E27" s="127" t="str">
        <f ca="1">IF(ROWS($1:14)&gt;COUNT(Dong),"",IF(OFFSET(TH!N$1,SMALL(Dong,ROWS($1:14)),)="331",OFFSET(TH!O$1,SMALL(Dong,ROWS($1:14)),),OFFSET(TH!N$1,SMALL(Dong,ROWS($1:14)),)))</f>
        <v>1121</v>
      </c>
      <c r="F27" s="127"/>
      <c r="G27" s="108">
        <f ca="1">IF(ROWS($1:14)&gt;COUNT(Dong),"",IF(OFFSET(TH!N$1,SMALL(Dong,ROWS($1:14)),)="331",OFFSET(TH!M$1,SMALL(Dong,ROWS($1:14)),),0))</f>
        <v>36432000</v>
      </c>
      <c r="H27" s="108">
        <f ca="1">IF(ROWS($1:14)&gt;COUNT(Dong),"",IF(OFFSET(TH!O$1,SMALL(Dong,ROWS($1:14)),)="331",OFFSET(TH!M$1,SMALL(Dong,ROWS($1:14)),),0))</f>
        <v>0</v>
      </c>
      <c r="I27" s="33">
        <f t="shared" ca="1" si="4"/>
        <v>36432000</v>
      </c>
      <c r="J27" s="33">
        <f t="shared" ca="1" si="5"/>
        <v>0</v>
      </c>
    </row>
    <row r="28" spans="1:10" s="26" customFormat="1" ht="18" customHeight="1">
      <c r="A28" s="11">
        <f t="shared" ca="1" si="3"/>
        <v>42153</v>
      </c>
      <c r="B28" s="11" t="str">
        <f ca="1">IF(ROWS($1:15)&gt;COUNT(Dong),"",OFFSET(TH!D$1,SMALL(Dong,ROWS($1:15)),))</f>
        <v>CTGS</v>
      </c>
      <c r="C28" s="11">
        <f ca="1">IF(ROWS($1:15)&gt;COUNT(Dong),"",OFFSET(TH!E$1,SMALL(Dong,ROWS($1:15)),))</f>
        <v>42153</v>
      </c>
      <c r="D28" s="126" t="str">
        <f ca="1">IF(ROWS($1:15)&gt;COUNT(Dong),"",OFFSET(TH!F$1,SMALL(Dong,ROWS($1:15)),))</f>
        <v>Phí thuê QSDĐ 09/3/15 đến 6/3/16</v>
      </c>
      <c r="E28" s="127" t="str">
        <f ca="1">IF(ROWS($1:15)&gt;COUNT(Dong),"",IF(OFFSET(TH!N$1,SMALL(Dong,ROWS($1:15)),)="331",OFFSET(TH!O$1,SMALL(Dong,ROWS($1:15)),),OFFSET(TH!N$1,SMALL(Dong,ROWS($1:15)),)))</f>
        <v>642</v>
      </c>
      <c r="F28" s="127"/>
      <c r="G28" s="108">
        <f ca="1">IF(ROWS($1:15)&gt;COUNT(Dong),"",IF(OFFSET(TH!N$1,SMALL(Dong,ROWS($1:15)),)="331",OFFSET(TH!M$1,SMALL(Dong,ROWS($1:15)),),0))</f>
        <v>0</v>
      </c>
      <c r="H28" s="108">
        <f ca="1">IF(ROWS($1:15)&gt;COUNT(Dong),"",IF(OFFSET(TH!O$1,SMALL(Dong,ROWS($1:15)),)="331",OFFSET(TH!M$1,SMALL(Dong,ROWS($1:15)),),0))</f>
        <v>33120000</v>
      </c>
      <c r="I28" s="33">
        <f t="shared" ca="1" si="4"/>
        <v>3312000</v>
      </c>
      <c r="J28" s="33">
        <f t="shared" ca="1" si="5"/>
        <v>0</v>
      </c>
    </row>
    <row r="29" spans="1:10" s="26" customFormat="1" ht="18" customHeight="1">
      <c r="A29" s="11">
        <f t="shared" ca="1" si="3"/>
        <v>42153</v>
      </c>
      <c r="B29" s="11" t="str">
        <f ca="1">IF(ROWS($1:16)&gt;COUNT(Dong),"",OFFSET(TH!D$1,SMALL(Dong,ROWS($1:16)),))</f>
        <v>CTGS</v>
      </c>
      <c r="C29" s="11">
        <f ca="1">IF(ROWS($1:16)&gt;COUNT(Dong),"",OFFSET(TH!E$1,SMALL(Dong,ROWS($1:16)),))</f>
        <v>42153</v>
      </c>
      <c r="D29" s="126" t="str">
        <f ca="1">IF(ROWS($1:16)&gt;COUNT(Dong),"",OFFSET(TH!F$1,SMALL(Dong,ROWS($1:16)),))</f>
        <v>VAT Phí thuê QSDĐ 09/3/15 đến 6/3/16</v>
      </c>
      <c r="E29" s="127" t="str">
        <f ca="1">IF(ROWS($1:16)&gt;COUNT(Dong),"",IF(OFFSET(TH!N$1,SMALL(Dong,ROWS($1:16)),)="331",OFFSET(TH!O$1,SMALL(Dong,ROWS($1:16)),),OFFSET(TH!N$1,SMALL(Dong,ROWS($1:16)),)))</f>
        <v>1331</v>
      </c>
      <c r="F29" s="127"/>
      <c r="G29" s="108">
        <f ca="1">IF(ROWS($1:16)&gt;COUNT(Dong),"",IF(OFFSET(TH!N$1,SMALL(Dong,ROWS($1:16)),)="331",OFFSET(TH!M$1,SMALL(Dong,ROWS($1:16)),),0))</f>
        <v>0</v>
      </c>
      <c r="H29" s="108">
        <f ca="1">IF(ROWS($1:16)&gt;COUNT(Dong),"",IF(OFFSET(TH!O$1,SMALL(Dong,ROWS($1:16)),)="331",OFFSET(TH!M$1,SMALL(Dong,ROWS($1:16)),),0))</f>
        <v>3312000</v>
      </c>
      <c r="I29" s="33">
        <f t="shared" ca="1" si="4"/>
        <v>0</v>
      </c>
      <c r="J29" s="33">
        <f t="shared" ca="1" si="5"/>
        <v>0</v>
      </c>
    </row>
    <row r="30" spans="1:10" s="26" customFormat="1" ht="18" customHeight="1">
      <c r="A30" s="11">
        <f t="shared" ca="1" si="3"/>
        <v>42445</v>
      </c>
      <c r="B30" s="11" t="str">
        <f ca="1">IF(ROWS($1:17)&gt;COUNT(Dong),"",OFFSET(TH!D$1,SMALL(Dong,ROWS($1:17)),))</f>
        <v>GBN</v>
      </c>
      <c r="C30" s="11">
        <f ca="1">IF(ROWS($1:17)&gt;COUNT(Dong),"",OFFSET(TH!E$1,SMALL(Dong,ROWS($1:17)),))</f>
        <v>42445</v>
      </c>
      <c r="D30" s="126" t="str">
        <f ca="1">IF(ROWS($1:17)&gt;COUNT(Dong),"",OFFSET(TH!F$1,SMALL(Dong,ROWS($1:17)),))</f>
        <v>Phí hạ tầng từ 15/9/15 đến 15/9/16</v>
      </c>
      <c r="E30" s="127" t="str">
        <f ca="1">IF(ROWS($1:17)&gt;COUNT(Dong),"",IF(OFFSET(TH!N$1,SMALL(Dong,ROWS($1:17)),)="331",OFFSET(TH!O$1,SMALL(Dong,ROWS($1:17)),),OFFSET(TH!N$1,SMALL(Dong,ROWS($1:17)),)))</f>
        <v>1121</v>
      </c>
      <c r="F30" s="127"/>
      <c r="G30" s="108">
        <f ca="1">IF(ROWS($1:17)&gt;COUNT(Dong),"",IF(OFFSET(TH!N$1,SMALL(Dong,ROWS($1:17)),)="331",OFFSET(TH!M$1,SMALL(Dong,ROWS($1:17)),),0))</f>
        <v>34408000</v>
      </c>
      <c r="H30" s="108">
        <f ca="1">IF(ROWS($1:17)&gt;COUNT(Dong),"",IF(OFFSET(TH!O$1,SMALL(Dong,ROWS($1:17)),)="331",OFFSET(TH!M$1,SMALL(Dong,ROWS($1:17)),),0))</f>
        <v>0</v>
      </c>
      <c r="I30" s="33">
        <f t="shared" ca="1" si="4"/>
        <v>34408000</v>
      </c>
      <c r="J30" s="33">
        <f t="shared" ca="1" si="5"/>
        <v>0</v>
      </c>
    </row>
    <row r="31" spans="1:10" s="26" customFormat="1" ht="18" customHeight="1">
      <c r="A31" s="11" t="str">
        <f t="shared" ca="1" si="3"/>
        <v/>
      </c>
      <c r="B31" s="11" t="str">
        <f ca="1">IF(ROWS($1:18)&gt;COUNT(Dong),"",OFFSET(TH!D$1,SMALL(Dong,ROWS($1:18)),))</f>
        <v/>
      </c>
      <c r="C31" s="11" t="str">
        <f ca="1">IF(ROWS($1:18)&gt;COUNT(Dong),"",OFFSET(TH!E$1,SMALL(Dong,ROWS($1:18)),))</f>
        <v/>
      </c>
      <c r="D31" s="126" t="str">
        <f ca="1">IF(ROWS($1:18)&gt;COUNT(Dong),"",OFFSET(TH!F$1,SMALL(Dong,ROWS($1:18)),))</f>
        <v/>
      </c>
      <c r="E31" s="127" t="str">
        <f ca="1">IF(ROWS($1:18)&gt;COUNT(Dong),"",IF(OFFSET(TH!N$1,SMALL(Dong,ROWS($1:18)),)="331",OFFSET(TH!O$1,SMALL(Dong,ROWS($1:18)),),OFFSET(TH!N$1,SMALL(Dong,ROWS($1:18)),)))</f>
        <v/>
      </c>
      <c r="F31" s="127"/>
      <c r="G31" s="108" t="str">
        <f ca="1">IF(ROWS($1:18)&gt;COUNT(Dong),"",IF(OFFSET(TH!N$1,SMALL(Dong,ROWS($1:18)),)="331",OFFSET(TH!M$1,SMALL(Dong,ROWS($1:18)),),0))</f>
        <v/>
      </c>
      <c r="H31" s="108" t="str">
        <f ca="1">IF(ROWS($1:18)&gt;COUNT(Dong),"",IF(OFFSET(TH!O$1,SMALL(Dong,ROWS($1:18)),)="331",OFFSET(TH!M$1,SMALL(Dong,ROWS($1:18)),),0))</f>
        <v/>
      </c>
      <c r="I31" s="33">
        <f t="shared" ca="1" si="4"/>
        <v>0</v>
      </c>
      <c r="J31" s="33">
        <f t="shared" ca="1" si="5"/>
        <v>0</v>
      </c>
    </row>
    <row r="32" spans="1:10" s="26" customFormat="1" ht="18" customHeight="1">
      <c r="A32" s="11" t="str">
        <f t="shared" ca="1" si="3"/>
        <v/>
      </c>
      <c r="B32" s="11" t="str">
        <f ca="1">IF(ROWS($1:19)&gt;COUNT(Dong),"",OFFSET(TH!D$1,SMALL(Dong,ROWS($1:19)),))</f>
        <v/>
      </c>
      <c r="C32" s="11" t="str">
        <f ca="1">IF(ROWS($1:19)&gt;COUNT(Dong),"",OFFSET(TH!E$1,SMALL(Dong,ROWS($1:19)),))</f>
        <v/>
      </c>
      <c r="D32" s="126" t="str">
        <f ca="1">IF(ROWS($1:19)&gt;COUNT(Dong),"",OFFSET(TH!F$1,SMALL(Dong,ROWS($1:19)),))</f>
        <v/>
      </c>
      <c r="E32" s="127" t="str">
        <f ca="1">IF(ROWS($1:19)&gt;COUNT(Dong),"",IF(OFFSET(TH!N$1,SMALL(Dong,ROWS($1:19)),)="331",OFFSET(TH!O$1,SMALL(Dong,ROWS($1:19)),),OFFSET(TH!N$1,SMALL(Dong,ROWS($1:19)),)))</f>
        <v/>
      </c>
      <c r="F32" s="127"/>
      <c r="G32" s="108" t="str">
        <f ca="1">IF(ROWS($1:19)&gt;COUNT(Dong),"",IF(OFFSET(TH!N$1,SMALL(Dong,ROWS($1:19)),)="331",OFFSET(TH!M$1,SMALL(Dong,ROWS($1:19)),),0))</f>
        <v/>
      </c>
      <c r="H32" s="108" t="str">
        <f ca="1">IF(ROWS($1:19)&gt;COUNT(Dong),"",IF(OFFSET(TH!O$1,SMALL(Dong,ROWS($1:19)),)="331",OFFSET(TH!M$1,SMALL(Dong,ROWS($1:19)),),0))</f>
        <v/>
      </c>
      <c r="I32" s="33">
        <f t="shared" ca="1" si="4"/>
        <v>0</v>
      </c>
      <c r="J32" s="33">
        <f t="shared" ca="1" si="5"/>
        <v>0</v>
      </c>
    </row>
    <row r="33" spans="1:10" s="26" customFormat="1" ht="18" customHeight="1">
      <c r="A33" s="11" t="str">
        <f t="shared" ref="A33:A39" ca="1" si="6">IF(C33&lt;&gt;"",C33,"")</f>
        <v/>
      </c>
      <c r="B33" s="11" t="str">
        <f ca="1">IF(ROWS($1:20)&gt;COUNT(Dong),"",OFFSET(TH!D$1,SMALL(Dong,ROWS($1:20)),))</f>
        <v/>
      </c>
      <c r="C33" s="11" t="str">
        <f ca="1">IF(ROWS($1:20)&gt;COUNT(Dong),"",OFFSET(TH!E$1,SMALL(Dong,ROWS($1:20)),))</f>
        <v/>
      </c>
      <c r="D33" s="126" t="str">
        <f ca="1">IF(ROWS($1:20)&gt;COUNT(Dong),"",OFFSET(TH!F$1,SMALL(Dong,ROWS($1:20)),))</f>
        <v/>
      </c>
      <c r="E33" s="127" t="str">
        <f ca="1">IF(ROWS($1:20)&gt;COUNT(Dong),"",IF(OFFSET(TH!N$1,SMALL(Dong,ROWS($1:20)),)="331",OFFSET(TH!O$1,SMALL(Dong,ROWS($1:20)),),OFFSET(TH!N$1,SMALL(Dong,ROWS($1:20)),)))</f>
        <v/>
      </c>
      <c r="F33" s="127"/>
      <c r="G33" s="138" t="str">
        <f ca="1">IF(ROWS($1:20)&gt;COUNT(Dong),"",IF(OFFSET(TH!N$1,SMALL(Dong,ROWS($1:20)),)="331",OFFSET(TH!M$1,SMALL(Dong,ROWS($1:20)),),0))</f>
        <v/>
      </c>
      <c r="H33" s="138" t="str">
        <f ca="1">IF(ROWS($1:20)&gt;COUNT(Dong),"",IF(OFFSET(TH!O$1,SMALL(Dong,ROWS($1:20)),)="331",OFFSET(TH!M$1,SMALL(Dong,ROWS($1:20)),),0))</f>
        <v/>
      </c>
      <c r="I33" s="33">
        <f t="shared" ref="I33:I39" ca="1" si="7">IF(D33&lt;&gt;"",MAX(I32+G33-H33-J32,0),0)</f>
        <v>0</v>
      </c>
      <c r="J33" s="33">
        <f t="shared" ref="J33:J39" ca="1" si="8">IF(D33&lt;&gt;"",MAX(J32+H33-I32-G33,0),0)</f>
        <v>0</v>
      </c>
    </row>
    <row r="34" spans="1:10" s="26" customFormat="1" ht="18" customHeight="1">
      <c r="A34" s="11" t="str">
        <f t="shared" ca="1" si="6"/>
        <v/>
      </c>
      <c r="B34" s="11" t="str">
        <f ca="1">IF(ROWS($1:21)&gt;COUNT(Dong),"",OFFSET(TH!D$1,SMALL(Dong,ROWS($1:21)),))</f>
        <v/>
      </c>
      <c r="C34" s="11" t="str">
        <f ca="1">IF(ROWS($1:21)&gt;COUNT(Dong),"",OFFSET(TH!E$1,SMALL(Dong,ROWS($1:21)),))</f>
        <v/>
      </c>
      <c r="D34" s="126" t="str">
        <f ca="1">IF(ROWS($1:21)&gt;COUNT(Dong),"",OFFSET(TH!F$1,SMALL(Dong,ROWS($1:21)),))</f>
        <v/>
      </c>
      <c r="E34" s="127" t="str">
        <f ca="1">IF(ROWS($1:21)&gt;COUNT(Dong),"",IF(OFFSET(TH!N$1,SMALL(Dong,ROWS($1:21)),)="331",OFFSET(TH!O$1,SMALL(Dong,ROWS($1:21)),),OFFSET(TH!N$1,SMALL(Dong,ROWS($1:21)),)))</f>
        <v/>
      </c>
      <c r="F34" s="127"/>
      <c r="G34" s="138" t="str">
        <f ca="1">IF(ROWS($1:21)&gt;COUNT(Dong),"",IF(OFFSET(TH!N$1,SMALL(Dong,ROWS($1:21)),)="331",OFFSET(TH!M$1,SMALL(Dong,ROWS($1:21)),),0))</f>
        <v/>
      </c>
      <c r="H34" s="138" t="str">
        <f ca="1">IF(ROWS($1:21)&gt;COUNT(Dong),"",IF(OFFSET(TH!O$1,SMALL(Dong,ROWS($1:21)),)="331",OFFSET(TH!M$1,SMALL(Dong,ROWS($1:21)),),0))</f>
        <v/>
      </c>
      <c r="I34" s="33">
        <f t="shared" ca="1" si="7"/>
        <v>0</v>
      </c>
      <c r="J34" s="33">
        <f t="shared" ca="1" si="8"/>
        <v>0</v>
      </c>
    </row>
    <row r="35" spans="1:10" s="26" customFormat="1" ht="18" customHeight="1">
      <c r="A35" s="11" t="str">
        <f t="shared" ca="1" si="6"/>
        <v/>
      </c>
      <c r="B35" s="11" t="str">
        <f ca="1">IF(ROWS($1:22)&gt;COUNT(Dong),"",OFFSET(TH!D$1,SMALL(Dong,ROWS($1:22)),))</f>
        <v/>
      </c>
      <c r="C35" s="11" t="str">
        <f ca="1">IF(ROWS($1:22)&gt;COUNT(Dong),"",OFFSET(TH!E$1,SMALL(Dong,ROWS($1:22)),))</f>
        <v/>
      </c>
      <c r="D35" s="126" t="str">
        <f ca="1">IF(ROWS($1:22)&gt;COUNT(Dong),"",OFFSET(TH!F$1,SMALL(Dong,ROWS($1:22)),))</f>
        <v/>
      </c>
      <c r="E35" s="127" t="str">
        <f ca="1">IF(ROWS($1:22)&gt;COUNT(Dong),"",IF(OFFSET(TH!N$1,SMALL(Dong,ROWS($1:22)),)="331",OFFSET(TH!O$1,SMALL(Dong,ROWS($1:22)),),OFFSET(TH!N$1,SMALL(Dong,ROWS($1:22)),)))</f>
        <v/>
      </c>
      <c r="F35" s="127"/>
      <c r="G35" s="138" t="str">
        <f ca="1">IF(ROWS($1:22)&gt;COUNT(Dong),"",IF(OFFSET(TH!N$1,SMALL(Dong,ROWS($1:22)),)="331",OFFSET(TH!M$1,SMALL(Dong,ROWS($1:22)),),0))</f>
        <v/>
      </c>
      <c r="H35" s="138" t="str">
        <f ca="1">IF(ROWS($1:22)&gt;COUNT(Dong),"",IF(OFFSET(TH!O$1,SMALL(Dong,ROWS($1:22)),)="331",OFFSET(TH!M$1,SMALL(Dong,ROWS($1:22)),),0))</f>
        <v/>
      </c>
      <c r="I35" s="33">
        <f t="shared" ca="1" si="7"/>
        <v>0</v>
      </c>
      <c r="J35" s="33">
        <f t="shared" ca="1" si="8"/>
        <v>0</v>
      </c>
    </row>
    <row r="36" spans="1:10" s="26" customFormat="1" ht="18" customHeight="1">
      <c r="A36" s="11" t="str">
        <f t="shared" ca="1" si="6"/>
        <v/>
      </c>
      <c r="B36" s="11" t="str">
        <f ca="1">IF(ROWS($1:23)&gt;COUNT(Dong),"",OFFSET(TH!D$1,SMALL(Dong,ROWS($1:23)),))</f>
        <v/>
      </c>
      <c r="C36" s="11" t="str">
        <f ca="1">IF(ROWS($1:23)&gt;COUNT(Dong),"",OFFSET(TH!E$1,SMALL(Dong,ROWS($1:23)),))</f>
        <v/>
      </c>
      <c r="D36" s="126" t="str">
        <f ca="1">IF(ROWS($1:23)&gt;COUNT(Dong),"",OFFSET(TH!F$1,SMALL(Dong,ROWS($1:23)),))</f>
        <v/>
      </c>
      <c r="E36" s="127" t="str">
        <f ca="1">IF(ROWS($1:23)&gt;COUNT(Dong),"",IF(OFFSET(TH!N$1,SMALL(Dong,ROWS($1:23)),)="331",OFFSET(TH!O$1,SMALL(Dong,ROWS($1:23)),),OFFSET(TH!N$1,SMALL(Dong,ROWS($1:23)),)))</f>
        <v/>
      </c>
      <c r="F36" s="127"/>
      <c r="G36" s="138" t="str">
        <f ca="1">IF(ROWS($1:23)&gt;COUNT(Dong),"",IF(OFFSET(TH!N$1,SMALL(Dong,ROWS($1:23)),)="331",OFFSET(TH!M$1,SMALL(Dong,ROWS($1:23)),),0))</f>
        <v/>
      </c>
      <c r="H36" s="138" t="str">
        <f ca="1">IF(ROWS($1:23)&gt;COUNT(Dong),"",IF(OFFSET(TH!O$1,SMALL(Dong,ROWS($1:23)),)="331",OFFSET(TH!M$1,SMALL(Dong,ROWS($1:23)),),0))</f>
        <v/>
      </c>
      <c r="I36" s="33">
        <f t="shared" ca="1" si="7"/>
        <v>0</v>
      </c>
      <c r="J36" s="33">
        <f t="shared" ca="1" si="8"/>
        <v>0</v>
      </c>
    </row>
    <row r="37" spans="1:10" s="26" customFormat="1" ht="18" customHeight="1">
      <c r="A37" s="11" t="str">
        <f t="shared" ca="1" si="6"/>
        <v/>
      </c>
      <c r="B37" s="11" t="str">
        <f ca="1">IF(ROWS($1:24)&gt;COUNT(Dong),"",OFFSET(TH!D$1,SMALL(Dong,ROWS($1:24)),))</f>
        <v/>
      </c>
      <c r="C37" s="11" t="str">
        <f ca="1">IF(ROWS($1:24)&gt;COUNT(Dong),"",OFFSET(TH!E$1,SMALL(Dong,ROWS($1:24)),))</f>
        <v/>
      </c>
      <c r="D37" s="126" t="str">
        <f ca="1">IF(ROWS($1:24)&gt;COUNT(Dong),"",OFFSET(TH!F$1,SMALL(Dong,ROWS($1:24)),))</f>
        <v/>
      </c>
      <c r="E37" s="127" t="str">
        <f ca="1">IF(ROWS($1:24)&gt;COUNT(Dong),"",IF(OFFSET(TH!N$1,SMALL(Dong,ROWS($1:24)),)="331",OFFSET(TH!O$1,SMALL(Dong,ROWS($1:24)),),OFFSET(TH!N$1,SMALL(Dong,ROWS($1:24)),)))</f>
        <v/>
      </c>
      <c r="F37" s="127"/>
      <c r="G37" s="138" t="str">
        <f ca="1">IF(ROWS($1:24)&gt;COUNT(Dong),"",IF(OFFSET(TH!N$1,SMALL(Dong,ROWS($1:24)),)="331",OFFSET(TH!M$1,SMALL(Dong,ROWS($1:24)),),0))</f>
        <v/>
      </c>
      <c r="H37" s="138" t="str">
        <f ca="1">IF(ROWS($1:24)&gt;COUNT(Dong),"",IF(OFFSET(TH!O$1,SMALL(Dong,ROWS($1:24)),)="331",OFFSET(TH!M$1,SMALL(Dong,ROWS($1:24)),),0))</f>
        <v/>
      </c>
      <c r="I37" s="33">
        <f t="shared" ca="1" si="7"/>
        <v>0</v>
      </c>
      <c r="J37" s="33">
        <f t="shared" ca="1" si="8"/>
        <v>0</v>
      </c>
    </row>
    <row r="38" spans="1:10" s="26" customFormat="1" ht="18" customHeight="1">
      <c r="A38" s="11" t="str">
        <f t="shared" ca="1" si="6"/>
        <v/>
      </c>
      <c r="B38" s="11" t="str">
        <f ca="1">IF(ROWS($1:25)&gt;COUNT(Dong),"",OFFSET(TH!D$1,SMALL(Dong,ROWS($1:25)),))</f>
        <v/>
      </c>
      <c r="C38" s="11" t="str">
        <f ca="1">IF(ROWS($1:25)&gt;COUNT(Dong),"",OFFSET(TH!E$1,SMALL(Dong,ROWS($1:25)),))</f>
        <v/>
      </c>
      <c r="D38" s="126" t="str">
        <f ca="1">IF(ROWS($1:25)&gt;COUNT(Dong),"",OFFSET(TH!F$1,SMALL(Dong,ROWS($1:25)),))</f>
        <v/>
      </c>
      <c r="E38" s="127" t="str">
        <f ca="1">IF(ROWS($1:25)&gt;COUNT(Dong),"",IF(OFFSET(TH!N$1,SMALL(Dong,ROWS($1:25)),)="331",OFFSET(TH!O$1,SMALL(Dong,ROWS($1:25)),),OFFSET(TH!N$1,SMALL(Dong,ROWS($1:25)),)))</f>
        <v/>
      </c>
      <c r="F38" s="127"/>
      <c r="G38" s="138" t="str">
        <f ca="1">IF(ROWS($1:25)&gt;COUNT(Dong),"",IF(OFFSET(TH!N$1,SMALL(Dong,ROWS($1:25)),)="331",OFFSET(TH!M$1,SMALL(Dong,ROWS($1:25)),),0))</f>
        <v/>
      </c>
      <c r="H38" s="138" t="str">
        <f ca="1">IF(ROWS($1:25)&gt;COUNT(Dong),"",IF(OFFSET(TH!O$1,SMALL(Dong,ROWS($1:25)),)="331",OFFSET(TH!M$1,SMALL(Dong,ROWS($1:25)),),0))</f>
        <v/>
      </c>
      <c r="I38" s="33">
        <f t="shared" ca="1" si="7"/>
        <v>0</v>
      </c>
      <c r="J38" s="33">
        <f t="shared" ca="1" si="8"/>
        <v>0</v>
      </c>
    </row>
    <row r="39" spans="1:10" s="26" customFormat="1" ht="18" customHeight="1">
      <c r="A39" s="11" t="str">
        <f t="shared" ca="1" si="6"/>
        <v/>
      </c>
      <c r="B39" s="11" t="str">
        <f ca="1">IF(ROWS($1:26)&gt;COUNT(Dong),"",OFFSET(TH!D$1,SMALL(Dong,ROWS($1:26)),))</f>
        <v/>
      </c>
      <c r="C39" s="11" t="str">
        <f ca="1">IF(ROWS($1:26)&gt;COUNT(Dong),"",OFFSET(TH!E$1,SMALL(Dong,ROWS($1:26)),))</f>
        <v/>
      </c>
      <c r="D39" s="126" t="str">
        <f ca="1">IF(ROWS($1:26)&gt;COUNT(Dong),"",OFFSET(TH!F$1,SMALL(Dong,ROWS($1:26)),))</f>
        <v/>
      </c>
      <c r="E39" s="127" t="str">
        <f ca="1">IF(ROWS($1:26)&gt;COUNT(Dong),"",IF(OFFSET(TH!N$1,SMALL(Dong,ROWS($1:26)),)="331",OFFSET(TH!O$1,SMALL(Dong,ROWS($1:26)),),OFFSET(TH!N$1,SMALL(Dong,ROWS($1:26)),)))</f>
        <v/>
      </c>
      <c r="F39" s="127"/>
      <c r="G39" s="138" t="str">
        <f ca="1">IF(ROWS($1:26)&gt;COUNT(Dong),"",IF(OFFSET(TH!N$1,SMALL(Dong,ROWS($1:26)),)="331",OFFSET(TH!M$1,SMALL(Dong,ROWS($1:26)),),0))</f>
        <v/>
      </c>
      <c r="H39" s="138" t="str">
        <f ca="1">IF(ROWS($1:26)&gt;COUNT(Dong),"",IF(OFFSET(TH!O$1,SMALL(Dong,ROWS($1:26)),)="331",OFFSET(TH!M$1,SMALL(Dong,ROWS($1:26)),),0))</f>
        <v/>
      </c>
      <c r="I39" s="33">
        <f t="shared" ca="1" si="7"/>
        <v>0</v>
      </c>
      <c r="J39" s="33">
        <f t="shared" ca="1" si="8"/>
        <v>0</v>
      </c>
    </row>
    <row r="40" spans="1:10" s="26" customFormat="1" ht="18" customHeight="1">
      <c r="A40" s="11" t="str">
        <f t="shared" ref="A40:A43" ca="1" si="9">IF(C40&lt;&gt;"",C40,"")</f>
        <v/>
      </c>
      <c r="B40" s="11" t="str">
        <f ca="1">IF(ROWS($1:27)&gt;COUNT(Dong),"",OFFSET(TH!D$1,SMALL(Dong,ROWS($1:27)),))</f>
        <v/>
      </c>
      <c r="C40" s="11" t="str">
        <f ca="1">IF(ROWS($1:27)&gt;COUNT(Dong),"",OFFSET(TH!E$1,SMALL(Dong,ROWS($1:27)),))</f>
        <v/>
      </c>
      <c r="D40" s="126" t="str">
        <f ca="1">IF(ROWS($1:27)&gt;COUNT(Dong),"",OFFSET(TH!F$1,SMALL(Dong,ROWS($1:27)),))</f>
        <v/>
      </c>
      <c r="E40" s="127" t="str">
        <f ca="1">IF(ROWS($1:27)&gt;COUNT(Dong),"",IF(OFFSET(TH!N$1,SMALL(Dong,ROWS($1:27)),)="331",OFFSET(TH!O$1,SMALL(Dong,ROWS($1:27)),),OFFSET(TH!N$1,SMALL(Dong,ROWS($1:27)),)))</f>
        <v/>
      </c>
      <c r="F40" s="127"/>
      <c r="G40" s="231" t="str">
        <f ca="1">IF(ROWS($1:27)&gt;COUNT(Dong),"",IF(OFFSET(TH!N$1,SMALL(Dong,ROWS($1:27)),)="331",OFFSET(TH!M$1,SMALL(Dong,ROWS($1:27)),),0))</f>
        <v/>
      </c>
      <c r="H40" s="231" t="str">
        <f ca="1">IF(ROWS($1:27)&gt;COUNT(Dong),"",IF(OFFSET(TH!O$1,SMALL(Dong,ROWS($1:27)),)="331",OFFSET(TH!M$1,SMALL(Dong,ROWS($1:27)),),0))</f>
        <v/>
      </c>
      <c r="I40" s="33">
        <f t="shared" ref="I40:I43" ca="1" si="10">IF(D40&lt;&gt;"",MAX(I39+G40-H40-J39,0),0)</f>
        <v>0</v>
      </c>
      <c r="J40" s="33">
        <f t="shared" ref="J40:J43" ca="1" si="11">IF(D40&lt;&gt;"",MAX(J39+H40-I39-G40,0),0)</f>
        <v>0</v>
      </c>
    </row>
    <row r="41" spans="1:10" s="26" customFormat="1" ht="18" customHeight="1">
      <c r="A41" s="11" t="str">
        <f t="shared" ca="1" si="9"/>
        <v/>
      </c>
      <c r="B41" s="11" t="str">
        <f ca="1">IF(ROWS($1:28)&gt;COUNT(Dong),"",OFFSET(TH!D$1,SMALL(Dong,ROWS($1:28)),))</f>
        <v/>
      </c>
      <c r="C41" s="11" t="str">
        <f ca="1">IF(ROWS($1:28)&gt;COUNT(Dong),"",OFFSET(TH!E$1,SMALL(Dong,ROWS($1:28)),))</f>
        <v/>
      </c>
      <c r="D41" s="126" t="str">
        <f ca="1">IF(ROWS($1:28)&gt;COUNT(Dong),"",OFFSET(TH!F$1,SMALL(Dong,ROWS($1:28)),))</f>
        <v/>
      </c>
      <c r="E41" s="127" t="str">
        <f ca="1">IF(ROWS($1:28)&gt;COUNT(Dong),"",IF(OFFSET(TH!N$1,SMALL(Dong,ROWS($1:28)),)="331",OFFSET(TH!O$1,SMALL(Dong,ROWS($1:28)),),OFFSET(TH!N$1,SMALL(Dong,ROWS($1:28)),)))</f>
        <v/>
      </c>
      <c r="F41" s="127"/>
      <c r="G41" s="231" t="str">
        <f ca="1">IF(ROWS($1:28)&gt;COUNT(Dong),"",IF(OFFSET(TH!N$1,SMALL(Dong,ROWS($1:28)),)="331",OFFSET(TH!M$1,SMALL(Dong,ROWS($1:28)),),0))</f>
        <v/>
      </c>
      <c r="H41" s="231" t="str">
        <f ca="1">IF(ROWS($1:28)&gt;COUNT(Dong),"",IF(OFFSET(TH!O$1,SMALL(Dong,ROWS($1:28)),)="331",OFFSET(TH!M$1,SMALL(Dong,ROWS($1:28)),),0))</f>
        <v/>
      </c>
      <c r="I41" s="33">
        <f t="shared" ca="1" si="10"/>
        <v>0</v>
      </c>
      <c r="J41" s="33">
        <f t="shared" ca="1" si="11"/>
        <v>0</v>
      </c>
    </row>
    <row r="42" spans="1:10" s="26" customFormat="1" ht="18" customHeight="1">
      <c r="A42" s="11" t="str">
        <f t="shared" ca="1" si="9"/>
        <v/>
      </c>
      <c r="B42" s="11" t="str">
        <f ca="1">IF(ROWS($1:29)&gt;COUNT(Dong),"",OFFSET(TH!D$1,SMALL(Dong,ROWS($1:29)),))</f>
        <v/>
      </c>
      <c r="C42" s="11" t="str">
        <f ca="1">IF(ROWS($1:29)&gt;COUNT(Dong),"",OFFSET(TH!E$1,SMALL(Dong,ROWS($1:29)),))</f>
        <v/>
      </c>
      <c r="D42" s="126" t="str">
        <f ca="1">IF(ROWS($1:29)&gt;COUNT(Dong),"",OFFSET(TH!F$1,SMALL(Dong,ROWS($1:29)),))</f>
        <v/>
      </c>
      <c r="E42" s="127" t="str">
        <f ca="1">IF(ROWS($1:29)&gt;COUNT(Dong),"",IF(OFFSET(TH!N$1,SMALL(Dong,ROWS($1:29)),)="331",OFFSET(TH!O$1,SMALL(Dong,ROWS($1:29)),),OFFSET(TH!N$1,SMALL(Dong,ROWS($1:29)),)))</f>
        <v/>
      </c>
      <c r="F42" s="127"/>
      <c r="G42" s="231" t="str">
        <f ca="1">IF(ROWS($1:29)&gt;COUNT(Dong),"",IF(OFFSET(TH!N$1,SMALL(Dong,ROWS($1:29)),)="331",OFFSET(TH!M$1,SMALL(Dong,ROWS($1:29)),),0))</f>
        <v/>
      </c>
      <c r="H42" s="231" t="str">
        <f ca="1">IF(ROWS($1:29)&gt;COUNT(Dong),"",IF(OFFSET(TH!O$1,SMALL(Dong,ROWS($1:29)),)="331",OFFSET(TH!M$1,SMALL(Dong,ROWS($1:29)),),0))</f>
        <v/>
      </c>
      <c r="I42" s="33">
        <f t="shared" ca="1" si="10"/>
        <v>0</v>
      </c>
      <c r="J42" s="33">
        <f t="shared" ca="1" si="11"/>
        <v>0</v>
      </c>
    </row>
    <row r="43" spans="1:10" s="26" customFormat="1" ht="18" customHeight="1">
      <c r="A43" s="11" t="str">
        <f t="shared" ca="1" si="9"/>
        <v/>
      </c>
      <c r="B43" s="11" t="str">
        <f ca="1">IF(ROWS($1:30)&gt;COUNT(Dong),"",OFFSET(TH!D$1,SMALL(Dong,ROWS($1:30)),))</f>
        <v/>
      </c>
      <c r="C43" s="11" t="str">
        <f ca="1">IF(ROWS($1:30)&gt;COUNT(Dong),"",OFFSET(TH!E$1,SMALL(Dong,ROWS($1:30)),))</f>
        <v/>
      </c>
      <c r="D43" s="126" t="str">
        <f ca="1">IF(ROWS($1:30)&gt;COUNT(Dong),"",OFFSET(TH!F$1,SMALL(Dong,ROWS($1:30)),))</f>
        <v/>
      </c>
      <c r="E43" s="127" t="str">
        <f ca="1">IF(ROWS($1:30)&gt;COUNT(Dong),"",IF(OFFSET(TH!N$1,SMALL(Dong,ROWS($1:30)),)="331",OFFSET(TH!O$1,SMALL(Dong,ROWS($1:30)),),OFFSET(TH!N$1,SMALL(Dong,ROWS($1:30)),)))</f>
        <v/>
      </c>
      <c r="F43" s="127"/>
      <c r="G43" s="231" t="str">
        <f ca="1">IF(ROWS($1:30)&gt;COUNT(Dong),"",IF(OFFSET(TH!N$1,SMALL(Dong,ROWS($1:30)),)="331",OFFSET(TH!M$1,SMALL(Dong,ROWS($1:30)),),0))</f>
        <v/>
      </c>
      <c r="H43" s="231" t="str">
        <f ca="1">IF(ROWS($1:30)&gt;COUNT(Dong),"",IF(OFFSET(TH!O$1,SMALL(Dong,ROWS($1:30)),)="331",OFFSET(TH!M$1,SMALL(Dong,ROWS($1:30)),),0))</f>
        <v/>
      </c>
      <c r="I43" s="33">
        <f t="shared" ca="1" si="10"/>
        <v>0</v>
      </c>
      <c r="J43" s="33">
        <f t="shared" ca="1" si="11"/>
        <v>0</v>
      </c>
    </row>
    <row r="44" spans="1:10" s="26" customFormat="1" ht="18" customHeight="1">
      <c r="A44" s="11" t="str">
        <f t="shared" ref="A44:A50" ca="1" si="12">IF(C44&lt;&gt;"",C44,"")</f>
        <v/>
      </c>
      <c r="B44" s="11" t="str">
        <f ca="1">IF(ROWS($1:31)&gt;COUNT(Dong),"",OFFSET(TH!D$1,SMALL(Dong,ROWS($1:31)),))</f>
        <v/>
      </c>
      <c r="C44" s="11" t="str">
        <f ca="1">IF(ROWS($1:31)&gt;COUNT(Dong),"",OFFSET(TH!E$1,SMALL(Dong,ROWS($1:31)),))</f>
        <v/>
      </c>
      <c r="D44" s="126" t="str">
        <f ca="1">IF(ROWS($1:31)&gt;COUNT(Dong),"",OFFSET(TH!F$1,SMALL(Dong,ROWS($1:31)),))</f>
        <v/>
      </c>
      <c r="E44" s="127" t="str">
        <f ca="1">IF(ROWS($1:31)&gt;COUNT(Dong),"",IF(OFFSET(TH!N$1,SMALL(Dong,ROWS($1:31)),)="331",OFFSET(TH!O$1,SMALL(Dong,ROWS($1:31)),),OFFSET(TH!N$1,SMALL(Dong,ROWS($1:31)),)))</f>
        <v/>
      </c>
      <c r="F44" s="127"/>
      <c r="G44" s="231" t="str">
        <f ca="1">IF(ROWS($1:31)&gt;COUNT(Dong),"",IF(OFFSET(TH!N$1,SMALL(Dong,ROWS($1:31)),)="331",OFFSET(TH!M$1,SMALL(Dong,ROWS($1:31)),),0))</f>
        <v/>
      </c>
      <c r="H44" s="231" t="str">
        <f ca="1">IF(ROWS($1:31)&gt;COUNT(Dong),"",IF(OFFSET(TH!O$1,SMALL(Dong,ROWS($1:31)),)="331",OFFSET(TH!M$1,SMALL(Dong,ROWS($1:31)),),0))</f>
        <v/>
      </c>
      <c r="I44" s="33">
        <f t="shared" ref="I44:I50" ca="1" si="13">IF(D44&lt;&gt;"",MAX(I43+G44-H44-J43,0),0)</f>
        <v>0</v>
      </c>
      <c r="J44" s="33">
        <f t="shared" ref="J44:J50" ca="1" si="14">IF(D44&lt;&gt;"",MAX(J43+H44-I43-G44,0),0)</f>
        <v>0</v>
      </c>
    </row>
    <row r="45" spans="1:10" s="26" customFormat="1" ht="18" customHeight="1">
      <c r="A45" s="11" t="str">
        <f t="shared" ca="1" si="12"/>
        <v/>
      </c>
      <c r="B45" s="11" t="str">
        <f ca="1">IF(ROWS($1:32)&gt;COUNT(Dong),"",OFFSET(TH!D$1,SMALL(Dong,ROWS($1:32)),))</f>
        <v/>
      </c>
      <c r="C45" s="11" t="str">
        <f ca="1">IF(ROWS($1:32)&gt;COUNT(Dong),"",OFFSET(TH!E$1,SMALL(Dong,ROWS($1:32)),))</f>
        <v/>
      </c>
      <c r="D45" s="126" t="str">
        <f ca="1">IF(ROWS($1:32)&gt;COUNT(Dong),"",OFFSET(TH!F$1,SMALL(Dong,ROWS($1:32)),))</f>
        <v/>
      </c>
      <c r="E45" s="127" t="str">
        <f ca="1">IF(ROWS($1:32)&gt;COUNT(Dong),"",IF(OFFSET(TH!N$1,SMALL(Dong,ROWS($1:32)),)="331",OFFSET(TH!O$1,SMALL(Dong,ROWS($1:32)),),OFFSET(TH!N$1,SMALL(Dong,ROWS($1:32)),)))</f>
        <v/>
      </c>
      <c r="F45" s="127"/>
      <c r="G45" s="231" t="str">
        <f ca="1">IF(ROWS($1:32)&gt;COUNT(Dong),"",IF(OFFSET(TH!N$1,SMALL(Dong,ROWS($1:32)),)="331",OFFSET(TH!M$1,SMALL(Dong,ROWS($1:32)),),0))</f>
        <v/>
      </c>
      <c r="H45" s="231" t="str">
        <f ca="1">IF(ROWS($1:32)&gt;COUNT(Dong),"",IF(OFFSET(TH!O$1,SMALL(Dong,ROWS($1:32)),)="331",OFFSET(TH!M$1,SMALL(Dong,ROWS($1:32)),),0))</f>
        <v/>
      </c>
      <c r="I45" s="33">
        <f t="shared" ca="1" si="13"/>
        <v>0</v>
      </c>
      <c r="J45" s="33">
        <f t="shared" ca="1" si="14"/>
        <v>0</v>
      </c>
    </row>
    <row r="46" spans="1:10" s="26" customFormat="1" ht="18" customHeight="1">
      <c r="A46" s="11" t="str">
        <f t="shared" ca="1" si="12"/>
        <v/>
      </c>
      <c r="B46" s="11" t="str">
        <f ca="1">IF(ROWS($1:33)&gt;COUNT(Dong),"",OFFSET(TH!D$1,SMALL(Dong,ROWS($1:33)),))</f>
        <v/>
      </c>
      <c r="C46" s="11" t="str">
        <f ca="1">IF(ROWS($1:33)&gt;COUNT(Dong),"",OFFSET(TH!E$1,SMALL(Dong,ROWS($1:33)),))</f>
        <v/>
      </c>
      <c r="D46" s="126" t="str">
        <f ca="1">IF(ROWS($1:33)&gt;COUNT(Dong),"",OFFSET(TH!F$1,SMALL(Dong,ROWS($1:33)),))</f>
        <v/>
      </c>
      <c r="E46" s="127" t="str">
        <f ca="1">IF(ROWS($1:33)&gt;COUNT(Dong),"",IF(OFFSET(TH!N$1,SMALL(Dong,ROWS($1:33)),)="331",OFFSET(TH!O$1,SMALL(Dong,ROWS($1:33)),),OFFSET(TH!N$1,SMALL(Dong,ROWS($1:33)),)))</f>
        <v/>
      </c>
      <c r="F46" s="127"/>
      <c r="G46" s="231" t="str">
        <f ca="1">IF(ROWS($1:33)&gt;COUNT(Dong),"",IF(OFFSET(TH!N$1,SMALL(Dong,ROWS($1:33)),)="331",OFFSET(TH!M$1,SMALL(Dong,ROWS($1:33)),),0))</f>
        <v/>
      </c>
      <c r="H46" s="231" t="str">
        <f ca="1">IF(ROWS($1:33)&gt;COUNT(Dong),"",IF(OFFSET(TH!O$1,SMALL(Dong,ROWS($1:33)),)="331",OFFSET(TH!M$1,SMALL(Dong,ROWS($1:33)),),0))</f>
        <v/>
      </c>
      <c r="I46" s="33">
        <f t="shared" ca="1" si="13"/>
        <v>0</v>
      </c>
      <c r="J46" s="33">
        <f t="shared" ca="1" si="14"/>
        <v>0</v>
      </c>
    </row>
    <row r="47" spans="1:10" s="26" customFormat="1" ht="18" customHeight="1">
      <c r="A47" s="11" t="str">
        <f t="shared" ca="1" si="12"/>
        <v/>
      </c>
      <c r="B47" s="11" t="str">
        <f ca="1">IF(ROWS($1:34)&gt;COUNT(Dong),"",OFFSET(TH!D$1,SMALL(Dong,ROWS($1:34)),))</f>
        <v/>
      </c>
      <c r="C47" s="11" t="str">
        <f ca="1">IF(ROWS($1:34)&gt;COUNT(Dong),"",OFFSET(TH!E$1,SMALL(Dong,ROWS($1:34)),))</f>
        <v/>
      </c>
      <c r="D47" s="126" t="str">
        <f ca="1">IF(ROWS($1:34)&gt;COUNT(Dong),"",OFFSET(TH!F$1,SMALL(Dong,ROWS($1:34)),))</f>
        <v/>
      </c>
      <c r="E47" s="127" t="str">
        <f ca="1">IF(ROWS($1:34)&gt;COUNT(Dong),"",IF(OFFSET(TH!N$1,SMALL(Dong,ROWS($1:34)),)="331",OFFSET(TH!O$1,SMALL(Dong,ROWS($1:34)),),OFFSET(TH!N$1,SMALL(Dong,ROWS($1:34)),)))</f>
        <v/>
      </c>
      <c r="F47" s="127"/>
      <c r="G47" s="231" t="str">
        <f ca="1">IF(ROWS($1:34)&gt;COUNT(Dong),"",IF(OFFSET(TH!N$1,SMALL(Dong,ROWS($1:34)),)="331",OFFSET(TH!M$1,SMALL(Dong,ROWS($1:34)),),0))</f>
        <v/>
      </c>
      <c r="H47" s="231" t="str">
        <f ca="1">IF(ROWS($1:34)&gt;COUNT(Dong),"",IF(OFFSET(TH!O$1,SMALL(Dong,ROWS($1:34)),)="331",OFFSET(TH!M$1,SMALL(Dong,ROWS($1:34)),),0))</f>
        <v/>
      </c>
      <c r="I47" s="33">
        <f t="shared" ca="1" si="13"/>
        <v>0</v>
      </c>
      <c r="J47" s="33">
        <f t="shared" ca="1" si="14"/>
        <v>0</v>
      </c>
    </row>
    <row r="48" spans="1:10" s="26" customFormat="1" ht="18" customHeight="1">
      <c r="A48" s="11" t="str">
        <f t="shared" ca="1" si="12"/>
        <v/>
      </c>
      <c r="B48" s="11" t="str">
        <f ca="1">IF(ROWS($1:35)&gt;COUNT(Dong),"",OFFSET(TH!D$1,SMALL(Dong,ROWS($1:35)),))</f>
        <v/>
      </c>
      <c r="C48" s="11" t="str">
        <f ca="1">IF(ROWS($1:35)&gt;COUNT(Dong),"",OFFSET(TH!E$1,SMALL(Dong,ROWS($1:35)),))</f>
        <v/>
      </c>
      <c r="D48" s="126" t="str">
        <f ca="1">IF(ROWS($1:35)&gt;COUNT(Dong),"",OFFSET(TH!F$1,SMALL(Dong,ROWS($1:35)),))</f>
        <v/>
      </c>
      <c r="E48" s="127" t="str">
        <f ca="1">IF(ROWS($1:35)&gt;COUNT(Dong),"",IF(OFFSET(TH!N$1,SMALL(Dong,ROWS($1:35)),)="331",OFFSET(TH!O$1,SMALL(Dong,ROWS($1:35)),),OFFSET(TH!N$1,SMALL(Dong,ROWS($1:35)),)))</f>
        <v/>
      </c>
      <c r="F48" s="127"/>
      <c r="G48" s="231" t="str">
        <f ca="1">IF(ROWS($1:35)&gt;COUNT(Dong),"",IF(OFFSET(TH!N$1,SMALL(Dong,ROWS($1:35)),)="331",OFFSET(TH!M$1,SMALL(Dong,ROWS($1:35)),),0))</f>
        <v/>
      </c>
      <c r="H48" s="231" t="str">
        <f ca="1">IF(ROWS($1:35)&gt;COUNT(Dong),"",IF(OFFSET(TH!O$1,SMALL(Dong,ROWS($1:35)),)="331",OFFSET(TH!M$1,SMALL(Dong,ROWS($1:35)),),0))</f>
        <v/>
      </c>
      <c r="I48" s="33">
        <f t="shared" ca="1" si="13"/>
        <v>0</v>
      </c>
      <c r="J48" s="33">
        <f t="shared" ca="1" si="14"/>
        <v>0</v>
      </c>
    </row>
    <row r="49" spans="1:10" s="26" customFormat="1" ht="18" customHeight="1">
      <c r="A49" s="11" t="str">
        <f t="shared" ca="1" si="12"/>
        <v/>
      </c>
      <c r="B49" s="11" t="str">
        <f ca="1">IF(ROWS($1:36)&gt;COUNT(Dong),"",OFFSET(TH!D$1,SMALL(Dong,ROWS($1:36)),))</f>
        <v/>
      </c>
      <c r="C49" s="11" t="str">
        <f ca="1">IF(ROWS($1:36)&gt;COUNT(Dong),"",OFFSET(TH!E$1,SMALL(Dong,ROWS($1:36)),))</f>
        <v/>
      </c>
      <c r="D49" s="126" t="str">
        <f ca="1">IF(ROWS($1:36)&gt;COUNT(Dong),"",OFFSET(TH!F$1,SMALL(Dong,ROWS($1:36)),))</f>
        <v/>
      </c>
      <c r="E49" s="127" t="str">
        <f ca="1">IF(ROWS($1:36)&gt;COUNT(Dong),"",IF(OFFSET(TH!N$1,SMALL(Dong,ROWS($1:36)),)="331",OFFSET(TH!O$1,SMALL(Dong,ROWS($1:36)),),OFFSET(TH!N$1,SMALL(Dong,ROWS($1:36)),)))</f>
        <v/>
      </c>
      <c r="F49" s="127"/>
      <c r="G49" s="231" t="str">
        <f ca="1">IF(ROWS($1:36)&gt;COUNT(Dong),"",IF(OFFSET(TH!N$1,SMALL(Dong,ROWS($1:36)),)="331",OFFSET(TH!M$1,SMALL(Dong,ROWS($1:36)),),0))</f>
        <v/>
      </c>
      <c r="H49" s="231" t="str">
        <f ca="1">IF(ROWS($1:36)&gt;COUNT(Dong),"",IF(OFFSET(TH!O$1,SMALL(Dong,ROWS($1:36)),)="331",OFFSET(TH!M$1,SMALL(Dong,ROWS($1:36)),),0))</f>
        <v/>
      </c>
      <c r="I49" s="33">
        <f t="shared" ca="1" si="13"/>
        <v>0</v>
      </c>
      <c r="J49" s="33">
        <f t="shared" ca="1" si="14"/>
        <v>0</v>
      </c>
    </row>
    <row r="50" spans="1:10" s="26" customFormat="1" ht="18" customHeight="1">
      <c r="A50" s="11" t="str">
        <f t="shared" ca="1" si="12"/>
        <v/>
      </c>
      <c r="B50" s="11" t="str">
        <f ca="1">IF(ROWS($1:37)&gt;COUNT(Dong),"",OFFSET(TH!D$1,SMALL(Dong,ROWS($1:37)),))</f>
        <v/>
      </c>
      <c r="C50" s="11" t="str">
        <f ca="1">IF(ROWS($1:37)&gt;COUNT(Dong),"",OFFSET(TH!E$1,SMALL(Dong,ROWS($1:37)),))</f>
        <v/>
      </c>
      <c r="D50" s="126" t="str">
        <f ca="1">IF(ROWS($1:37)&gt;COUNT(Dong),"",OFFSET(TH!F$1,SMALL(Dong,ROWS($1:37)),))</f>
        <v/>
      </c>
      <c r="E50" s="127" t="str">
        <f ca="1">IF(ROWS($1:37)&gt;COUNT(Dong),"",IF(OFFSET(TH!N$1,SMALL(Dong,ROWS($1:37)),)="331",OFFSET(TH!O$1,SMALL(Dong,ROWS($1:37)),),OFFSET(TH!N$1,SMALL(Dong,ROWS($1:37)),)))</f>
        <v/>
      </c>
      <c r="F50" s="127"/>
      <c r="G50" s="231" t="str">
        <f ca="1">IF(ROWS($1:37)&gt;COUNT(Dong),"",IF(OFFSET(TH!N$1,SMALL(Dong,ROWS($1:37)),)="331",OFFSET(TH!M$1,SMALL(Dong,ROWS($1:37)),),0))</f>
        <v/>
      </c>
      <c r="H50" s="231" t="str">
        <f ca="1">IF(ROWS($1:37)&gt;COUNT(Dong),"",IF(OFFSET(TH!O$1,SMALL(Dong,ROWS($1:37)),)="331",OFFSET(TH!M$1,SMALL(Dong,ROWS($1:37)),),0))</f>
        <v/>
      </c>
      <c r="I50" s="33">
        <f t="shared" ca="1" si="13"/>
        <v>0</v>
      </c>
      <c r="J50" s="33">
        <f t="shared" ca="1" si="14"/>
        <v>0</v>
      </c>
    </row>
    <row r="51" spans="1:10" s="26" customFormat="1" ht="18" customHeight="1">
      <c r="A51" s="32"/>
      <c r="B51" s="29"/>
      <c r="C51" s="34"/>
      <c r="D51" s="31" t="s">
        <v>74</v>
      </c>
      <c r="E51" s="29" t="s">
        <v>42</v>
      </c>
      <c r="F51" s="29" t="s">
        <v>42</v>
      </c>
      <c r="G51" s="35">
        <f ca="1">SUM(G14:G50)</f>
        <v>233808666</v>
      </c>
      <c r="H51" s="35">
        <f ca="1">SUM(H14:H50)</f>
        <v>199400666</v>
      </c>
      <c r="I51" s="35" t="s">
        <v>42</v>
      </c>
      <c r="J51" s="35" t="s">
        <v>42</v>
      </c>
    </row>
    <row r="52" spans="1:10" s="26" customFormat="1" ht="18" customHeight="1">
      <c r="A52" s="32"/>
      <c r="B52" s="29"/>
      <c r="C52" s="29"/>
      <c r="D52" s="31" t="s">
        <v>25</v>
      </c>
      <c r="E52" s="29" t="s">
        <v>42</v>
      </c>
      <c r="F52" s="29" t="s">
        <v>42</v>
      </c>
      <c r="G52" s="35" t="s">
        <v>42</v>
      </c>
      <c r="H52" s="35" t="s">
        <v>42</v>
      </c>
      <c r="I52" s="35">
        <f ca="1">MAX(I13+G51-H51-J13,0)</f>
        <v>34408000</v>
      </c>
      <c r="J52" s="35">
        <f ca="1">MAX(J13+H51-G51-I13,0)</f>
        <v>0</v>
      </c>
    </row>
    <row r="53" spans="1:10" s="26" customFormat="1" ht="14.25" customHeight="1">
      <c r="B53" s="27"/>
      <c r="C53" s="27"/>
      <c r="E53" s="27"/>
    </row>
    <row r="54" spans="1:10" s="26" customFormat="1" ht="14.25" customHeight="1">
      <c r="A54" s="36" t="s">
        <v>75</v>
      </c>
      <c r="B54" s="27"/>
      <c r="C54" s="27"/>
      <c r="E54" s="27"/>
    </row>
    <row r="55" spans="1:10" s="26" customFormat="1" ht="14.25" customHeight="1">
      <c r="A55" s="36" t="s">
        <v>76</v>
      </c>
      <c r="B55" s="27"/>
      <c r="C55" s="27"/>
      <c r="E55" s="27"/>
    </row>
    <row r="56" spans="1:10" s="26" customFormat="1" ht="14.25" customHeight="1">
      <c r="B56" s="27"/>
      <c r="C56" s="27"/>
      <c r="E56" s="526" t="s">
        <v>77</v>
      </c>
      <c r="F56" s="526"/>
      <c r="G56" s="526"/>
      <c r="H56" s="526"/>
      <c r="I56" s="526"/>
      <c r="J56" s="526"/>
    </row>
    <row r="57" spans="1:10" s="26" customFormat="1" ht="14.25" customHeight="1">
      <c r="A57" s="526" t="s">
        <v>26</v>
      </c>
      <c r="B57" s="526"/>
      <c r="C57" s="526"/>
      <c r="D57" s="526"/>
      <c r="E57" s="526" t="s">
        <v>27</v>
      </c>
      <c r="F57" s="526"/>
      <c r="G57" s="526"/>
      <c r="H57" s="526"/>
      <c r="I57" s="526"/>
      <c r="J57" s="526"/>
    </row>
    <row r="58" spans="1:10" s="26" customFormat="1" ht="14.25" customHeight="1">
      <c r="A58" s="526" t="s">
        <v>28</v>
      </c>
      <c r="B58" s="526"/>
      <c r="C58" s="526"/>
      <c r="D58" s="526"/>
      <c r="E58" s="526" t="s">
        <v>28</v>
      </c>
      <c r="F58" s="526"/>
      <c r="G58" s="526"/>
      <c r="H58" s="526"/>
      <c r="I58" s="526"/>
      <c r="J58" s="526"/>
    </row>
    <row r="59" spans="1:10" s="37" customFormat="1"/>
  </sheetData>
  <autoFilter ref="A12:J32"/>
  <mergeCells count="17"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  <mergeCell ref="A57:D57"/>
    <mergeCell ref="E57:J57"/>
    <mergeCell ref="A58:D58"/>
    <mergeCell ref="E58:J58"/>
    <mergeCell ref="A10:A11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5"/>
  </sheetPr>
  <dimension ref="A1:L20"/>
  <sheetViews>
    <sheetView workbookViewId="0">
      <pane xSplit="8" ySplit="4" topLeftCell="I5" activePane="bottomRight" state="frozen"/>
      <selection pane="topRight" activeCell="G1" sqref="G1"/>
      <selection pane="bottomLeft" activeCell="A5" sqref="A5"/>
      <selection pane="bottomRight" activeCell="F26" sqref="F26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6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494" t="str">
        <f ca="1">"CHI PHÍ XÂY DỰNG TRÀ VINH   " &amp; TEXT(NOW(),"dd/MM/yyyy")</f>
        <v>CHI PHÍ XÂY DỰNG TRÀ VINH   24/03/2016</v>
      </c>
      <c r="B1" s="494"/>
      <c r="C1" s="494"/>
      <c r="D1" s="494"/>
      <c r="E1" s="494"/>
      <c r="F1" s="494"/>
      <c r="G1" s="494"/>
      <c r="H1" s="494"/>
      <c r="I1" s="494"/>
      <c r="J1" s="494"/>
      <c r="K1" s="494"/>
      <c r="L1" s="303"/>
    </row>
    <row r="3" spans="1:12" s="145" customFormat="1" ht="19.5" customHeight="1">
      <c r="A3" s="495" t="s">
        <v>79</v>
      </c>
      <c r="B3" s="495" t="s">
        <v>359</v>
      </c>
      <c r="C3" s="495" t="s">
        <v>360</v>
      </c>
      <c r="D3" s="495" t="s">
        <v>361</v>
      </c>
      <c r="E3" s="496" t="s">
        <v>362</v>
      </c>
      <c r="F3" s="497"/>
      <c r="G3" s="498"/>
      <c r="H3" s="496" t="s">
        <v>363</v>
      </c>
      <c r="I3" s="498"/>
      <c r="J3" s="499" t="s">
        <v>364</v>
      </c>
      <c r="K3" s="495" t="s">
        <v>365</v>
      </c>
      <c r="L3" s="199"/>
    </row>
    <row r="4" spans="1:12" s="148" customFormat="1" ht="19.5" customHeight="1">
      <c r="A4" s="495"/>
      <c r="B4" s="495"/>
      <c r="C4" s="495"/>
      <c r="D4" s="495"/>
      <c r="E4" s="147" t="s">
        <v>429</v>
      </c>
      <c r="F4" s="146" t="s">
        <v>366</v>
      </c>
      <c r="G4" s="147" t="s">
        <v>367</v>
      </c>
      <c r="H4" s="146" t="s">
        <v>366</v>
      </c>
      <c r="I4" s="147" t="s">
        <v>367</v>
      </c>
      <c r="J4" s="500"/>
      <c r="K4" s="495"/>
      <c r="L4" s="304"/>
    </row>
    <row r="5" spans="1:12" ht="17.25" customHeight="1">
      <c r="A5" s="464">
        <v>16</v>
      </c>
      <c r="B5" s="464" t="s">
        <v>111</v>
      </c>
      <c r="C5" s="466" t="s">
        <v>393</v>
      </c>
      <c r="D5" s="468">
        <v>41871</v>
      </c>
      <c r="E5" s="459">
        <v>2200000000</v>
      </c>
      <c r="F5" s="459">
        <f>2508700000</f>
        <v>2508700000</v>
      </c>
      <c r="G5" s="172">
        <f>IF(I5&gt;0,I5,0)</f>
        <v>752610000</v>
      </c>
      <c r="H5" s="459">
        <v>1858000000</v>
      </c>
      <c r="I5" s="172">
        <v>752610000</v>
      </c>
      <c r="J5" s="173">
        <v>41905</v>
      </c>
      <c r="K5" s="325" t="s">
        <v>372</v>
      </c>
    </row>
    <row r="6" spans="1:12" s="180" customFormat="1" ht="17.25" customHeight="1">
      <c r="A6" s="464"/>
      <c r="B6" s="464"/>
      <c r="C6" s="467"/>
      <c r="D6" s="467"/>
      <c r="E6" s="460"/>
      <c r="F6" s="460"/>
      <c r="G6" s="172">
        <f t="shared" ref="G6:G16" si="0">IF(I6&gt;0,I6,0)</f>
        <v>0</v>
      </c>
      <c r="H6" s="460"/>
      <c r="I6" s="185">
        <v>-200000000</v>
      </c>
      <c r="J6" s="186">
        <v>41907</v>
      </c>
      <c r="K6" s="187" t="s">
        <v>390</v>
      </c>
      <c r="L6" s="306"/>
    </row>
    <row r="7" spans="1:12" ht="17.25" customHeight="1">
      <c r="A7" s="464"/>
      <c r="B7" s="464"/>
      <c r="C7" s="467"/>
      <c r="D7" s="467"/>
      <c r="E7" s="460"/>
      <c r="F7" s="460"/>
      <c r="G7" s="172">
        <f t="shared" si="0"/>
        <v>500000000</v>
      </c>
      <c r="H7" s="460"/>
      <c r="I7" s="172">
        <v>500000000</v>
      </c>
      <c r="J7" s="173">
        <v>41942</v>
      </c>
      <c r="K7" s="325" t="s">
        <v>372</v>
      </c>
    </row>
    <row r="8" spans="1:12" ht="17.25" customHeight="1">
      <c r="A8" s="464"/>
      <c r="B8" s="464"/>
      <c r="C8" s="467"/>
      <c r="D8" s="467"/>
      <c r="E8" s="460"/>
      <c r="F8" s="460"/>
      <c r="G8" s="172">
        <f t="shared" si="0"/>
        <v>0</v>
      </c>
      <c r="H8" s="460"/>
      <c r="I8" s="185">
        <v>-100000000</v>
      </c>
      <c r="J8" s="186">
        <v>41951</v>
      </c>
      <c r="K8" s="187" t="s">
        <v>390</v>
      </c>
    </row>
    <row r="9" spans="1:12" ht="17.25" customHeight="1">
      <c r="A9" s="464"/>
      <c r="B9" s="464"/>
      <c r="C9" s="467"/>
      <c r="D9" s="467"/>
      <c r="E9" s="460"/>
      <c r="F9" s="460"/>
      <c r="G9" s="172">
        <f t="shared" si="0"/>
        <v>500000000</v>
      </c>
      <c r="H9" s="460"/>
      <c r="I9" s="172">
        <v>500000000</v>
      </c>
      <c r="J9" s="173">
        <v>42010</v>
      </c>
      <c r="K9" s="325" t="s">
        <v>372</v>
      </c>
    </row>
    <row r="10" spans="1:12" ht="17.25" customHeight="1">
      <c r="A10" s="464"/>
      <c r="B10" s="464"/>
      <c r="C10" s="467" t="s">
        <v>394</v>
      </c>
      <c r="D10" s="469">
        <v>42139</v>
      </c>
      <c r="E10" s="478">
        <f>308700000+501400000</f>
        <v>810100000</v>
      </c>
      <c r="F10" s="478">
        <f>184000000+317400000</f>
        <v>501400000</v>
      </c>
      <c r="G10" s="172">
        <f t="shared" si="0"/>
        <v>0</v>
      </c>
      <c r="H10" s="460">
        <f>139900000+250800000</f>
        <v>390700000</v>
      </c>
      <c r="I10" s="185">
        <v>-100000000</v>
      </c>
      <c r="J10" s="186">
        <v>42017</v>
      </c>
      <c r="K10" s="187" t="s">
        <v>390</v>
      </c>
    </row>
    <row r="11" spans="1:12" ht="17.25" customHeight="1">
      <c r="A11" s="464"/>
      <c r="B11" s="464"/>
      <c r="C11" s="467"/>
      <c r="D11" s="469"/>
      <c r="E11" s="478"/>
      <c r="F11" s="478"/>
      <c r="G11" s="172">
        <f t="shared" si="0"/>
        <v>251000000</v>
      </c>
      <c r="H11" s="460"/>
      <c r="I11" s="172">
        <v>251000000</v>
      </c>
      <c r="J11" s="173">
        <v>42094</v>
      </c>
      <c r="K11" s="325" t="s">
        <v>372</v>
      </c>
    </row>
    <row r="12" spans="1:12" ht="17.25" customHeight="1">
      <c r="A12" s="464"/>
      <c r="B12" s="464"/>
      <c r="C12" s="467"/>
      <c r="D12" s="469"/>
      <c r="E12" s="478"/>
      <c r="F12" s="478"/>
      <c r="G12" s="172">
        <f t="shared" si="0"/>
        <v>200000000</v>
      </c>
      <c r="H12" s="460"/>
      <c r="I12" s="172">
        <v>200000000</v>
      </c>
      <c r="J12" s="173">
        <v>42170</v>
      </c>
      <c r="K12" s="325" t="s">
        <v>372</v>
      </c>
    </row>
    <row r="13" spans="1:12" ht="17.25" customHeight="1">
      <c r="A13" s="464"/>
      <c r="B13" s="464"/>
      <c r="C13" s="467"/>
      <c r="D13" s="469"/>
      <c r="E13" s="478"/>
      <c r="F13" s="478"/>
      <c r="G13" s="172">
        <f t="shared" si="0"/>
        <v>400000000</v>
      </c>
      <c r="H13" s="460"/>
      <c r="I13" s="172">
        <v>400000000</v>
      </c>
      <c r="J13" s="173">
        <v>42199</v>
      </c>
      <c r="K13" s="325" t="s">
        <v>372</v>
      </c>
    </row>
    <row r="14" spans="1:12" ht="17.25" customHeight="1">
      <c r="A14" s="464"/>
      <c r="B14" s="464"/>
      <c r="C14" s="467"/>
      <c r="D14" s="469"/>
      <c r="E14" s="478"/>
      <c r="F14" s="478"/>
      <c r="G14" s="172">
        <f t="shared" si="0"/>
        <v>0</v>
      </c>
      <c r="H14" s="460"/>
      <c r="I14" s="185">
        <v>-200000000</v>
      </c>
      <c r="J14" s="173">
        <v>42202</v>
      </c>
      <c r="K14" s="187" t="s">
        <v>390</v>
      </c>
    </row>
    <row r="15" spans="1:12" ht="17.25" customHeight="1">
      <c r="A15" s="464"/>
      <c r="B15" s="464"/>
      <c r="C15" s="467"/>
      <c r="D15" s="469"/>
      <c r="E15" s="478"/>
      <c r="F15" s="478"/>
      <c r="G15" s="172">
        <f t="shared" si="0"/>
        <v>0</v>
      </c>
      <c r="H15" s="460"/>
      <c r="I15" s="151"/>
      <c r="J15" s="173"/>
      <c r="K15" s="325"/>
    </row>
    <row r="16" spans="1:12" ht="17.25" customHeight="1">
      <c r="A16" s="464"/>
      <c r="B16" s="464"/>
      <c r="C16" s="467"/>
      <c r="D16" s="469"/>
      <c r="E16" s="478"/>
      <c r="F16" s="478"/>
      <c r="G16" s="172">
        <f t="shared" si="0"/>
        <v>0</v>
      </c>
      <c r="H16" s="460"/>
      <c r="I16" s="151"/>
      <c r="J16" s="324"/>
      <c r="K16" s="323"/>
    </row>
    <row r="17" spans="1:12" s="161" customFormat="1" ht="18" customHeight="1">
      <c r="A17" s="464"/>
      <c r="B17" s="464"/>
      <c r="C17" s="470" t="s">
        <v>94</v>
      </c>
      <c r="D17" s="471"/>
      <c r="E17" s="158">
        <f>SUM(E5:E16)</f>
        <v>3010100000</v>
      </c>
      <c r="F17" s="158">
        <f>SUM(F5:F16)</f>
        <v>3010100000</v>
      </c>
      <c r="G17" s="158">
        <f>SUM(G5:G16)</f>
        <v>2603610000</v>
      </c>
      <c r="H17" s="158">
        <f>SUM(H5:H16)</f>
        <v>2248700000</v>
      </c>
      <c r="I17" s="158">
        <f>SUM(I5:I16)</f>
        <v>2003610000</v>
      </c>
      <c r="J17" s="160">
        <f>F17-H17</f>
        <v>761400000</v>
      </c>
      <c r="K17" s="160" t="s">
        <v>42</v>
      </c>
      <c r="L17" s="302"/>
    </row>
    <row r="18" spans="1:12" s="161" customFormat="1" ht="18" customHeight="1">
      <c r="A18" s="464"/>
      <c r="B18" s="464"/>
      <c r="C18" s="470" t="s">
        <v>379</v>
      </c>
      <c r="D18" s="471"/>
      <c r="E18" s="162"/>
      <c r="F18" s="162"/>
      <c r="G18" s="163">
        <f>E17-G17</f>
        <v>406490000</v>
      </c>
      <c r="H18" s="162"/>
      <c r="I18" s="163">
        <f>H17-I17</f>
        <v>245090000</v>
      </c>
      <c r="J18" s="158">
        <f>$H$17*5%</f>
        <v>112435000</v>
      </c>
      <c r="K18" s="160" t="s">
        <v>749</v>
      </c>
      <c r="L18" s="302"/>
    </row>
    <row r="19" spans="1:12" ht="17.25" customHeight="1">
      <c r="C19" s="536" t="s">
        <v>747</v>
      </c>
      <c r="D19" s="536"/>
      <c r="E19" s="158">
        <f>F17-H17</f>
        <v>761400000</v>
      </c>
      <c r="G19" s="536" t="s">
        <v>748</v>
      </c>
      <c r="H19" s="536"/>
      <c r="I19" s="158">
        <f>E19*10%</f>
        <v>76140000</v>
      </c>
      <c r="J19" s="158"/>
      <c r="K19" s="158"/>
    </row>
    <row r="20" spans="1:12" ht="17.25" customHeight="1">
      <c r="C20" s="536" t="s">
        <v>748</v>
      </c>
      <c r="D20" s="536"/>
      <c r="E20" s="158">
        <f>E19*10%</f>
        <v>76140000</v>
      </c>
      <c r="G20" s="470" t="s">
        <v>379</v>
      </c>
      <c r="H20" s="471"/>
      <c r="I20" s="158">
        <f>I18+I19-J18</f>
        <v>208795000</v>
      </c>
      <c r="K20" s="202"/>
    </row>
  </sheetData>
  <autoFilter ref="A4:M18"/>
  <mergeCells count="27">
    <mergeCell ref="A1:K1"/>
    <mergeCell ref="A3:A4"/>
    <mergeCell ref="B3:B4"/>
    <mergeCell ref="C3:C4"/>
    <mergeCell ref="D3:D4"/>
    <mergeCell ref="E3:G3"/>
    <mergeCell ref="H3:I3"/>
    <mergeCell ref="J3:J4"/>
    <mergeCell ref="K3:K4"/>
    <mergeCell ref="A5:A18"/>
    <mergeCell ref="B5:B18"/>
    <mergeCell ref="C5:C9"/>
    <mergeCell ref="D5:D9"/>
    <mergeCell ref="E5:E9"/>
    <mergeCell ref="G19:H19"/>
    <mergeCell ref="G20:H20"/>
    <mergeCell ref="C17:D17"/>
    <mergeCell ref="C18:D18"/>
    <mergeCell ref="H5:H9"/>
    <mergeCell ref="C10:C16"/>
    <mergeCell ref="D10:D16"/>
    <mergeCell ref="E10:E16"/>
    <mergeCell ref="F10:F16"/>
    <mergeCell ref="H10:H16"/>
    <mergeCell ref="F5:F9"/>
    <mergeCell ref="C19:D19"/>
    <mergeCell ref="C20:D20"/>
  </mergeCells>
  <pageMargins left="0.16" right="0.12" top="0.27" bottom="0.2" header="0.2" footer="0.17"/>
  <pageSetup paperSize="9" scale="95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4"/>
  <sheetViews>
    <sheetView topLeftCell="C2" workbookViewId="0">
      <pane ySplit="2" topLeftCell="A174" activePane="bottomLeft" state="frozen"/>
      <selection activeCell="A2" sqref="A2"/>
      <selection pane="bottomLeft" activeCell="F226" sqref="F226"/>
    </sheetView>
  </sheetViews>
  <sheetFormatPr defaultColWidth="9.140625" defaultRowHeight="32.25" customHeight="1"/>
  <cols>
    <col min="1" max="1" width="6.5703125" style="373" customWidth="1"/>
    <col min="2" max="2" width="32.85546875" style="341" customWidth="1"/>
    <col min="3" max="3" width="7.42578125" style="341" customWidth="1"/>
    <col min="4" max="4" width="10.85546875" style="374" customWidth="1"/>
    <col min="5" max="5" width="11.5703125" style="375" customWidth="1"/>
    <col min="6" max="6" width="17" style="375" customWidth="1"/>
    <col min="7" max="7" width="10.85546875" style="374" customWidth="1"/>
    <col min="8" max="8" width="10.7109375" style="375" customWidth="1"/>
    <col min="9" max="9" width="16.85546875" style="375" customWidth="1"/>
    <col min="10" max="10" width="10.85546875" style="374" customWidth="1"/>
    <col min="11" max="11" width="15.85546875" style="375" customWidth="1"/>
    <col min="12" max="12" width="10.140625" style="374" customWidth="1"/>
    <col min="13" max="13" width="15" style="375" customWidth="1"/>
    <col min="14" max="14" width="14.42578125" style="341" customWidth="1"/>
    <col min="15" max="16384" width="9.140625" style="341"/>
  </cols>
  <sheetData>
    <row r="2" spans="1:14" s="327" customFormat="1" ht="32.25" customHeight="1">
      <c r="A2" s="537" t="s">
        <v>889</v>
      </c>
      <c r="B2" s="545" t="s">
        <v>890</v>
      </c>
      <c r="C2" s="545" t="s">
        <v>80</v>
      </c>
      <c r="D2" s="544" t="s">
        <v>891</v>
      </c>
      <c r="E2" s="544"/>
      <c r="F2" s="544"/>
      <c r="G2" s="544" t="s">
        <v>892</v>
      </c>
      <c r="H2" s="544"/>
      <c r="I2" s="544"/>
      <c r="J2" s="544" t="s">
        <v>893</v>
      </c>
      <c r="K2" s="544"/>
      <c r="L2" s="544" t="s">
        <v>894</v>
      </c>
      <c r="M2" s="544"/>
      <c r="N2" s="545" t="s">
        <v>365</v>
      </c>
    </row>
    <row r="3" spans="1:14" s="327" customFormat="1" ht="32.25" customHeight="1">
      <c r="A3" s="537"/>
      <c r="B3" s="545"/>
      <c r="C3" s="545"/>
      <c r="D3" s="328" t="s">
        <v>895</v>
      </c>
      <c r="E3" s="329" t="s">
        <v>896</v>
      </c>
      <c r="F3" s="329" t="s">
        <v>897</v>
      </c>
      <c r="G3" s="328" t="s">
        <v>895</v>
      </c>
      <c r="H3" s="329" t="s">
        <v>896</v>
      </c>
      <c r="I3" s="329" t="s">
        <v>897</v>
      </c>
      <c r="J3" s="328" t="s">
        <v>895</v>
      </c>
      <c r="K3" s="329" t="s">
        <v>897</v>
      </c>
      <c r="L3" s="328" t="s">
        <v>895</v>
      </c>
      <c r="M3" s="329" t="s">
        <v>897</v>
      </c>
      <c r="N3" s="545"/>
    </row>
    <row r="4" spans="1:14" s="327" customFormat="1" ht="32.25" customHeight="1">
      <c r="A4" s="546" t="s">
        <v>898</v>
      </c>
      <c r="B4" s="546"/>
      <c r="C4" s="546"/>
      <c r="D4" s="330"/>
      <c r="E4" s="331"/>
      <c r="F4" s="332"/>
      <c r="G4" s="330"/>
      <c r="H4" s="331"/>
      <c r="I4" s="332"/>
      <c r="J4" s="330"/>
      <c r="K4" s="331"/>
      <c r="L4" s="330"/>
      <c r="M4" s="331"/>
      <c r="N4" s="332"/>
    </row>
    <row r="5" spans="1:14" ht="32.25" customHeight="1">
      <c r="A5" s="333">
        <v>1</v>
      </c>
      <c r="B5" s="334" t="s">
        <v>899</v>
      </c>
      <c r="C5" s="335" t="s">
        <v>900</v>
      </c>
      <c r="D5" s="336">
        <v>175.89</v>
      </c>
      <c r="E5" s="337">
        <v>157313</v>
      </c>
      <c r="F5" s="337">
        <f>D5*E5</f>
        <v>27669783.569999997</v>
      </c>
      <c r="G5" s="336">
        <v>175.89</v>
      </c>
      <c r="H5" s="337">
        <v>157313</v>
      </c>
      <c r="I5" s="337">
        <f>G5*H5</f>
        <v>27669783.569999997</v>
      </c>
      <c r="J5" s="336">
        <f>MAX(D5-G5,0)</f>
        <v>0</v>
      </c>
      <c r="K5" s="337">
        <f>MAX(F5-I5,0)</f>
        <v>0</v>
      </c>
      <c r="L5" s="338">
        <f>MAX(G5-D5,0)</f>
        <v>0</v>
      </c>
      <c r="M5" s="339">
        <f>MAX(I5-F5,0)</f>
        <v>0</v>
      </c>
      <c r="N5" s="340"/>
    </row>
    <row r="6" spans="1:14" ht="32.25" customHeight="1">
      <c r="A6" s="342">
        <v>2</v>
      </c>
      <c r="B6" s="343" t="s">
        <v>901</v>
      </c>
      <c r="C6" s="335" t="s">
        <v>900</v>
      </c>
      <c r="D6" s="338">
        <v>117.26</v>
      </c>
      <c r="E6" s="339">
        <v>124076</v>
      </c>
      <c r="F6" s="337">
        <f t="shared" ref="F6:F69" si="0">D6*E6</f>
        <v>14549151.76</v>
      </c>
      <c r="G6" s="338">
        <v>117.26</v>
      </c>
      <c r="H6" s="339">
        <v>124076</v>
      </c>
      <c r="I6" s="337">
        <f t="shared" ref="I6:I69" si="1">G6*H6</f>
        <v>14549151.76</v>
      </c>
      <c r="J6" s="336">
        <f t="shared" ref="J6:J69" si="2">MAX(D6-G6,0)</f>
        <v>0</v>
      </c>
      <c r="K6" s="337">
        <f t="shared" ref="K6:K69" si="3">MAX(F6-I6,0)</f>
        <v>0</v>
      </c>
      <c r="L6" s="338">
        <f t="shared" ref="L6:L69" si="4">MAX(G6-D6,0)</f>
        <v>0</v>
      </c>
      <c r="M6" s="339">
        <f t="shared" ref="M6:M69" si="5">MAX(I6-F6,0)</f>
        <v>0</v>
      </c>
      <c r="N6" s="340"/>
    </row>
    <row r="7" spans="1:14" ht="32.25" customHeight="1">
      <c r="A7" s="342">
        <v>3</v>
      </c>
      <c r="B7" s="343" t="s">
        <v>902</v>
      </c>
      <c r="C7" s="340" t="s">
        <v>903</v>
      </c>
      <c r="D7" s="338">
        <v>164</v>
      </c>
      <c r="E7" s="339">
        <v>91683</v>
      </c>
      <c r="F7" s="337">
        <f t="shared" si="0"/>
        <v>15036012</v>
      </c>
      <c r="G7" s="338">
        <v>164</v>
      </c>
      <c r="H7" s="339">
        <v>91683</v>
      </c>
      <c r="I7" s="337">
        <f t="shared" si="1"/>
        <v>15036012</v>
      </c>
      <c r="J7" s="336">
        <f t="shared" si="2"/>
        <v>0</v>
      </c>
      <c r="K7" s="337">
        <f t="shared" si="3"/>
        <v>0</v>
      </c>
      <c r="L7" s="338">
        <f t="shared" si="4"/>
        <v>0</v>
      </c>
      <c r="M7" s="339">
        <f t="shared" si="5"/>
        <v>0</v>
      </c>
      <c r="N7" s="340"/>
    </row>
    <row r="8" spans="1:14" ht="32.25" customHeight="1">
      <c r="A8" s="342">
        <v>4</v>
      </c>
      <c r="B8" s="343" t="s">
        <v>904</v>
      </c>
      <c r="C8" s="340" t="s">
        <v>903</v>
      </c>
      <c r="D8" s="338">
        <v>164</v>
      </c>
      <c r="E8" s="339">
        <v>218411</v>
      </c>
      <c r="F8" s="337">
        <f t="shared" si="0"/>
        <v>35819404</v>
      </c>
      <c r="G8" s="338">
        <v>164</v>
      </c>
      <c r="H8" s="339">
        <v>218411</v>
      </c>
      <c r="I8" s="337">
        <f t="shared" si="1"/>
        <v>35819404</v>
      </c>
      <c r="J8" s="336">
        <f t="shared" si="2"/>
        <v>0</v>
      </c>
      <c r="K8" s="337">
        <f t="shared" si="3"/>
        <v>0</v>
      </c>
      <c r="L8" s="338">
        <f t="shared" si="4"/>
        <v>0</v>
      </c>
      <c r="M8" s="339">
        <f t="shared" si="5"/>
        <v>0</v>
      </c>
      <c r="N8" s="340"/>
    </row>
    <row r="9" spans="1:14" s="352" customFormat="1" ht="32.25" customHeight="1">
      <c r="A9" s="344">
        <v>5</v>
      </c>
      <c r="B9" s="345" t="s">
        <v>905</v>
      </c>
      <c r="C9" s="346" t="s">
        <v>900</v>
      </c>
      <c r="D9" s="347">
        <v>8.52</v>
      </c>
      <c r="E9" s="348">
        <v>1283592</v>
      </c>
      <c r="F9" s="349">
        <f t="shared" si="0"/>
        <v>10936203.84</v>
      </c>
      <c r="G9" s="347">
        <v>15.3</v>
      </c>
      <c r="H9" s="348">
        <v>1283592</v>
      </c>
      <c r="I9" s="349">
        <f t="shared" si="1"/>
        <v>19638957.600000001</v>
      </c>
      <c r="J9" s="350">
        <f t="shared" si="2"/>
        <v>0</v>
      </c>
      <c r="K9" s="349">
        <f t="shared" si="3"/>
        <v>0</v>
      </c>
      <c r="L9" s="347">
        <f t="shared" si="4"/>
        <v>6.7800000000000011</v>
      </c>
      <c r="M9" s="348">
        <f t="shared" si="5"/>
        <v>8702753.7600000016</v>
      </c>
      <c r="N9" s="351" t="s">
        <v>906</v>
      </c>
    </row>
    <row r="10" spans="1:14" ht="32.25" customHeight="1">
      <c r="A10" s="342">
        <v>6</v>
      </c>
      <c r="B10" s="343" t="s">
        <v>907</v>
      </c>
      <c r="C10" s="335" t="s">
        <v>900</v>
      </c>
      <c r="D10" s="338">
        <v>57.847999999999999</v>
      </c>
      <c r="E10" s="339">
        <v>1795808</v>
      </c>
      <c r="F10" s="337">
        <f t="shared" si="0"/>
        <v>103883901.184</v>
      </c>
      <c r="G10" s="338">
        <v>57.847999999999999</v>
      </c>
      <c r="H10" s="339">
        <v>1795808</v>
      </c>
      <c r="I10" s="337">
        <f t="shared" si="1"/>
        <v>103883901.184</v>
      </c>
      <c r="J10" s="336">
        <f t="shared" si="2"/>
        <v>0</v>
      </c>
      <c r="K10" s="337">
        <f t="shared" si="3"/>
        <v>0</v>
      </c>
      <c r="L10" s="338">
        <f t="shared" si="4"/>
        <v>0</v>
      </c>
      <c r="M10" s="339">
        <f t="shared" si="5"/>
        <v>0</v>
      </c>
      <c r="N10" s="340"/>
    </row>
    <row r="11" spans="1:14" s="352" customFormat="1" ht="32.25" customHeight="1">
      <c r="A11" s="344">
        <v>7</v>
      </c>
      <c r="B11" s="345" t="s">
        <v>908</v>
      </c>
      <c r="C11" s="346" t="s">
        <v>900</v>
      </c>
      <c r="D11" s="347">
        <v>117.29</v>
      </c>
      <c r="E11" s="348">
        <v>2327897</v>
      </c>
      <c r="F11" s="349">
        <f t="shared" si="0"/>
        <v>273039039.13</v>
      </c>
      <c r="G11" s="347">
        <v>111.60599999999999</v>
      </c>
      <c r="H11" s="348">
        <v>2327897</v>
      </c>
      <c r="I11" s="349">
        <f t="shared" si="1"/>
        <v>259807272.58199999</v>
      </c>
      <c r="J11" s="350">
        <f t="shared" si="2"/>
        <v>5.6840000000000117</v>
      </c>
      <c r="K11" s="349">
        <f t="shared" si="3"/>
        <v>13231766.548000008</v>
      </c>
      <c r="L11" s="347">
        <f t="shared" si="4"/>
        <v>0</v>
      </c>
      <c r="M11" s="348">
        <f t="shared" si="5"/>
        <v>0</v>
      </c>
      <c r="N11" s="351" t="s">
        <v>909</v>
      </c>
    </row>
    <row r="12" spans="1:14" ht="32.25" customHeight="1">
      <c r="A12" s="342">
        <v>8</v>
      </c>
      <c r="B12" s="343" t="s">
        <v>910</v>
      </c>
      <c r="C12" s="335" t="s">
        <v>900</v>
      </c>
      <c r="D12" s="338">
        <v>9.8870000000000005</v>
      </c>
      <c r="E12" s="339">
        <v>2654775</v>
      </c>
      <c r="F12" s="337">
        <f t="shared" si="0"/>
        <v>26247760.425000001</v>
      </c>
      <c r="G12" s="338">
        <v>9.8870000000000005</v>
      </c>
      <c r="H12" s="339">
        <v>2654775</v>
      </c>
      <c r="I12" s="337">
        <f t="shared" si="1"/>
        <v>26247760.425000001</v>
      </c>
      <c r="J12" s="336">
        <f t="shared" si="2"/>
        <v>0</v>
      </c>
      <c r="K12" s="337">
        <f t="shared" si="3"/>
        <v>0</v>
      </c>
      <c r="L12" s="338">
        <f t="shared" si="4"/>
        <v>0</v>
      </c>
      <c r="M12" s="339">
        <f t="shared" si="5"/>
        <v>0</v>
      </c>
      <c r="N12" s="340"/>
    </row>
    <row r="13" spans="1:14" s="352" customFormat="1" ht="32.25" customHeight="1">
      <c r="A13" s="344">
        <v>9</v>
      </c>
      <c r="B13" s="345" t="s">
        <v>911</v>
      </c>
      <c r="C13" s="346" t="s">
        <v>900</v>
      </c>
      <c r="D13" s="347">
        <v>273.89999999999998</v>
      </c>
      <c r="E13" s="348">
        <v>1788057</v>
      </c>
      <c r="F13" s="349">
        <f t="shared" si="0"/>
        <v>489748812.29999995</v>
      </c>
      <c r="G13" s="347">
        <v>393.9</v>
      </c>
      <c r="H13" s="348">
        <v>1788057</v>
      </c>
      <c r="I13" s="349">
        <f t="shared" si="1"/>
        <v>704315652.29999995</v>
      </c>
      <c r="J13" s="350">
        <f t="shared" si="2"/>
        <v>0</v>
      </c>
      <c r="K13" s="349">
        <f t="shared" si="3"/>
        <v>0</v>
      </c>
      <c r="L13" s="347">
        <f t="shared" si="4"/>
        <v>120</v>
      </c>
      <c r="M13" s="348">
        <f t="shared" si="5"/>
        <v>214566840</v>
      </c>
      <c r="N13" s="351" t="s">
        <v>912</v>
      </c>
    </row>
    <row r="14" spans="1:14" ht="32.25" customHeight="1">
      <c r="A14" s="342">
        <v>10</v>
      </c>
      <c r="B14" s="343" t="s">
        <v>913</v>
      </c>
      <c r="C14" s="340" t="s">
        <v>914</v>
      </c>
      <c r="D14" s="338">
        <v>3.0333000000000001</v>
      </c>
      <c r="E14" s="339">
        <v>16065408</v>
      </c>
      <c r="F14" s="337">
        <f t="shared" si="0"/>
        <v>48731202.086400002</v>
      </c>
      <c r="G14" s="338">
        <v>3.0333000000000001</v>
      </c>
      <c r="H14" s="339">
        <v>16065408</v>
      </c>
      <c r="I14" s="337">
        <f t="shared" si="1"/>
        <v>48731202.086400002</v>
      </c>
      <c r="J14" s="336">
        <f t="shared" si="2"/>
        <v>0</v>
      </c>
      <c r="K14" s="337">
        <f t="shared" si="3"/>
        <v>0</v>
      </c>
      <c r="L14" s="338">
        <f t="shared" si="4"/>
        <v>0</v>
      </c>
      <c r="M14" s="339">
        <f t="shared" si="5"/>
        <v>0</v>
      </c>
      <c r="N14" s="340"/>
    </row>
    <row r="15" spans="1:14" s="352" customFormat="1" ht="32.25" customHeight="1">
      <c r="A15" s="344">
        <v>11</v>
      </c>
      <c r="B15" s="345" t="s">
        <v>915</v>
      </c>
      <c r="C15" s="351" t="s">
        <v>914</v>
      </c>
      <c r="D15" s="347">
        <v>12</v>
      </c>
      <c r="E15" s="348">
        <v>21613723</v>
      </c>
      <c r="F15" s="349">
        <f t="shared" si="0"/>
        <v>259364676</v>
      </c>
      <c r="G15" s="347">
        <v>10.863200000000001</v>
      </c>
      <c r="H15" s="348">
        <v>21613723</v>
      </c>
      <c r="I15" s="349">
        <f t="shared" si="1"/>
        <v>234794195.69360003</v>
      </c>
      <c r="J15" s="350">
        <f t="shared" si="2"/>
        <v>1.1367999999999991</v>
      </c>
      <c r="K15" s="349">
        <f t="shared" si="3"/>
        <v>24570480.306399971</v>
      </c>
      <c r="L15" s="347">
        <f t="shared" si="4"/>
        <v>0</v>
      </c>
      <c r="M15" s="348">
        <f t="shared" si="5"/>
        <v>0</v>
      </c>
      <c r="N15" s="351" t="s">
        <v>916</v>
      </c>
    </row>
    <row r="16" spans="1:14" s="352" customFormat="1" ht="32.25" customHeight="1">
      <c r="A16" s="344">
        <v>12</v>
      </c>
      <c r="B16" s="345" t="s">
        <v>917</v>
      </c>
      <c r="C16" s="351" t="s">
        <v>914</v>
      </c>
      <c r="D16" s="347">
        <v>1.32</v>
      </c>
      <c r="E16" s="348">
        <v>17821387</v>
      </c>
      <c r="F16" s="349">
        <f t="shared" si="0"/>
        <v>23524230.84</v>
      </c>
      <c r="G16" s="347">
        <v>2.5865</v>
      </c>
      <c r="H16" s="348">
        <v>17821387</v>
      </c>
      <c r="I16" s="349">
        <f t="shared" si="1"/>
        <v>46095017.475500003</v>
      </c>
      <c r="J16" s="350">
        <f t="shared" si="2"/>
        <v>0</v>
      </c>
      <c r="K16" s="349">
        <f t="shared" si="3"/>
        <v>0</v>
      </c>
      <c r="L16" s="347">
        <f t="shared" si="4"/>
        <v>1.2665</v>
      </c>
      <c r="M16" s="348">
        <f t="shared" si="5"/>
        <v>22570786.635500003</v>
      </c>
      <c r="N16" s="351"/>
    </row>
    <row r="17" spans="1:14" ht="32.25" customHeight="1">
      <c r="A17" s="342">
        <v>13</v>
      </c>
      <c r="B17" s="343" t="s">
        <v>918</v>
      </c>
      <c r="C17" s="340" t="s">
        <v>919</v>
      </c>
      <c r="D17" s="338">
        <v>29.303999999999998</v>
      </c>
      <c r="E17" s="339">
        <v>21993359</v>
      </c>
      <c r="F17" s="337">
        <f t="shared" si="0"/>
        <v>644493392.13599992</v>
      </c>
      <c r="G17" s="338">
        <v>29.303999999999998</v>
      </c>
      <c r="H17" s="339">
        <v>21993359</v>
      </c>
      <c r="I17" s="337">
        <f t="shared" si="1"/>
        <v>644493392.13599992</v>
      </c>
      <c r="J17" s="336">
        <f t="shared" si="2"/>
        <v>0</v>
      </c>
      <c r="K17" s="337">
        <f t="shared" si="3"/>
        <v>0</v>
      </c>
      <c r="L17" s="338">
        <f t="shared" si="4"/>
        <v>0</v>
      </c>
      <c r="M17" s="339">
        <f t="shared" si="5"/>
        <v>0</v>
      </c>
      <c r="N17" s="340"/>
    </row>
    <row r="18" spans="1:14" s="352" customFormat="1" ht="32.25" customHeight="1">
      <c r="A18" s="344">
        <v>14</v>
      </c>
      <c r="B18" s="345" t="s">
        <v>920</v>
      </c>
      <c r="C18" s="351" t="s">
        <v>919</v>
      </c>
      <c r="D18" s="347">
        <v>16.456</v>
      </c>
      <c r="E18" s="348">
        <v>23112893</v>
      </c>
      <c r="F18" s="349">
        <f t="shared" si="0"/>
        <v>380345767.208</v>
      </c>
      <c r="G18" s="347">
        <v>16.0001</v>
      </c>
      <c r="H18" s="348">
        <v>23112893</v>
      </c>
      <c r="I18" s="349">
        <f t="shared" si="1"/>
        <v>369808599.28929996</v>
      </c>
      <c r="J18" s="350">
        <f t="shared" si="2"/>
        <v>0.45589999999999975</v>
      </c>
      <c r="K18" s="349">
        <f t="shared" si="3"/>
        <v>10537167.918700039</v>
      </c>
      <c r="L18" s="347">
        <f t="shared" si="4"/>
        <v>0</v>
      </c>
      <c r="M18" s="348">
        <f t="shared" si="5"/>
        <v>0</v>
      </c>
      <c r="N18" s="351"/>
    </row>
    <row r="19" spans="1:14" s="352" customFormat="1" ht="32.25" customHeight="1">
      <c r="A19" s="344">
        <v>15</v>
      </c>
      <c r="B19" s="345" t="s">
        <v>921</v>
      </c>
      <c r="C19" s="351" t="s">
        <v>919</v>
      </c>
      <c r="D19" s="347">
        <v>1.9770000000000001</v>
      </c>
      <c r="E19" s="348">
        <v>22795827</v>
      </c>
      <c r="F19" s="349">
        <f t="shared" si="0"/>
        <v>45067349.979000002</v>
      </c>
      <c r="G19" s="347">
        <v>2.2210000000000001</v>
      </c>
      <c r="H19" s="348">
        <v>22795827</v>
      </c>
      <c r="I19" s="349">
        <f t="shared" si="1"/>
        <v>50629531.767000005</v>
      </c>
      <c r="J19" s="350">
        <f t="shared" si="2"/>
        <v>0</v>
      </c>
      <c r="K19" s="349">
        <f t="shared" si="3"/>
        <v>0</v>
      </c>
      <c r="L19" s="347">
        <f t="shared" si="4"/>
        <v>0.24399999999999999</v>
      </c>
      <c r="M19" s="348">
        <f t="shared" si="5"/>
        <v>5562181.7880000025</v>
      </c>
      <c r="N19" s="351"/>
    </row>
    <row r="20" spans="1:14" ht="32.25" customHeight="1">
      <c r="A20" s="342">
        <v>16</v>
      </c>
      <c r="B20" s="343" t="s">
        <v>922</v>
      </c>
      <c r="C20" s="340" t="s">
        <v>919</v>
      </c>
      <c r="D20" s="338">
        <v>35.539200000000001</v>
      </c>
      <c r="E20" s="339">
        <v>22329835</v>
      </c>
      <c r="F20" s="337">
        <f t="shared" si="0"/>
        <v>793584472.03200006</v>
      </c>
      <c r="G20" s="338">
        <v>35.539200000000001</v>
      </c>
      <c r="H20" s="339">
        <v>22329835</v>
      </c>
      <c r="I20" s="337">
        <f t="shared" si="1"/>
        <v>793584472.03200006</v>
      </c>
      <c r="J20" s="336">
        <f t="shared" si="2"/>
        <v>0</v>
      </c>
      <c r="K20" s="337">
        <f t="shared" si="3"/>
        <v>0</v>
      </c>
      <c r="L20" s="338">
        <f t="shared" si="4"/>
        <v>0</v>
      </c>
      <c r="M20" s="339">
        <f t="shared" si="5"/>
        <v>0</v>
      </c>
      <c r="N20" s="340"/>
    </row>
    <row r="21" spans="1:14" ht="32.25" customHeight="1">
      <c r="A21" s="342">
        <v>17</v>
      </c>
      <c r="B21" s="343" t="s">
        <v>923</v>
      </c>
      <c r="C21" s="340" t="s">
        <v>900</v>
      </c>
      <c r="D21" s="338">
        <v>750.8</v>
      </c>
      <c r="E21" s="339">
        <v>118811</v>
      </c>
      <c r="F21" s="337">
        <f t="shared" si="0"/>
        <v>89203298.799999997</v>
      </c>
      <c r="G21" s="338">
        <v>750.8</v>
      </c>
      <c r="H21" s="339">
        <v>118811</v>
      </c>
      <c r="I21" s="337">
        <f t="shared" si="1"/>
        <v>89203298.799999997</v>
      </c>
      <c r="J21" s="336">
        <f t="shared" si="2"/>
        <v>0</v>
      </c>
      <c r="K21" s="337">
        <f t="shared" si="3"/>
        <v>0</v>
      </c>
      <c r="L21" s="338">
        <f t="shared" si="4"/>
        <v>0</v>
      </c>
      <c r="M21" s="339">
        <f t="shared" si="5"/>
        <v>0</v>
      </c>
      <c r="N21" s="340"/>
    </row>
    <row r="22" spans="1:14" ht="32.25" customHeight="1">
      <c r="A22" s="342">
        <v>18</v>
      </c>
      <c r="B22" s="343" t="s">
        <v>924</v>
      </c>
      <c r="C22" s="340" t="s">
        <v>925</v>
      </c>
      <c r="D22" s="338">
        <v>27.39</v>
      </c>
      <c r="E22" s="339">
        <v>682496</v>
      </c>
      <c r="F22" s="337">
        <f t="shared" si="0"/>
        <v>18693565.440000001</v>
      </c>
      <c r="G22" s="338">
        <v>27.39</v>
      </c>
      <c r="H22" s="339">
        <v>682496</v>
      </c>
      <c r="I22" s="337">
        <f t="shared" si="1"/>
        <v>18693565.440000001</v>
      </c>
      <c r="J22" s="336">
        <f t="shared" si="2"/>
        <v>0</v>
      </c>
      <c r="K22" s="337">
        <f t="shared" si="3"/>
        <v>0</v>
      </c>
      <c r="L22" s="338">
        <f t="shared" si="4"/>
        <v>0</v>
      </c>
      <c r="M22" s="339">
        <f t="shared" si="5"/>
        <v>0</v>
      </c>
      <c r="N22" s="340"/>
    </row>
    <row r="23" spans="1:14" s="352" customFormat="1" ht="32.25" customHeight="1">
      <c r="A23" s="344">
        <v>19</v>
      </c>
      <c r="B23" s="345" t="s">
        <v>926</v>
      </c>
      <c r="C23" s="351" t="s">
        <v>900</v>
      </c>
      <c r="D23" s="347">
        <v>19.8</v>
      </c>
      <c r="E23" s="348">
        <v>2600494</v>
      </c>
      <c r="F23" s="349">
        <f t="shared" si="0"/>
        <v>51489781.200000003</v>
      </c>
      <c r="G23" s="347">
        <v>27.84</v>
      </c>
      <c r="H23" s="348">
        <v>2600494</v>
      </c>
      <c r="I23" s="349">
        <f t="shared" si="1"/>
        <v>72397752.959999993</v>
      </c>
      <c r="J23" s="350">
        <f t="shared" si="2"/>
        <v>0</v>
      </c>
      <c r="K23" s="349">
        <f t="shared" si="3"/>
        <v>0</v>
      </c>
      <c r="L23" s="347">
        <f t="shared" si="4"/>
        <v>8.0399999999999991</v>
      </c>
      <c r="M23" s="348">
        <f t="shared" si="5"/>
        <v>20907971.75999999</v>
      </c>
      <c r="N23" s="351" t="s">
        <v>927</v>
      </c>
    </row>
    <row r="24" spans="1:14" s="352" customFormat="1" ht="32.25" customHeight="1">
      <c r="A24" s="344">
        <v>20</v>
      </c>
      <c r="B24" s="345" t="s">
        <v>928</v>
      </c>
      <c r="C24" s="351" t="s">
        <v>900</v>
      </c>
      <c r="D24" s="347">
        <v>105.6</v>
      </c>
      <c r="E24" s="348">
        <v>1537033</v>
      </c>
      <c r="F24" s="349">
        <f t="shared" si="0"/>
        <v>162310684.79999998</v>
      </c>
      <c r="G24" s="347">
        <v>315.94450000000001</v>
      </c>
      <c r="H24" s="348">
        <v>1537033</v>
      </c>
      <c r="I24" s="349">
        <f t="shared" si="1"/>
        <v>485617122.66850001</v>
      </c>
      <c r="J24" s="350">
        <f t="shared" si="2"/>
        <v>0</v>
      </c>
      <c r="K24" s="349">
        <f t="shared" si="3"/>
        <v>0</v>
      </c>
      <c r="L24" s="347">
        <f t="shared" si="4"/>
        <v>210.34450000000001</v>
      </c>
      <c r="M24" s="348">
        <f t="shared" si="5"/>
        <v>323306437.86849999</v>
      </c>
      <c r="N24" s="351"/>
    </row>
    <row r="25" spans="1:14" s="352" customFormat="1" ht="32.25" customHeight="1">
      <c r="A25" s="344">
        <v>21</v>
      </c>
      <c r="B25" s="345" t="s">
        <v>929</v>
      </c>
      <c r="C25" s="351" t="s">
        <v>930</v>
      </c>
      <c r="D25" s="347">
        <v>726</v>
      </c>
      <c r="E25" s="348">
        <v>81113</v>
      </c>
      <c r="F25" s="349">
        <f t="shared" si="0"/>
        <v>58888038</v>
      </c>
      <c r="G25" s="347">
        <v>414.95800000000003</v>
      </c>
      <c r="H25" s="348">
        <v>81113</v>
      </c>
      <c r="I25" s="349">
        <f t="shared" si="1"/>
        <v>33658488.254000001</v>
      </c>
      <c r="J25" s="350">
        <f t="shared" si="2"/>
        <v>311.04199999999997</v>
      </c>
      <c r="K25" s="349">
        <f t="shared" si="3"/>
        <v>25229549.745999999</v>
      </c>
      <c r="L25" s="347">
        <f t="shared" si="4"/>
        <v>0</v>
      </c>
      <c r="M25" s="348">
        <f t="shared" si="5"/>
        <v>0</v>
      </c>
      <c r="N25" s="351"/>
    </row>
    <row r="26" spans="1:14" s="352" customFormat="1" ht="32.25" customHeight="1">
      <c r="A26" s="344">
        <v>22</v>
      </c>
      <c r="B26" s="345" t="s">
        <v>931</v>
      </c>
      <c r="C26" s="351" t="s">
        <v>930</v>
      </c>
      <c r="D26" s="347">
        <v>2106</v>
      </c>
      <c r="E26" s="348">
        <v>187552</v>
      </c>
      <c r="F26" s="349">
        <f t="shared" si="0"/>
        <v>394984512</v>
      </c>
      <c r="G26" s="347">
        <v>1530.55</v>
      </c>
      <c r="H26" s="348">
        <v>100000</v>
      </c>
      <c r="I26" s="349">
        <f t="shared" si="1"/>
        <v>153055000</v>
      </c>
      <c r="J26" s="350">
        <f t="shared" si="2"/>
        <v>575.45000000000005</v>
      </c>
      <c r="K26" s="349">
        <f t="shared" si="3"/>
        <v>241929512</v>
      </c>
      <c r="L26" s="347">
        <f t="shared" si="4"/>
        <v>0</v>
      </c>
      <c r="M26" s="348">
        <f t="shared" si="5"/>
        <v>0</v>
      </c>
      <c r="N26" s="351"/>
    </row>
    <row r="27" spans="1:14" s="352" customFormat="1" ht="32.25" customHeight="1">
      <c r="A27" s="344">
        <v>23</v>
      </c>
      <c r="B27" s="345" t="s">
        <v>932</v>
      </c>
      <c r="C27" s="351" t="s">
        <v>930</v>
      </c>
      <c r="D27" s="347">
        <v>1320</v>
      </c>
      <c r="E27" s="348">
        <v>302602</v>
      </c>
      <c r="F27" s="349">
        <f t="shared" si="0"/>
        <v>399434640</v>
      </c>
      <c r="G27" s="347">
        <v>1866</v>
      </c>
      <c r="H27" s="348">
        <v>120000</v>
      </c>
      <c r="I27" s="349">
        <f t="shared" si="1"/>
        <v>223920000</v>
      </c>
      <c r="J27" s="350">
        <f t="shared" si="2"/>
        <v>0</v>
      </c>
      <c r="K27" s="349">
        <f t="shared" si="3"/>
        <v>175514640</v>
      </c>
      <c r="L27" s="347">
        <f t="shared" si="4"/>
        <v>546</v>
      </c>
      <c r="M27" s="348">
        <f t="shared" si="5"/>
        <v>0</v>
      </c>
      <c r="N27" s="351"/>
    </row>
    <row r="28" spans="1:14" s="352" customFormat="1" ht="32.25" customHeight="1">
      <c r="A28" s="344">
        <v>24</v>
      </c>
      <c r="B28" s="345" t="s">
        <v>933</v>
      </c>
      <c r="C28" s="351" t="s">
        <v>930</v>
      </c>
      <c r="D28" s="347">
        <v>1452</v>
      </c>
      <c r="E28" s="348">
        <v>83662</v>
      </c>
      <c r="F28" s="349">
        <f t="shared" si="0"/>
        <v>121477224</v>
      </c>
      <c r="G28" s="347">
        <v>335.55799999999999</v>
      </c>
      <c r="H28" s="348">
        <v>83662</v>
      </c>
      <c r="I28" s="349">
        <f t="shared" si="1"/>
        <v>28073453.395999998</v>
      </c>
      <c r="J28" s="350">
        <f t="shared" si="2"/>
        <v>1116.442</v>
      </c>
      <c r="K28" s="349">
        <f t="shared" si="3"/>
        <v>93403770.604000002</v>
      </c>
      <c r="L28" s="347">
        <f t="shared" si="4"/>
        <v>0</v>
      </c>
      <c r="M28" s="348">
        <f t="shared" si="5"/>
        <v>0</v>
      </c>
      <c r="N28" s="351"/>
    </row>
    <row r="29" spans="1:14" s="352" customFormat="1" ht="32.25" customHeight="1">
      <c r="A29" s="344">
        <v>25</v>
      </c>
      <c r="B29" s="345" t="s">
        <v>934</v>
      </c>
      <c r="C29" s="351" t="s">
        <v>930</v>
      </c>
      <c r="D29" s="347">
        <v>1452</v>
      </c>
      <c r="E29" s="348">
        <v>59365</v>
      </c>
      <c r="F29" s="349">
        <f t="shared" si="0"/>
        <v>86197980</v>
      </c>
      <c r="G29" s="347">
        <v>335.55799999999999</v>
      </c>
      <c r="H29" s="348">
        <v>29710</v>
      </c>
      <c r="I29" s="349">
        <f t="shared" si="1"/>
        <v>9969428.1799999997</v>
      </c>
      <c r="J29" s="350">
        <f t="shared" si="2"/>
        <v>1116.442</v>
      </c>
      <c r="K29" s="349">
        <f t="shared" si="3"/>
        <v>76228551.819999993</v>
      </c>
      <c r="L29" s="347">
        <f t="shared" si="4"/>
        <v>0</v>
      </c>
      <c r="M29" s="348">
        <f t="shared" si="5"/>
        <v>0</v>
      </c>
      <c r="N29" s="351"/>
    </row>
    <row r="30" spans="1:14" s="352" customFormat="1" ht="32.25" customHeight="1">
      <c r="A30" s="353">
        <v>26</v>
      </c>
      <c r="B30" s="354" t="s">
        <v>935</v>
      </c>
      <c r="C30" s="355" t="s">
        <v>930</v>
      </c>
      <c r="D30" s="356">
        <v>96</v>
      </c>
      <c r="E30" s="357">
        <v>443907</v>
      </c>
      <c r="F30" s="358">
        <f t="shared" si="0"/>
        <v>42615072</v>
      </c>
      <c r="G30" s="356">
        <v>621.87249999999995</v>
      </c>
      <c r="H30" s="357">
        <v>443907</v>
      </c>
      <c r="I30" s="358">
        <f t="shared" si="1"/>
        <v>276053555.85749996</v>
      </c>
      <c r="J30" s="359">
        <f t="shared" si="2"/>
        <v>0</v>
      </c>
      <c r="K30" s="358">
        <f t="shared" si="3"/>
        <v>0</v>
      </c>
      <c r="L30" s="356">
        <f t="shared" si="4"/>
        <v>525.87249999999995</v>
      </c>
      <c r="M30" s="357">
        <f t="shared" si="5"/>
        <v>233438483.85749996</v>
      </c>
      <c r="N30" s="355"/>
    </row>
    <row r="31" spans="1:14" s="327" customFormat="1" ht="32.25" customHeight="1">
      <c r="A31" s="537" t="s">
        <v>94</v>
      </c>
      <c r="B31" s="537"/>
      <c r="C31" s="537"/>
      <c r="D31" s="328"/>
      <c r="E31" s="329"/>
      <c r="F31" s="329">
        <f>SUM(F5:F30)</f>
        <v>4617335954.7304001</v>
      </c>
      <c r="G31" s="328"/>
      <c r="H31" s="329"/>
      <c r="I31" s="329">
        <f t="shared" ref="I31:M31" si="6">SUM(I5:I30)</f>
        <v>4785745971.4568005</v>
      </c>
      <c r="J31" s="328"/>
      <c r="K31" s="329">
        <f t="shared" si="6"/>
        <v>660645438.94309998</v>
      </c>
      <c r="L31" s="328"/>
      <c r="M31" s="329">
        <f t="shared" si="6"/>
        <v>829055455.66949999</v>
      </c>
      <c r="N31" s="360"/>
    </row>
    <row r="32" spans="1:14" s="327" customFormat="1" ht="32.25" customHeight="1">
      <c r="A32" s="547" t="s">
        <v>936</v>
      </c>
      <c r="B32" s="548"/>
      <c r="C32" s="549"/>
      <c r="D32" s="361"/>
      <c r="E32" s="362"/>
      <c r="F32" s="362"/>
      <c r="G32" s="361"/>
      <c r="H32" s="362"/>
      <c r="I32" s="362"/>
      <c r="J32" s="361"/>
      <c r="K32" s="362"/>
      <c r="L32" s="361"/>
      <c r="M32" s="362"/>
      <c r="N32" s="363"/>
    </row>
    <row r="33" spans="1:14" ht="32.25" customHeight="1">
      <c r="A33" s="342">
        <v>1</v>
      </c>
      <c r="B33" s="334" t="s">
        <v>899</v>
      </c>
      <c r="C33" s="340" t="s">
        <v>900</v>
      </c>
      <c r="D33" s="338">
        <v>152.4016</v>
      </c>
      <c r="E33" s="339">
        <v>157313</v>
      </c>
      <c r="F33" s="337">
        <f t="shared" si="0"/>
        <v>23974752.900800001</v>
      </c>
      <c r="G33" s="338">
        <v>152.4016</v>
      </c>
      <c r="H33" s="339">
        <v>157313</v>
      </c>
      <c r="I33" s="337">
        <f t="shared" si="1"/>
        <v>23974752.900800001</v>
      </c>
      <c r="J33" s="336">
        <f t="shared" si="2"/>
        <v>0</v>
      </c>
      <c r="K33" s="337">
        <f t="shared" si="3"/>
        <v>0</v>
      </c>
      <c r="L33" s="338">
        <f t="shared" si="4"/>
        <v>0</v>
      </c>
      <c r="M33" s="339">
        <f t="shared" si="5"/>
        <v>0</v>
      </c>
      <c r="N33" s="340"/>
    </row>
    <row r="34" spans="1:14" ht="32.25" customHeight="1">
      <c r="A34" s="342">
        <v>2</v>
      </c>
      <c r="B34" s="343" t="s">
        <v>937</v>
      </c>
      <c r="C34" s="340" t="s">
        <v>900</v>
      </c>
      <c r="D34" s="338">
        <v>101.6011</v>
      </c>
      <c r="E34" s="339">
        <v>124076</v>
      </c>
      <c r="F34" s="337">
        <f t="shared" si="0"/>
        <v>12606258.0836</v>
      </c>
      <c r="G34" s="338">
        <v>101.6011</v>
      </c>
      <c r="H34" s="339">
        <v>124076</v>
      </c>
      <c r="I34" s="337">
        <f t="shared" si="1"/>
        <v>12606258.0836</v>
      </c>
      <c r="J34" s="336">
        <f t="shared" si="2"/>
        <v>0</v>
      </c>
      <c r="K34" s="337">
        <f t="shared" si="3"/>
        <v>0</v>
      </c>
      <c r="L34" s="338">
        <f t="shared" si="4"/>
        <v>0</v>
      </c>
      <c r="M34" s="339">
        <f t="shared" si="5"/>
        <v>0</v>
      </c>
      <c r="N34" s="340"/>
    </row>
    <row r="35" spans="1:14" ht="32.25" customHeight="1">
      <c r="A35" s="342">
        <v>3</v>
      </c>
      <c r="B35" s="343" t="s">
        <v>938</v>
      </c>
      <c r="C35" s="340" t="s">
        <v>939</v>
      </c>
      <c r="D35" s="338">
        <v>68.45</v>
      </c>
      <c r="E35" s="339">
        <v>1206690</v>
      </c>
      <c r="F35" s="337">
        <f t="shared" si="0"/>
        <v>82597930.5</v>
      </c>
      <c r="G35" s="338">
        <v>68.45</v>
      </c>
      <c r="H35" s="339">
        <v>1206690</v>
      </c>
      <c r="I35" s="337">
        <f t="shared" si="1"/>
        <v>82597930.5</v>
      </c>
      <c r="J35" s="336">
        <f t="shared" si="2"/>
        <v>0</v>
      </c>
      <c r="K35" s="337">
        <f t="shared" si="3"/>
        <v>0</v>
      </c>
      <c r="L35" s="338">
        <f t="shared" si="4"/>
        <v>0</v>
      </c>
      <c r="M35" s="339">
        <f t="shared" si="5"/>
        <v>0</v>
      </c>
      <c r="N35" s="340"/>
    </row>
    <row r="36" spans="1:14" s="352" customFormat="1" ht="32.25" customHeight="1">
      <c r="A36" s="344">
        <v>4</v>
      </c>
      <c r="B36" s="345" t="s">
        <v>940</v>
      </c>
      <c r="C36" s="351" t="s">
        <v>900</v>
      </c>
      <c r="D36" s="347">
        <v>6.8959999999999999</v>
      </c>
      <c r="E36" s="348">
        <v>1283592</v>
      </c>
      <c r="F36" s="349">
        <f t="shared" si="0"/>
        <v>8851650.432</v>
      </c>
      <c r="G36" s="347">
        <v>9.4559999999999995</v>
      </c>
      <c r="H36" s="348">
        <v>1283592</v>
      </c>
      <c r="I36" s="349">
        <f t="shared" si="1"/>
        <v>12137645.952</v>
      </c>
      <c r="J36" s="350">
        <f t="shared" si="2"/>
        <v>0</v>
      </c>
      <c r="K36" s="349">
        <f t="shared" si="3"/>
        <v>0</v>
      </c>
      <c r="L36" s="347">
        <f t="shared" si="4"/>
        <v>2.5599999999999996</v>
      </c>
      <c r="M36" s="348">
        <f t="shared" si="5"/>
        <v>3285995.5199999996</v>
      </c>
      <c r="N36" s="351"/>
    </row>
    <row r="37" spans="1:14" ht="32.25" customHeight="1">
      <c r="A37" s="342">
        <v>5</v>
      </c>
      <c r="B37" s="343" t="s">
        <v>941</v>
      </c>
      <c r="C37" s="340" t="s">
        <v>900</v>
      </c>
      <c r="D37" s="338">
        <v>19.751200000000001</v>
      </c>
      <c r="E37" s="339">
        <v>1684611</v>
      </c>
      <c r="F37" s="337">
        <f t="shared" si="0"/>
        <v>33273088.783199999</v>
      </c>
      <c r="G37" s="338">
        <v>19.751200000000001</v>
      </c>
      <c r="H37" s="339">
        <v>1684611</v>
      </c>
      <c r="I37" s="337">
        <f t="shared" si="1"/>
        <v>33273088.783199999</v>
      </c>
      <c r="J37" s="336">
        <f t="shared" si="2"/>
        <v>0</v>
      </c>
      <c r="K37" s="337">
        <f t="shared" si="3"/>
        <v>0</v>
      </c>
      <c r="L37" s="338">
        <f t="shared" si="4"/>
        <v>0</v>
      </c>
      <c r="M37" s="339">
        <f t="shared" si="5"/>
        <v>0</v>
      </c>
      <c r="N37" s="340"/>
    </row>
    <row r="38" spans="1:14" ht="32.25" customHeight="1">
      <c r="A38" s="342">
        <v>6</v>
      </c>
      <c r="B38" s="343" t="s">
        <v>942</v>
      </c>
      <c r="C38" s="340" t="s">
        <v>900</v>
      </c>
      <c r="D38" s="338">
        <v>15.7469</v>
      </c>
      <c r="E38" s="339">
        <v>2216701</v>
      </c>
      <c r="F38" s="337">
        <f t="shared" si="0"/>
        <v>34906168.976900004</v>
      </c>
      <c r="G38" s="338">
        <v>15.7469</v>
      </c>
      <c r="H38" s="339">
        <v>2216701</v>
      </c>
      <c r="I38" s="337">
        <f t="shared" si="1"/>
        <v>34906168.976900004</v>
      </c>
      <c r="J38" s="336">
        <f t="shared" si="2"/>
        <v>0</v>
      </c>
      <c r="K38" s="337">
        <f t="shared" si="3"/>
        <v>0</v>
      </c>
      <c r="L38" s="338">
        <f t="shared" si="4"/>
        <v>0</v>
      </c>
      <c r="M38" s="339">
        <f t="shared" si="5"/>
        <v>0</v>
      </c>
      <c r="N38" s="340"/>
    </row>
    <row r="39" spans="1:14" ht="32.25" customHeight="1">
      <c r="A39" s="342">
        <v>7</v>
      </c>
      <c r="B39" s="343" t="s">
        <v>910</v>
      </c>
      <c r="C39" s="335" t="s">
        <v>900</v>
      </c>
      <c r="D39" s="338">
        <v>3.2669999999999999</v>
      </c>
      <c r="E39" s="339">
        <v>2543579</v>
      </c>
      <c r="F39" s="337">
        <f t="shared" si="0"/>
        <v>8309872.5929999994</v>
      </c>
      <c r="G39" s="338">
        <v>3.2669999999999999</v>
      </c>
      <c r="H39" s="339">
        <v>2543579</v>
      </c>
      <c r="I39" s="337">
        <f t="shared" si="1"/>
        <v>8309872.5929999994</v>
      </c>
      <c r="J39" s="336">
        <f t="shared" si="2"/>
        <v>0</v>
      </c>
      <c r="K39" s="337">
        <f t="shared" si="3"/>
        <v>0</v>
      </c>
      <c r="L39" s="338">
        <f t="shared" si="4"/>
        <v>0</v>
      </c>
      <c r="M39" s="339">
        <f t="shared" si="5"/>
        <v>0</v>
      </c>
      <c r="N39" s="340"/>
    </row>
    <row r="40" spans="1:14" ht="32.25" customHeight="1">
      <c r="A40" s="342">
        <v>8</v>
      </c>
      <c r="B40" s="343" t="s">
        <v>943</v>
      </c>
      <c r="C40" s="335" t="s">
        <v>900</v>
      </c>
      <c r="D40" s="338">
        <v>8.8181999999999992</v>
      </c>
      <c r="E40" s="339">
        <v>2261508</v>
      </c>
      <c r="F40" s="337">
        <f t="shared" si="0"/>
        <v>19942429.845599998</v>
      </c>
      <c r="G40" s="338">
        <v>8.8181999999999992</v>
      </c>
      <c r="H40" s="339">
        <v>2261508</v>
      </c>
      <c r="I40" s="337">
        <f t="shared" si="1"/>
        <v>19942429.845599998</v>
      </c>
      <c r="J40" s="336">
        <f t="shared" si="2"/>
        <v>0</v>
      </c>
      <c r="K40" s="337">
        <f t="shared" si="3"/>
        <v>0</v>
      </c>
      <c r="L40" s="338">
        <f t="shared" si="4"/>
        <v>0</v>
      </c>
      <c r="M40" s="339">
        <f t="shared" si="5"/>
        <v>0</v>
      </c>
      <c r="N40" s="340"/>
    </row>
    <row r="41" spans="1:14" ht="32.25" customHeight="1">
      <c r="A41" s="342">
        <v>9</v>
      </c>
      <c r="B41" s="343" t="s">
        <v>944</v>
      </c>
      <c r="C41" s="340" t="s">
        <v>914</v>
      </c>
      <c r="D41" s="338">
        <v>0.68440000000000001</v>
      </c>
      <c r="E41" s="339">
        <v>16065408</v>
      </c>
      <c r="F41" s="337">
        <f t="shared" si="0"/>
        <v>10995165.235200001</v>
      </c>
      <c r="G41" s="338">
        <v>0.68440000000000001</v>
      </c>
      <c r="H41" s="339">
        <v>16065408</v>
      </c>
      <c r="I41" s="337">
        <f t="shared" si="1"/>
        <v>10995165.235200001</v>
      </c>
      <c r="J41" s="336">
        <f t="shared" si="2"/>
        <v>0</v>
      </c>
      <c r="K41" s="337">
        <f t="shared" si="3"/>
        <v>0</v>
      </c>
      <c r="L41" s="338">
        <f t="shared" si="4"/>
        <v>0</v>
      </c>
      <c r="M41" s="339">
        <f t="shared" si="5"/>
        <v>0</v>
      </c>
      <c r="N41" s="340"/>
    </row>
    <row r="42" spans="1:14" ht="32.25" customHeight="1">
      <c r="A42" s="342">
        <v>10</v>
      </c>
      <c r="B42" s="343" t="s">
        <v>945</v>
      </c>
      <c r="C42" s="340" t="s">
        <v>914</v>
      </c>
      <c r="D42" s="338">
        <v>2.9308999999999998</v>
      </c>
      <c r="E42" s="339">
        <v>21613723</v>
      </c>
      <c r="F42" s="337">
        <f t="shared" si="0"/>
        <v>63347660.740699999</v>
      </c>
      <c r="G42" s="338">
        <v>2.9308999999999998</v>
      </c>
      <c r="H42" s="339">
        <v>21613723</v>
      </c>
      <c r="I42" s="337">
        <f t="shared" si="1"/>
        <v>63347660.740699999</v>
      </c>
      <c r="J42" s="336">
        <f t="shared" si="2"/>
        <v>0</v>
      </c>
      <c r="K42" s="337">
        <f t="shared" si="3"/>
        <v>0</v>
      </c>
      <c r="L42" s="338">
        <f t="shared" si="4"/>
        <v>0</v>
      </c>
      <c r="M42" s="339">
        <f t="shared" si="5"/>
        <v>0</v>
      </c>
      <c r="N42" s="340"/>
    </row>
    <row r="43" spans="1:14" ht="32.25" customHeight="1">
      <c r="A43" s="342">
        <v>11</v>
      </c>
      <c r="B43" s="343" t="s">
        <v>946</v>
      </c>
      <c r="C43" s="340" t="s">
        <v>914</v>
      </c>
      <c r="D43" s="338">
        <v>1.1357999999999999</v>
      </c>
      <c r="E43" s="339">
        <v>17821387</v>
      </c>
      <c r="F43" s="337">
        <f t="shared" si="0"/>
        <v>20241531.354599997</v>
      </c>
      <c r="G43" s="338">
        <v>1.1357999999999999</v>
      </c>
      <c r="H43" s="339">
        <v>17821387</v>
      </c>
      <c r="I43" s="337">
        <f t="shared" si="1"/>
        <v>20241531.354599997</v>
      </c>
      <c r="J43" s="336">
        <f t="shared" si="2"/>
        <v>0</v>
      </c>
      <c r="K43" s="337">
        <f t="shared" si="3"/>
        <v>0</v>
      </c>
      <c r="L43" s="338">
        <f t="shared" si="4"/>
        <v>0</v>
      </c>
      <c r="M43" s="339">
        <f t="shared" si="5"/>
        <v>0</v>
      </c>
      <c r="N43" s="340"/>
    </row>
    <row r="44" spans="1:14" ht="32.25" customHeight="1">
      <c r="A44" s="342">
        <v>12</v>
      </c>
      <c r="B44" s="343" t="s">
        <v>947</v>
      </c>
      <c r="C44" s="340" t="s">
        <v>914</v>
      </c>
      <c r="D44" s="338">
        <v>1.7662</v>
      </c>
      <c r="E44" s="339">
        <v>17572894</v>
      </c>
      <c r="F44" s="337">
        <f t="shared" si="0"/>
        <v>31037245.382800002</v>
      </c>
      <c r="G44" s="338">
        <v>1.7662</v>
      </c>
      <c r="H44" s="339">
        <v>17572894</v>
      </c>
      <c r="I44" s="337">
        <f t="shared" si="1"/>
        <v>31037245.382800002</v>
      </c>
      <c r="J44" s="336">
        <f t="shared" si="2"/>
        <v>0</v>
      </c>
      <c r="K44" s="337">
        <f t="shared" si="3"/>
        <v>0</v>
      </c>
      <c r="L44" s="338">
        <f t="shared" si="4"/>
        <v>0</v>
      </c>
      <c r="M44" s="339">
        <f t="shared" si="5"/>
        <v>0</v>
      </c>
      <c r="N44" s="340"/>
    </row>
    <row r="45" spans="1:14" ht="32.25" customHeight="1">
      <c r="A45" s="342">
        <v>13</v>
      </c>
      <c r="B45" s="343" t="s">
        <v>918</v>
      </c>
      <c r="C45" s="340" t="s">
        <v>919</v>
      </c>
      <c r="D45" s="338">
        <v>0.58109999999999995</v>
      </c>
      <c r="E45" s="339">
        <v>24512504</v>
      </c>
      <c r="F45" s="337">
        <f t="shared" si="0"/>
        <v>14244216.074399998</v>
      </c>
      <c r="G45" s="338">
        <v>0.58109999999999995</v>
      </c>
      <c r="H45" s="339">
        <v>24512504</v>
      </c>
      <c r="I45" s="337">
        <f t="shared" si="1"/>
        <v>14244216.074399998</v>
      </c>
      <c r="J45" s="336">
        <f t="shared" si="2"/>
        <v>0</v>
      </c>
      <c r="K45" s="337">
        <f t="shared" si="3"/>
        <v>0</v>
      </c>
      <c r="L45" s="338">
        <f t="shared" si="4"/>
        <v>0</v>
      </c>
      <c r="M45" s="339">
        <f t="shared" si="5"/>
        <v>0</v>
      </c>
      <c r="N45" s="340"/>
    </row>
    <row r="46" spans="1:14" ht="32.25" customHeight="1">
      <c r="A46" s="342">
        <v>14</v>
      </c>
      <c r="B46" s="343" t="s">
        <v>948</v>
      </c>
      <c r="C46" s="340" t="s">
        <v>919</v>
      </c>
      <c r="D46" s="338">
        <v>1.7214</v>
      </c>
      <c r="E46" s="339">
        <v>25684686</v>
      </c>
      <c r="F46" s="337">
        <f t="shared" si="0"/>
        <v>44213618.480400003</v>
      </c>
      <c r="G46" s="338">
        <v>1.7214</v>
      </c>
      <c r="H46" s="339">
        <v>25684686</v>
      </c>
      <c r="I46" s="337">
        <f t="shared" si="1"/>
        <v>44213618.480400003</v>
      </c>
      <c r="J46" s="336">
        <f t="shared" si="2"/>
        <v>0</v>
      </c>
      <c r="K46" s="337">
        <f t="shared" si="3"/>
        <v>0</v>
      </c>
      <c r="L46" s="338">
        <f t="shared" si="4"/>
        <v>0</v>
      </c>
      <c r="M46" s="339">
        <f t="shared" si="5"/>
        <v>0</v>
      </c>
      <c r="N46" s="340"/>
    </row>
    <row r="47" spans="1:14" ht="32.25" customHeight="1">
      <c r="A47" s="342">
        <v>15</v>
      </c>
      <c r="B47" s="343" t="s">
        <v>949</v>
      </c>
      <c r="C47" s="340" t="s">
        <v>919</v>
      </c>
      <c r="D47" s="338">
        <v>0.68940000000000001</v>
      </c>
      <c r="E47" s="339">
        <v>25367620</v>
      </c>
      <c r="F47" s="337">
        <f t="shared" si="0"/>
        <v>17488437.228</v>
      </c>
      <c r="G47" s="338">
        <v>0.68940000000000001</v>
      </c>
      <c r="H47" s="339">
        <v>25367620</v>
      </c>
      <c r="I47" s="337">
        <f t="shared" si="1"/>
        <v>17488437.228</v>
      </c>
      <c r="J47" s="336">
        <f t="shared" si="2"/>
        <v>0</v>
      </c>
      <c r="K47" s="337">
        <f t="shared" si="3"/>
        <v>0</v>
      </c>
      <c r="L47" s="338">
        <f t="shared" si="4"/>
        <v>0</v>
      </c>
      <c r="M47" s="339">
        <f t="shared" si="5"/>
        <v>0</v>
      </c>
      <c r="N47" s="340"/>
    </row>
    <row r="48" spans="1:14" ht="32.25" customHeight="1">
      <c r="A48" s="342">
        <v>16</v>
      </c>
      <c r="B48" s="343" t="s">
        <v>950</v>
      </c>
      <c r="C48" s="340" t="s">
        <v>919</v>
      </c>
      <c r="D48" s="338">
        <v>0.61509999999999998</v>
      </c>
      <c r="E48" s="339">
        <v>27010598</v>
      </c>
      <c r="F48" s="337">
        <f t="shared" si="0"/>
        <v>16614218.829799999</v>
      </c>
      <c r="G48" s="338">
        <v>0.61509999999999998</v>
      </c>
      <c r="H48" s="339">
        <v>27010598</v>
      </c>
      <c r="I48" s="337">
        <f t="shared" si="1"/>
        <v>16614218.829799999</v>
      </c>
      <c r="J48" s="336">
        <f t="shared" si="2"/>
        <v>0</v>
      </c>
      <c r="K48" s="337">
        <f t="shared" si="3"/>
        <v>0</v>
      </c>
      <c r="L48" s="338">
        <f t="shared" si="4"/>
        <v>0</v>
      </c>
      <c r="M48" s="339">
        <f t="shared" si="5"/>
        <v>0</v>
      </c>
      <c r="N48" s="340"/>
    </row>
    <row r="49" spans="1:14" ht="32.25" customHeight="1">
      <c r="A49" s="342">
        <v>17</v>
      </c>
      <c r="B49" s="343" t="s">
        <v>951</v>
      </c>
      <c r="C49" s="340" t="s">
        <v>900</v>
      </c>
      <c r="D49" s="338">
        <v>20.3</v>
      </c>
      <c r="E49" s="339">
        <v>1676247</v>
      </c>
      <c r="F49" s="337">
        <f t="shared" si="0"/>
        <v>34027814.100000001</v>
      </c>
      <c r="G49" s="338">
        <v>20.3</v>
      </c>
      <c r="H49" s="339">
        <v>1676247</v>
      </c>
      <c r="I49" s="337">
        <f t="shared" si="1"/>
        <v>34027814.100000001</v>
      </c>
      <c r="J49" s="336">
        <f t="shared" si="2"/>
        <v>0</v>
      </c>
      <c r="K49" s="337">
        <f t="shared" si="3"/>
        <v>0</v>
      </c>
      <c r="L49" s="338">
        <f t="shared" si="4"/>
        <v>0</v>
      </c>
      <c r="M49" s="339">
        <f t="shared" si="5"/>
        <v>0</v>
      </c>
      <c r="N49" s="340"/>
    </row>
    <row r="50" spans="1:14" s="352" customFormat="1" ht="32.25" customHeight="1">
      <c r="A50" s="344">
        <v>18</v>
      </c>
      <c r="B50" s="345" t="s">
        <v>952</v>
      </c>
      <c r="C50" s="351" t="s">
        <v>930</v>
      </c>
      <c r="D50" s="347">
        <v>13.65</v>
      </c>
      <c r="E50" s="348">
        <v>200476</v>
      </c>
      <c r="F50" s="349">
        <f t="shared" si="0"/>
        <v>2736497.4</v>
      </c>
      <c r="G50" s="347">
        <v>10.92</v>
      </c>
      <c r="H50" s="348">
        <v>100000</v>
      </c>
      <c r="I50" s="349">
        <f t="shared" si="1"/>
        <v>1092000</v>
      </c>
      <c r="J50" s="350">
        <f t="shared" si="2"/>
        <v>2.7300000000000004</v>
      </c>
      <c r="K50" s="349">
        <f t="shared" si="3"/>
        <v>1644497.4</v>
      </c>
      <c r="L50" s="347">
        <f t="shared" si="4"/>
        <v>0</v>
      </c>
      <c r="M50" s="348">
        <f t="shared" si="5"/>
        <v>0</v>
      </c>
      <c r="N50" s="351"/>
    </row>
    <row r="51" spans="1:14" s="352" customFormat="1" ht="32.25" customHeight="1">
      <c r="A51" s="344">
        <v>19</v>
      </c>
      <c r="B51" s="345" t="s">
        <v>931</v>
      </c>
      <c r="C51" s="351" t="s">
        <v>930</v>
      </c>
      <c r="D51" s="347">
        <v>21</v>
      </c>
      <c r="E51" s="348">
        <v>187552</v>
      </c>
      <c r="F51" s="349">
        <f t="shared" si="0"/>
        <v>3938592</v>
      </c>
      <c r="G51" s="347">
        <v>21</v>
      </c>
      <c r="H51" s="348">
        <v>100000</v>
      </c>
      <c r="I51" s="349">
        <f t="shared" si="1"/>
        <v>2100000</v>
      </c>
      <c r="J51" s="350">
        <f t="shared" si="2"/>
        <v>0</v>
      </c>
      <c r="K51" s="349">
        <f t="shared" si="3"/>
        <v>1838592</v>
      </c>
      <c r="L51" s="347">
        <f t="shared" si="4"/>
        <v>0</v>
      </c>
      <c r="M51" s="348">
        <f t="shared" si="5"/>
        <v>0</v>
      </c>
      <c r="N51" s="351"/>
    </row>
    <row r="52" spans="1:14" s="352" customFormat="1" ht="32.25" customHeight="1">
      <c r="A52" s="344">
        <v>20</v>
      </c>
      <c r="B52" s="345" t="s">
        <v>953</v>
      </c>
      <c r="C52" s="351" t="s">
        <v>930</v>
      </c>
      <c r="D52" s="347">
        <v>168.35</v>
      </c>
      <c r="E52" s="348">
        <v>424279</v>
      </c>
      <c r="F52" s="349">
        <f t="shared" si="0"/>
        <v>71427369.649999991</v>
      </c>
      <c r="G52" s="347">
        <v>184.73</v>
      </c>
      <c r="H52" s="348">
        <v>100000</v>
      </c>
      <c r="I52" s="349">
        <f t="shared" si="1"/>
        <v>18473000</v>
      </c>
      <c r="J52" s="350">
        <f t="shared" si="2"/>
        <v>0</v>
      </c>
      <c r="K52" s="349">
        <f t="shared" si="3"/>
        <v>52954369.649999991</v>
      </c>
      <c r="L52" s="347">
        <f t="shared" si="4"/>
        <v>16.379999999999995</v>
      </c>
      <c r="M52" s="348">
        <f t="shared" si="5"/>
        <v>0</v>
      </c>
      <c r="N52" s="351"/>
    </row>
    <row r="53" spans="1:14" s="352" customFormat="1" ht="32.25" customHeight="1">
      <c r="A53" s="344">
        <v>21</v>
      </c>
      <c r="B53" s="345" t="s">
        <v>954</v>
      </c>
      <c r="C53" s="351" t="s">
        <v>930</v>
      </c>
      <c r="D53" s="347">
        <v>48</v>
      </c>
      <c r="E53" s="348">
        <v>287331</v>
      </c>
      <c r="F53" s="349">
        <f t="shared" si="0"/>
        <v>13791888</v>
      </c>
      <c r="G53" s="347">
        <v>124.746</v>
      </c>
      <c r="H53" s="348">
        <v>120000</v>
      </c>
      <c r="I53" s="349">
        <f t="shared" si="1"/>
        <v>14969520</v>
      </c>
      <c r="J53" s="350">
        <f t="shared" si="2"/>
        <v>0</v>
      </c>
      <c r="K53" s="349">
        <f t="shared" si="3"/>
        <v>0</v>
      </c>
      <c r="L53" s="347">
        <f t="shared" si="4"/>
        <v>76.745999999999995</v>
      </c>
      <c r="M53" s="348">
        <f t="shared" si="5"/>
        <v>1177632</v>
      </c>
      <c r="N53" s="351"/>
    </row>
    <row r="54" spans="1:14" s="352" customFormat="1" ht="32.25" customHeight="1">
      <c r="A54" s="344">
        <v>22</v>
      </c>
      <c r="B54" s="345" t="s">
        <v>955</v>
      </c>
      <c r="C54" s="351" t="s">
        <v>919</v>
      </c>
      <c r="D54" s="347">
        <v>0.98909999999999998</v>
      </c>
      <c r="E54" s="348">
        <v>29502844</v>
      </c>
      <c r="F54" s="349">
        <f t="shared" si="0"/>
        <v>29181263.000399999</v>
      </c>
      <c r="G54" s="347">
        <v>1.1416999999999999</v>
      </c>
      <c r="H54" s="348">
        <v>29502844</v>
      </c>
      <c r="I54" s="349">
        <f t="shared" si="1"/>
        <v>33683396.994800001</v>
      </c>
      <c r="J54" s="350">
        <f t="shared" si="2"/>
        <v>0</v>
      </c>
      <c r="K54" s="349">
        <f t="shared" si="3"/>
        <v>0</v>
      </c>
      <c r="L54" s="347">
        <f t="shared" si="4"/>
        <v>0.15259999999999996</v>
      </c>
      <c r="M54" s="348">
        <f t="shared" si="5"/>
        <v>4502133.9944000021</v>
      </c>
      <c r="N54" s="351"/>
    </row>
    <row r="55" spans="1:14" s="352" customFormat="1" ht="32.25" customHeight="1">
      <c r="A55" s="344">
        <v>23</v>
      </c>
      <c r="B55" s="345" t="s">
        <v>956</v>
      </c>
      <c r="C55" s="351" t="s">
        <v>919</v>
      </c>
      <c r="D55" s="347">
        <v>0.98909999999999998</v>
      </c>
      <c r="E55" s="348">
        <v>1748576</v>
      </c>
      <c r="F55" s="349">
        <f t="shared" si="0"/>
        <v>1729516.5215999999</v>
      </c>
      <c r="G55" s="347">
        <v>1.1416999999999999</v>
      </c>
      <c r="H55" s="348">
        <v>1748576</v>
      </c>
      <c r="I55" s="349">
        <f t="shared" si="1"/>
        <v>1996349.2191999999</v>
      </c>
      <c r="J55" s="350">
        <f t="shared" si="2"/>
        <v>0</v>
      </c>
      <c r="K55" s="349">
        <f t="shared" si="3"/>
        <v>0</v>
      </c>
      <c r="L55" s="347">
        <f t="shared" si="4"/>
        <v>0.15259999999999996</v>
      </c>
      <c r="M55" s="348">
        <f t="shared" si="5"/>
        <v>266832.69760000007</v>
      </c>
      <c r="N55" s="351"/>
    </row>
    <row r="56" spans="1:14" s="352" customFormat="1" ht="32.25" customHeight="1">
      <c r="A56" s="344">
        <v>24</v>
      </c>
      <c r="B56" s="345" t="s">
        <v>957</v>
      </c>
      <c r="C56" s="351" t="s">
        <v>914</v>
      </c>
      <c r="D56" s="347">
        <v>2.1560000000000001</v>
      </c>
      <c r="E56" s="348">
        <v>16515504</v>
      </c>
      <c r="F56" s="349">
        <f t="shared" si="0"/>
        <v>35607426.624000005</v>
      </c>
      <c r="G56" s="347">
        <v>2.1560000000000001</v>
      </c>
      <c r="H56" s="348">
        <v>26515504</v>
      </c>
      <c r="I56" s="349">
        <f t="shared" si="1"/>
        <v>57167426.624000005</v>
      </c>
      <c r="J56" s="350">
        <f t="shared" si="2"/>
        <v>0</v>
      </c>
      <c r="K56" s="349">
        <f t="shared" si="3"/>
        <v>0</v>
      </c>
      <c r="L56" s="347">
        <f t="shared" si="4"/>
        <v>0</v>
      </c>
      <c r="M56" s="348">
        <f t="shared" si="5"/>
        <v>21560000</v>
      </c>
      <c r="N56" s="351"/>
    </row>
    <row r="57" spans="1:14" s="352" customFormat="1" ht="32.25" customHeight="1">
      <c r="A57" s="344">
        <v>25</v>
      </c>
      <c r="B57" s="345" t="s">
        <v>958</v>
      </c>
      <c r="C57" s="351" t="s">
        <v>900</v>
      </c>
      <c r="D57" s="347">
        <v>32.798999999999999</v>
      </c>
      <c r="E57" s="348">
        <v>1537033</v>
      </c>
      <c r="F57" s="349">
        <f t="shared" si="0"/>
        <v>50413145.366999999</v>
      </c>
      <c r="G57" s="347">
        <v>33.911999999999999</v>
      </c>
      <c r="H57" s="348">
        <v>1537033</v>
      </c>
      <c r="I57" s="349">
        <f t="shared" si="1"/>
        <v>52123863.096000001</v>
      </c>
      <c r="J57" s="350">
        <f t="shared" si="2"/>
        <v>0</v>
      </c>
      <c r="K57" s="349">
        <f t="shared" si="3"/>
        <v>0</v>
      </c>
      <c r="L57" s="347">
        <f t="shared" si="4"/>
        <v>1.1129999999999995</v>
      </c>
      <c r="M57" s="348">
        <f t="shared" si="5"/>
        <v>1710717.7290000021</v>
      </c>
      <c r="N57" s="351"/>
    </row>
    <row r="58" spans="1:14" s="352" customFormat="1" ht="32.25" customHeight="1">
      <c r="A58" s="344">
        <v>26</v>
      </c>
      <c r="B58" s="345" t="s">
        <v>959</v>
      </c>
      <c r="C58" s="351" t="s">
        <v>930</v>
      </c>
      <c r="D58" s="347">
        <v>182</v>
      </c>
      <c r="E58" s="348">
        <v>191935</v>
      </c>
      <c r="F58" s="349">
        <f t="shared" si="0"/>
        <v>34932170</v>
      </c>
      <c r="G58" s="347">
        <v>0</v>
      </c>
      <c r="H58" s="348">
        <v>191935</v>
      </c>
      <c r="I58" s="349">
        <f t="shared" si="1"/>
        <v>0</v>
      </c>
      <c r="J58" s="350">
        <f t="shared" si="2"/>
        <v>182</v>
      </c>
      <c r="K58" s="349">
        <f t="shared" si="3"/>
        <v>34932170</v>
      </c>
      <c r="L58" s="347">
        <f t="shared" si="4"/>
        <v>0</v>
      </c>
      <c r="M58" s="348">
        <f t="shared" si="5"/>
        <v>0</v>
      </c>
      <c r="N58" s="351"/>
    </row>
    <row r="59" spans="1:14" ht="32.25" customHeight="1">
      <c r="A59" s="342">
        <v>27</v>
      </c>
      <c r="B59" s="343" t="s">
        <v>929</v>
      </c>
      <c r="C59" s="340" t="s">
        <v>930</v>
      </c>
      <c r="D59" s="338">
        <v>655.98</v>
      </c>
      <c r="E59" s="339">
        <v>81113</v>
      </c>
      <c r="F59" s="337">
        <f t="shared" si="0"/>
        <v>53208505.740000002</v>
      </c>
      <c r="G59" s="338">
        <v>655.98</v>
      </c>
      <c r="H59" s="339">
        <v>81113</v>
      </c>
      <c r="I59" s="337">
        <f t="shared" si="1"/>
        <v>53208505.740000002</v>
      </c>
      <c r="J59" s="336">
        <f t="shared" si="2"/>
        <v>0</v>
      </c>
      <c r="K59" s="337">
        <f t="shared" si="3"/>
        <v>0</v>
      </c>
      <c r="L59" s="338">
        <f t="shared" si="4"/>
        <v>0</v>
      </c>
      <c r="M59" s="339">
        <f t="shared" si="5"/>
        <v>0</v>
      </c>
      <c r="N59" s="340"/>
    </row>
    <row r="60" spans="1:14" ht="32.25" customHeight="1">
      <c r="A60" s="342">
        <v>28</v>
      </c>
      <c r="B60" s="343" t="s">
        <v>960</v>
      </c>
      <c r="C60" s="340" t="s">
        <v>930</v>
      </c>
      <c r="D60" s="338">
        <v>50.468000000000004</v>
      </c>
      <c r="E60" s="339">
        <v>57407</v>
      </c>
      <c r="F60" s="337">
        <f t="shared" si="0"/>
        <v>2897216.4760000003</v>
      </c>
      <c r="G60" s="338">
        <v>50.468000000000004</v>
      </c>
      <c r="H60" s="339">
        <v>57407</v>
      </c>
      <c r="I60" s="337">
        <f t="shared" si="1"/>
        <v>2897216.4760000003</v>
      </c>
      <c r="J60" s="336">
        <f t="shared" si="2"/>
        <v>0</v>
      </c>
      <c r="K60" s="337">
        <f t="shared" si="3"/>
        <v>0</v>
      </c>
      <c r="L60" s="338">
        <f t="shared" si="4"/>
        <v>0</v>
      </c>
      <c r="M60" s="339">
        <f t="shared" si="5"/>
        <v>0</v>
      </c>
      <c r="N60" s="340"/>
    </row>
    <row r="61" spans="1:14" ht="32.25" customHeight="1">
      <c r="A61" s="342">
        <v>29</v>
      </c>
      <c r="B61" s="343" t="s">
        <v>961</v>
      </c>
      <c r="C61" s="340" t="s">
        <v>962</v>
      </c>
      <c r="D61" s="338">
        <v>68.2</v>
      </c>
      <c r="E61" s="339">
        <v>81305</v>
      </c>
      <c r="F61" s="337">
        <f t="shared" si="0"/>
        <v>5545001</v>
      </c>
      <c r="G61" s="338">
        <v>68.2</v>
      </c>
      <c r="H61" s="339">
        <v>81305</v>
      </c>
      <c r="I61" s="337">
        <f t="shared" si="1"/>
        <v>5545001</v>
      </c>
      <c r="J61" s="336">
        <f t="shared" si="2"/>
        <v>0</v>
      </c>
      <c r="K61" s="337">
        <f t="shared" si="3"/>
        <v>0</v>
      </c>
      <c r="L61" s="338">
        <f t="shared" si="4"/>
        <v>0</v>
      </c>
      <c r="M61" s="339">
        <f t="shared" si="5"/>
        <v>0</v>
      </c>
      <c r="N61" s="340"/>
    </row>
    <row r="62" spans="1:14" ht="32.25" customHeight="1">
      <c r="A62" s="342">
        <v>30</v>
      </c>
      <c r="B62" s="343" t="s">
        <v>963</v>
      </c>
      <c r="C62" s="340" t="s">
        <v>962</v>
      </c>
      <c r="D62" s="338">
        <v>68.2</v>
      </c>
      <c r="E62" s="339">
        <v>64868</v>
      </c>
      <c r="F62" s="337">
        <f t="shared" si="0"/>
        <v>4423997.6000000006</v>
      </c>
      <c r="G62" s="338">
        <v>68.2</v>
      </c>
      <c r="H62" s="339">
        <v>64868</v>
      </c>
      <c r="I62" s="337">
        <f t="shared" si="1"/>
        <v>4423997.6000000006</v>
      </c>
      <c r="J62" s="336">
        <f t="shared" si="2"/>
        <v>0</v>
      </c>
      <c r="K62" s="337">
        <f t="shared" si="3"/>
        <v>0</v>
      </c>
      <c r="L62" s="338">
        <f t="shared" si="4"/>
        <v>0</v>
      </c>
      <c r="M62" s="339">
        <f t="shared" si="5"/>
        <v>0</v>
      </c>
      <c r="N62" s="340"/>
    </row>
    <row r="63" spans="1:14" ht="32.25" customHeight="1">
      <c r="A63" s="342">
        <v>31</v>
      </c>
      <c r="B63" s="343" t="s">
        <v>964</v>
      </c>
      <c r="C63" s="340" t="s">
        <v>930</v>
      </c>
      <c r="D63" s="338">
        <v>136.78800000000001</v>
      </c>
      <c r="E63" s="339">
        <v>47287</v>
      </c>
      <c r="F63" s="337">
        <f t="shared" si="0"/>
        <v>6468294.1560000004</v>
      </c>
      <c r="G63" s="338">
        <v>136.78800000000001</v>
      </c>
      <c r="H63" s="339">
        <v>47287</v>
      </c>
      <c r="I63" s="337">
        <f t="shared" si="1"/>
        <v>6468294.1560000004</v>
      </c>
      <c r="J63" s="336">
        <f t="shared" si="2"/>
        <v>0</v>
      </c>
      <c r="K63" s="337">
        <f t="shared" si="3"/>
        <v>0</v>
      </c>
      <c r="L63" s="338">
        <f t="shared" si="4"/>
        <v>0</v>
      </c>
      <c r="M63" s="339">
        <f t="shared" si="5"/>
        <v>0</v>
      </c>
      <c r="N63" s="340"/>
    </row>
    <row r="64" spans="1:14" ht="32.25" customHeight="1">
      <c r="A64" s="342">
        <v>32</v>
      </c>
      <c r="B64" s="343" t="s">
        <v>924</v>
      </c>
      <c r="C64" s="340" t="s">
        <v>914</v>
      </c>
      <c r="D64" s="338">
        <v>2.0299999999999998</v>
      </c>
      <c r="E64" s="339">
        <v>682496</v>
      </c>
      <c r="F64" s="337">
        <f t="shared" si="0"/>
        <v>1385466.8799999999</v>
      </c>
      <c r="G64" s="338">
        <v>2.0299999999999998</v>
      </c>
      <c r="H64" s="339">
        <v>682496</v>
      </c>
      <c r="I64" s="337">
        <f t="shared" si="1"/>
        <v>1385466.8799999999</v>
      </c>
      <c r="J64" s="336">
        <f t="shared" si="2"/>
        <v>0</v>
      </c>
      <c r="K64" s="337">
        <f t="shared" si="3"/>
        <v>0</v>
      </c>
      <c r="L64" s="338">
        <f t="shared" si="4"/>
        <v>0</v>
      </c>
      <c r="M64" s="339">
        <f t="shared" si="5"/>
        <v>0</v>
      </c>
      <c r="N64" s="340"/>
    </row>
    <row r="65" spans="1:14" s="352" customFormat="1" ht="32.25" customHeight="1">
      <c r="A65" s="344">
        <v>33</v>
      </c>
      <c r="B65" s="345" t="s">
        <v>965</v>
      </c>
      <c r="C65" s="351" t="s">
        <v>930</v>
      </c>
      <c r="D65" s="347">
        <v>676.58</v>
      </c>
      <c r="E65" s="348">
        <v>81113</v>
      </c>
      <c r="F65" s="349">
        <f t="shared" si="0"/>
        <v>54879433.540000007</v>
      </c>
      <c r="G65" s="347">
        <v>672.73099999999999</v>
      </c>
      <c r="H65" s="348">
        <v>81113</v>
      </c>
      <c r="I65" s="349">
        <f t="shared" si="1"/>
        <v>54567229.603</v>
      </c>
      <c r="J65" s="350">
        <f t="shared" si="2"/>
        <v>3.8490000000000464</v>
      </c>
      <c r="K65" s="349">
        <f t="shared" si="3"/>
        <v>312203.93700000644</v>
      </c>
      <c r="L65" s="347">
        <f t="shared" si="4"/>
        <v>0</v>
      </c>
      <c r="M65" s="348">
        <f t="shared" si="5"/>
        <v>0</v>
      </c>
      <c r="N65" s="351"/>
    </row>
    <row r="66" spans="1:14" ht="32.25" customHeight="1">
      <c r="A66" s="342">
        <v>34</v>
      </c>
      <c r="B66" s="343" t="s">
        <v>966</v>
      </c>
      <c r="C66" s="340" t="s">
        <v>930</v>
      </c>
      <c r="D66" s="338">
        <v>136.78800000000001</v>
      </c>
      <c r="E66" s="339">
        <v>76892</v>
      </c>
      <c r="F66" s="337">
        <f t="shared" si="0"/>
        <v>10517902.896000002</v>
      </c>
      <c r="G66" s="338">
        <v>136.78800000000001</v>
      </c>
      <c r="H66" s="339">
        <v>76892</v>
      </c>
      <c r="I66" s="337">
        <f t="shared" si="1"/>
        <v>10517902.896000002</v>
      </c>
      <c r="J66" s="336">
        <f t="shared" si="2"/>
        <v>0</v>
      </c>
      <c r="K66" s="337">
        <f t="shared" si="3"/>
        <v>0</v>
      </c>
      <c r="L66" s="338">
        <f t="shared" si="4"/>
        <v>0</v>
      </c>
      <c r="M66" s="339">
        <f t="shared" si="5"/>
        <v>0</v>
      </c>
      <c r="N66" s="340"/>
    </row>
    <row r="67" spans="1:14" s="352" customFormat="1" ht="32.25" customHeight="1">
      <c r="A67" s="344">
        <v>35</v>
      </c>
      <c r="B67" s="345" t="s">
        <v>967</v>
      </c>
      <c r="C67" s="351" t="s">
        <v>930</v>
      </c>
      <c r="D67" s="347">
        <v>813.35799999999995</v>
      </c>
      <c r="E67" s="348">
        <v>83662</v>
      </c>
      <c r="F67" s="349">
        <f t="shared" si="0"/>
        <v>68047156.995999992</v>
      </c>
      <c r="G67" s="347">
        <v>758.178</v>
      </c>
      <c r="H67" s="348">
        <v>83740</v>
      </c>
      <c r="I67" s="349">
        <f t="shared" si="1"/>
        <v>63489825.719999999</v>
      </c>
      <c r="J67" s="350">
        <f t="shared" si="2"/>
        <v>55.17999999999995</v>
      </c>
      <c r="K67" s="349">
        <f t="shared" si="3"/>
        <v>4557331.2759999931</v>
      </c>
      <c r="L67" s="347">
        <f t="shared" si="4"/>
        <v>0</v>
      </c>
      <c r="M67" s="348">
        <f t="shared" si="5"/>
        <v>0</v>
      </c>
      <c r="N67" s="351"/>
    </row>
    <row r="68" spans="1:14" s="352" customFormat="1" ht="32.25" customHeight="1">
      <c r="A68" s="344">
        <v>36</v>
      </c>
      <c r="B68" s="345" t="s">
        <v>934</v>
      </c>
      <c r="C68" s="351" t="s">
        <v>930</v>
      </c>
      <c r="D68" s="347">
        <v>813.35799999999995</v>
      </c>
      <c r="E68" s="348">
        <v>59365</v>
      </c>
      <c r="F68" s="349">
        <f t="shared" si="0"/>
        <v>48284997.669999994</v>
      </c>
      <c r="G68" s="347">
        <v>758.178</v>
      </c>
      <c r="H68" s="348">
        <v>29710</v>
      </c>
      <c r="I68" s="349">
        <f t="shared" si="1"/>
        <v>22525468.379999999</v>
      </c>
      <c r="J68" s="350">
        <f t="shared" si="2"/>
        <v>55.17999999999995</v>
      </c>
      <c r="K68" s="349">
        <f t="shared" si="3"/>
        <v>25759529.289999995</v>
      </c>
      <c r="L68" s="347">
        <f t="shared" si="4"/>
        <v>0</v>
      </c>
      <c r="M68" s="348">
        <f t="shared" si="5"/>
        <v>0</v>
      </c>
      <c r="N68" s="351"/>
    </row>
    <row r="69" spans="1:14" ht="32.25" customHeight="1">
      <c r="A69" s="342">
        <v>37</v>
      </c>
      <c r="B69" s="343" t="s">
        <v>968</v>
      </c>
      <c r="C69" s="340" t="s">
        <v>939</v>
      </c>
      <c r="D69" s="338">
        <v>0.48</v>
      </c>
      <c r="E69" s="339">
        <v>14072168</v>
      </c>
      <c r="F69" s="337">
        <f t="shared" si="0"/>
        <v>6754640.6399999997</v>
      </c>
      <c r="G69" s="338">
        <v>0.48</v>
      </c>
      <c r="H69" s="339">
        <v>14072168</v>
      </c>
      <c r="I69" s="337">
        <f t="shared" si="1"/>
        <v>6754640.6399999997</v>
      </c>
      <c r="J69" s="336">
        <f t="shared" si="2"/>
        <v>0</v>
      </c>
      <c r="K69" s="337">
        <f t="shared" si="3"/>
        <v>0</v>
      </c>
      <c r="L69" s="338">
        <f t="shared" si="4"/>
        <v>0</v>
      </c>
      <c r="M69" s="339">
        <f t="shared" si="5"/>
        <v>0</v>
      </c>
      <c r="N69" s="340"/>
    </row>
    <row r="70" spans="1:14" ht="32.25" customHeight="1">
      <c r="A70" s="342">
        <v>38</v>
      </c>
      <c r="B70" s="343" t="s">
        <v>969</v>
      </c>
      <c r="C70" s="340" t="s">
        <v>903</v>
      </c>
      <c r="D70" s="338">
        <v>8</v>
      </c>
      <c r="E70" s="339">
        <v>44770</v>
      </c>
      <c r="F70" s="337">
        <f t="shared" ref="F70:F133" si="7">D70*E70</f>
        <v>358160</v>
      </c>
      <c r="G70" s="338">
        <v>8</v>
      </c>
      <c r="H70" s="339">
        <v>44770</v>
      </c>
      <c r="I70" s="337">
        <f t="shared" ref="I70:I133" si="8">G70*H70</f>
        <v>358160</v>
      </c>
      <c r="J70" s="336">
        <f t="shared" ref="J70:J133" si="9">MAX(D70-G70,0)</f>
        <v>0</v>
      </c>
      <c r="K70" s="337">
        <f t="shared" ref="K70:K133" si="10">MAX(F70-I70,0)</f>
        <v>0</v>
      </c>
      <c r="L70" s="338">
        <f t="shared" ref="L70:L133" si="11">MAX(G70-D70,0)</f>
        <v>0</v>
      </c>
      <c r="M70" s="339">
        <f t="shared" ref="M70:M133" si="12">MAX(I70-F70,0)</f>
        <v>0</v>
      </c>
      <c r="N70" s="340"/>
    </row>
    <row r="71" spans="1:14" s="352" customFormat="1" ht="32.25" customHeight="1">
      <c r="A71" s="344">
        <v>39</v>
      </c>
      <c r="B71" s="345" t="s">
        <v>926</v>
      </c>
      <c r="C71" s="351" t="s">
        <v>900</v>
      </c>
      <c r="D71" s="347"/>
      <c r="E71" s="348"/>
      <c r="F71" s="349">
        <f t="shared" si="7"/>
        <v>0</v>
      </c>
      <c r="G71" s="347">
        <v>7.68</v>
      </c>
      <c r="H71" s="348">
        <v>2602936</v>
      </c>
      <c r="I71" s="349">
        <f t="shared" si="8"/>
        <v>19990548.48</v>
      </c>
      <c r="J71" s="350">
        <f t="shared" si="9"/>
        <v>0</v>
      </c>
      <c r="K71" s="349">
        <f t="shared" si="10"/>
        <v>0</v>
      </c>
      <c r="L71" s="347">
        <f t="shared" si="11"/>
        <v>7.68</v>
      </c>
      <c r="M71" s="348">
        <f t="shared" si="12"/>
        <v>19990548.48</v>
      </c>
      <c r="N71" s="351"/>
    </row>
    <row r="72" spans="1:14" s="327" customFormat="1" ht="32.25" customHeight="1">
      <c r="A72" s="537" t="s">
        <v>94</v>
      </c>
      <c r="B72" s="537"/>
      <c r="C72" s="537"/>
      <c r="D72" s="328"/>
      <c r="E72" s="329"/>
      <c r="F72" s="329">
        <f>SUM(F33:F71)</f>
        <v>983200701.69799995</v>
      </c>
      <c r="G72" s="328"/>
      <c r="H72" s="329"/>
      <c r="I72" s="329">
        <f t="shared" ref="I72:M72" si="13">SUM(I33:I71)</f>
        <v>913695868.5660001</v>
      </c>
      <c r="J72" s="328"/>
      <c r="K72" s="329">
        <f t="shared" si="13"/>
        <v>121998693.55299997</v>
      </c>
      <c r="L72" s="328"/>
      <c r="M72" s="329">
        <f t="shared" si="13"/>
        <v>52493860.421000004</v>
      </c>
      <c r="N72" s="360"/>
    </row>
    <row r="73" spans="1:14" ht="32.25" customHeight="1">
      <c r="A73" s="537" t="s">
        <v>970</v>
      </c>
      <c r="B73" s="537"/>
      <c r="C73" s="537"/>
      <c r="D73" s="338"/>
      <c r="E73" s="339"/>
      <c r="F73" s="337"/>
      <c r="G73" s="338"/>
      <c r="H73" s="339"/>
      <c r="I73" s="337"/>
      <c r="J73" s="336"/>
      <c r="K73" s="337"/>
      <c r="L73" s="338"/>
      <c r="M73" s="339"/>
      <c r="N73" s="340"/>
    </row>
    <row r="74" spans="1:14" ht="32.25" customHeight="1">
      <c r="A74" s="342">
        <v>1</v>
      </c>
      <c r="B74" s="343" t="s">
        <v>899</v>
      </c>
      <c r="C74" s="340" t="s">
        <v>900</v>
      </c>
      <c r="D74" s="338">
        <v>125.4838</v>
      </c>
      <c r="E74" s="339">
        <v>157460</v>
      </c>
      <c r="F74" s="337">
        <f t="shared" si="7"/>
        <v>19758679.148000002</v>
      </c>
      <c r="G74" s="338">
        <v>125.4838</v>
      </c>
      <c r="H74" s="339">
        <v>157460</v>
      </c>
      <c r="I74" s="337">
        <f t="shared" si="8"/>
        <v>19758679.148000002</v>
      </c>
      <c r="J74" s="336">
        <f t="shared" si="9"/>
        <v>0</v>
      </c>
      <c r="K74" s="337">
        <f t="shared" si="10"/>
        <v>0</v>
      </c>
      <c r="L74" s="338">
        <f t="shared" si="11"/>
        <v>0</v>
      </c>
      <c r="M74" s="339">
        <f t="shared" si="12"/>
        <v>0</v>
      </c>
      <c r="N74" s="340"/>
    </row>
    <row r="75" spans="1:14" ht="32.25" customHeight="1">
      <c r="A75" s="342">
        <v>2</v>
      </c>
      <c r="B75" s="343" t="s">
        <v>901</v>
      </c>
      <c r="C75" s="340" t="s">
        <v>900</v>
      </c>
      <c r="D75" s="338">
        <v>83.656000000000006</v>
      </c>
      <c r="E75" s="339">
        <v>124194</v>
      </c>
      <c r="F75" s="337">
        <f t="shared" si="7"/>
        <v>10389573.264</v>
      </c>
      <c r="G75" s="338">
        <v>83.656000000000006</v>
      </c>
      <c r="H75" s="339">
        <v>124194</v>
      </c>
      <c r="I75" s="337">
        <f t="shared" si="8"/>
        <v>10389573.264</v>
      </c>
      <c r="J75" s="336">
        <f t="shared" si="9"/>
        <v>0</v>
      </c>
      <c r="K75" s="337">
        <f t="shared" si="10"/>
        <v>0</v>
      </c>
      <c r="L75" s="338">
        <f t="shared" si="11"/>
        <v>0</v>
      </c>
      <c r="M75" s="339">
        <f t="shared" si="12"/>
        <v>0</v>
      </c>
      <c r="N75" s="340"/>
    </row>
    <row r="76" spans="1:14" ht="32.25" customHeight="1">
      <c r="A76" s="342">
        <v>3</v>
      </c>
      <c r="B76" s="343" t="s">
        <v>938</v>
      </c>
      <c r="C76" s="340" t="s">
        <v>900</v>
      </c>
      <c r="D76" s="338">
        <v>61.75</v>
      </c>
      <c r="E76" s="339">
        <v>1207823</v>
      </c>
      <c r="F76" s="337">
        <f t="shared" si="7"/>
        <v>74583070.25</v>
      </c>
      <c r="G76" s="338">
        <v>61.75</v>
      </c>
      <c r="H76" s="339">
        <v>1207823</v>
      </c>
      <c r="I76" s="337">
        <f t="shared" si="8"/>
        <v>74583070.25</v>
      </c>
      <c r="J76" s="336">
        <f t="shared" si="9"/>
        <v>0</v>
      </c>
      <c r="K76" s="337">
        <f t="shared" si="10"/>
        <v>0</v>
      </c>
      <c r="L76" s="338">
        <f t="shared" si="11"/>
        <v>0</v>
      </c>
      <c r="M76" s="339">
        <f t="shared" si="12"/>
        <v>0</v>
      </c>
      <c r="N76" s="340"/>
    </row>
    <row r="77" spans="1:14" s="352" customFormat="1" ht="32.25" customHeight="1">
      <c r="A77" s="344">
        <v>4</v>
      </c>
      <c r="B77" s="345" t="s">
        <v>971</v>
      </c>
      <c r="C77" s="351" t="s">
        <v>900</v>
      </c>
      <c r="D77" s="347">
        <v>5.6779999999999999</v>
      </c>
      <c r="E77" s="348">
        <v>1284797</v>
      </c>
      <c r="F77" s="349">
        <f t="shared" si="7"/>
        <v>7295077.3659999995</v>
      </c>
      <c r="G77" s="347">
        <v>9.0380000000000003</v>
      </c>
      <c r="H77" s="348">
        <v>1284797</v>
      </c>
      <c r="I77" s="349">
        <f t="shared" si="8"/>
        <v>11611995.286</v>
      </c>
      <c r="J77" s="350">
        <f t="shared" si="9"/>
        <v>0</v>
      </c>
      <c r="K77" s="349">
        <f t="shared" si="10"/>
        <v>0</v>
      </c>
      <c r="L77" s="347">
        <f t="shared" si="11"/>
        <v>3.3600000000000003</v>
      </c>
      <c r="M77" s="348">
        <f t="shared" si="12"/>
        <v>4316917.9200000009</v>
      </c>
      <c r="N77" s="351"/>
    </row>
    <row r="78" spans="1:14" ht="32.25" customHeight="1">
      <c r="A78" s="342">
        <v>5</v>
      </c>
      <c r="B78" s="343" t="s">
        <v>972</v>
      </c>
      <c r="C78" s="340" t="s">
        <v>900</v>
      </c>
      <c r="D78" s="338">
        <v>14.7072</v>
      </c>
      <c r="E78" s="339">
        <v>1686193</v>
      </c>
      <c r="F78" s="337">
        <f t="shared" si="7"/>
        <v>24799177.689600002</v>
      </c>
      <c r="G78" s="338">
        <v>14.7072</v>
      </c>
      <c r="H78" s="339">
        <v>1686193</v>
      </c>
      <c r="I78" s="337">
        <f t="shared" si="8"/>
        <v>24799177.689600002</v>
      </c>
      <c r="J78" s="336">
        <f t="shared" si="9"/>
        <v>0</v>
      </c>
      <c r="K78" s="337">
        <f t="shared" si="10"/>
        <v>0</v>
      </c>
      <c r="L78" s="338">
        <f t="shared" si="11"/>
        <v>0</v>
      </c>
      <c r="M78" s="339">
        <f t="shared" si="12"/>
        <v>0</v>
      </c>
      <c r="N78" s="340"/>
    </row>
    <row r="79" spans="1:14" ht="32.25" customHeight="1">
      <c r="A79" s="342">
        <v>6</v>
      </c>
      <c r="B79" s="343" t="s">
        <v>973</v>
      </c>
      <c r="C79" s="340" t="s">
        <v>900</v>
      </c>
      <c r="D79" s="338">
        <v>15.308999999999999</v>
      </c>
      <c r="E79" s="339">
        <v>2218781</v>
      </c>
      <c r="F79" s="337">
        <f t="shared" si="7"/>
        <v>33967318.328999996</v>
      </c>
      <c r="G79" s="338">
        <v>15.308999999999999</v>
      </c>
      <c r="H79" s="339">
        <v>2218781</v>
      </c>
      <c r="I79" s="337">
        <f t="shared" si="8"/>
        <v>33967318.328999996</v>
      </c>
      <c r="J79" s="336">
        <f t="shared" si="9"/>
        <v>0</v>
      </c>
      <c r="K79" s="337">
        <f t="shared" si="10"/>
        <v>0</v>
      </c>
      <c r="L79" s="338">
        <f t="shared" si="11"/>
        <v>0</v>
      </c>
      <c r="M79" s="339">
        <f t="shared" si="12"/>
        <v>0</v>
      </c>
      <c r="N79" s="340"/>
    </row>
    <row r="80" spans="1:14" ht="32.25" customHeight="1">
      <c r="A80" s="342">
        <v>7</v>
      </c>
      <c r="B80" s="343" t="s">
        <v>974</v>
      </c>
      <c r="C80" s="340" t="s">
        <v>900</v>
      </c>
      <c r="D80" s="338">
        <v>2.6027</v>
      </c>
      <c r="E80" s="339">
        <v>2545968</v>
      </c>
      <c r="F80" s="337">
        <f t="shared" si="7"/>
        <v>6626390.9135999996</v>
      </c>
      <c r="G80" s="338">
        <v>2.6027</v>
      </c>
      <c r="H80" s="339">
        <v>2545968</v>
      </c>
      <c r="I80" s="337">
        <f t="shared" si="8"/>
        <v>6626390.9135999996</v>
      </c>
      <c r="J80" s="336">
        <f t="shared" si="9"/>
        <v>0</v>
      </c>
      <c r="K80" s="337">
        <f t="shared" si="10"/>
        <v>0</v>
      </c>
      <c r="L80" s="338">
        <f t="shared" si="11"/>
        <v>0</v>
      </c>
      <c r="M80" s="339">
        <f t="shared" si="12"/>
        <v>0</v>
      </c>
      <c r="N80" s="340"/>
    </row>
    <row r="81" spans="1:14" ht="32.25" customHeight="1">
      <c r="A81" s="342">
        <v>8</v>
      </c>
      <c r="B81" s="343" t="s">
        <v>943</v>
      </c>
      <c r="C81" s="340" t="s">
        <v>900</v>
      </c>
      <c r="D81" s="338">
        <v>6.16</v>
      </c>
      <c r="E81" s="339">
        <v>2263632</v>
      </c>
      <c r="F81" s="337">
        <f t="shared" si="7"/>
        <v>13943973.120000001</v>
      </c>
      <c r="G81" s="338">
        <v>6.16</v>
      </c>
      <c r="H81" s="339">
        <v>2263632</v>
      </c>
      <c r="I81" s="337">
        <f t="shared" si="8"/>
        <v>13943973.120000001</v>
      </c>
      <c r="J81" s="336">
        <f t="shared" si="9"/>
        <v>0</v>
      </c>
      <c r="K81" s="337">
        <f t="shared" si="10"/>
        <v>0</v>
      </c>
      <c r="L81" s="338">
        <f t="shared" si="11"/>
        <v>0</v>
      </c>
      <c r="M81" s="339">
        <f t="shared" si="12"/>
        <v>0</v>
      </c>
      <c r="N81" s="340"/>
    </row>
    <row r="82" spans="1:14" ht="32.25" customHeight="1">
      <c r="A82" s="342">
        <v>9</v>
      </c>
      <c r="B82" s="343" t="s">
        <v>944</v>
      </c>
      <c r="C82" s="340" t="s">
        <v>914</v>
      </c>
      <c r="D82" s="338">
        <v>0.63859999999999995</v>
      </c>
      <c r="E82" s="339">
        <v>16080494</v>
      </c>
      <c r="F82" s="337">
        <f t="shared" si="7"/>
        <v>10269003.4684</v>
      </c>
      <c r="G82" s="338">
        <v>0.63859999999999995</v>
      </c>
      <c r="H82" s="339">
        <v>16080494</v>
      </c>
      <c r="I82" s="337">
        <f t="shared" si="8"/>
        <v>10269003.4684</v>
      </c>
      <c r="J82" s="336">
        <f t="shared" si="9"/>
        <v>0</v>
      </c>
      <c r="K82" s="337">
        <f t="shared" si="10"/>
        <v>0</v>
      </c>
      <c r="L82" s="338">
        <f t="shared" si="11"/>
        <v>0</v>
      </c>
      <c r="M82" s="339">
        <f t="shared" si="12"/>
        <v>0</v>
      </c>
      <c r="N82" s="340"/>
    </row>
    <row r="83" spans="1:14" ht="32.25" customHeight="1">
      <c r="A83" s="342">
        <v>10</v>
      </c>
      <c r="B83" s="343" t="s">
        <v>975</v>
      </c>
      <c r="C83" s="340" t="s">
        <v>914</v>
      </c>
      <c r="D83" s="338">
        <v>2.9556</v>
      </c>
      <c r="E83" s="339">
        <v>21634016</v>
      </c>
      <c r="F83" s="337">
        <f t="shared" si="7"/>
        <v>63941497.689599998</v>
      </c>
      <c r="G83" s="338">
        <v>2.9556</v>
      </c>
      <c r="H83" s="339">
        <v>21634016</v>
      </c>
      <c r="I83" s="337">
        <f t="shared" si="8"/>
        <v>63941497.689599998</v>
      </c>
      <c r="J83" s="336">
        <f t="shared" si="9"/>
        <v>0</v>
      </c>
      <c r="K83" s="337">
        <f t="shared" si="10"/>
        <v>0</v>
      </c>
      <c r="L83" s="338">
        <f t="shared" si="11"/>
        <v>0</v>
      </c>
      <c r="M83" s="339">
        <f t="shared" si="12"/>
        <v>0</v>
      </c>
      <c r="N83" s="340"/>
    </row>
    <row r="84" spans="1:14" ht="32.25" customHeight="1">
      <c r="A84" s="342">
        <v>11</v>
      </c>
      <c r="B84" s="343" t="s">
        <v>946</v>
      </c>
      <c r="C84" s="340" t="s">
        <v>914</v>
      </c>
      <c r="D84" s="338">
        <v>0.67759999999999998</v>
      </c>
      <c r="E84" s="339">
        <v>17838122</v>
      </c>
      <c r="F84" s="337">
        <f t="shared" si="7"/>
        <v>12087111.4672</v>
      </c>
      <c r="G84" s="338">
        <v>0.67759999999999998</v>
      </c>
      <c r="H84" s="339">
        <v>17838122</v>
      </c>
      <c r="I84" s="337">
        <f t="shared" si="8"/>
        <v>12087111.4672</v>
      </c>
      <c r="J84" s="336">
        <f t="shared" si="9"/>
        <v>0</v>
      </c>
      <c r="K84" s="337">
        <f t="shared" si="10"/>
        <v>0</v>
      </c>
      <c r="L84" s="338">
        <f t="shared" si="11"/>
        <v>0</v>
      </c>
      <c r="M84" s="339">
        <f t="shared" si="12"/>
        <v>0</v>
      </c>
      <c r="N84" s="340"/>
    </row>
    <row r="85" spans="1:14" ht="32.25" customHeight="1">
      <c r="A85" s="342">
        <v>12</v>
      </c>
      <c r="B85" s="343" t="s">
        <v>976</v>
      </c>
      <c r="C85" s="340" t="s">
        <v>914</v>
      </c>
      <c r="D85" s="338">
        <v>1.19</v>
      </c>
      <c r="E85" s="339">
        <v>17589393</v>
      </c>
      <c r="F85" s="337">
        <f t="shared" si="7"/>
        <v>20931377.669999998</v>
      </c>
      <c r="G85" s="338">
        <v>1.19</v>
      </c>
      <c r="H85" s="339">
        <v>17589393</v>
      </c>
      <c r="I85" s="337">
        <f t="shared" si="8"/>
        <v>20931377.669999998</v>
      </c>
      <c r="J85" s="336">
        <f t="shared" si="9"/>
        <v>0</v>
      </c>
      <c r="K85" s="337">
        <f t="shared" si="10"/>
        <v>0</v>
      </c>
      <c r="L85" s="338">
        <f t="shared" si="11"/>
        <v>0</v>
      </c>
      <c r="M85" s="339">
        <f t="shared" si="12"/>
        <v>0</v>
      </c>
      <c r="N85" s="340"/>
    </row>
    <row r="86" spans="1:14" ht="32.25" customHeight="1">
      <c r="A86" s="342">
        <v>13</v>
      </c>
      <c r="B86" s="343" t="s">
        <v>977</v>
      </c>
      <c r="C86" s="340" t="s">
        <v>978</v>
      </c>
      <c r="D86" s="338">
        <v>0.37490000000000001</v>
      </c>
      <c r="E86" s="339">
        <v>21961313</v>
      </c>
      <c r="F86" s="337">
        <f t="shared" si="7"/>
        <v>8233296.2437000005</v>
      </c>
      <c r="G86" s="338">
        <v>0.37490000000000001</v>
      </c>
      <c r="H86" s="339">
        <v>21961313</v>
      </c>
      <c r="I86" s="337">
        <f t="shared" si="8"/>
        <v>8233296.2437000005</v>
      </c>
      <c r="J86" s="336">
        <f t="shared" si="9"/>
        <v>0</v>
      </c>
      <c r="K86" s="337">
        <f t="shared" si="10"/>
        <v>0</v>
      </c>
      <c r="L86" s="338">
        <f t="shared" si="11"/>
        <v>0</v>
      </c>
      <c r="M86" s="339">
        <f t="shared" si="12"/>
        <v>0</v>
      </c>
      <c r="N86" s="340"/>
    </row>
    <row r="87" spans="1:14" ht="32.25" customHeight="1">
      <c r="A87" s="342">
        <v>14</v>
      </c>
      <c r="B87" s="343" t="s">
        <v>979</v>
      </c>
      <c r="C87" s="340" t="s">
        <v>978</v>
      </c>
      <c r="D87" s="338">
        <v>2.5287999999999999</v>
      </c>
      <c r="E87" s="339">
        <v>23134596</v>
      </c>
      <c r="F87" s="337">
        <f t="shared" si="7"/>
        <v>58502766.364799999</v>
      </c>
      <c r="G87" s="338">
        <v>2.5287999999999999</v>
      </c>
      <c r="H87" s="339">
        <v>23134596</v>
      </c>
      <c r="I87" s="337">
        <f t="shared" si="8"/>
        <v>58502766.364799999</v>
      </c>
      <c r="J87" s="336">
        <f t="shared" si="9"/>
        <v>0</v>
      </c>
      <c r="K87" s="337">
        <f t="shared" si="10"/>
        <v>0</v>
      </c>
      <c r="L87" s="338">
        <f t="shared" si="11"/>
        <v>0</v>
      </c>
      <c r="M87" s="339">
        <f t="shared" si="12"/>
        <v>0</v>
      </c>
      <c r="N87" s="340"/>
    </row>
    <row r="88" spans="1:14" ht="32.25" customHeight="1">
      <c r="A88" s="342">
        <v>15</v>
      </c>
      <c r="B88" s="343" t="s">
        <v>980</v>
      </c>
      <c r="C88" s="340" t="s">
        <v>978</v>
      </c>
      <c r="D88" s="338">
        <v>0.89800000000000002</v>
      </c>
      <c r="E88" s="339">
        <v>22817232</v>
      </c>
      <c r="F88" s="337">
        <f t="shared" si="7"/>
        <v>20489874.335999999</v>
      </c>
      <c r="G88" s="338">
        <v>0.89800000000000002</v>
      </c>
      <c r="H88" s="339">
        <v>22817232</v>
      </c>
      <c r="I88" s="337">
        <f t="shared" si="8"/>
        <v>20489874.335999999</v>
      </c>
      <c r="J88" s="336">
        <f t="shared" si="9"/>
        <v>0</v>
      </c>
      <c r="K88" s="337">
        <f t="shared" si="10"/>
        <v>0</v>
      </c>
      <c r="L88" s="338">
        <f t="shared" si="11"/>
        <v>0</v>
      </c>
      <c r="M88" s="339">
        <f t="shared" si="12"/>
        <v>0</v>
      </c>
      <c r="N88" s="340"/>
    </row>
    <row r="89" spans="1:14" ht="32.25" customHeight="1">
      <c r="A89" s="342">
        <v>16</v>
      </c>
      <c r="B89" s="343" t="s">
        <v>981</v>
      </c>
      <c r="C89" s="340" t="s">
        <v>978</v>
      </c>
      <c r="D89" s="338">
        <v>0.47820000000000001</v>
      </c>
      <c r="E89" s="339">
        <v>24461752</v>
      </c>
      <c r="F89" s="337">
        <f t="shared" si="7"/>
        <v>11697609.806400001</v>
      </c>
      <c r="G89" s="338">
        <v>0.47820000000000001</v>
      </c>
      <c r="H89" s="339">
        <v>24461752</v>
      </c>
      <c r="I89" s="337">
        <f t="shared" si="8"/>
        <v>11697609.806400001</v>
      </c>
      <c r="J89" s="336">
        <f t="shared" si="9"/>
        <v>0</v>
      </c>
      <c r="K89" s="337">
        <f t="shared" si="10"/>
        <v>0</v>
      </c>
      <c r="L89" s="338">
        <f t="shared" si="11"/>
        <v>0</v>
      </c>
      <c r="M89" s="339">
        <f t="shared" si="12"/>
        <v>0</v>
      </c>
      <c r="N89" s="340"/>
    </row>
    <row r="90" spans="1:14" ht="32.25" customHeight="1">
      <c r="A90" s="342">
        <v>17</v>
      </c>
      <c r="B90" s="343" t="s">
        <v>926</v>
      </c>
      <c r="C90" s="340" t="s">
        <v>900</v>
      </c>
      <c r="D90" s="338">
        <v>6.8520000000000003</v>
      </c>
      <c r="E90" s="339">
        <v>2602936</v>
      </c>
      <c r="F90" s="337">
        <f t="shared" si="7"/>
        <v>17835317.471999999</v>
      </c>
      <c r="G90" s="338">
        <v>6.8520000000000003</v>
      </c>
      <c r="H90" s="339">
        <v>2602936</v>
      </c>
      <c r="I90" s="337">
        <f t="shared" si="8"/>
        <v>17835317.471999999</v>
      </c>
      <c r="J90" s="336">
        <f t="shared" si="9"/>
        <v>0</v>
      </c>
      <c r="K90" s="337">
        <f t="shared" si="10"/>
        <v>0</v>
      </c>
      <c r="L90" s="338">
        <f t="shared" si="11"/>
        <v>0</v>
      </c>
      <c r="M90" s="339">
        <f t="shared" si="12"/>
        <v>0</v>
      </c>
      <c r="N90" s="340"/>
    </row>
    <row r="91" spans="1:14" s="352" customFormat="1" ht="32.25" customHeight="1">
      <c r="A91" s="344">
        <v>18</v>
      </c>
      <c r="B91" s="345" t="s">
        <v>958</v>
      </c>
      <c r="C91" s="351" t="s">
        <v>900</v>
      </c>
      <c r="D91" s="347">
        <v>39.2395</v>
      </c>
      <c r="E91" s="348">
        <v>1538476</v>
      </c>
      <c r="F91" s="349">
        <f t="shared" si="7"/>
        <v>60369029.001999997</v>
      </c>
      <c r="G91" s="347">
        <v>39.266500000000001</v>
      </c>
      <c r="H91" s="348">
        <v>1538476</v>
      </c>
      <c r="I91" s="349">
        <f t="shared" si="8"/>
        <v>60410567.854000002</v>
      </c>
      <c r="J91" s="350">
        <f t="shared" si="9"/>
        <v>0</v>
      </c>
      <c r="K91" s="349">
        <f t="shared" si="10"/>
        <v>0</v>
      </c>
      <c r="L91" s="347">
        <f t="shared" si="11"/>
        <v>2.7000000000001023E-2</v>
      </c>
      <c r="M91" s="348">
        <f t="shared" si="12"/>
        <v>41538.852000005543</v>
      </c>
      <c r="N91" s="351"/>
    </row>
    <row r="92" spans="1:14" s="352" customFormat="1" ht="32.25" customHeight="1">
      <c r="A92" s="344">
        <v>19</v>
      </c>
      <c r="B92" s="345" t="s">
        <v>982</v>
      </c>
      <c r="C92" s="351" t="s">
        <v>930</v>
      </c>
      <c r="D92" s="347">
        <v>337.60500000000002</v>
      </c>
      <c r="E92" s="348">
        <v>81190</v>
      </c>
      <c r="F92" s="349">
        <f t="shared" si="7"/>
        <v>27410149.950000003</v>
      </c>
      <c r="G92" s="347">
        <v>352.86500000000001</v>
      </c>
      <c r="H92" s="348">
        <v>81190</v>
      </c>
      <c r="I92" s="349">
        <f t="shared" si="8"/>
        <v>28649109.350000001</v>
      </c>
      <c r="J92" s="350">
        <f t="shared" si="9"/>
        <v>0</v>
      </c>
      <c r="K92" s="349">
        <f t="shared" si="10"/>
        <v>0</v>
      </c>
      <c r="L92" s="347">
        <f t="shared" si="11"/>
        <v>15.259999999999991</v>
      </c>
      <c r="M92" s="348">
        <f t="shared" si="12"/>
        <v>1238959.3999999985</v>
      </c>
      <c r="N92" s="351"/>
    </row>
    <row r="93" spans="1:14" ht="32.25" customHeight="1">
      <c r="A93" s="342">
        <v>20</v>
      </c>
      <c r="B93" s="343" t="s">
        <v>983</v>
      </c>
      <c r="C93" s="340" t="s">
        <v>930</v>
      </c>
      <c r="D93" s="338">
        <v>118.32</v>
      </c>
      <c r="E93" s="339">
        <v>76963</v>
      </c>
      <c r="F93" s="337">
        <f t="shared" si="7"/>
        <v>9106262.1600000001</v>
      </c>
      <c r="G93" s="338">
        <v>118.32</v>
      </c>
      <c r="H93" s="339">
        <v>76963</v>
      </c>
      <c r="I93" s="337">
        <f t="shared" si="8"/>
        <v>9106262.1600000001</v>
      </c>
      <c r="J93" s="336">
        <f t="shared" si="9"/>
        <v>0</v>
      </c>
      <c r="K93" s="337">
        <f t="shared" si="10"/>
        <v>0</v>
      </c>
      <c r="L93" s="338">
        <f t="shared" si="11"/>
        <v>0</v>
      </c>
      <c r="M93" s="339">
        <f t="shared" si="12"/>
        <v>0</v>
      </c>
      <c r="N93" s="340"/>
    </row>
    <row r="94" spans="1:14" ht="32.25" customHeight="1">
      <c r="A94" s="342">
        <v>21</v>
      </c>
      <c r="B94" s="343" t="s">
        <v>984</v>
      </c>
      <c r="C94" s="340" t="s">
        <v>930</v>
      </c>
      <c r="D94" s="338">
        <v>32.015999999999998</v>
      </c>
      <c r="E94" s="339">
        <v>60916</v>
      </c>
      <c r="F94" s="337">
        <f t="shared" si="7"/>
        <v>1950286.656</v>
      </c>
      <c r="G94" s="338">
        <v>32.015999999999998</v>
      </c>
      <c r="H94" s="339">
        <v>60916</v>
      </c>
      <c r="I94" s="337">
        <f t="shared" si="8"/>
        <v>1950286.656</v>
      </c>
      <c r="J94" s="336">
        <f t="shared" si="9"/>
        <v>0</v>
      </c>
      <c r="K94" s="337">
        <f t="shared" si="10"/>
        <v>0</v>
      </c>
      <c r="L94" s="338">
        <f t="shared" si="11"/>
        <v>0</v>
      </c>
      <c r="M94" s="339">
        <f t="shared" si="12"/>
        <v>0</v>
      </c>
      <c r="N94" s="340"/>
    </row>
    <row r="95" spans="1:14" ht="32.25" customHeight="1">
      <c r="A95" s="342">
        <v>22</v>
      </c>
      <c r="B95" s="343" t="s">
        <v>961</v>
      </c>
      <c r="C95" s="340" t="s">
        <v>985</v>
      </c>
      <c r="D95" s="338">
        <v>34.799999999999997</v>
      </c>
      <c r="E95" s="339">
        <v>81382</v>
      </c>
      <c r="F95" s="337">
        <f t="shared" si="7"/>
        <v>2832093.5999999996</v>
      </c>
      <c r="G95" s="338">
        <v>34.799999999999997</v>
      </c>
      <c r="H95" s="339">
        <v>81382</v>
      </c>
      <c r="I95" s="337">
        <f t="shared" si="8"/>
        <v>2832093.5999999996</v>
      </c>
      <c r="J95" s="336">
        <f t="shared" si="9"/>
        <v>0</v>
      </c>
      <c r="K95" s="337">
        <f t="shared" si="10"/>
        <v>0</v>
      </c>
      <c r="L95" s="338">
        <f t="shared" si="11"/>
        <v>0</v>
      </c>
      <c r="M95" s="339">
        <f t="shared" si="12"/>
        <v>0</v>
      </c>
      <c r="N95" s="340"/>
    </row>
    <row r="96" spans="1:14" ht="32.25" customHeight="1">
      <c r="A96" s="342">
        <v>23</v>
      </c>
      <c r="B96" s="343" t="s">
        <v>963</v>
      </c>
      <c r="C96" s="340" t="s">
        <v>985</v>
      </c>
      <c r="D96" s="338">
        <v>34.799999999999997</v>
      </c>
      <c r="E96" s="339">
        <v>64929</v>
      </c>
      <c r="F96" s="337">
        <f t="shared" si="7"/>
        <v>2259529.1999999997</v>
      </c>
      <c r="G96" s="338">
        <v>34.799999999999997</v>
      </c>
      <c r="H96" s="339">
        <v>64929</v>
      </c>
      <c r="I96" s="337">
        <f t="shared" si="8"/>
        <v>2259529.1999999997</v>
      </c>
      <c r="J96" s="336">
        <f t="shared" si="9"/>
        <v>0</v>
      </c>
      <c r="K96" s="337">
        <f t="shared" si="10"/>
        <v>0</v>
      </c>
      <c r="L96" s="338">
        <f t="shared" si="11"/>
        <v>0</v>
      </c>
      <c r="M96" s="339">
        <f t="shared" si="12"/>
        <v>0</v>
      </c>
      <c r="N96" s="340"/>
    </row>
    <row r="97" spans="1:14" ht="32.25" customHeight="1">
      <c r="A97" s="342">
        <v>24</v>
      </c>
      <c r="B97" s="343" t="s">
        <v>964</v>
      </c>
      <c r="C97" s="340" t="s">
        <v>930</v>
      </c>
      <c r="D97" s="338">
        <v>76.56</v>
      </c>
      <c r="E97" s="339">
        <v>47332</v>
      </c>
      <c r="F97" s="337">
        <f t="shared" si="7"/>
        <v>3623737.92</v>
      </c>
      <c r="G97" s="338">
        <v>76.56</v>
      </c>
      <c r="H97" s="339">
        <v>47332</v>
      </c>
      <c r="I97" s="337">
        <f t="shared" si="8"/>
        <v>3623737.92</v>
      </c>
      <c r="J97" s="336">
        <f t="shared" si="9"/>
        <v>0</v>
      </c>
      <c r="K97" s="337">
        <f t="shared" si="10"/>
        <v>0</v>
      </c>
      <c r="L97" s="338">
        <f t="shared" si="11"/>
        <v>0</v>
      </c>
      <c r="M97" s="339">
        <f t="shared" si="12"/>
        <v>0</v>
      </c>
      <c r="N97" s="340"/>
    </row>
    <row r="98" spans="1:14" ht="32.25" customHeight="1">
      <c r="A98" s="342">
        <v>25</v>
      </c>
      <c r="B98" s="343" t="s">
        <v>986</v>
      </c>
      <c r="C98" s="340" t="s">
        <v>978</v>
      </c>
      <c r="D98" s="338">
        <v>0.98340000000000005</v>
      </c>
      <c r="E98" s="339">
        <v>29530547</v>
      </c>
      <c r="F98" s="337">
        <f t="shared" si="7"/>
        <v>29040339.919800002</v>
      </c>
      <c r="G98" s="338">
        <v>0.98340000000000005</v>
      </c>
      <c r="H98" s="339">
        <v>29530547</v>
      </c>
      <c r="I98" s="337">
        <f t="shared" si="8"/>
        <v>29040339.919800002</v>
      </c>
      <c r="J98" s="336">
        <f t="shared" si="9"/>
        <v>0</v>
      </c>
      <c r="K98" s="337">
        <f t="shared" si="10"/>
        <v>0</v>
      </c>
      <c r="L98" s="338">
        <f t="shared" si="11"/>
        <v>0</v>
      </c>
      <c r="M98" s="339">
        <f t="shared" si="12"/>
        <v>0</v>
      </c>
      <c r="N98" s="340"/>
    </row>
    <row r="99" spans="1:14" ht="32.25" customHeight="1">
      <c r="A99" s="342">
        <v>26</v>
      </c>
      <c r="B99" s="343" t="s">
        <v>956</v>
      </c>
      <c r="C99" s="340" t="s">
        <v>978</v>
      </c>
      <c r="D99" s="338">
        <v>0.98340000000000005</v>
      </c>
      <c r="E99" s="339">
        <v>1750217</v>
      </c>
      <c r="F99" s="337">
        <f t="shared" si="7"/>
        <v>1721163.3978000002</v>
      </c>
      <c r="G99" s="338">
        <v>0.98340000000000005</v>
      </c>
      <c r="H99" s="339">
        <v>1750217</v>
      </c>
      <c r="I99" s="337">
        <f t="shared" si="8"/>
        <v>1721163.3978000002</v>
      </c>
      <c r="J99" s="336">
        <f t="shared" si="9"/>
        <v>0</v>
      </c>
      <c r="K99" s="337">
        <f t="shared" si="10"/>
        <v>0</v>
      </c>
      <c r="L99" s="338">
        <f t="shared" si="11"/>
        <v>0</v>
      </c>
      <c r="M99" s="339">
        <f t="shared" si="12"/>
        <v>0</v>
      </c>
      <c r="N99" s="340"/>
    </row>
    <row r="100" spans="1:14" ht="32.25" customHeight="1">
      <c r="A100" s="342">
        <v>27</v>
      </c>
      <c r="B100" s="343" t="s">
        <v>987</v>
      </c>
      <c r="C100" s="340" t="s">
        <v>914</v>
      </c>
      <c r="D100" s="338">
        <v>2.262</v>
      </c>
      <c r="E100" s="339">
        <v>16531011</v>
      </c>
      <c r="F100" s="337">
        <f t="shared" si="7"/>
        <v>37393146.881999999</v>
      </c>
      <c r="G100" s="338">
        <v>2.262</v>
      </c>
      <c r="H100" s="339">
        <v>16531011</v>
      </c>
      <c r="I100" s="337">
        <f t="shared" si="8"/>
        <v>37393146.881999999</v>
      </c>
      <c r="J100" s="336">
        <f t="shared" si="9"/>
        <v>0</v>
      </c>
      <c r="K100" s="337">
        <f t="shared" si="10"/>
        <v>0</v>
      </c>
      <c r="L100" s="338">
        <f t="shared" si="11"/>
        <v>0</v>
      </c>
      <c r="M100" s="339">
        <f t="shared" si="12"/>
        <v>0</v>
      </c>
      <c r="N100" s="340"/>
    </row>
    <row r="101" spans="1:14" s="352" customFormat="1" ht="32.25" customHeight="1">
      <c r="A101" s="344">
        <v>28</v>
      </c>
      <c r="B101" s="345" t="s">
        <v>959</v>
      </c>
      <c r="C101" s="351" t="s">
        <v>930</v>
      </c>
      <c r="D101" s="347">
        <v>208.8</v>
      </c>
      <c r="E101" s="348">
        <v>192116</v>
      </c>
      <c r="F101" s="349">
        <f t="shared" si="7"/>
        <v>40113820.800000004</v>
      </c>
      <c r="G101" s="347">
        <v>0</v>
      </c>
      <c r="H101" s="348">
        <v>192116</v>
      </c>
      <c r="I101" s="349">
        <f t="shared" si="8"/>
        <v>0</v>
      </c>
      <c r="J101" s="350">
        <f t="shared" si="9"/>
        <v>208.8</v>
      </c>
      <c r="K101" s="349">
        <f t="shared" si="10"/>
        <v>40113820.800000004</v>
      </c>
      <c r="L101" s="347">
        <f t="shared" si="11"/>
        <v>0</v>
      </c>
      <c r="M101" s="348">
        <f t="shared" si="12"/>
        <v>0</v>
      </c>
      <c r="N101" s="351"/>
    </row>
    <row r="102" spans="1:14" ht="32.25" customHeight="1">
      <c r="A102" s="342">
        <v>29</v>
      </c>
      <c r="B102" s="343" t="s">
        <v>988</v>
      </c>
      <c r="C102" s="340" t="s">
        <v>900</v>
      </c>
      <c r="D102" s="338">
        <v>25.404</v>
      </c>
      <c r="E102" s="339">
        <v>1677821</v>
      </c>
      <c r="F102" s="337">
        <f t="shared" si="7"/>
        <v>42623364.684</v>
      </c>
      <c r="G102" s="338">
        <v>25.404</v>
      </c>
      <c r="H102" s="339">
        <v>1677821</v>
      </c>
      <c r="I102" s="337">
        <f t="shared" si="8"/>
        <v>42623364.684</v>
      </c>
      <c r="J102" s="336">
        <f t="shared" si="9"/>
        <v>0</v>
      </c>
      <c r="K102" s="337">
        <f t="shared" si="10"/>
        <v>0</v>
      </c>
      <c r="L102" s="338">
        <f t="shared" si="11"/>
        <v>0</v>
      </c>
      <c r="M102" s="339">
        <f t="shared" si="12"/>
        <v>0</v>
      </c>
      <c r="N102" s="340"/>
    </row>
    <row r="103" spans="1:14" ht="32.25" customHeight="1">
      <c r="A103" s="342">
        <v>30</v>
      </c>
      <c r="B103" s="343" t="s">
        <v>989</v>
      </c>
      <c r="C103" s="340" t="s">
        <v>900</v>
      </c>
      <c r="D103" s="338">
        <v>66.12</v>
      </c>
      <c r="E103" s="339">
        <v>195422</v>
      </c>
      <c r="F103" s="337">
        <f t="shared" si="7"/>
        <v>12921302.640000001</v>
      </c>
      <c r="G103" s="338">
        <v>66.12</v>
      </c>
      <c r="H103" s="339">
        <v>195422</v>
      </c>
      <c r="I103" s="337">
        <f t="shared" si="8"/>
        <v>12921302.640000001</v>
      </c>
      <c r="J103" s="336">
        <f t="shared" si="9"/>
        <v>0</v>
      </c>
      <c r="K103" s="337">
        <f t="shared" si="10"/>
        <v>0</v>
      </c>
      <c r="L103" s="338">
        <f t="shared" si="11"/>
        <v>0</v>
      </c>
      <c r="M103" s="339">
        <f t="shared" si="12"/>
        <v>0</v>
      </c>
      <c r="N103" s="340"/>
    </row>
    <row r="104" spans="1:14" ht="32.25" customHeight="1">
      <c r="A104" s="342">
        <v>31</v>
      </c>
      <c r="B104" s="343" t="s">
        <v>924</v>
      </c>
      <c r="C104" s="340" t="s">
        <v>914</v>
      </c>
      <c r="D104" s="338">
        <v>2.4359999999999999</v>
      </c>
      <c r="E104" s="339">
        <v>683138</v>
      </c>
      <c r="F104" s="337">
        <f t="shared" si="7"/>
        <v>1664124.1680000001</v>
      </c>
      <c r="G104" s="338">
        <v>2.4359999999999999</v>
      </c>
      <c r="H104" s="339">
        <v>683138</v>
      </c>
      <c r="I104" s="337">
        <f t="shared" si="8"/>
        <v>1664124.1680000001</v>
      </c>
      <c r="J104" s="336">
        <f t="shared" si="9"/>
        <v>0</v>
      </c>
      <c r="K104" s="337">
        <f t="shared" si="10"/>
        <v>0</v>
      </c>
      <c r="L104" s="338">
        <f t="shared" si="11"/>
        <v>0</v>
      </c>
      <c r="M104" s="339">
        <f t="shared" si="12"/>
        <v>0</v>
      </c>
      <c r="N104" s="340"/>
    </row>
    <row r="105" spans="1:14" s="352" customFormat="1" ht="32.25" customHeight="1">
      <c r="A105" s="344">
        <v>32</v>
      </c>
      <c r="B105" s="345" t="s">
        <v>990</v>
      </c>
      <c r="C105" s="351" t="s">
        <v>930</v>
      </c>
      <c r="D105" s="347">
        <v>30</v>
      </c>
      <c r="E105" s="348">
        <v>424678</v>
      </c>
      <c r="F105" s="349">
        <f t="shared" si="7"/>
        <v>12740340</v>
      </c>
      <c r="G105" s="347">
        <v>30</v>
      </c>
      <c r="H105" s="348">
        <v>100000</v>
      </c>
      <c r="I105" s="349">
        <f t="shared" si="8"/>
        <v>3000000</v>
      </c>
      <c r="J105" s="350">
        <f t="shared" si="9"/>
        <v>0</v>
      </c>
      <c r="K105" s="349">
        <f t="shared" si="10"/>
        <v>9740340</v>
      </c>
      <c r="L105" s="347">
        <f t="shared" si="11"/>
        <v>0</v>
      </c>
      <c r="M105" s="348">
        <f t="shared" si="12"/>
        <v>0</v>
      </c>
      <c r="N105" s="351"/>
    </row>
    <row r="106" spans="1:14" s="352" customFormat="1" ht="32.25" customHeight="1">
      <c r="A106" s="344">
        <v>33</v>
      </c>
      <c r="B106" s="345" t="s">
        <v>991</v>
      </c>
      <c r="C106" s="351" t="s">
        <v>930</v>
      </c>
      <c r="D106" s="347">
        <v>217.08</v>
      </c>
      <c r="E106" s="348">
        <v>187728</v>
      </c>
      <c r="F106" s="349">
        <f t="shared" si="7"/>
        <v>40751994.240000002</v>
      </c>
      <c r="G106" s="347">
        <v>217.08</v>
      </c>
      <c r="H106" s="348">
        <v>100000</v>
      </c>
      <c r="I106" s="349">
        <f t="shared" si="8"/>
        <v>21708000</v>
      </c>
      <c r="J106" s="350">
        <f t="shared" si="9"/>
        <v>0</v>
      </c>
      <c r="K106" s="349">
        <f t="shared" si="10"/>
        <v>19043994.240000002</v>
      </c>
      <c r="L106" s="347">
        <f t="shared" si="11"/>
        <v>0</v>
      </c>
      <c r="M106" s="348">
        <f t="shared" si="12"/>
        <v>0</v>
      </c>
      <c r="N106" s="351"/>
    </row>
    <row r="107" spans="1:14" s="352" customFormat="1" ht="32.25" customHeight="1">
      <c r="A107" s="344">
        <v>34</v>
      </c>
      <c r="B107" s="345" t="s">
        <v>992</v>
      </c>
      <c r="C107" s="351" t="s">
        <v>930</v>
      </c>
      <c r="D107" s="347">
        <v>464.22</v>
      </c>
      <c r="E107" s="348">
        <v>302887</v>
      </c>
      <c r="F107" s="349">
        <f t="shared" si="7"/>
        <v>140606203.14000002</v>
      </c>
      <c r="G107" s="347">
        <v>464.22</v>
      </c>
      <c r="H107" s="348">
        <v>120000</v>
      </c>
      <c r="I107" s="349">
        <f t="shared" si="8"/>
        <v>55706400</v>
      </c>
      <c r="J107" s="350">
        <f t="shared" si="9"/>
        <v>0</v>
      </c>
      <c r="K107" s="349">
        <f t="shared" si="10"/>
        <v>84899803.140000015</v>
      </c>
      <c r="L107" s="347">
        <f t="shared" si="11"/>
        <v>0</v>
      </c>
      <c r="M107" s="348">
        <f t="shared" si="12"/>
        <v>0</v>
      </c>
      <c r="N107" s="351"/>
    </row>
    <row r="108" spans="1:14" s="352" customFormat="1" ht="32.25" customHeight="1">
      <c r="A108" s="344">
        <v>35</v>
      </c>
      <c r="B108" s="364" t="s">
        <v>933</v>
      </c>
      <c r="C108" s="351" t="s">
        <v>930</v>
      </c>
      <c r="D108" s="347">
        <v>455.92500000000001</v>
      </c>
      <c r="E108" s="348">
        <v>83740</v>
      </c>
      <c r="F108" s="349">
        <f t="shared" si="7"/>
        <v>38179159.5</v>
      </c>
      <c r="G108" s="347">
        <v>456.46499999999997</v>
      </c>
      <c r="H108" s="348">
        <v>83740</v>
      </c>
      <c r="I108" s="349">
        <f t="shared" si="8"/>
        <v>38224379.100000001</v>
      </c>
      <c r="J108" s="350">
        <f t="shared" si="9"/>
        <v>0</v>
      </c>
      <c r="K108" s="349">
        <f t="shared" si="10"/>
        <v>0</v>
      </c>
      <c r="L108" s="347">
        <f t="shared" si="11"/>
        <v>0.53999999999996362</v>
      </c>
      <c r="M108" s="348">
        <f t="shared" si="12"/>
        <v>45219.60000000149</v>
      </c>
      <c r="N108" s="351"/>
    </row>
    <row r="109" spans="1:14" s="352" customFormat="1" ht="32.25" customHeight="1">
      <c r="A109" s="344">
        <v>36</v>
      </c>
      <c r="B109" s="345" t="s">
        <v>993</v>
      </c>
      <c r="C109" s="351" t="s">
        <v>930</v>
      </c>
      <c r="D109" s="347">
        <v>455.92500000000001</v>
      </c>
      <c r="E109" s="365">
        <v>59420</v>
      </c>
      <c r="F109" s="349">
        <f t="shared" si="7"/>
        <v>27091063.5</v>
      </c>
      <c r="G109" s="347">
        <v>456.46499999999997</v>
      </c>
      <c r="H109" s="348">
        <v>29710</v>
      </c>
      <c r="I109" s="349">
        <f t="shared" si="8"/>
        <v>13561575.149999999</v>
      </c>
      <c r="J109" s="350">
        <f t="shared" si="9"/>
        <v>0</v>
      </c>
      <c r="K109" s="349">
        <f t="shared" si="10"/>
        <v>13529488.350000001</v>
      </c>
      <c r="L109" s="347">
        <f t="shared" si="11"/>
        <v>0.53999999999996362</v>
      </c>
      <c r="M109" s="348">
        <f t="shared" si="12"/>
        <v>0</v>
      </c>
      <c r="N109" s="351"/>
    </row>
    <row r="110" spans="1:14" ht="32.25" customHeight="1">
      <c r="A110" s="342">
        <v>37</v>
      </c>
      <c r="B110" s="343" t="s">
        <v>968</v>
      </c>
      <c r="C110" s="340" t="s">
        <v>939</v>
      </c>
      <c r="D110" s="338">
        <v>0.3</v>
      </c>
      <c r="E110" s="339">
        <v>14085381</v>
      </c>
      <c r="F110" s="337">
        <f t="shared" si="7"/>
        <v>4225614.3</v>
      </c>
      <c r="G110" s="338">
        <v>0.3</v>
      </c>
      <c r="H110" s="339">
        <v>14085381</v>
      </c>
      <c r="I110" s="337">
        <f t="shared" si="8"/>
        <v>4225614.3</v>
      </c>
      <c r="J110" s="336">
        <f t="shared" si="9"/>
        <v>0</v>
      </c>
      <c r="K110" s="337">
        <f t="shared" si="10"/>
        <v>0</v>
      </c>
      <c r="L110" s="338">
        <f t="shared" si="11"/>
        <v>0</v>
      </c>
      <c r="M110" s="339">
        <f t="shared" si="12"/>
        <v>0</v>
      </c>
      <c r="N110" s="340"/>
    </row>
    <row r="111" spans="1:14" ht="32.25" customHeight="1">
      <c r="A111" s="342">
        <v>38</v>
      </c>
      <c r="B111" s="343" t="s">
        <v>969</v>
      </c>
      <c r="C111" s="340" t="s">
        <v>994</v>
      </c>
      <c r="D111" s="338">
        <v>5</v>
      </c>
      <c r="E111" s="339">
        <v>44813</v>
      </c>
      <c r="F111" s="337">
        <f t="shared" si="7"/>
        <v>224065</v>
      </c>
      <c r="G111" s="338">
        <v>5</v>
      </c>
      <c r="H111" s="339">
        <v>44813</v>
      </c>
      <c r="I111" s="337">
        <f t="shared" si="8"/>
        <v>224065</v>
      </c>
      <c r="J111" s="336">
        <f t="shared" si="9"/>
        <v>0</v>
      </c>
      <c r="K111" s="337">
        <f t="shared" si="10"/>
        <v>0</v>
      </c>
      <c r="L111" s="338">
        <f t="shared" si="11"/>
        <v>0</v>
      </c>
      <c r="M111" s="339">
        <f t="shared" si="12"/>
        <v>0</v>
      </c>
      <c r="N111" s="340"/>
    </row>
    <row r="112" spans="1:14" s="327" customFormat="1" ht="32.25" customHeight="1">
      <c r="A112" s="537" t="s">
        <v>94</v>
      </c>
      <c r="B112" s="537"/>
      <c r="C112" s="537"/>
      <c r="D112" s="328"/>
      <c r="E112" s="329"/>
      <c r="F112" s="329">
        <f>SUM(F73:F111)</f>
        <v>952197905.25789988</v>
      </c>
      <c r="G112" s="328"/>
      <c r="H112" s="329"/>
      <c r="I112" s="329">
        <f t="shared" ref="I112" si="14">SUM(I73:I111)</f>
        <v>790513094.49989998</v>
      </c>
      <c r="J112" s="328"/>
      <c r="K112" s="329">
        <f t="shared" ref="K112" si="15">SUM(K73:K111)</f>
        <v>167327446.53</v>
      </c>
      <c r="L112" s="328"/>
      <c r="M112" s="329">
        <f t="shared" ref="M112" si="16">SUM(M73:M111)</f>
        <v>5642635.7720000064</v>
      </c>
      <c r="N112" s="360"/>
    </row>
    <row r="113" spans="1:14" ht="32.25" customHeight="1">
      <c r="A113" s="537" t="s">
        <v>995</v>
      </c>
      <c r="B113" s="537"/>
      <c r="C113" s="537"/>
      <c r="D113" s="338"/>
      <c r="E113" s="339"/>
      <c r="F113" s="337"/>
      <c r="G113" s="338"/>
      <c r="H113" s="339"/>
      <c r="I113" s="337"/>
      <c r="J113" s="336"/>
      <c r="K113" s="337"/>
      <c r="L113" s="338"/>
      <c r="M113" s="339"/>
      <c r="N113" s="340"/>
    </row>
    <row r="114" spans="1:14" s="352" customFormat="1" ht="32.25" customHeight="1">
      <c r="A114" s="344">
        <v>1</v>
      </c>
      <c r="B114" s="351" t="s">
        <v>899</v>
      </c>
      <c r="C114" s="351" t="s">
        <v>900</v>
      </c>
      <c r="D114" s="347">
        <v>219.32040000000001</v>
      </c>
      <c r="E114" s="348">
        <v>157313</v>
      </c>
      <c r="F114" s="349">
        <f t="shared" si="7"/>
        <v>34501950.085200004</v>
      </c>
      <c r="G114" s="347">
        <v>211.85059999999999</v>
      </c>
      <c r="H114" s="348">
        <v>157313</v>
      </c>
      <c r="I114" s="349">
        <f t="shared" si="8"/>
        <v>33326853.437799998</v>
      </c>
      <c r="J114" s="350">
        <f t="shared" si="9"/>
        <v>7.4698000000000206</v>
      </c>
      <c r="K114" s="349">
        <f t="shared" si="10"/>
        <v>1175096.6474000067</v>
      </c>
      <c r="L114" s="347">
        <f t="shared" si="11"/>
        <v>0</v>
      </c>
      <c r="M114" s="348">
        <f t="shared" si="12"/>
        <v>0</v>
      </c>
      <c r="N114" s="351"/>
    </row>
    <row r="115" spans="1:14" s="352" customFormat="1" ht="32.25" customHeight="1">
      <c r="A115" s="344">
        <v>2</v>
      </c>
      <c r="B115" s="351" t="s">
        <v>996</v>
      </c>
      <c r="C115" s="351" t="s">
        <v>900</v>
      </c>
      <c r="D115" s="347">
        <v>146.21360000000001</v>
      </c>
      <c r="E115" s="348">
        <v>124076</v>
      </c>
      <c r="F115" s="349">
        <f t="shared" si="7"/>
        <v>18141598.6336</v>
      </c>
      <c r="G115" s="347">
        <v>141.2337</v>
      </c>
      <c r="H115" s="348">
        <v>124076</v>
      </c>
      <c r="I115" s="349">
        <f t="shared" si="8"/>
        <v>17523712.5612</v>
      </c>
      <c r="J115" s="350">
        <f t="shared" si="9"/>
        <v>4.9799000000000149</v>
      </c>
      <c r="K115" s="349">
        <f t="shared" si="10"/>
        <v>617886.07239999995</v>
      </c>
      <c r="L115" s="347">
        <f t="shared" si="11"/>
        <v>0</v>
      </c>
      <c r="M115" s="348">
        <f t="shared" si="12"/>
        <v>0</v>
      </c>
      <c r="N115" s="351"/>
    </row>
    <row r="116" spans="1:14" s="352" customFormat="1" ht="32.25" customHeight="1">
      <c r="A116" s="344">
        <v>3</v>
      </c>
      <c r="B116" s="351" t="s">
        <v>938</v>
      </c>
      <c r="C116" s="351" t="s">
        <v>939</v>
      </c>
      <c r="D116" s="347">
        <v>109.6</v>
      </c>
      <c r="E116" s="348">
        <v>1206690</v>
      </c>
      <c r="F116" s="349">
        <f t="shared" si="7"/>
        <v>132253224</v>
      </c>
      <c r="G116" s="347">
        <v>106</v>
      </c>
      <c r="H116" s="348">
        <v>1206690</v>
      </c>
      <c r="I116" s="349">
        <f t="shared" si="8"/>
        <v>127909140</v>
      </c>
      <c r="J116" s="350">
        <f t="shared" si="9"/>
        <v>3.5999999999999943</v>
      </c>
      <c r="K116" s="349">
        <f t="shared" si="10"/>
        <v>4344084</v>
      </c>
      <c r="L116" s="347">
        <f t="shared" si="11"/>
        <v>0</v>
      </c>
      <c r="M116" s="348">
        <f t="shared" si="12"/>
        <v>0</v>
      </c>
      <c r="N116" s="351"/>
    </row>
    <row r="117" spans="1:14" s="352" customFormat="1" ht="32.25" customHeight="1">
      <c r="A117" s="344">
        <v>4</v>
      </c>
      <c r="B117" s="351" t="s">
        <v>997</v>
      </c>
      <c r="C117" s="351" t="s">
        <v>900</v>
      </c>
      <c r="D117" s="347">
        <v>9.9239999999999995</v>
      </c>
      <c r="E117" s="348">
        <v>1283592</v>
      </c>
      <c r="F117" s="349">
        <f t="shared" si="7"/>
        <v>12738367.007999999</v>
      </c>
      <c r="G117" s="347">
        <v>16.466000000000001</v>
      </c>
      <c r="H117" s="348">
        <v>1283592</v>
      </c>
      <c r="I117" s="349">
        <f t="shared" si="8"/>
        <v>21135625.872000001</v>
      </c>
      <c r="J117" s="350">
        <f t="shared" si="9"/>
        <v>0</v>
      </c>
      <c r="K117" s="349">
        <f t="shared" si="10"/>
        <v>0</v>
      </c>
      <c r="L117" s="347">
        <f t="shared" si="11"/>
        <v>6.5420000000000016</v>
      </c>
      <c r="M117" s="348">
        <f t="shared" si="12"/>
        <v>8397258.8640000019</v>
      </c>
      <c r="N117" s="351"/>
    </row>
    <row r="118" spans="1:14" s="352" customFormat="1" ht="32.25" customHeight="1">
      <c r="A118" s="344">
        <v>5</v>
      </c>
      <c r="B118" s="351" t="s">
        <v>998</v>
      </c>
      <c r="C118" s="351" t="s">
        <v>900</v>
      </c>
      <c r="D118" s="347">
        <v>28.216000000000001</v>
      </c>
      <c r="E118" s="348">
        <v>1684611</v>
      </c>
      <c r="F118" s="349">
        <f t="shared" si="7"/>
        <v>47532983.976000004</v>
      </c>
      <c r="G118" s="347">
        <v>27.396000000000001</v>
      </c>
      <c r="H118" s="348">
        <v>1684611</v>
      </c>
      <c r="I118" s="349">
        <f t="shared" si="8"/>
        <v>46151602.956</v>
      </c>
      <c r="J118" s="350">
        <f t="shared" si="9"/>
        <v>0.82000000000000028</v>
      </c>
      <c r="K118" s="349">
        <f t="shared" si="10"/>
        <v>1381381.0200000033</v>
      </c>
      <c r="L118" s="347">
        <f t="shared" si="11"/>
        <v>0</v>
      </c>
      <c r="M118" s="348">
        <f t="shared" si="12"/>
        <v>0</v>
      </c>
      <c r="N118" s="351"/>
    </row>
    <row r="119" spans="1:14" s="352" customFormat="1" ht="32.25" customHeight="1">
      <c r="A119" s="344">
        <v>6</v>
      </c>
      <c r="B119" s="351" t="s">
        <v>999</v>
      </c>
      <c r="C119" s="351" t="s">
        <v>900</v>
      </c>
      <c r="D119" s="347">
        <v>24.6174</v>
      </c>
      <c r="E119" s="348">
        <v>2216701</v>
      </c>
      <c r="F119" s="349">
        <f t="shared" si="7"/>
        <v>54569415.197399996</v>
      </c>
      <c r="G119" s="347">
        <v>23.7484</v>
      </c>
      <c r="H119" s="348">
        <v>2216701</v>
      </c>
      <c r="I119" s="349">
        <f t="shared" si="8"/>
        <v>52643102.028400004</v>
      </c>
      <c r="J119" s="350">
        <f t="shared" si="9"/>
        <v>0.86899999999999977</v>
      </c>
      <c r="K119" s="349">
        <f t="shared" si="10"/>
        <v>1926313.1689999923</v>
      </c>
      <c r="L119" s="347">
        <f t="shared" si="11"/>
        <v>0</v>
      </c>
      <c r="M119" s="348">
        <f t="shared" si="12"/>
        <v>0</v>
      </c>
      <c r="N119" s="351"/>
    </row>
    <row r="120" spans="1:14" s="352" customFormat="1" ht="32.25" customHeight="1">
      <c r="A120" s="344">
        <v>7</v>
      </c>
      <c r="B120" s="351" t="s">
        <v>974</v>
      </c>
      <c r="C120" s="351" t="s">
        <v>900</v>
      </c>
      <c r="D120" s="347">
        <v>3.2490999999999999</v>
      </c>
      <c r="E120" s="348">
        <v>2543579</v>
      </c>
      <c r="F120" s="349">
        <f t="shared" si="7"/>
        <v>8264342.5288999993</v>
      </c>
      <c r="G120" s="347">
        <v>3.0779999999999998</v>
      </c>
      <c r="H120" s="348">
        <v>2543579</v>
      </c>
      <c r="I120" s="349">
        <f t="shared" si="8"/>
        <v>7829136.1619999995</v>
      </c>
      <c r="J120" s="350">
        <f t="shared" si="9"/>
        <v>0.17110000000000003</v>
      </c>
      <c r="K120" s="349">
        <f t="shared" si="10"/>
        <v>435206.36689999979</v>
      </c>
      <c r="L120" s="347">
        <f t="shared" si="11"/>
        <v>0</v>
      </c>
      <c r="M120" s="348">
        <f t="shared" si="12"/>
        <v>0</v>
      </c>
      <c r="N120" s="351"/>
    </row>
    <row r="121" spans="1:14" s="352" customFormat="1" ht="32.25" customHeight="1">
      <c r="A121" s="344">
        <v>8</v>
      </c>
      <c r="B121" s="351" t="s">
        <v>943</v>
      </c>
      <c r="C121" s="351" t="s">
        <v>900</v>
      </c>
      <c r="D121" s="347">
        <v>12.9024</v>
      </c>
      <c r="E121" s="348">
        <v>2261508</v>
      </c>
      <c r="F121" s="349">
        <f t="shared" si="7"/>
        <v>29178880.819200002</v>
      </c>
      <c r="G121" s="347">
        <v>5.9454000000000002</v>
      </c>
      <c r="H121" s="348">
        <v>2261508</v>
      </c>
      <c r="I121" s="349">
        <f t="shared" si="8"/>
        <v>13445569.6632</v>
      </c>
      <c r="J121" s="350">
        <f t="shared" si="9"/>
        <v>6.9569999999999999</v>
      </c>
      <c r="K121" s="349">
        <f t="shared" si="10"/>
        <v>15733311.156000001</v>
      </c>
      <c r="L121" s="347">
        <f t="shared" si="11"/>
        <v>0</v>
      </c>
      <c r="M121" s="348">
        <f t="shared" si="12"/>
        <v>0</v>
      </c>
      <c r="N121" s="351"/>
    </row>
    <row r="122" spans="1:14" s="352" customFormat="1" ht="32.25" customHeight="1">
      <c r="A122" s="344">
        <v>9</v>
      </c>
      <c r="B122" s="351" t="s">
        <v>1000</v>
      </c>
      <c r="C122" s="351" t="s">
        <v>914</v>
      </c>
      <c r="D122" s="347">
        <v>1.1681999999999999</v>
      </c>
      <c r="E122" s="348">
        <v>16065408</v>
      </c>
      <c r="F122" s="349">
        <f t="shared" si="7"/>
        <v>18767609.625599999</v>
      </c>
      <c r="G122" s="347">
        <v>1.1216999999999999</v>
      </c>
      <c r="H122" s="348">
        <v>16065408</v>
      </c>
      <c r="I122" s="349">
        <f t="shared" si="8"/>
        <v>18020568.1536</v>
      </c>
      <c r="J122" s="350">
        <f t="shared" si="9"/>
        <v>4.6499999999999986E-2</v>
      </c>
      <c r="K122" s="349">
        <f t="shared" si="10"/>
        <v>747041.47199999914</v>
      </c>
      <c r="L122" s="347">
        <f t="shared" si="11"/>
        <v>0</v>
      </c>
      <c r="M122" s="348">
        <f t="shared" si="12"/>
        <v>0</v>
      </c>
      <c r="N122" s="351"/>
    </row>
    <row r="123" spans="1:14" s="352" customFormat="1" ht="32.25" customHeight="1">
      <c r="A123" s="344">
        <v>10</v>
      </c>
      <c r="B123" s="351" t="s">
        <v>1001</v>
      </c>
      <c r="C123" s="351" t="s">
        <v>914</v>
      </c>
      <c r="D123" s="347">
        <v>3.2162000000000002</v>
      </c>
      <c r="E123" s="348">
        <v>21613723</v>
      </c>
      <c r="F123" s="349">
        <f t="shared" si="7"/>
        <v>69514055.912600011</v>
      </c>
      <c r="G123" s="347">
        <v>3.1038000000000001</v>
      </c>
      <c r="H123" s="348">
        <v>21613723</v>
      </c>
      <c r="I123" s="349">
        <f t="shared" si="8"/>
        <v>67084673.447400004</v>
      </c>
      <c r="J123" s="350">
        <f t="shared" si="9"/>
        <v>0.11240000000000006</v>
      </c>
      <c r="K123" s="349">
        <f t="shared" si="10"/>
        <v>2429382.465200007</v>
      </c>
      <c r="L123" s="347">
        <f t="shared" si="11"/>
        <v>0</v>
      </c>
      <c r="M123" s="348">
        <f t="shared" si="12"/>
        <v>0</v>
      </c>
      <c r="N123" s="351"/>
    </row>
    <row r="124" spans="1:14" s="352" customFormat="1" ht="32.25" customHeight="1">
      <c r="A124" s="344">
        <v>11</v>
      </c>
      <c r="B124" s="351" t="s">
        <v>946</v>
      </c>
      <c r="C124" s="351" t="s">
        <v>914</v>
      </c>
      <c r="D124" s="347">
        <v>0.86639999999999995</v>
      </c>
      <c r="E124" s="348">
        <v>17821387</v>
      </c>
      <c r="F124" s="349">
        <f t="shared" si="7"/>
        <v>15440449.696799999</v>
      </c>
      <c r="G124" s="347">
        <v>0.82079999999999997</v>
      </c>
      <c r="H124" s="348">
        <v>17821387</v>
      </c>
      <c r="I124" s="349">
        <f t="shared" si="8"/>
        <v>14627794.4496</v>
      </c>
      <c r="J124" s="350">
        <f t="shared" si="9"/>
        <v>4.5599999999999974E-2</v>
      </c>
      <c r="K124" s="349">
        <f t="shared" si="10"/>
        <v>812655.24719999917</v>
      </c>
      <c r="L124" s="347">
        <f t="shared" si="11"/>
        <v>0</v>
      </c>
      <c r="M124" s="348">
        <f t="shared" si="12"/>
        <v>0</v>
      </c>
      <c r="N124" s="351"/>
    </row>
    <row r="125" spans="1:14" s="352" customFormat="1" ht="32.25" customHeight="1">
      <c r="A125" s="344">
        <v>12</v>
      </c>
      <c r="B125" s="351" t="s">
        <v>1002</v>
      </c>
      <c r="C125" s="351" t="s">
        <v>914</v>
      </c>
      <c r="D125" s="347">
        <v>2.4527999999999999</v>
      </c>
      <c r="E125" s="348">
        <v>17572894</v>
      </c>
      <c r="F125" s="349">
        <f t="shared" si="7"/>
        <v>43102794.403200001</v>
      </c>
      <c r="G125" s="347">
        <v>2.3652000000000002</v>
      </c>
      <c r="H125" s="348">
        <v>17572894</v>
      </c>
      <c r="I125" s="349">
        <f t="shared" si="8"/>
        <v>41563408.888800003</v>
      </c>
      <c r="J125" s="350">
        <f t="shared" si="9"/>
        <v>8.7599999999999678E-2</v>
      </c>
      <c r="K125" s="349">
        <f t="shared" si="10"/>
        <v>1539385.5143999979</v>
      </c>
      <c r="L125" s="347">
        <f t="shared" si="11"/>
        <v>0</v>
      </c>
      <c r="M125" s="348">
        <f t="shared" si="12"/>
        <v>0</v>
      </c>
      <c r="N125" s="351"/>
    </row>
    <row r="126" spans="1:14" s="352" customFormat="1" ht="32.25" customHeight="1">
      <c r="A126" s="344">
        <v>13</v>
      </c>
      <c r="B126" s="351" t="s">
        <v>977</v>
      </c>
      <c r="C126" s="351" t="s">
        <v>978</v>
      </c>
      <c r="D126" s="347">
        <v>1.4698</v>
      </c>
      <c r="E126" s="348">
        <v>21993359</v>
      </c>
      <c r="F126" s="349">
        <f t="shared" si="7"/>
        <v>32325839.058200002</v>
      </c>
      <c r="G126" s="347">
        <v>1.4165000000000001</v>
      </c>
      <c r="H126" s="348">
        <v>21993359</v>
      </c>
      <c r="I126" s="349">
        <f t="shared" si="8"/>
        <v>31153593.023500003</v>
      </c>
      <c r="J126" s="350">
        <f t="shared" si="9"/>
        <v>5.3299999999999903E-2</v>
      </c>
      <c r="K126" s="349">
        <f t="shared" si="10"/>
        <v>1172246.0346999988</v>
      </c>
      <c r="L126" s="347">
        <f t="shared" si="11"/>
        <v>0</v>
      </c>
      <c r="M126" s="348">
        <f t="shared" si="12"/>
        <v>0</v>
      </c>
      <c r="N126" s="351"/>
    </row>
    <row r="127" spans="1:14" s="352" customFormat="1" ht="32.25" customHeight="1">
      <c r="A127" s="344">
        <v>14</v>
      </c>
      <c r="B127" s="351" t="s">
        <v>1003</v>
      </c>
      <c r="C127" s="351" t="s">
        <v>978</v>
      </c>
      <c r="D127" s="347">
        <v>3.7120000000000002</v>
      </c>
      <c r="E127" s="348">
        <v>23112893</v>
      </c>
      <c r="F127" s="349">
        <f t="shared" si="7"/>
        <v>85795058.816</v>
      </c>
      <c r="G127" s="347">
        <v>3.5625</v>
      </c>
      <c r="H127" s="348">
        <v>23112893</v>
      </c>
      <c r="I127" s="349">
        <f t="shared" si="8"/>
        <v>82339681.3125</v>
      </c>
      <c r="J127" s="350">
        <f t="shared" si="9"/>
        <v>0.14950000000000019</v>
      </c>
      <c r="K127" s="349">
        <f t="shared" si="10"/>
        <v>3455377.5034999996</v>
      </c>
      <c r="L127" s="347">
        <f t="shared" si="11"/>
        <v>0</v>
      </c>
      <c r="M127" s="348">
        <f t="shared" si="12"/>
        <v>0</v>
      </c>
      <c r="N127" s="351"/>
    </row>
    <row r="128" spans="1:14" s="352" customFormat="1" ht="32.25" customHeight="1">
      <c r="A128" s="344">
        <v>15</v>
      </c>
      <c r="B128" s="351" t="s">
        <v>980</v>
      </c>
      <c r="C128" s="351" t="s">
        <v>978</v>
      </c>
      <c r="D128" s="347">
        <v>1.095</v>
      </c>
      <c r="E128" s="348">
        <v>22795827</v>
      </c>
      <c r="F128" s="349">
        <f t="shared" si="7"/>
        <v>24961430.564999998</v>
      </c>
      <c r="G128" s="347">
        <v>1.0523</v>
      </c>
      <c r="H128" s="348">
        <v>22795827</v>
      </c>
      <c r="I128" s="349">
        <f t="shared" si="8"/>
        <v>23988048.752100002</v>
      </c>
      <c r="J128" s="350">
        <f t="shared" si="9"/>
        <v>4.269999999999996E-2</v>
      </c>
      <c r="K128" s="349">
        <f t="shared" si="10"/>
        <v>973381.8128999956</v>
      </c>
      <c r="L128" s="347">
        <f t="shared" si="11"/>
        <v>0</v>
      </c>
      <c r="M128" s="348">
        <f t="shared" si="12"/>
        <v>0</v>
      </c>
      <c r="N128" s="351"/>
    </row>
    <row r="129" spans="1:14" s="352" customFormat="1" ht="32.25" customHeight="1">
      <c r="A129" s="344">
        <v>16</v>
      </c>
      <c r="B129" s="351" t="s">
        <v>981</v>
      </c>
      <c r="C129" s="351" t="s">
        <v>978</v>
      </c>
      <c r="D129" s="347">
        <v>1.0525</v>
      </c>
      <c r="E129" s="348">
        <v>24438803</v>
      </c>
      <c r="F129" s="349">
        <f t="shared" si="7"/>
        <v>25721840.157499999</v>
      </c>
      <c r="G129" s="347">
        <v>1.0148999999999999</v>
      </c>
      <c r="H129" s="348">
        <v>24438803</v>
      </c>
      <c r="I129" s="349">
        <f t="shared" si="8"/>
        <v>24802941.164699998</v>
      </c>
      <c r="J129" s="350">
        <f t="shared" si="9"/>
        <v>3.7600000000000078E-2</v>
      </c>
      <c r="K129" s="349">
        <f t="shared" si="10"/>
        <v>918898.99280000106</v>
      </c>
      <c r="L129" s="347">
        <f t="shared" si="11"/>
        <v>0</v>
      </c>
      <c r="M129" s="348">
        <f t="shared" si="12"/>
        <v>0</v>
      </c>
      <c r="N129" s="351"/>
    </row>
    <row r="130" spans="1:14" s="352" customFormat="1" ht="32.25" customHeight="1">
      <c r="A130" s="344">
        <v>17</v>
      </c>
      <c r="B130" s="351" t="s">
        <v>926</v>
      </c>
      <c r="C130" s="351" t="s">
        <v>900</v>
      </c>
      <c r="D130" s="347">
        <v>6.57</v>
      </c>
      <c r="E130" s="348">
        <v>2600494</v>
      </c>
      <c r="F130" s="349">
        <f t="shared" si="7"/>
        <v>17085245.580000002</v>
      </c>
      <c r="G130" s="347">
        <v>7.16</v>
      </c>
      <c r="H130" s="348">
        <v>2600494</v>
      </c>
      <c r="I130" s="349">
        <f t="shared" si="8"/>
        <v>18619537.039999999</v>
      </c>
      <c r="J130" s="350">
        <f t="shared" si="9"/>
        <v>0</v>
      </c>
      <c r="K130" s="349">
        <f t="shared" si="10"/>
        <v>0</v>
      </c>
      <c r="L130" s="347">
        <f t="shared" si="11"/>
        <v>0.58999999999999986</v>
      </c>
      <c r="M130" s="348">
        <f t="shared" si="12"/>
        <v>1534291.4599999972</v>
      </c>
      <c r="N130" s="351"/>
    </row>
    <row r="131" spans="1:14" s="352" customFormat="1" ht="32.25" customHeight="1">
      <c r="A131" s="344">
        <v>18</v>
      </c>
      <c r="B131" s="351" t="s">
        <v>958</v>
      </c>
      <c r="C131" s="351" t="s">
        <v>900</v>
      </c>
      <c r="D131" s="347">
        <v>46.268799999999999</v>
      </c>
      <c r="E131" s="348">
        <v>1537033</v>
      </c>
      <c r="F131" s="349">
        <f t="shared" si="7"/>
        <v>71116672.470400006</v>
      </c>
      <c r="G131" s="347">
        <v>45.828899999999997</v>
      </c>
      <c r="H131" s="348">
        <v>1537033</v>
      </c>
      <c r="I131" s="349">
        <f t="shared" si="8"/>
        <v>70440531.653699994</v>
      </c>
      <c r="J131" s="350">
        <f t="shared" si="9"/>
        <v>0.43990000000000151</v>
      </c>
      <c r="K131" s="349">
        <f t="shared" si="10"/>
        <v>676140.81670001149</v>
      </c>
      <c r="L131" s="347">
        <f t="shared" si="11"/>
        <v>0</v>
      </c>
      <c r="M131" s="348">
        <f t="shared" si="12"/>
        <v>0</v>
      </c>
      <c r="N131" s="351"/>
    </row>
    <row r="132" spans="1:14" s="352" customFormat="1" ht="32.25" customHeight="1">
      <c r="A132" s="344">
        <v>19</v>
      </c>
      <c r="B132" s="351" t="s">
        <v>982</v>
      </c>
      <c r="C132" s="351" t="s">
        <v>930</v>
      </c>
      <c r="D132" s="347">
        <v>528.76</v>
      </c>
      <c r="E132" s="348">
        <v>81113</v>
      </c>
      <c r="F132" s="349">
        <f t="shared" si="7"/>
        <v>42889309.880000003</v>
      </c>
      <c r="G132" s="347">
        <v>530.74</v>
      </c>
      <c r="H132" s="348">
        <v>81113</v>
      </c>
      <c r="I132" s="349">
        <f t="shared" si="8"/>
        <v>43049913.619999997</v>
      </c>
      <c r="J132" s="350">
        <f t="shared" si="9"/>
        <v>0</v>
      </c>
      <c r="K132" s="349">
        <f t="shared" si="10"/>
        <v>0</v>
      </c>
      <c r="L132" s="347">
        <f t="shared" si="11"/>
        <v>1.9800000000000182</v>
      </c>
      <c r="M132" s="348">
        <f t="shared" si="12"/>
        <v>160603.73999999464</v>
      </c>
      <c r="N132" s="351"/>
    </row>
    <row r="133" spans="1:14" s="352" customFormat="1" ht="32.25" customHeight="1">
      <c r="A133" s="344">
        <v>20</v>
      </c>
      <c r="B133" s="351" t="s">
        <v>1004</v>
      </c>
      <c r="C133" s="351" t="s">
        <v>930</v>
      </c>
      <c r="D133" s="347">
        <v>522.20000000000005</v>
      </c>
      <c r="E133" s="348">
        <v>105194</v>
      </c>
      <c r="F133" s="349">
        <f t="shared" si="7"/>
        <v>54932306.800000004</v>
      </c>
      <c r="G133" s="347">
        <v>513.52</v>
      </c>
      <c r="H133" s="348">
        <v>105194</v>
      </c>
      <c r="I133" s="349">
        <f t="shared" si="8"/>
        <v>54019222.879999995</v>
      </c>
      <c r="J133" s="350">
        <f t="shared" si="9"/>
        <v>8.6800000000000637</v>
      </c>
      <c r="K133" s="349">
        <f t="shared" si="10"/>
        <v>913083.92000000924</v>
      </c>
      <c r="L133" s="347">
        <f t="shared" si="11"/>
        <v>0</v>
      </c>
      <c r="M133" s="348">
        <f t="shared" si="12"/>
        <v>0</v>
      </c>
      <c r="N133" s="351"/>
    </row>
    <row r="134" spans="1:14" s="352" customFormat="1" ht="32.25" customHeight="1">
      <c r="A134" s="344">
        <v>21</v>
      </c>
      <c r="B134" s="351" t="s">
        <v>983</v>
      </c>
      <c r="C134" s="351" t="s">
        <v>930</v>
      </c>
      <c r="D134" s="347">
        <v>252</v>
      </c>
      <c r="E134" s="348">
        <v>76892</v>
      </c>
      <c r="F134" s="349">
        <f t="shared" ref="F134:F151" si="17">D134*E134</f>
        <v>19376784</v>
      </c>
      <c r="G134" s="347">
        <v>243</v>
      </c>
      <c r="H134" s="348">
        <v>76892</v>
      </c>
      <c r="I134" s="349">
        <f t="shared" ref="I134:I151" si="18">G134*H134</f>
        <v>18684756</v>
      </c>
      <c r="J134" s="350">
        <f t="shared" ref="J134:J151" si="19">MAX(D134-G134,0)</f>
        <v>9</v>
      </c>
      <c r="K134" s="349">
        <f t="shared" ref="K134:K151" si="20">MAX(F134-I134,0)</f>
        <v>692028</v>
      </c>
      <c r="L134" s="347">
        <f t="shared" ref="L134:L151" si="21">MAX(G134-D134,0)</f>
        <v>0</v>
      </c>
      <c r="M134" s="348">
        <f t="shared" ref="M134:M151" si="22">MAX(I134-F134,0)</f>
        <v>0</v>
      </c>
      <c r="N134" s="351"/>
    </row>
    <row r="135" spans="1:14" s="352" customFormat="1" ht="32.25" customHeight="1">
      <c r="A135" s="344">
        <v>22</v>
      </c>
      <c r="B135" s="351" t="s">
        <v>984</v>
      </c>
      <c r="C135" s="351" t="s">
        <v>930</v>
      </c>
      <c r="D135" s="347">
        <v>84</v>
      </c>
      <c r="E135" s="348">
        <v>60860</v>
      </c>
      <c r="F135" s="349">
        <f t="shared" si="17"/>
        <v>5112240</v>
      </c>
      <c r="G135" s="347">
        <v>81</v>
      </c>
      <c r="H135" s="348">
        <v>60860</v>
      </c>
      <c r="I135" s="349">
        <f t="shared" si="18"/>
        <v>4929660</v>
      </c>
      <c r="J135" s="350">
        <f t="shared" si="19"/>
        <v>3</v>
      </c>
      <c r="K135" s="349">
        <f t="shared" si="20"/>
        <v>182580</v>
      </c>
      <c r="L135" s="347">
        <f t="shared" si="21"/>
        <v>0</v>
      </c>
      <c r="M135" s="348">
        <f t="shared" si="22"/>
        <v>0</v>
      </c>
      <c r="N135" s="351"/>
    </row>
    <row r="136" spans="1:14" s="352" customFormat="1" ht="32.25" customHeight="1">
      <c r="A136" s="344">
        <v>23</v>
      </c>
      <c r="B136" s="351" t="s">
        <v>961</v>
      </c>
      <c r="C136" s="351" t="s">
        <v>985</v>
      </c>
      <c r="D136" s="347">
        <v>83</v>
      </c>
      <c r="E136" s="348">
        <v>81305</v>
      </c>
      <c r="F136" s="349">
        <f t="shared" si="17"/>
        <v>6748315</v>
      </c>
      <c r="G136" s="347">
        <v>80</v>
      </c>
      <c r="H136" s="348">
        <v>81305</v>
      </c>
      <c r="I136" s="349">
        <f t="shared" si="18"/>
        <v>6504400</v>
      </c>
      <c r="J136" s="350">
        <f t="shared" si="19"/>
        <v>3</v>
      </c>
      <c r="K136" s="349">
        <f t="shared" si="20"/>
        <v>243915</v>
      </c>
      <c r="L136" s="347">
        <f t="shared" si="21"/>
        <v>0</v>
      </c>
      <c r="M136" s="348">
        <f t="shared" si="22"/>
        <v>0</v>
      </c>
      <c r="N136" s="351"/>
    </row>
    <row r="137" spans="1:14" s="352" customFormat="1" ht="32.25" customHeight="1">
      <c r="A137" s="344">
        <v>24</v>
      </c>
      <c r="B137" s="351" t="s">
        <v>963</v>
      </c>
      <c r="C137" s="351" t="s">
        <v>985</v>
      </c>
      <c r="D137" s="347">
        <v>83</v>
      </c>
      <c r="E137" s="348">
        <v>64868</v>
      </c>
      <c r="F137" s="349">
        <f t="shared" si="17"/>
        <v>5384044</v>
      </c>
      <c r="G137" s="347">
        <v>80</v>
      </c>
      <c r="H137" s="348">
        <v>64868</v>
      </c>
      <c r="I137" s="349">
        <f t="shared" si="18"/>
        <v>5189440</v>
      </c>
      <c r="J137" s="350">
        <f t="shared" si="19"/>
        <v>3</v>
      </c>
      <c r="K137" s="349">
        <f t="shared" si="20"/>
        <v>194604</v>
      </c>
      <c r="L137" s="347">
        <f t="shared" si="21"/>
        <v>0</v>
      </c>
      <c r="M137" s="348">
        <f t="shared" si="22"/>
        <v>0</v>
      </c>
      <c r="N137" s="351"/>
    </row>
    <row r="138" spans="1:14" s="352" customFormat="1" ht="32.25" customHeight="1">
      <c r="A138" s="344">
        <v>25</v>
      </c>
      <c r="B138" s="351" t="s">
        <v>964</v>
      </c>
      <c r="C138" s="351" t="s">
        <v>930</v>
      </c>
      <c r="D138" s="347">
        <v>168</v>
      </c>
      <c r="E138" s="348">
        <v>47287</v>
      </c>
      <c r="F138" s="349">
        <f t="shared" si="17"/>
        <v>7944216</v>
      </c>
      <c r="G138" s="347">
        <v>162</v>
      </c>
      <c r="H138" s="348">
        <v>47287</v>
      </c>
      <c r="I138" s="349">
        <f t="shared" si="18"/>
        <v>7660494</v>
      </c>
      <c r="J138" s="350">
        <f t="shared" si="19"/>
        <v>6</v>
      </c>
      <c r="K138" s="349">
        <f t="shared" si="20"/>
        <v>283722</v>
      </c>
      <c r="L138" s="347">
        <f t="shared" si="21"/>
        <v>0</v>
      </c>
      <c r="M138" s="348">
        <f t="shared" si="22"/>
        <v>0</v>
      </c>
      <c r="N138" s="351"/>
    </row>
    <row r="139" spans="1:14" s="352" customFormat="1" ht="32.25" customHeight="1">
      <c r="A139" s="344">
        <v>26</v>
      </c>
      <c r="B139" s="351" t="s">
        <v>986</v>
      </c>
      <c r="C139" s="351" t="s">
        <v>978</v>
      </c>
      <c r="D139" s="347">
        <v>1.8243</v>
      </c>
      <c r="E139" s="348">
        <v>29584362</v>
      </c>
      <c r="F139" s="349">
        <f t="shared" si="17"/>
        <v>53970751.596600004</v>
      </c>
      <c r="G139" s="347">
        <v>1.7584</v>
      </c>
      <c r="H139" s="348">
        <v>29584362</v>
      </c>
      <c r="I139" s="349">
        <f t="shared" si="18"/>
        <v>52021142.140799999</v>
      </c>
      <c r="J139" s="350">
        <f t="shared" si="19"/>
        <v>6.590000000000007E-2</v>
      </c>
      <c r="K139" s="349">
        <f t="shared" si="20"/>
        <v>1949609.4558000043</v>
      </c>
      <c r="L139" s="347">
        <f t="shared" si="21"/>
        <v>0</v>
      </c>
      <c r="M139" s="348">
        <f t="shared" si="22"/>
        <v>0</v>
      </c>
      <c r="N139" s="351"/>
    </row>
    <row r="140" spans="1:14" s="352" customFormat="1" ht="32.25" customHeight="1">
      <c r="A140" s="344">
        <v>27</v>
      </c>
      <c r="B140" s="351" t="s">
        <v>956</v>
      </c>
      <c r="C140" s="351" t="s">
        <v>978</v>
      </c>
      <c r="D140" s="347">
        <v>1.8243</v>
      </c>
      <c r="E140" s="348">
        <v>2401505</v>
      </c>
      <c r="F140" s="349">
        <f t="shared" si="17"/>
        <v>4381065.5715000005</v>
      </c>
      <c r="G140" s="347">
        <v>1.7584</v>
      </c>
      <c r="H140" s="348">
        <v>2401505</v>
      </c>
      <c r="I140" s="349">
        <f>G140*H140</f>
        <v>4222806.392</v>
      </c>
      <c r="J140" s="350">
        <f t="shared" si="19"/>
        <v>6.590000000000007E-2</v>
      </c>
      <c r="K140" s="349">
        <f t="shared" si="20"/>
        <v>158259.17950000055</v>
      </c>
      <c r="L140" s="347">
        <f t="shared" si="21"/>
        <v>0</v>
      </c>
      <c r="M140" s="348">
        <f t="shared" si="22"/>
        <v>0</v>
      </c>
      <c r="N140" s="351"/>
    </row>
    <row r="141" spans="1:14" s="352" customFormat="1" ht="32.25" customHeight="1">
      <c r="A141" s="344">
        <v>28</v>
      </c>
      <c r="B141" s="351" t="s">
        <v>1005</v>
      </c>
      <c r="C141" s="351" t="s">
        <v>914</v>
      </c>
      <c r="D141" s="347">
        <v>4.6479999999999997</v>
      </c>
      <c r="E141" s="348">
        <v>16515504</v>
      </c>
      <c r="F141" s="349">
        <f t="shared" si="17"/>
        <v>76764062.591999993</v>
      </c>
      <c r="G141" s="347">
        <v>4.4800000000000004</v>
      </c>
      <c r="H141" s="348">
        <v>26515504</v>
      </c>
      <c r="I141" s="349">
        <f t="shared" si="18"/>
        <v>118789457.92000002</v>
      </c>
      <c r="J141" s="350">
        <f t="shared" si="19"/>
        <v>0.16799999999999926</v>
      </c>
      <c r="K141" s="349">
        <f t="shared" si="20"/>
        <v>0</v>
      </c>
      <c r="L141" s="347">
        <f t="shared" si="21"/>
        <v>0</v>
      </c>
      <c r="M141" s="348">
        <f t="shared" si="22"/>
        <v>42025395.328000024</v>
      </c>
      <c r="N141" s="351"/>
    </row>
    <row r="142" spans="1:14" s="352" customFormat="1" ht="32.25" customHeight="1">
      <c r="A142" s="344">
        <v>29</v>
      </c>
      <c r="B142" s="351" t="s">
        <v>959</v>
      </c>
      <c r="C142" s="351" t="s">
        <v>930</v>
      </c>
      <c r="D142" s="347">
        <v>415</v>
      </c>
      <c r="E142" s="348">
        <v>191935</v>
      </c>
      <c r="F142" s="349">
        <f t="shared" si="17"/>
        <v>79653025</v>
      </c>
      <c r="G142" s="347">
        <v>0</v>
      </c>
      <c r="H142" s="348">
        <v>191935</v>
      </c>
      <c r="I142" s="349">
        <f t="shared" si="18"/>
        <v>0</v>
      </c>
      <c r="J142" s="350">
        <f t="shared" si="19"/>
        <v>415</v>
      </c>
      <c r="K142" s="349">
        <f t="shared" si="20"/>
        <v>79653025</v>
      </c>
      <c r="L142" s="347">
        <f t="shared" si="21"/>
        <v>0</v>
      </c>
      <c r="M142" s="348">
        <f t="shared" si="22"/>
        <v>0</v>
      </c>
      <c r="N142" s="351"/>
    </row>
    <row r="143" spans="1:14" s="352" customFormat="1" ht="32.25" customHeight="1">
      <c r="A143" s="344">
        <v>30</v>
      </c>
      <c r="B143" s="351" t="s">
        <v>951</v>
      </c>
      <c r="C143" s="351" t="s">
        <v>900</v>
      </c>
      <c r="D143" s="347">
        <v>51.46</v>
      </c>
      <c r="E143" s="348">
        <v>1676247</v>
      </c>
      <c r="F143" s="349">
        <f t="shared" si="17"/>
        <v>86259670.620000005</v>
      </c>
      <c r="G143" s="347">
        <v>49.6</v>
      </c>
      <c r="H143" s="348">
        <v>1676247</v>
      </c>
      <c r="I143" s="349">
        <f t="shared" si="18"/>
        <v>83141851.200000003</v>
      </c>
      <c r="J143" s="350">
        <f t="shared" si="19"/>
        <v>1.8599999999999994</v>
      </c>
      <c r="K143" s="349">
        <f t="shared" si="20"/>
        <v>3117819.4200000018</v>
      </c>
      <c r="L143" s="347">
        <f t="shared" si="21"/>
        <v>0</v>
      </c>
      <c r="M143" s="348">
        <f t="shared" si="22"/>
        <v>0</v>
      </c>
      <c r="N143" s="351"/>
    </row>
    <row r="144" spans="1:14" s="352" customFormat="1" ht="32.25" customHeight="1">
      <c r="A144" s="344">
        <v>31</v>
      </c>
      <c r="B144" s="351" t="s">
        <v>924</v>
      </c>
      <c r="C144" s="351" t="s">
        <v>914</v>
      </c>
      <c r="D144" s="347">
        <v>4.9800000000000004</v>
      </c>
      <c r="E144" s="348">
        <v>682496</v>
      </c>
      <c r="F144" s="349">
        <f t="shared" si="17"/>
        <v>3398830.0800000001</v>
      </c>
      <c r="G144" s="347">
        <v>4.8</v>
      </c>
      <c r="H144" s="348">
        <v>682496</v>
      </c>
      <c r="I144" s="349">
        <f t="shared" si="18"/>
        <v>3275980.7999999998</v>
      </c>
      <c r="J144" s="350">
        <f t="shared" si="19"/>
        <v>0.1800000000000006</v>
      </c>
      <c r="K144" s="349">
        <f t="shared" si="20"/>
        <v>122849.28000000026</v>
      </c>
      <c r="L144" s="347">
        <f t="shared" si="21"/>
        <v>0</v>
      </c>
      <c r="M144" s="348">
        <f t="shared" si="22"/>
        <v>0</v>
      </c>
      <c r="N144" s="351"/>
    </row>
    <row r="145" spans="1:14" s="352" customFormat="1" ht="32.25" customHeight="1">
      <c r="A145" s="344">
        <v>32</v>
      </c>
      <c r="B145" s="351" t="s">
        <v>991</v>
      </c>
      <c r="C145" s="351" t="s">
        <v>930</v>
      </c>
      <c r="D145" s="347">
        <v>506.3</v>
      </c>
      <c r="E145" s="348">
        <v>187552</v>
      </c>
      <c r="F145" s="349">
        <f t="shared" si="17"/>
        <v>94957577.600000009</v>
      </c>
      <c r="G145" s="347">
        <v>488</v>
      </c>
      <c r="H145" s="348">
        <v>100000</v>
      </c>
      <c r="I145" s="349">
        <f t="shared" si="18"/>
        <v>48800000</v>
      </c>
      <c r="J145" s="350">
        <f t="shared" si="19"/>
        <v>18.300000000000011</v>
      </c>
      <c r="K145" s="349">
        <f t="shared" si="20"/>
        <v>46157577.600000009</v>
      </c>
      <c r="L145" s="347">
        <f t="shared" si="21"/>
        <v>0</v>
      </c>
      <c r="M145" s="348">
        <f t="shared" si="22"/>
        <v>0</v>
      </c>
      <c r="N145" s="351"/>
    </row>
    <row r="146" spans="1:14" s="352" customFormat="1" ht="32.25" customHeight="1">
      <c r="A146" s="344">
        <v>33</v>
      </c>
      <c r="B146" s="351" t="s">
        <v>992</v>
      </c>
      <c r="C146" s="351" t="s">
        <v>930</v>
      </c>
      <c r="D146" s="347">
        <v>515.17999999999995</v>
      </c>
      <c r="E146" s="348">
        <v>302602</v>
      </c>
      <c r="F146" s="349">
        <f t="shared" si="17"/>
        <v>155894498.35999998</v>
      </c>
      <c r="G146" s="347">
        <v>513.95000000000005</v>
      </c>
      <c r="H146" s="348">
        <v>120000</v>
      </c>
      <c r="I146" s="349">
        <f t="shared" si="18"/>
        <v>61674000.000000007</v>
      </c>
      <c r="J146" s="350">
        <f t="shared" si="19"/>
        <v>1.2299999999999045</v>
      </c>
      <c r="K146" s="349">
        <f t="shared" si="20"/>
        <v>94220498.359999985</v>
      </c>
      <c r="L146" s="347">
        <f t="shared" si="21"/>
        <v>0</v>
      </c>
      <c r="M146" s="348">
        <f t="shared" si="22"/>
        <v>0</v>
      </c>
      <c r="N146" s="351"/>
    </row>
    <row r="147" spans="1:14" s="352" customFormat="1" ht="32.25" customHeight="1">
      <c r="A147" s="344">
        <v>34</v>
      </c>
      <c r="B147" s="351" t="s">
        <v>933</v>
      </c>
      <c r="C147" s="351" t="s">
        <v>930</v>
      </c>
      <c r="D147" s="347">
        <v>780.76</v>
      </c>
      <c r="E147" s="348">
        <v>83662</v>
      </c>
      <c r="F147" s="349">
        <f t="shared" si="17"/>
        <v>65319943.119999997</v>
      </c>
      <c r="G147" s="347">
        <v>775.01</v>
      </c>
      <c r="H147" s="348">
        <v>83662</v>
      </c>
      <c r="I147" s="349">
        <f>G147*H147</f>
        <v>64838886.619999997</v>
      </c>
      <c r="J147" s="350">
        <f t="shared" si="19"/>
        <v>5.75</v>
      </c>
      <c r="K147" s="349">
        <f t="shared" si="20"/>
        <v>481056.5</v>
      </c>
      <c r="L147" s="347">
        <f t="shared" si="21"/>
        <v>0</v>
      </c>
      <c r="M147" s="348">
        <f t="shared" si="22"/>
        <v>0</v>
      </c>
      <c r="N147" s="351"/>
    </row>
    <row r="148" spans="1:14" s="352" customFormat="1" ht="32.25" customHeight="1">
      <c r="A148" s="344">
        <v>35</v>
      </c>
      <c r="B148" s="351" t="s">
        <v>1006</v>
      </c>
      <c r="C148" s="351" t="s">
        <v>930</v>
      </c>
      <c r="D148" s="347">
        <v>780.76</v>
      </c>
      <c r="E148" s="348">
        <v>59365</v>
      </c>
      <c r="F148" s="349">
        <f t="shared" si="17"/>
        <v>46349817.399999999</v>
      </c>
      <c r="G148" s="347">
        <v>775.01</v>
      </c>
      <c r="H148" s="348">
        <v>29710</v>
      </c>
      <c r="I148" s="349">
        <f>G148*H148</f>
        <v>23025547.100000001</v>
      </c>
      <c r="J148" s="350">
        <f t="shared" si="19"/>
        <v>5.75</v>
      </c>
      <c r="K148" s="349">
        <f t="shared" si="20"/>
        <v>23324270.299999997</v>
      </c>
      <c r="L148" s="347">
        <f t="shared" si="21"/>
        <v>0</v>
      </c>
      <c r="M148" s="348">
        <f t="shared" si="22"/>
        <v>0</v>
      </c>
      <c r="N148" s="351"/>
    </row>
    <row r="149" spans="1:14" ht="32.25" customHeight="1">
      <c r="A149" s="342">
        <v>36</v>
      </c>
      <c r="B149" s="340" t="s">
        <v>968</v>
      </c>
      <c r="C149" s="340" t="s">
        <v>939</v>
      </c>
      <c r="D149" s="338">
        <v>0.6</v>
      </c>
      <c r="E149" s="339">
        <v>14072168</v>
      </c>
      <c r="F149" s="337">
        <f t="shared" si="17"/>
        <v>8443300.7999999989</v>
      </c>
      <c r="G149" s="338">
        <v>0.6</v>
      </c>
      <c r="H149" s="339">
        <v>14072168</v>
      </c>
      <c r="I149" s="337">
        <f t="shared" si="18"/>
        <v>8443300.7999999989</v>
      </c>
      <c r="J149" s="336">
        <f t="shared" si="19"/>
        <v>0</v>
      </c>
      <c r="K149" s="337">
        <f t="shared" si="20"/>
        <v>0</v>
      </c>
      <c r="L149" s="338">
        <f t="shared" si="21"/>
        <v>0</v>
      </c>
      <c r="M149" s="339">
        <f t="shared" si="22"/>
        <v>0</v>
      </c>
      <c r="N149" s="340"/>
    </row>
    <row r="150" spans="1:14" ht="32.25" customHeight="1">
      <c r="A150" s="342">
        <v>37</v>
      </c>
      <c r="B150" s="340" t="s">
        <v>969</v>
      </c>
      <c r="C150" s="340" t="s">
        <v>994</v>
      </c>
      <c r="D150" s="338">
        <v>10</v>
      </c>
      <c r="E150" s="339">
        <v>44770</v>
      </c>
      <c r="F150" s="337">
        <f t="shared" si="17"/>
        <v>447700</v>
      </c>
      <c r="G150" s="338">
        <v>10</v>
      </c>
      <c r="H150" s="339">
        <v>44770</v>
      </c>
      <c r="I150" s="337">
        <f t="shared" si="18"/>
        <v>447700</v>
      </c>
      <c r="J150" s="336">
        <f t="shared" si="19"/>
        <v>0</v>
      </c>
      <c r="K150" s="337">
        <f t="shared" si="20"/>
        <v>0</v>
      </c>
      <c r="L150" s="338">
        <f t="shared" si="21"/>
        <v>0</v>
      </c>
      <c r="M150" s="339">
        <f t="shared" si="22"/>
        <v>0</v>
      </c>
      <c r="N150" s="340"/>
    </row>
    <row r="151" spans="1:14" ht="32.25" customHeight="1">
      <c r="A151" s="342">
        <v>38</v>
      </c>
      <c r="B151" s="340"/>
      <c r="C151" s="340"/>
      <c r="D151" s="338"/>
      <c r="E151" s="339"/>
      <c r="F151" s="337">
        <f t="shared" si="17"/>
        <v>0</v>
      </c>
      <c r="G151" s="338"/>
      <c r="H151" s="339"/>
      <c r="I151" s="337">
        <f t="shared" si="18"/>
        <v>0</v>
      </c>
      <c r="J151" s="336">
        <f t="shared" si="19"/>
        <v>0</v>
      </c>
      <c r="K151" s="337">
        <f t="shared" si="20"/>
        <v>0</v>
      </c>
      <c r="L151" s="338">
        <f t="shared" si="21"/>
        <v>0</v>
      </c>
      <c r="M151" s="339">
        <f t="shared" si="22"/>
        <v>0</v>
      </c>
      <c r="N151" s="340"/>
    </row>
    <row r="152" spans="1:14" s="327" customFormat="1" ht="32.25" customHeight="1">
      <c r="A152" s="537" t="s">
        <v>94</v>
      </c>
      <c r="B152" s="537"/>
      <c r="C152" s="537"/>
      <c r="D152" s="328"/>
      <c r="E152" s="329"/>
      <c r="F152" s="329">
        <f>SUM(F113:F151)</f>
        <v>1559239216.9536996</v>
      </c>
      <c r="G152" s="328"/>
      <c r="H152" s="329"/>
      <c r="I152" s="329">
        <f t="shared" ref="I152" si="23">SUM(I113:I151)</f>
        <v>1321324080.0392997</v>
      </c>
      <c r="J152" s="328"/>
      <c r="K152" s="329">
        <f t="shared" ref="K152" si="24">SUM(K113:K151)</f>
        <v>290032686.3064</v>
      </c>
      <c r="L152" s="328"/>
      <c r="M152" s="329">
        <f t="shared" ref="M152" si="25">SUM(M113:M151)</f>
        <v>52117549.39200002</v>
      </c>
      <c r="N152" s="360"/>
    </row>
    <row r="153" spans="1:14" ht="32.25" customHeight="1">
      <c r="A153" s="537" t="s">
        <v>1007</v>
      </c>
      <c r="B153" s="537"/>
      <c r="C153" s="537"/>
      <c r="D153" s="338"/>
      <c r="E153" s="339"/>
      <c r="F153" s="337"/>
      <c r="G153" s="338"/>
      <c r="H153" s="339"/>
      <c r="I153" s="337"/>
      <c r="J153" s="336"/>
      <c r="K153" s="337"/>
      <c r="L153" s="338"/>
      <c r="M153" s="339"/>
      <c r="N153" s="340"/>
    </row>
    <row r="154" spans="1:14" ht="32.25" customHeight="1">
      <c r="A154" s="342">
        <v>1</v>
      </c>
      <c r="B154" s="340" t="s">
        <v>899</v>
      </c>
      <c r="C154" s="340" t="s">
        <v>900</v>
      </c>
      <c r="D154" s="338">
        <v>123.30240000000001</v>
      </c>
      <c r="E154" s="339">
        <v>157313</v>
      </c>
      <c r="F154" s="337">
        <f t="shared" ref="F154:F179" si="26">D154*E154</f>
        <v>19397070.451200001</v>
      </c>
      <c r="G154" s="338">
        <v>123.30240000000001</v>
      </c>
      <c r="H154" s="339">
        <v>157313</v>
      </c>
      <c r="I154" s="337">
        <f t="shared" ref="I154:I179" si="27">G154*H154</f>
        <v>19397070.451200001</v>
      </c>
      <c r="J154" s="336">
        <f t="shared" ref="J154:J179" si="28">MAX(D154-G154,0)</f>
        <v>0</v>
      </c>
      <c r="K154" s="337">
        <f t="shared" ref="K154:K179" si="29">MAX(F154-I154,0)</f>
        <v>0</v>
      </c>
      <c r="L154" s="338">
        <f t="shared" ref="L154:L179" si="30">MAX(G154-D154,0)</f>
        <v>0</v>
      </c>
      <c r="M154" s="339">
        <f t="shared" ref="M154:M179" si="31">MAX(I154-F154,0)</f>
        <v>0</v>
      </c>
      <c r="N154" s="340" t="s">
        <v>1008</v>
      </c>
    </row>
    <row r="155" spans="1:14" ht="32.25" customHeight="1">
      <c r="A155" s="342">
        <v>2</v>
      </c>
      <c r="B155" s="340" t="s">
        <v>996</v>
      </c>
      <c r="C155" s="340" t="s">
        <v>900</v>
      </c>
      <c r="D155" s="338">
        <v>41.1008</v>
      </c>
      <c r="E155" s="339">
        <v>124076</v>
      </c>
      <c r="F155" s="337">
        <f t="shared" si="26"/>
        <v>5099622.8607999999</v>
      </c>
      <c r="G155" s="338">
        <v>41.1008</v>
      </c>
      <c r="H155" s="339">
        <v>124076</v>
      </c>
      <c r="I155" s="337">
        <f t="shared" si="27"/>
        <v>5099622.8607999999</v>
      </c>
      <c r="J155" s="336">
        <f t="shared" si="28"/>
        <v>0</v>
      </c>
      <c r="K155" s="337">
        <f t="shared" si="29"/>
        <v>0</v>
      </c>
      <c r="L155" s="338">
        <f t="shared" si="30"/>
        <v>0</v>
      </c>
      <c r="M155" s="339">
        <f t="shared" si="31"/>
        <v>0</v>
      </c>
      <c r="N155" s="340"/>
    </row>
    <row r="156" spans="1:14" ht="32.25" customHeight="1">
      <c r="A156" s="342">
        <v>3</v>
      </c>
      <c r="B156" s="340" t="s">
        <v>1009</v>
      </c>
      <c r="C156" s="340" t="s">
        <v>939</v>
      </c>
      <c r="D156" s="338">
        <v>42.625</v>
      </c>
      <c r="E156" s="339">
        <v>1206690</v>
      </c>
      <c r="F156" s="337">
        <f t="shared" si="26"/>
        <v>51435161.25</v>
      </c>
      <c r="G156" s="338">
        <v>42.625</v>
      </c>
      <c r="H156" s="339">
        <v>1206690</v>
      </c>
      <c r="I156" s="337">
        <f t="shared" si="27"/>
        <v>51435161.25</v>
      </c>
      <c r="J156" s="336">
        <f t="shared" si="28"/>
        <v>0</v>
      </c>
      <c r="K156" s="337">
        <f t="shared" si="29"/>
        <v>0</v>
      </c>
      <c r="L156" s="338">
        <f t="shared" si="30"/>
        <v>0</v>
      </c>
      <c r="M156" s="339">
        <f t="shared" si="31"/>
        <v>0</v>
      </c>
      <c r="N156" s="340"/>
    </row>
    <row r="157" spans="1:14" ht="32.25" customHeight="1">
      <c r="A157" s="342">
        <v>4</v>
      </c>
      <c r="B157" s="340" t="s">
        <v>1010</v>
      </c>
      <c r="C157" s="340" t="s">
        <v>900</v>
      </c>
      <c r="D157" s="338">
        <v>3.6480000000000001</v>
      </c>
      <c r="E157" s="339">
        <v>1283592</v>
      </c>
      <c r="F157" s="337">
        <f t="shared" si="26"/>
        <v>4682543.6160000004</v>
      </c>
      <c r="G157" s="338">
        <v>3.6480000000000001</v>
      </c>
      <c r="H157" s="339">
        <v>1283592</v>
      </c>
      <c r="I157" s="337">
        <f t="shared" si="27"/>
        <v>4682543.6160000004</v>
      </c>
      <c r="J157" s="336">
        <f t="shared" si="28"/>
        <v>0</v>
      </c>
      <c r="K157" s="337">
        <f t="shared" si="29"/>
        <v>0</v>
      </c>
      <c r="L157" s="338">
        <f t="shared" si="30"/>
        <v>0</v>
      </c>
      <c r="M157" s="339">
        <f t="shared" si="31"/>
        <v>0</v>
      </c>
      <c r="N157" s="340"/>
    </row>
    <row r="158" spans="1:14" ht="32.25" customHeight="1">
      <c r="A158" s="342">
        <v>5</v>
      </c>
      <c r="B158" s="340" t="s">
        <v>999</v>
      </c>
      <c r="C158" s="340" t="s">
        <v>900</v>
      </c>
      <c r="D158" s="338">
        <v>4.6440000000000001</v>
      </c>
      <c r="E158" s="339">
        <v>2216701</v>
      </c>
      <c r="F158" s="337">
        <f t="shared" si="26"/>
        <v>10294359.444</v>
      </c>
      <c r="G158" s="338">
        <v>4.6440000000000001</v>
      </c>
      <c r="H158" s="339">
        <v>2216701</v>
      </c>
      <c r="I158" s="337">
        <f t="shared" si="27"/>
        <v>10294359.444</v>
      </c>
      <c r="J158" s="336">
        <f t="shared" si="28"/>
        <v>0</v>
      </c>
      <c r="K158" s="337">
        <f t="shared" si="29"/>
        <v>0</v>
      </c>
      <c r="L158" s="338">
        <f t="shared" si="30"/>
        <v>0</v>
      </c>
      <c r="M158" s="339">
        <f t="shared" si="31"/>
        <v>0</v>
      </c>
      <c r="N158" s="340"/>
    </row>
    <row r="159" spans="1:14" ht="32.25" customHeight="1">
      <c r="A159" s="342">
        <v>6</v>
      </c>
      <c r="B159" s="340" t="s">
        <v>974</v>
      </c>
      <c r="C159" s="340" t="s">
        <v>900</v>
      </c>
      <c r="D159" s="338">
        <v>2</v>
      </c>
      <c r="E159" s="339">
        <v>2543579</v>
      </c>
      <c r="F159" s="337">
        <f t="shared" si="26"/>
        <v>5087158</v>
      </c>
      <c r="G159" s="338">
        <v>2</v>
      </c>
      <c r="H159" s="339">
        <v>2543579</v>
      </c>
      <c r="I159" s="337">
        <f t="shared" si="27"/>
        <v>5087158</v>
      </c>
      <c r="J159" s="336">
        <f t="shared" si="28"/>
        <v>0</v>
      </c>
      <c r="K159" s="337">
        <f t="shared" si="29"/>
        <v>0</v>
      </c>
      <c r="L159" s="338">
        <f t="shared" si="30"/>
        <v>0</v>
      </c>
      <c r="M159" s="339">
        <f t="shared" si="31"/>
        <v>0</v>
      </c>
      <c r="N159" s="340"/>
    </row>
    <row r="160" spans="1:14" ht="32.25" customHeight="1">
      <c r="A160" s="342">
        <v>7</v>
      </c>
      <c r="B160" s="340" t="s">
        <v>1011</v>
      </c>
      <c r="C160" s="340" t="s">
        <v>900</v>
      </c>
      <c r="D160" s="338">
        <v>24.95</v>
      </c>
      <c r="E160" s="339">
        <v>2522566</v>
      </c>
      <c r="F160" s="337">
        <f t="shared" si="26"/>
        <v>62938021.699999996</v>
      </c>
      <c r="G160" s="338">
        <v>24.95</v>
      </c>
      <c r="H160" s="339">
        <v>2522566</v>
      </c>
      <c r="I160" s="337">
        <f t="shared" si="27"/>
        <v>62938021.699999996</v>
      </c>
      <c r="J160" s="336">
        <f t="shared" si="28"/>
        <v>0</v>
      </c>
      <c r="K160" s="337">
        <f t="shared" si="29"/>
        <v>0</v>
      </c>
      <c r="L160" s="338">
        <f t="shared" si="30"/>
        <v>0</v>
      </c>
      <c r="M160" s="339">
        <f t="shared" si="31"/>
        <v>0</v>
      </c>
      <c r="N160" s="340"/>
    </row>
    <row r="161" spans="1:14" ht="32.25" customHeight="1">
      <c r="A161" s="342">
        <v>8</v>
      </c>
      <c r="B161" s="340" t="s">
        <v>1012</v>
      </c>
      <c r="C161" s="340" t="s">
        <v>900</v>
      </c>
      <c r="D161" s="338">
        <v>2.9580000000000002</v>
      </c>
      <c r="E161" s="339">
        <v>1944442</v>
      </c>
      <c r="F161" s="337">
        <f t="shared" si="26"/>
        <v>5751659.4360000007</v>
      </c>
      <c r="G161" s="338">
        <v>2.9580000000000002</v>
      </c>
      <c r="H161" s="339">
        <v>1944442</v>
      </c>
      <c r="I161" s="337">
        <f t="shared" si="27"/>
        <v>5751659.4360000007</v>
      </c>
      <c r="J161" s="336">
        <f t="shared" si="28"/>
        <v>0</v>
      </c>
      <c r="K161" s="337">
        <f t="shared" si="29"/>
        <v>0</v>
      </c>
      <c r="L161" s="338">
        <f t="shared" si="30"/>
        <v>0</v>
      </c>
      <c r="M161" s="339">
        <f t="shared" si="31"/>
        <v>0</v>
      </c>
      <c r="N161" s="340"/>
    </row>
    <row r="162" spans="1:14" ht="32.25" customHeight="1">
      <c r="A162" s="342">
        <v>9</v>
      </c>
      <c r="B162" s="340" t="s">
        <v>1013</v>
      </c>
      <c r="C162" s="340" t="s">
        <v>914</v>
      </c>
      <c r="D162" s="338">
        <v>0.53779999999999994</v>
      </c>
      <c r="E162" s="339">
        <v>21613723</v>
      </c>
      <c r="F162" s="337">
        <f t="shared" si="26"/>
        <v>11623860.2294</v>
      </c>
      <c r="G162" s="338">
        <v>0.53779999999999994</v>
      </c>
      <c r="H162" s="339">
        <v>21613723</v>
      </c>
      <c r="I162" s="337">
        <f t="shared" si="27"/>
        <v>11623860.2294</v>
      </c>
      <c r="J162" s="336">
        <f t="shared" si="28"/>
        <v>0</v>
      </c>
      <c r="K162" s="337">
        <f t="shared" si="29"/>
        <v>0</v>
      </c>
      <c r="L162" s="338">
        <f t="shared" si="30"/>
        <v>0</v>
      </c>
      <c r="M162" s="339">
        <f t="shared" si="31"/>
        <v>0</v>
      </c>
      <c r="N162" s="340"/>
    </row>
    <row r="163" spans="1:14" ht="32.25" customHeight="1">
      <c r="A163" s="342">
        <v>10</v>
      </c>
      <c r="B163" s="340" t="s">
        <v>946</v>
      </c>
      <c r="C163" s="340" t="s">
        <v>914</v>
      </c>
      <c r="D163" s="338">
        <v>0.4</v>
      </c>
      <c r="E163" s="339">
        <v>17821387</v>
      </c>
      <c r="F163" s="337">
        <f t="shared" si="26"/>
        <v>7128554.8000000007</v>
      </c>
      <c r="G163" s="338">
        <v>0.4</v>
      </c>
      <c r="H163" s="339">
        <v>17821387</v>
      </c>
      <c r="I163" s="337">
        <f t="shared" si="27"/>
        <v>7128554.8000000007</v>
      </c>
      <c r="J163" s="336">
        <f t="shared" si="28"/>
        <v>0</v>
      </c>
      <c r="K163" s="337">
        <f t="shared" si="29"/>
        <v>0</v>
      </c>
      <c r="L163" s="338">
        <f t="shared" si="30"/>
        <v>0</v>
      </c>
      <c r="M163" s="339">
        <f t="shared" si="31"/>
        <v>0</v>
      </c>
      <c r="N163" s="340"/>
    </row>
    <row r="164" spans="1:14" ht="32.25" customHeight="1">
      <c r="A164" s="342">
        <v>11</v>
      </c>
      <c r="B164" s="340" t="s">
        <v>1014</v>
      </c>
      <c r="C164" s="340" t="s">
        <v>914</v>
      </c>
      <c r="D164" s="338">
        <v>1.7678</v>
      </c>
      <c r="E164" s="339">
        <v>16155898</v>
      </c>
      <c r="F164" s="337">
        <f t="shared" si="26"/>
        <v>28560396.4844</v>
      </c>
      <c r="G164" s="338">
        <v>1.7678</v>
      </c>
      <c r="H164" s="339">
        <v>16155898</v>
      </c>
      <c r="I164" s="337">
        <f t="shared" si="27"/>
        <v>28560396.4844</v>
      </c>
      <c r="J164" s="336">
        <f t="shared" si="28"/>
        <v>0</v>
      </c>
      <c r="K164" s="337">
        <f t="shared" si="29"/>
        <v>0</v>
      </c>
      <c r="L164" s="338">
        <f t="shared" si="30"/>
        <v>0</v>
      </c>
      <c r="M164" s="339">
        <f t="shared" si="31"/>
        <v>0</v>
      </c>
      <c r="N164" s="340"/>
    </row>
    <row r="165" spans="1:14" ht="32.25" customHeight="1">
      <c r="A165" s="342">
        <v>12</v>
      </c>
      <c r="B165" s="340" t="s">
        <v>1015</v>
      </c>
      <c r="C165" s="340" t="s">
        <v>914</v>
      </c>
      <c r="D165" s="338">
        <v>0.29580000000000001</v>
      </c>
      <c r="E165" s="339">
        <v>17179470</v>
      </c>
      <c r="F165" s="337">
        <f t="shared" si="26"/>
        <v>5081687.2259999998</v>
      </c>
      <c r="G165" s="338">
        <v>0.29580000000000001</v>
      </c>
      <c r="H165" s="339">
        <v>17179470</v>
      </c>
      <c r="I165" s="337">
        <f t="shared" si="27"/>
        <v>5081687.2259999998</v>
      </c>
      <c r="J165" s="336">
        <f t="shared" si="28"/>
        <v>0</v>
      </c>
      <c r="K165" s="337">
        <f t="shared" si="29"/>
        <v>0</v>
      </c>
      <c r="L165" s="338">
        <f t="shared" si="30"/>
        <v>0</v>
      </c>
      <c r="M165" s="339">
        <f t="shared" si="31"/>
        <v>0</v>
      </c>
      <c r="N165" s="340"/>
    </row>
    <row r="166" spans="1:14" ht="32.25" customHeight="1">
      <c r="A166" s="342">
        <v>13</v>
      </c>
      <c r="B166" s="340" t="s">
        <v>1016</v>
      </c>
      <c r="C166" s="340" t="s">
        <v>919</v>
      </c>
      <c r="D166" s="338">
        <v>1.0991</v>
      </c>
      <c r="E166" s="339">
        <v>23112893</v>
      </c>
      <c r="F166" s="337">
        <f t="shared" si="26"/>
        <v>25403380.6963</v>
      </c>
      <c r="G166" s="338">
        <v>1.0991</v>
      </c>
      <c r="H166" s="339">
        <v>23112893</v>
      </c>
      <c r="I166" s="337">
        <f t="shared" si="27"/>
        <v>25403380.6963</v>
      </c>
      <c r="J166" s="336">
        <f t="shared" si="28"/>
        <v>0</v>
      </c>
      <c r="K166" s="337">
        <f t="shared" si="29"/>
        <v>0</v>
      </c>
      <c r="L166" s="338">
        <f t="shared" si="30"/>
        <v>0</v>
      </c>
      <c r="M166" s="339">
        <f t="shared" si="31"/>
        <v>0</v>
      </c>
      <c r="N166" s="340"/>
    </row>
    <row r="167" spans="1:14" ht="32.25" customHeight="1">
      <c r="A167" s="342">
        <v>14</v>
      </c>
      <c r="B167" s="340" t="s">
        <v>1017</v>
      </c>
      <c r="C167" s="340" t="s">
        <v>919</v>
      </c>
      <c r="D167" s="338">
        <v>0.49980000000000002</v>
      </c>
      <c r="E167" s="339">
        <v>22795827</v>
      </c>
      <c r="F167" s="337">
        <f t="shared" si="26"/>
        <v>11393354.3346</v>
      </c>
      <c r="G167" s="338">
        <v>0.49980000000000002</v>
      </c>
      <c r="H167" s="339">
        <v>22795827</v>
      </c>
      <c r="I167" s="337">
        <f t="shared" si="27"/>
        <v>11393354.3346</v>
      </c>
      <c r="J167" s="336">
        <f t="shared" si="28"/>
        <v>0</v>
      </c>
      <c r="K167" s="337">
        <f t="shared" si="29"/>
        <v>0</v>
      </c>
      <c r="L167" s="338">
        <f t="shared" si="30"/>
        <v>0</v>
      </c>
      <c r="M167" s="339">
        <f t="shared" si="31"/>
        <v>0</v>
      </c>
      <c r="N167" s="340"/>
    </row>
    <row r="168" spans="1:14" ht="32.25" customHeight="1">
      <c r="A168" s="342">
        <v>15</v>
      </c>
      <c r="B168" s="340" t="s">
        <v>1018</v>
      </c>
      <c r="C168" s="340" t="s">
        <v>919</v>
      </c>
      <c r="D168" s="338">
        <v>4.4955999999999996</v>
      </c>
      <c r="E168" s="339">
        <v>24438803</v>
      </c>
      <c r="F168" s="337">
        <f t="shared" si="26"/>
        <v>109867082.76679999</v>
      </c>
      <c r="G168" s="338">
        <v>4.4955999999999996</v>
      </c>
      <c r="H168" s="339">
        <v>24438803</v>
      </c>
      <c r="I168" s="337">
        <f t="shared" si="27"/>
        <v>109867082.76679999</v>
      </c>
      <c r="J168" s="336">
        <f t="shared" si="28"/>
        <v>0</v>
      </c>
      <c r="K168" s="337">
        <f t="shared" si="29"/>
        <v>0</v>
      </c>
      <c r="L168" s="338">
        <f t="shared" si="30"/>
        <v>0</v>
      </c>
      <c r="M168" s="339">
        <f t="shared" si="31"/>
        <v>0</v>
      </c>
      <c r="N168" s="340"/>
    </row>
    <row r="169" spans="1:14" ht="32.25" customHeight="1">
      <c r="A169" s="342">
        <v>16</v>
      </c>
      <c r="B169" s="340" t="s">
        <v>1019</v>
      </c>
      <c r="C169" s="340" t="s">
        <v>919</v>
      </c>
      <c r="D169" s="338">
        <v>0.56810000000000005</v>
      </c>
      <c r="E169" s="339">
        <v>22736885</v>
      </c>
      <c r="F169" s="337">
        <f t="shared" si="26"/>
        <v>12916824.368500002</v>
      </c>
      <c r="G169" s="338">
        <v>0.56810000000000005</v>
      </c>
      <c r="H169" s="339">
        <v>22736885</v>
      </c>
      <c r="I169" s="337">
        <f t="shared" si="27"/>
        <v>12916824.368500002</v>
      </c>
      <c r="J169" s="336">
        <f t="shared" si="28"/>
        <v>0</v>
      </c>
      <c r="K169" s="337">
        <f t="shared" si="29"/>
        <v>0</v>
      </c>
      <c r="L169" s="338">
        <f t="shared" si="30"/>
        <v>0</v>
      </c>
      <c r="M169" s="339">
        <f t="shared" si="31"/>
        <v>0</v>
      </c>
      <c r="N169" s="340"/>
    </row>
    <row r="170" spans="1:14" ht="32.25" customHeight="1">
      <c r="A170" s="342">
        <v>17</v>
      </c>
      <c r="B170" s="340" t="s">
        <v>929</v>
      </c>
      <c r="C170" s="340" t="s">
        <v>930</v>
      </c>
      <c r="D170" s="338">
        <v>147.19999999999999</v>
      </c>
      <c r="E170" s="339">
        <v>81113</v>
      </c>
      <c r="F170" s="337">
        <f t="shared" si="26"/>
        <v>11939833.6</v>
      </c>
      <c r="G170" s="338">
        <v>147.19999999999999</v>
      </c>
      <c r="H170" s="339">
        <v>81113</v>
      </c>
      <c r="I170" s="337">
        <f t="shared" si="27"/>
        <v>11939833.6</v>
      </c>
      <c r="J170" s="336">
        <f t="shared" si="28"/>
        <v>0</v>
      </c>
      <c r="K170" s="337">
        <f t="shared" si="29"/>
        <v>0</v>
      </c>
      <c r="L170" s="338">
        <f t="shared" si="30"/>
        <v>0</v>
      </c>
      <c r="M170" s="339">
        <f t="shared" si="31"/>
        <v>0</v>
      </c>
      <c r="N170" s="340"/>
    </row>
    <row r="171" spans="1:14" ht="32.25" customHeight="1">
      <c r="A171" s="342">
        <v>18</v>
      </c>
      <c r="B171" s="340" t="s">
        <v>1020</v>
      </c>
      <c r="C171" s="340" t="s">
        <v>930</v>
      </c>
      <c r="D171" s="338">
        <v>28.8</v>
      </c>
      <c r="E171" s="339">
        <v>149196</v>
      </c>
      <c r="F171" s="337">
        <f t="shared" si="26"/>
        <v>4296844.8</v>
      </c>
      <c r="G171" s="338">
        <v>28.8</v>
      </c>
      <c r="H171" s="339">
        <v>149196</v>
      </c>
      <c r="I171" s="337">
        <f t="shared" si="27"/>
        <v>4296844.8</v>
      </c>
      <c r="J171" s="336">
        <f t="shared" si="28"/>
        <v>0</v>
      </c>
      <c r="K171" s="337">
        <f t="shared" si="29"/>
        <v>0</v>
      </c>
      <c r="L171" s="338">
        <f t="shared" si="30"/>
        <v>0</v>
      </c>
      <c r="M171" s="339">
        <f t="shared" si="31"/>
        <v>0</v>
      </c>
      <c r="N171" s="340"/>
    </row>
    <row r="172" spans="1:14" ht="32.25" customHeight="1">
      <c r="A172" s="342">
        <v>19</v>
      </c>
      <c r="B172" s="340" t="s">
        <v>1004</v>
      </c>
      <c r="C172" s="340" t="s">
        <v>930</v>
      </c>
      <c r="D172" s="338">
        <v>53.78</v>
      </c>
      <c r="E172" s="339">
        <v>105194</v>
      </c>
      <c r="F172" s="337">
        <f t="shared" si="26"/>
        <v>5657333.3200000003</v>
      </c>
      <c r="G172" s="338">
        <v>53.78</v>
      </c>
      <c r="H172" s="339">
        <v>105194</v>
      </c>
      <c r="I172" s="337">
        <f t="shared" si="27"/>
        <v>5657333.3200000003</v>
      </c>
      <c r="J172" s="336">
        <f t="shared" si="28"/>
        <v>0</v>
      </c>
      <c r="K172" s="337">
        <f t="shared" si="29"/>
        <v>0</v>
      </c>
      <c r="L172" s="338">
        <f t="shared" si="30"/>
        <v>0</v>
      </c>
      <c r="M172" s="339">
        <f t="shared" si="31"/>
        <v>0</v>
      </c>
      <c r="N172" s="340"/>
    </row>
    <row r="173" spans="1:14" ht="32.25" customHeight="1">
      <c r="A173" s="342">
        <v>20</v>
      </c>
      <c r="B173" s="340" t="s">
        <v>1021</v>
      </c>
      <c r="C173" s="340" t="s">
        <v>930</v>
      </c>
      <c r="D173" s="338">
        <v>59.16</v>
      </c>
      <c r="E173" s="339">
        <v>144019</v>
      </c>
      <c r="F173" s="337">
        <f t="shared" si="26"/>
        <v>8520164.0399999991</v>
      </c>
      <c r="G173" s="338">
        <v>59.16</v>
      </c>
      <c r="H173" s="339">
        <v>144019</v>
      </c>
      <c r="I173" s="337">
        <f t="shared" si="27"/>
        <v>8520164.0399999991</v>
      </c>
      <c r="J173" s="336">
        <f t="shared" si="28"/>
        <v>0</v>
      </c>
      <c r="K173" s="337">
        <f t="shared" si="29"/>
        <v>0</v>
      </c>
      <c r="L173" s="338">
        <f t="shared" si="30"/>
        <v>0</v>
      </c>
      <c r="M173" s="339">
        <f t="shared" si="31"/>
        <v>0</v>
      </c>
      <c r="N173" s="340"/>
    </row>
    <row r="174" spans="1:14" ht="32.25" customHeight="1">
      <c r="A174" s="342">
        <v>21</v>
      </c>
      <c r="B174" s="340" t="s">
        <v>1022</v>
      </c>
      <c r="C174" s="340" t="s">
        <v>930</v>
      </c>
      <c r="D174" s="338">
        <v>29.58</v>
      </c>
      <c r="E174" s="339">
        <v>57407</v>
      </c>
      <c r="F174" s="337">
        <f t="shared" si="26"/>
        <v>1698099.0599999998</v>
      </c>
      <c r="G174" s="338">
        <v>29.58</v>
      </c>
      <c r="H174" s="339">
        <v>57407</v>
      </c>
      <c r="I174" s="337">
        <f t="shared" si="27"/>
        <v>1698099.0599999998</v>
      </c>
      <c r="J174" s="336">
        <f t="shared" si="28"/>
        <v>0</v>
      </c>
      <c r="K174" s="337">
        <f t="shared" si="29"/>
        <v>0</v>
      </c>
      <c r="L174" s="338">
        <f t="shared" si="30"/>
        <v>0</v>
      </c>
      <c r="M174" s="339">
        <f t="shared" si="31"/>
        <v>0</v>
      </c>
      <c r="N174" s="340"/>
    </row>
    <row r="175" spans="1:14" ht="32.25" customHeight="1">
      <c r="A175" s="342">
        <v>22</v>
      </c>
      <c r="B175" s="340" t="s">
        <v>991</v>
      </c>
      <c r="C175" s="340" t="s">
        <v>930</v>
      </c>
      <c r="D175" s="338">
        <v>34.1</v>
      </c>
      <c r="E175" s="339">
        <v>187552</v>
      </c>
      <c r="F175" s="337">
        <f t="shared" si="26"/>
        <v>6395523.2000000002</v>
      </c>
      <c r="G175" s="338">
        <v>34.1</v>
      </c>
      <c r="H175" s="339">
        <v>187552</v>
      </c>
      <c r="I175" s="337">
        <f t="shared" si="27"/>
        <v>6395523.2000000002</v>
      </c>
      <c r="J175" s="336">
        <f t="shared" si="28"/>
        <v>0</v>
      </c>
      <c r="K175" s="337">
        <f t="shared" si="29"/>
        <v>0</v>
      </c>
      <c r="L175" s="338">
        <f t="shared" si="30"/>
        <v>0</v>
      </c>
      <c r="M175" s="339">
        <f t="shared" si="31"/>
        <v>0</v>
      </c>
      <c r="N175" s="340"/>
    </row>
    <row r="176" spans="1:14" ht="32.25" customHeight="1">
      <c r="A176" s="342">
        <v>23</v>
      </c>
      <c r="B176" s="340" t="s">
        <v>954</v>
      </c>
      <c r="C176" s="340" t="s">
        <v>930</v>
      </c>
      <c r="D176" s="338">
        <v>103.18</v>
      </c>
      <c r="E176" s="339">
        <v>274407</v>
      </c>
      <c r="F176" s="337">
        <f t="shared" si="26"/>
        <v>28313314.260000002</v>
      </c>
      <c r="G176" s="338">
        <v>103.18</v>
      </c>
      <c r="H176" s="339">
        <v>274407</v>
      </c>
      <c r="I176" s="337">
        <f t="shared" si="27"/>
        <v>28313314.260000002</v>
      </c>
      <c r="J176" s="336">
        <f t="shared" si="28"/>
        <v>0</v>
      </c>
      <c r="K176" s="337">
        <f t="shared" si="29"/>
        <v>0</v>
      </c>
      <c r="L176" s="338">
        <f t="shared" si="30"/>
        <v>0</v>
      </c>
      <c r="M176" s="339">
        <f t="shared" si="31"/>
        <v>0</v>
      </c>
      <c r="N176" s="340"/>
    </row>
    <row r="177" spans="1:14" ht="32.25" customHeight="1">
      <c r="A177" s="342">
        <v>24</v>
      </c>
      <c r="B177" s="340" t="s">
        <v>964</v>
      </c>
      <c r="C177" s="340" t="s">
        <v>930</v>
      </c>
      <c r="D177" s="338">
        <v>68.2</v>
      </c>
      <c r="E177" s="339">
        <v>47287</v>
      </c>
      <c r="F177" s="337">
        <f t="shared" si="26"/>
        <v>3224973.4</v>
      </c>
      <c r="G177" s="338">
        <v>68.2</v>
      </c>
      <c r="H177" s="339">
        <v>47287</v>
      </c>
      <c r="I177" s="337">
        <f t="shared" si="27"/>
        <v>3224973.4</v>
      </c>
      <c r="J177" s="336">
        <f t="shared" si="28"/>
        <v>0</v>
      </c>
      <c r="K177" s="337">
        <f t="shared" si="29"/>
        <v>0</v>
      </c>
      <c r="L177" s="338">
        <f t="shared" si="30"/>
        <v>0</v>
      </c>
      <c r="M177" s="339">
        <f t="shared" si="31"/>
        <v>0</v>
      </c>
      <c r="N177" s="340"/>
    </row>
    <row r="178" spans="1:14" ht="32.25" customHeight="1">
      <c r="A178" s="342">
        <v>25</v>
      </c>
      <c r="B178" s="340" t="s">
        <v>933</v>
      </c>
      <c r="C178" s="340" t="s">
        <v>930</v>
      </c>
      <c r="D178" s="338">
        <v>90.72</v>
      </c>
      <c r="E178" s="339">
        <v>83662</v>
      </c>
      <c r="F178" s="337">
        <f t="shared" si="26"/>
        <v>7589816.6399999997</v>
      </c>
      <c r="G178" s="338">
        <v>90.72</v>
      </c>
      <c r="H178" s="339">
        <v>83662</v>
      </c>
      <c r="I178" s="337">
        <f t="shared" si="27"/>
        <v>7589816.6399999997</v>
      </c>
      <c r="J178" s="336">
        <f t="shared" si="28"/>
        <v>0</v>
      </c>
      <c r="K178" s="337">
        <f t="shared" si="29"/>
        <v>0</v>
      </c>
      <c r="L178" s="338">
        <f t="shared" si="30"/>
        <v>0</v>
      </c>
      <c r="M178" s="339">
        <f t="shared" si="31"/>
        <v>0</v>
      </c>
      <c r="N178" s="340"/>
    </row>
    <row r="179" spans="1:14" s="352" customFormat="1" ht="32.25" customHeight="1">
      <c r="A179" s="344">
        <v>26</v>
      </c>
      <c r="B179" s="351" t="s">
        <v>934</v>
      </c>
      <c r="C179" s="351" t="s">
        <v>930</v>
      </c>
      <c r="D179" s="347">
        <v>90.72</v>
      </c>
      <c r="E179" s="348">
        <v>59365</v>
      </c>
      <c r="F179" s="349">
        <f t="shared" si="26"/>
        <v>5385592.7999999998</v>
      </c>
      <c r="G179" s="347">
        <v>90.72</v>
      </c>
      <c r="H179" s="348">
        <v>29710</v>
      </c>
      <c r="I179" s="349">
        <f t="shared" si="27"/>
        <v>2695291.2</v>
      </c>
      <c r="J179" s="350">
        <f t="shared" si="28"/>
        <v>0</v>
      </c>
      <c r="K179" s="349">
        <f t="shared" si="29"/>
        <v>2690301.5999999996</v>
      </c>
      <c r="L179" s="347">
        <f t="shared" si="30"/>
        <v>0</v>
      </c>
      <c r="M179" s="348">
        <f t="shared" si="31"/>
        <v>0</v>
      </c>
      <c r="N179" s="351"/>
    </row>
    <row r="180" spans="1:14" s="327" customFormat="1" ht="32.25" customHeight="1">
      <c r="A180" s="537" t="s">
        <v>94</v>
      </c>
      <c r="B180" s="537"/>
      <c r="C180" s="537"/>
      <c r="D180" s="328"/>
      <c r="E180" s="329"/>
      <c r="F180" s="329">
        <f>SUM(F153:F179)</f>
        <v>459682232.78400004</v>
      </c>
      <c r="G180" s="328"/>
      <c r="H180" s="329"/>
      <c r="I180" s="329">
        <f>SUM(I153:I179)</f>
        <v>456991931.18400002</v>
      </c>
      <c r="J180" s="328"/>
      <c r="K180" s="329">
        <f>SUM(K153:K179)</f>
        <v>2690301.5999999996</v>
      </c>
      <c r="L180" s="328"/>
      <c r="M180" s="329">
        <f>SUM(M153:M179)</f>
        <v>0</v>
      </c>
      <c r="N180" s="360"/>
    </row>
    <row r="181" spans="1:14" ht="32.25" customHeight="1">
      <c r="A181" s="537" t="s">
        <v>1023</v>
      </c>
      <c r="B181" s="537"/>
      <c r="C181" s="537"/>
      <c r="D181" s="338"/>
      <c r="E181" s="339"/>
      <c r="F181" s="337"/>
      <c r="G181" s="338"/>
      <c r="H181" s="339"/>
      <c r="I181" s="337"/>
      <c r="J181" s="336"/>
      <c r="K181" s="337"/>
      <c r="L181" s="338"/>
      <c r="M181" s="339"/>
      <c r="N181" s="340"/>
    </row>
    <row r="182" spans="1:14" ht="32.25" customHeight="1">
      <c r="A182" s="342">
        <v>1</v>
      </c>
      <c r="B182" s="340" t="s">
        <v>1024</v>
      </c>
      <c r="C182" s="340" t="s">
        <v>900</v>
      </c>
      <c r="D182" s="338">
        <v>18.4041</v>
      </c>
      <c r="E182" s="339">
        <v>230428</v>
      </c>
      <c r="F182" s="337">
        <f t="shared" ref="F182:F199" si="32">D182*E182</f>
        <v>4240819.9547999995</v>
      </c>
      <c r="G182" s="338">
        <v>18.4041</v>
      </c>
      <c r="H182" s="339">
        <v>230428</v>
      </c>
      <c r="I182" s="337">
        <f t="shared" ref="I182:I199" si="33">G182*H182</f>
        <v>4240819.9547999995</v>
      </c>
      <c r="J182" s="336">
        <f t="shared" ref="J182:J199" si="34">MAX(D182-G182,0)</f>
        <v>0</v>
      </c>
      <c r="K182" s="337">
        <f t="shared" ref="K182:K199" si="35">MAX(F182-I182,0)</f>
        <v>0</v>
      </c>
      <c r="L182" s="338">
        <f t="shared" ref="L182:L199" si="36">MAX(G182-D182,0)</f>
        <v>0</v>
      </c>
      <c r="M182" s="339">
        <f t="shared" ref="M182:M199" si="37">MAX(I182-F182,0)</f>
        <v>0</v>
      </c>
      <c r="N182" s="340"/>
    </row>
    <row r="183" spans="1:14" s="352" customFormat="1" ht="32.25" customHeight="1">
      <c r="A183" s="344">
        <v>2</v>
      </c>
      <c r="B183" s="351" t="s">
        <v>1025</v>
      </c>
      <c r="C183" s="351" t="s">
        <v>900</v>
      </c>
      <c r="D183" s="347">
        <v>1.3</v>
      </c>
      <c r="E183" s="348">
        <v>201625</v>
      </c>
      <c r="F183" s="349">
        <f t="shared" si="32"/>
        <v>262112.5</v>
      </c>
      <c r="G183" s="347">
        <v>19.448</v>
      </c>
      <c r="H183" s="348">
        <v>201625</v>
      </c>
      <c r="I183" s="349">
        <f t="shared" si="33"/>
        <v>3921203</v>
      </c>
      <c r="J183" s="350">
        <f t="shared" si="34"/>
        <v>0</v>
      </c>
      <c r="K183" s="349">
        <f t="shared" si="35"/>
        <v>0</v>
      </c>
      <c r="L183" s="347">
        <f t="shared" si="36"/>
        <v>18.148</v>
      </c>
      <c r="M183" s="348">
        <f t="shared" si="37"/>
        <v>3659090.5</v>
      </c>
      <c r="N183" s="351"/>
    </row>
    <row r="184" spans="1:14" s="352" customFormat="1" ht="32.25" customHeight="1">
      <c r="A184" s="344">
        <v>3</v>
      </c>
      <c r="B184" s="351" t="s">
        <v>1026</v>
      </c>
      <c r="C184" s="351" t="s">
        <v>900</v>
      </c>
      <c r="D184" s="347">
        <v>12.7026</v>
      </c>
      <c r="E184" s="348">
        <v>124076</v>
      </c>
      <c r="F184" s="349">
        <f t="shared" si="32"/>
        <v>1576087.7975999999</v>
      </c>
      <c r="G184" s="347">
        <v>18.751999999999999</v>
      </c>
      <c r="H184" s="348">
        <v>124076</v>
      </c>
      <c r="I184" s="349">
        <f t="shared" si="33"/>
        <v>2326673.1519999998</v>
      </c>
      <c r="J184" s="350">
        <f t="shared" si="34"/>
        <v>0</v>
      </c>
      <c r="K184" s="349">
        <f t="shared" si="35"/>
        <v>0</v>
      </c>
      <c r="L184" s="347">
        <f t="shared" si="36"/>
        <v>6.0493999999999986</v>
      </c>
      <c r="M184" s="348">
        <f t="shared" si="37"/>
        <v>750585.35439999984</v>
      </c>
      <c r="N184" s="351"/>
    </row>
    <row r="185" spans="1:14" ht="32.25" customHeight="1">
      <c r="A185" s="342">
        <v>4</v>
      </c>
      <c r="B185" s="340" t="s">
        <v>938</v>
      </c>
      <c r="C185" s="340"/>
      <c r="D185" s="338">
        <v>8.8000000000000007</v>
      </c>
      <c r="E185" s="339">
        <v>1206690</v>
      </c>
      <c r="F185" s="337">
        <f t="shared" si="32"/>
        <v>10618872</v>
      </c>
      <c r="G185" s="338">
        <v>8.8000000000000007</v>
      </c>
      <c r="H185" s="339">
        <v>1206690</v>
      </c>
      <c r="I185" s="337">
        <f t="shared" si="33"/>
        <v>10618872</v>
      </c>
      <c r="J185" s="336">
        <f t="shared" si="34"/>
        <v>0</v>
      </c>
      <c r="K185" s="337">
        <f t="shared" si="35"/>
        <v>0</v>
      </c>
      <c r="L185" s="338">
        <f t="shared" si="36"/>
        <v>0</v>
      </c>
      <c r="M185" s="339">
        <f t="shared" si="37"/>
        <v>0</v>
      </c>
      <c r="N185" s="340"/>
    </row>
    <row r="186" spans="1:14" s="352" customFormat="1" ht="32.25" customHeight="1">
      <c r="A186" s="344">
        <v>5</v>
      </c>
      <c r="B186" s="351" t="s">
        <v>1027</v>
      </c>
      <c r="C186" s="351" t="s">
        <v>900</v>
      </c>
      <c r="D186" s="347">
        <v>1.089</v>
      </c>
      <c r="E186" s="348">
        <v>1283592</v>
      </c>
      <c r="F186" s="349">
        <f t="shared" si="32"/>
        <v>1397831.6879999998</v>
      </c>
      <c r="G186" s="347">
        <v>8.5690000000000008</v>
      </c>
      <c r="H186" s="348">
        <v>1283592</v>
      </c>
      <c r="I186" s="349">
        <f t="shared" si="33"/>
        <v>10999099.848000001</v>
      </c>
      <c r="J186" s="350">
        <f t="shared" si="34"/>
        <v>0</v>
      </c>
      <c r="K186" s="349">
        <f t="shared" si="35"/>
        <v>0</v>
      </c>
      <c r="L186" s="347">
        <f t="shared" si="36"/>
        <v>7.48</v>
      </c>
      <c r="M186" s="348">
        <f t="shared" si="37"/>
        <v>9601268.160000002</v>
      </c>
      <c r="N186" s="351"/>
    </row>
    <row r="187" spans="1:14" ht="32.25" customHeight="1">
      <c r="A187" s="342">
        <v>6</v>
      </c>
      <c r="B187" s="340" t="s">
        <v>1028</v>
      </c>
      <c r="C187" s="340" t="s">
        <v>900</v>
      </c>
      <c r="D187" s="338">
        <v>5.6870000000000003</v>
      </c>
      <c r="E187" s="339">
        <v>1684611</v>
      </c>
      <c r="F187" s="337">
        <f t="shared" si="32"/>
        <v>9580382.7570000011</v>
      </c>
      <c r="G187" s="338">
        <v>5.6870000000000003</v>
      </c>
      <c r="H187" s="339">
        <v>1684611</v>
      </c>
      <c r="I187" s="337">
        <f t="shared" si="33"/>
        <v>9580382.7570000011</v>
      </c>
      <c r="J187" s="336">
        <f t="shared" si="34"/>
        <v>0</v>
      </c>
      <c r="K187" s="337">
        <f t="shared" si="35"/>
        <v>0</v>
      </c>
      <c r="L187" s="338">
        <f t="shared" si="36"/>
        <v>0</v>
      </c>
      <c r="M187" s="339">
        <f t="shared" si="37"/>
        <v>0</v>
      </c>
      <c r="N187" s="340"/>
    </row>
    <row r="188" spans="1:14" s="352" customFormat="1" ht="32.25" customHeight="1">
      <c r="A188" s="344">
        <v>7</v>
      </c>
      <c r="B188" s="351" t="s">
        <v>999</v>
      </c>
      <c r="C188" s="351" t="s">
        <v>900</v>
      </c>
      <c r="D188" s="347">
        <v>3</v>
      </c>
      <c r="E188" s="348">
        <v>2216701</v>
      </c>
      <c r="F188" s="349">
        <f t="shared" si="32"/>
        <v>6650103</v>
      </c>
      <c r="G188" s="347">
        <v>9.7200000000000006</v>
      </c>
      <c r="H188" s="348">
        <v>2216701</v>
      </c>
      <c r="I188" s="349">
        <f t="shared" si="33"/>
        <v>21546333.720000003</v>
      </c>
      <c r="J188" s="350">
        <f t="shared" si="34"/>
        <v>0</v>
      </c>
      <c r="K188" s="349">
        <f t="shared" si="35"/>
        <v>0</v>
      </c>
      <c r="L188" s="347">
        <f t="shared" si="36"/>
        <v>6.7200000000000006</v>
      </c>
      <c r="M188" s="348">
        <f t="shared" si="37"/>
        <v>14896230.720000003</v>
      </c>
      <c r="N188" s="351"/>
    </row>
    <row r="189" spans="1:14" s="352" customFormat="1" ht="32.25" customHeight="1">
      <c r="A189" s="344">
        <v>8</v>
      </c>
      <c r="B189" s="351" t="s">
        <v>951</v>
      </c>
      <c r="C189" s="351" t="s">
        <v>900</v>
      </c>
      <c r="D189" s="347">
        <v>39.159999999999997</v>
      </c>
      <c r="E189" s="348">
        <v>1676247</v>
      </c>
      <c r="F189" s="349">
        <f t="shared" si="32"/>
        <v>65641832.519999996</v>
      </c>
      <c r="G189" s="347">
        <v>30</v>
      </c>
      <c r="H189" s="348">
        <v>1676247</v>
      </c>
      <c r="I189" s="349">
        <f t="shared" si="33"/>
        <v>50287410</v>
      </c>
      <c r="J189" s="350">
        <f t="shared" si="34"/>
        <v>9.1599999999999966</v>
      </c>
      <c r="K189" s="349">
        <f t="shared" si="35"/>
        <v>15354422.519999996</v>
      </c>
      <c r="L189" s="347">
        <f t="shared" si="36"/>
        <v>0</v>
      </c>
      <c r="M189" s="348">
        <f t="shared" si="37"/>
        <v>0</v>
      </c>
      <c r="N189" s="351"/>
    </row>
    <row r="190" spans="1:14" s="352" customFormat="1" ht="32.25" customHeight="1">
      <c r="A190" s="344">
        <v>9</v>
      </c>
      <c r="B190" s="351" t="s">
        <v>989</v>
      </c>
      <c r="C190" s="351" t="s">
        <v>900</v>
      </c>
      <c r="D190" s="347">
        <v>90</v>
      </c>
      <c r="E190" s="348">
        <v>195237</v>
      </c>
      <c r="F190" s="349">
        <f t="shared" si="32"/>
        <v>17571330</v>
      </c>
      <c r="G190" s="347">
        <v>183</v>
      </c>
      <c r="H190" s="348">
        <v>118811</v>
      </c>
      <c r="I190" s="349">
        <f t="shared" si="33"/>
        <v>21742413</v>
      </c>
      <c r="J190" s="350">
        <f t="shared" si="34"/>
        <v>0</v>
      </c>
      <c r="K190" s="349">
        <f t="shared" si="35"/>
        <v>0</v>
      </c>
      <c r="L190" s="347">
        <f t="shared" si="36"/>
        <v>93</v>
      </c>
      <c r="M190" s="348">
        <f t="shared" si="37"/>
        <v>4171083</v>
      </c>
      <c r="N190" s="351"/>
    </row>
    <row r="191" spans="1:14" s="352" customFormat="1" ht="32.25" customHeight="1">
      <c r="A191" s="344">
        <v>10</v>
      </c>
      <c r="B191" s="351" t="s">
        <v>1029</v>
      </c>
      <c r="C191" s="351" t="s">
        <v>900</v>
      </c>
      <c r="D191" s="347">
        <v>2.88</v>
      </c>
      <c r="E191" s="348">
        <v>2142036</v>
      </c>
      <c r="F191" s="349">
        <f t="shared" si="32"/>
        <v>6169063.6799999997</v>
      </c>
      <c r="G191" s="347">
        <v>0</v>
      </c>
      <c r="H191" s="348">
        <v>2142036</v>
      </c>
      <c r="I191" s="349">
        <f t="shared" si="33"/>
        <v>0</v>
      </c>
      <c r="J191" s="350">
        <f t="shared" si="34"/>
        <v>2.88</v>
      </c>
      <c r="K191" s="349">
        <f t="shared" si="35"/>
        <v>6169063.6799999997</v>
      </c>
      <c r="L191" s="347">
        <f t="shared" si="36"/>
        <v>0</v>
      </c>
      <c r="M191" s="348">
        <f t="shared" si="37"/>
        <v>0</v>
      </c>
      <c r="N191" s="351"/>
    </row>
    <row r="192" spans="1:14" s="352" customFormat="1" ht="32.25" customHeight="1">
      <c r="A192" s="344">
        <v>11</v>
      </c>
      <c r="B192" s="351" t="s">
        <v>929</v>
      </c>
      <c r="C192" s="351" t="s">
        <v>930</v>
      </c>
      <c r="D192" s="347">
        <v>28.8</v>
      </c>
      <c r="E192" s="348">
        <v>81113</v>
      </c>
      <c r="F192" s="349">
        <f t="shared" si="32"/>
        <v>2336054.4</v>
      </c>
      <c r="G192" s="347">
        <v>4.4880000000000004</v>
      </c>
      <c r="H192" s="348">
        <v>81113</v>
      </c>
      <c r="I192" s="349">
        <f t="shared" si="33"/>
        <v>364035.14400000003</v>
      </c>
      <c r="J192" s="350">
        <f t="shared" si="34"/>
        <v>24.312000000000001</v>
      </c>
      <c r="K192" s="349">
        <f t="shared" si="35"/>
        <v>1972019.2559999998</v>
      </c>
      <c r="L192" s="347">
        <f t="shared" si="36"/>
        <v>0</v>
      </c>
      <c r="M192" s="348">
        <f t="shared" si="37"/>
        <v>0</v>
      </c>
      <c r="N192" s="351"/>
    </row>
    <row r="193" spans="1:14" ht="32.25" customHeight="1">
      <c r="A193" s="342">
        <v>12</v>
      </c>
      <c r="B193" s="340" t="s">
        <v>944</v>
      </c>
      <c r="C193" s="340" t="s">
        <v>914</v>
      </c>
      <c r="D193" s="338">
        <v>0.35970000000000002</v>
      </c>
      <c r="E193" s="339">
        <v>16065408</v>
      </c>
      <c r="F193" s="337">
        <f t="shared" si="32"/>
        <v>5778727.2576000001</v>
      </c>
      <c r="G193" s="338">
        <v>0.35970000000000002</v>
      </c>
      <c r="H193" s="339">
        <v>16065408</v>
      </c>
      <c r="I193" s="337">
        <f t="shared" si="33"/>
        <v>5778727.2576000001</v>
      </c>
      <c r="J193" s="336">
        <f t="shared" si="34"/>
        <v>0</v>
      </c>
      <c r="K193" s="337">
        <f t="shared" si="35"/>
        <v>0</v>
      </c>
      <c r="L193" s="338">
        <f t="shared" si="36"/>
        <v>0</v>
      </c>
      <c r="M193" s="339">
        <f t="shared" si="37"/>
        <v>0</v>
      </c>
      <c r="N193" s="340"/>
    </row>
    <row r="194" spans="1:14" ht="32.25" customHeight="1">
      <c r="A194" s="342">
        <v>13</v>
      </c>
      <c r="B194" s="340" t="s">
        <v>1001</v>
      </c>
      <c r="C194" s="340" t="s">
        <v>914</v>
      </c>
      <c r="D194" s="338">
        <v>0.3</v>
      </c>
      <c r="E194" s="339">
        <v>21613723</v>
      </c>
      <c r="F194" s="337">
        <f t="shared" si="32"/>
        <v>6484116.8999999994</v>
      </c>
      <c r="G194" s="338">
        <v>0.3</v>
      </c>
      <c r="H194" s="339">
        <v>21613723</v>
      </c>
      <c r="I194" s="337">
        <f t="shared" si="33"/>
        <v>6484116.8999999994</v>
      </c>
      <c r="J194" s="336">
        <f t="shared" si="34"/>
        <v>0</v>
      </c>
      <c r="K194" s="337">
        <f t="shared" si="35"/>
        <v>0</v>
      </c>
      <c r="L194" s="338">
        <f t="shared" si="36"/>
        <v>0</v>
      </c>
      <c r="M194" s="339">
        <f t="shared" si="37"/>
        <v>0</v>
      </c>
      <c r="N194" s="340"/>
    </row>
    <row r="195" spans="1:14" s="352" customFormat="1" ht="32.25" customHeight="1">
      <c r="A195" s="344">
        <v>14</v>
      </c>
      <c r="B195" s="351" t="s">
        <v>1030</v>
      </c>
      <c r="C195" s="351" t="s">
        <v>919</v>
      </c>
      <c r="D195" s="347">
        <v>0.25159999999999999</v>
      </c>
      <c r="E195" s="348">
        <v>21940712</v>
      </c>
      <c r="F195" s="349">
        <f t="shared" si="32"/>
        <v>5520283.1392000001</v>
      </c>
      <c r="G195" s="347">
        <v>0.50319999999999998</v>
      </c>
      <c r="H195" s="348">
        <v>21940712</v>
      </c>
      <c r="I195" s="349">
        <f t="shared" si="33"/>
        <v>11040566.2784</v>
      </c>
      <c r="J195" s="350">
        <f t="shared" si="34"/>
        <v>0</v>
      </c>
      <c r="K195" s="349">
        <f t="shared" si="35"/>
        <v>0</v>
      </c>
      <c r="L195" s="347">
        <f t="shared" si="36"/>
        <v>0.25159999999999999</v>
      </c>
      <c r="M195" s="348">
        <f t="shared" si="37"/>
        <v>5520283.1392000001</v>
      </c>
      <c r="N195" s="351"/>
    </row>
    <row r="196" spans="1:14" ht="32.25" customHeight="1">
      <c r="A196" s="342">
        <v>15</v>
      </c>
      <c r="B196" s="340" t="s">
        <v>1031</v>
      </c>
      <c r="C196" s="340" t="s">
        <v>919</v>
      </c>
      <c r="D196" s="338">
        <v>0.70209999999999995</v>
      </c>
      <c r="E196" s="339">
        <v>23112893</v>
      </c>
      <c r="F196" s="337">
        <f t="shared" si="32"/>
        <v>16227562.175299998</v>
      </c>
      <c r="G196" s="338">
        <v>0.70209999999999995</v>
      </c>
      <c r="H196" s="339">
        <v>23112893</v>
      </c>
      <c r="I196" s="337">
        <f t="shared" si="33"/>
        <v>16227562.175299998</v>
      </c>
      <c r="J196" s="336">
        <f t="shared" si="34"/>
        <v>0</v>
      </c>
      <c r="K196" s="337">
        <f t="shared" si="35"/>
        <v>0</v>
      </c>
      <c r="L196" s="338">
        <f t="shared" si="36"/>
        <v>0</v>
      </c>
      <c r="M196" s="339">
        <f t="shared" si="37"/>
        <v>0</v>
      </c>
      <c r="N196" s="340"/>
    </row>
    <row r="197" spans="1:14" s="352" customFormat="1" ht="32.25" customHeight="1">
      <c r="A197" s="344">
        <v>16</v>
      </c>
      <c r="B197" s="351" t="s">
        <v>924</v>
      </c>
      <c r="C197" s="351" t="s">
        <v>914</v>
      </c>
      <c r="D197" s="347">
        <v>3.5</v>
      </c>
      <c r="E197" s="348">
        <v>682496</v>
      </c>
      <c r="F197" s="349">
        <f t="shared" si="32"/>
        <v>2388736</v>
      </c>
      <c r="G197" s="347">
        <v>3</v>
      </c>
      <c r="H197" s="348">
        <v>682496</v>
      </c>
      <c r="I197" s="349">
        <f t="shared" si="33"/>
        <v>2047488</v>
      </c>
      <c r="J197" s="350">
        <f t="shared" si="34"/>
        <v>0.5</v>
      </c>
      <c r="K197" s="349">
        <f t="shared" si="35"/>
        <v>341248</v>
      </c>
      <c r="L197" s="347">
        <f t="shared" si="36"/>
        <v>0</v>
      </c>
      <c r="M197" s="348">
        <f t="shared" si="37"/>
        <v>0</v>
      </c>
      <c r="N197" s="351"/>
    </row>
    <row r="198" spans="1:14" s="352" customFormat="1" ht="32.25" customHeight="1">
      <c r="A198" s="344">
        <v>17</v>
      </c>
      <c r="B198" s="351" t="s">
        <v>1032</v>
      </c>
      <c r="C198" s="351" t="s">
        <v>919</v>
      </c>
      <c r="D198" s="347"/>
      <c r="E198" s="348"/>
      <c r="F198" s="349">
        <f t="shared" si="32"/>
        <v>0</v>
      </c>
      <c r="G198" s="347">
        <v>0.74119999999999997</v>
      </c>
      <c r="H198" s="348">
        <v>22329835</v>
      </c>
      <c r="I198" s="349">
        <f t="shared" si="33"/>
        <v>16550873.702</v>
      </c>
      <c r="J198" s="350">
        <f t="shared" si="34"/>
        <v>0</v>
      </c>
      <c r="K198" s="349">
        <f t="shared" si="35"/>
        <v>0</v>
      </c>
      <c r="L198" s="347">
        <f t="shared" si="36"/>
        <v>0.74119999999999997</v>
      </c>
      <c r="M198" s="348">
        <f t="shared" si="37"/>
        <v>16550873.702</v>
      </c>
      <c r="N198" s="351"/>
    </row>
    <row r="199" spans="1:14" s="352" customFormat="1" ht="32.25" customHeight="1">
      <c r="A199" s="344">
        <v>18</v>
      </c>
      <c r="B199" s="351" t="s">
        <v>958</v>
      </c>
      <c r="C199" s="351"/>
      <c r="D199" s="347"/>
      <c r="E199" s="348"/>
      <c r="F199" s="349">
        <f t="shared" si="32"/>
        <v>0</v>
      </c>
      <c r="G199" s="347">
        <v>4.24</v>
      </c>
      <c r="H199" s="348">
        <v>1537033</v>
      </c>
      <c r="I199" s="349">
        <f t="shared" si="33"/>
        <v>6517019.9199999999</v>
      </c>
      <c r="J199" s="350">
        <f t="shared" si="34"/>
        <v>0</v>
      </c>
      <c r="K199" s="349">
        <f t="shared" si="35"/>
        <v>0</v>
      </c>
      <c r="L199" s="347">
        <f t="shared" si="36"/>
        <v>4.24</v>
      </c>
      <c r="M199" s="348">
        <f t="shared" si="37"/>
        <v>6517019.9199999999</v>
      </c>
      <c r="N199" s="351"/>
    </row>
    <row r="200" spans="1:14" s="327" customFormat="1" ht="32.25" customHeight="1">
      <c r="A200" s="537" t="s">
        <v>94</v>
      </c>
      <c r="B200" s="537"/>
      <c r="C200" s="537"/>
      <c r="D200" s="328"/>
      <c r="E200" s="329"/>
      <c r="F200" s="329">
        <f>SUM(F181:F199)</f>
        <v>162443915.76949999</v>
      </c>
      <c r="G200" s="328"/>
      <c r="H200" s="329"/>
      <c r="I200" s="329">
        <f>SUM(I181:I199)</f>
        <v>200273596.8091</v>
      </c>
      <c r="J200" s="328"/>
      <c r="K200" s="329">
        <f>SUM(K181:K199)</f>
        <v>23836753.455999997</v>
      </c>
      <c r="L200" s="328"/>
      <c r="M200" s="329">
        <f>SUM(M181:M199)</f>
        <v>61666434.495600007</v>
      </c>
      <c r="N200" s="360"/>
    </row>
    <row r="201" spans="1:14" ht="32.25" customHeight="1">
      <c r="A201" s="537" t="s">
        <v>1033</v>
      </c>
      <c r="B201" s="537"/>
      <c r="C201" s="537"/>
      <c r="D201" s="338"/>
      <c r="E201" s="339"/>
      <c r="F201" s="337"/>
      <c r="G201" s="338"/>
      <c r="H201" s="339"/>
      <c r="I201" s="337"/>
      <c r="J201" s="336"/>
      <c r="K201" s="337"/>
      <c r="L201" s="338"/>
      <c r="M201" s="339"/>
      <c r="N201" s="340"/>
    </row>
    <row r="202" spans="1:14" s="352" customFormat="1" ht="32.25" customHeight="1">
      <c r="A202" s="344">
        <v>1</v>
      </c>
      <c r="B202" s="351" t="s">
        <v>899</v>
      </c>
      <c r="C202" s="351" t="s">
        <v>900</v>
      </c>
      <c r="D202" s="347">
        <v>9.8552999999999997</v>
      </c>
      <c r="E202" s="348">
        <v>158277</v>
      </c>
      <c r="F202" s="349">
        <f t="shared" ref="F202:F213" si="38">D202*E202</f>
        <v>1559867.3181</v>
      </c>
      <c r="G202" s="347">
        <v>15.069599999999999</v>
      </c>
      <c r="H202" s="348">
        <v>158277</v>
      </c>
      <c r="I202" s="349">
        <f t="shared" ref="I202:I212" si="39">G202*H202</f>
        <v>2385171.0792</v>
      </c>
      <c r="J202" s="350">
        <f t="shared" ref="J202:J213" si="40">MAX(D202-G202,0)</f>
        <v>0</v>
      </c>
      <c r="K202" s="349">
        <f t="shared" ref="K202:K213" si="41">MAX(F202-I202,0)</f>
        <v>0</v>
      </c>
      <c r="L202" s="347">
        <f t="shared" ref="L202:L213" si="42">MAX(G202-D202,0)</f>
        <v>5.2142999999999997</v>
      </c>
      <c r="M202" s="348">
        <f t="shared" ref="M202:M213" si="43">MAX(I202-F202,0)</f>
        <v>825303.7611</v>
      </c>
      <c r="N202" s="351"/>
    </row>
    <row r="203" spans="1:14" s="352" customFormat="1" ht="32.25" customHeight="1">
      <c r="A203" s="344">
        <v>2</v>
      </c>
      <c r="B203" s="351" t="s">
        <v>1034</v>
      </c>
      <c r="C203" s="351" t="s">
        <v>939</v>
      </c>
      <c r="D203" s="347"/>
      <c r="E203" s="348"/>
      <c r="F203" s="349">
        <f t="shared" si="38"/>
        <v>0</v>
      </c>
      <c r="G203" s="347">
        <v>5.7750000000000004</v>
      </c>
      <c r="H203" s="348">
        <v>1206690</v>
      </c>
      <c r="I203" s="349">
        <f t="shared" si="39"/>
        <v>6968634.75</v>
      </c>
      <c r="J203" s="350">
        <f t="shared" si="40"/>
        <v>0</v>
      </c>
      <c r="K203" s="349">
        <f t="shared" si="41"/>
        <v>0</v>
      </c>
      <c r="L203" s="347">
        <f t="shared" si="42"/>
        <v>5.7750000000000004</v>
      </c>
      <c r="M203" s="348">
        <f t="shared" si="43"/>
        <v>6968634.75</v>
      </c>
      <c r="N203" s="351"/>
    </row>
    <row r="204" spans="1:14" s="352" customFormat="1" ht="32.25" customHeight="1">
      <c r="A204" s="344">
        <v>3</v>
      </c>
      <c r="B204" s="351" t="s">
        <v>1035</v>
      </c>
      <c r="C204" s="351" t="s">
        <v>900</v>
      </c>
      <c r="D204" s="347">
        <v>6.5707000000000004</v>
      </c>
      <c r="E204" s="348">
        <v>124836</v>
      </c>
      <c r="F204" s="349">
        <f t="shared" si="38"/>
        <v>820259.90520000004</v>
      </c>
      <c r="G204" s="347">
        <v>10.0464</v>
      </c>
      <c r="H204" s="348">
        <v>124836</v>
      </c>
      <c r="I204" s="349">
        <f t="shared" si="39"/>
        <v>1254152.3903999999</v>
      </c>
      <c r="J204" s="350">
        <f t="shared" si="40"/>
        <v>0</v>
      </c>
      <c r="K204" s="349">
        <f t="shared" si="41"/>
        <v>0</v>
      </c>
      <c r="L204" s="347">
        <f t="shared" si="42"/>
        <v>3.4756999999999998</v>
      </c>
      <c r="M204" s="348">
        <f t="shared" si="43"/>
        <v>433892.48519999988</v>
      </c>
      <c r="N204" s="351"/>
    </row>
    <row r="205" spans="1:14" s="352" customFormat="1" ht="32.25" customHeight="1">
      <c r="A205" s="344">
        <v>4</v>
      </c>
      <c r="B205" s="351" t="s">
        <v>971</v>
      </c>
      <c r="C205" s="351" t="s">
        <v>900</v>
      </c>
      <c r="D205" s="347">
        <v>0.47</v>
      </c>
      <c r="E205" s="348">
        <v>1285523</v>
      </c>
      <c r="F205" s="349">
        <f t="shared" si="38"/>
        <v>604195.80999999994</v>
      </c>
      <c r="G205" s="347">
        <v>0.55200000000000005</v>
      </c>
      <c r="H205" s="348">
        <v>1285523</v>
      </c>
      <c r="I205" s="349">
        <f t="shared" si="39"/>
        <v>709608.69600000011</v>
      </c>
      <c r="J205" s="350">
        <f t="shared" si="40"/>
        <v>0</v>
      </c>
      <c r="K205" s="349">
        <f t="shared" si="41"/>
        <v>0</v>
      </c>
      <c r="L205" s="347">
        <f t="shared" si="42"/>
        <v>8.2000000000000073E-2</v>
      </c>
      <c r="M205" s="348">
        <f t="shared" si="43"/>
        <v>105412.88600000017</v>
      </c>
      <c r="N205" s="351"/>
    </row>
    <row r="206" spans="1:14" s="352" customFormat="1" ht="32.25" customHeight="1">
      <c r="A206" s="344">
        <v>5</v>
      </c>
      <c r="B206" s="351" t="s">
        <v>1036</v>
      </c>
      <c r="C206" s="351" t="s">
        <v>900</v>
      </c>
      <c r="D206" s="347">
        <v>0.621</v>
      </c>
      <c r="E206" s="348">
        <v>1798035</v>
      </c>
      <c r="F206" s="349">
        <f t="shared" si="38"/>
        <v>1116579.7350000001</v>
      </c>
      <c r="G206" s="347">
        <v>0.55200000000000005</v>
      </c>
      <c r="H206" s="348">
        <v>1798035</v>
      </c>
      <c r="I206" s="349">
        <f t="shared" si="39"/>
        <v>992515.32000000007</v>
      </c>
      <c r="J206" s="350">
        <f t="shared" si="40"/>
        <v>6.899999999999995E-2</v>
      </c>
      <c r="K206" s="349">
        <f t="shared" si="41"/>
        <v>124064.41500000004</v>
      </c>
      <c r="L206" s="347">
        <f t="shared" si="42"/>
        <v>0</v>
      </c>
      <c r="M206" s="348">
        <f t="shared" si="43"/>
        <v>0</v>
      </c>
      <c r="N206" s="351"/>
    </row>
    <row r="207" spans="1:14" s="352" customFormat="1" ht="32.25" customHeight="1">
      <c r="A207" s="344">
        <v>6</v>
      </c>
      <c r="B207" s="351" t="s">
        <v>1037</v>
      </c>
      <c r="C207" s="351" t="s">
        <v>900</v>
      </c>
      <c r="D207" s="347">
        <v>0.29970000000000002</v>
      </c>
      <c r="E207" s="348">
        <v>2267107</v>
      </c>
      <c r="F207" s="349">
        <f t="shared" si="38"/>
        <v>679451.96790000005</v>
      </c>
      <c r="G207" s="347">
        <v>0.36959999999999998</v>
      </c>
      <c r="H207" s="348">
        <v>2267107</v>
      </c>
      <c r="I207" s="349">
        <f t="shared" si="39"/>
        <v>837922.74719999998</v>
      </c>
      <c r="J207" s="350">
        <f t="shared" si="40"/>
        <v>0</v>
      </c>
      <c r="K207" s="349">
        <f t="shared" si="41"/>
        <v>0</v>
      </c>
      <c r="L207" s="347">
        <f t="shared" si="42"/>
        <v>6.9899999999999962E-2</v>
      </c>
      <c r="M207" s="348">
        <f t="shared" si="43"/>
        <v>158470.77929999994</v>
      </c>
      <c r="N207" s="351"/>
    </row>
    <row r="208" spans="1:14" s="352" customFormat="1" ht="32.25" customHeight="1">
      <c r="A208" s="344">
        <v>7</v>
      </c>
      <c r="B208" s="351" t="s">
        <v>1038</v>
      </c>
      <c r="C208" s="351" t="s">
        <v>919</v>
      </c>
      <c r="D208" s="347">
        <v>2.4500000000000001E-2</v>
      </c>
      <c r="E208" s="348">
        <v>24470797</v>
      </c>
      <c r="F208" s="349">
        <f t="shared" si="38"/>
        <v>599534.52650000004</v>
      </c>
      <c r="G208" s="347">
        <v>5.4899999999999997E-2</v>
      </c>
      <c r="H208" s="348">
        <v>24470797</v>
      </c>
      <c r="I208" s="349">
        <f t="shared" si="39"/>
        <v>1343446.7552999998</v>
      </c>
      <c r="J208" s="350">
        <f t="shared" si="40"/>
        <v>0</v>
      </c>
      <c r="K208" s="349">
        <f t="shared" si="41"/>
        <v>0</v>
      </c>
      <c r="L208" s="347">
        <f t="shared" si="42"/>
        <v>3.0399999999999996E-2</v>
      </c>
      <c r="M208" s="348">
        <f t="shared" si="43"/>
        <v>743912.22879999981</v>
      </c>
      <c r="N208" s="351"/>
    </row>
    <row r="209" spans="1:14" s="352" customFormat="1" ht="32.25" customHeight="1">
      <c r="A209" s="344">
        <v>8</v>
      </c>
      <c r="B209" s="351" t="s">
        <v>1039</v>
      </c>
      <c r="C209" s="351" t="s">
        <v>994</v>
      </c>
      <c r="D209" s="347">
        <v>4</v>
      </c>
      <c r="E209" s="348">
        <v>69401</v>
      </c>
      <c r="F209" s="349">
        <f t="shared" si="38"/>
        <v>277604</v>
      </c>
      <c r="G209" s="347">
        <v>3</v>
      </c>
      <c r="H209" s="348">
        <v>69401</v>
      </c>
      <c r="I209" s="349">
        <f t="shared" si="39"/>
        <v>208203</v>
      </c>
      <c r="J209" s="350">
        <f t="shared" si="40"/>
        <v>1</v>
      </c>
      <c r="K209" s="349">
        <f t="shared" si="41"/>
        <v>69401</v>
      </c>
      <c r="L209" s="347">
        <f t="shared" si="42"/>
        <v>0</v>
      </c>
      <c r="M209" s="348">
        <f t="shared" si="43"/>
        <v>0</v>
      </c>
      <c r="N209" s="351"/>
    </row>
    <row r="210" spans="1:14" s="352" customFormat="1" ht="32.25" customHeight="1">
      <c r="A210" s="344">
        <v>9</v>
      </c>
      <c r="B210" s="351" t="s">
        <v>926</v>
      </c>
      <c r="C210" s="351" t="s">
        <v>900</v>
      </c>
      <c r="D210" s="347">
        <v>2.38</v>
      </c>
      <c r="E210" s="348">
        <v>2604470</v>
      </c>
      <c r="F210" s="349">
        <f t="shared" si="38"/>
        <v>6198638.5999999996</v>
      </c>
      <c r="G210" s="347">
        <v>3.2759999999999998</v>
      </c>
      <c r="H210" s="348">
        <v>2604470</v>
      </c>
      <c r="I210" s="349">
        <f t="shared" si="39"/>
        <v>8532243.7199999988</v>
      </c>
      <c r="J210" s="350">
        <f t="shared" si="40"/>
        <v>0</v>
      </c>
      <c r="K210" s="349">
        <f t="shared" si="41"/>
        <v>0</v>
      </c>
      <c r="L210" s="347">
        <f t="shared" si="42"/>
        <v>0.89599999999999991</v>
      </c>
      <c r="M210" s="348">
        <f t="shared" si="43"/>
        <v>2333605.1199999992</v>
      </c>
      <c r="N210" s="351"/>
    </row>
    <row r="211" spans="1:14" s="352" customFormat="1" ht="32.25" customHeight="1">
      <c r="A211" s="344">
        <v>10</v>
      </c>
      <c r="B211" s="351" t="s">
        <v>929</v>
      </c>
      <c r="C211" s="351" t="s">
        <v>930</v>
      </c>
      <c r="D211" s="347">
        <v>18.100000000000001</v>
      </c>
      <c r="E211" s="348">
        <v>81524</v>
      </c>
      <c r="F211" s="349">
        <f t="shared" si="38"/>
        <v>1475584.4000000001</v>
      </c>
      <c r="G211" s="347">
        <v>17.472000000000001</v>
      </c>
      <c r="H211" s="348">
        <v>81524</v>
      </c>
      <c r="I211" s="349">
        <f t="shared" si="39"/>
        <v>1424387.3280000002</v>
      </c>
      <c r="J211" s="350">
        <f t="shared" si="40"/>
        <v>0.62800000000000011</v>
      </c>
      <c r="K211" s="349">
        <f t="shared" si="41"/>
        <v>51197.071999999927</v>
      </c>
      <c r="L211" s="347">
        <f t="shared" si="42"/>
        <v>0</v>
      </c>
      <c r="M211" s="348">
        <f t="shared" si="43"/>
        <v>0</v>
      </c>
      <c r="N211" s="351"/>
    </row>
    <row r="212" spans="1:14" s="352" customFormat="1" ht="32.25" customHeight="1">
      <c r="A212" s="344">
        <v>11</v>
      </c>
      <c r="B212" s="351" t="s">
        <v>1040</v>
      </c>
      <c r="C212" s="351" t="s">
        <v>930</v>
      </c>
      <c r="D212" s="347">
        <v>14.09</v>
      </c>
      <c r="E212" s="348">
        <v>61795</v>
      </c>
      <c r="F212" s="349">
        <f t="shared" si="38"/>
        <v>870691.55</v>
      </c>
      <c r="G212" s="347">
        <v>2.82</v>
      </c>
      <c r="H212" s="348">
        <v>61793</v>
      </c>
      <c r="I212" s="349">
        <f t="shared" si="39"/>
        <v>174256.25999999998</v>
      </c>
      <c r="J212" s="350">
        <f t="shared" si="40"/>
        <v>11.27</v>
      </c>
      <c r="K212" s="349">
        <f t="shared" si="41"/>
        <v>696435.29</v>
      </c>
      <c r="L212" s="347">
        <f t="shared" si="42"/>
        <v>0</v>
      </c>
      <c r="M212" s="348">
        <f t="shared" si="43"/>
        <v>0</v>
      </c>
      <c r="N212" s="351"/>
    </row>
    <row r="213" spans="1:14" s="352" customFormat="1" ht="32.25" customHeight="1">
      <c r="A213" s="344">
        <v>12</v>
      </c>
      <c r="B213" s="366" t="s">
        <v>1041</v>
      </c>
      <c r="C213" s="366" t="s">
        <v>900</v>
      </c>
      <c r="D213" s="359">
        <v>8.0799999999999997E-2</v>
      </c>
      <c r="E213" s="358">
        <v>1535399</v>
      </c>
      <c r="F213" s="358">
        <f t="shared" si="38"/>
        <v>124060.2392</v>
      </c>
      <c r="G213" s="359"/>
      <c r="H213" s="358"/>
      <c r="I213" s="358"/>
      <c r="J213" s="350">
        <f t="shared" si="40"/>
        <v>8.0799999999999997E-2</v>
      </c>
      <c r="K213" s="349">
        <f t="shared" si="41"/>
        <v>124060.2392</v>
      </c>
      <c r="L213" s="347">
        <f t="shared" si="42"/>
        <v>0</v>
      </c>
      <c r="M213" s="348">
        <f t="shared" si="43"/>
        <v>0</v>
      </c>
      <c r="N213" s="351"/>
    </row>
    <row r="214" spans="1:14" s="327" customFormat="1" ht="32.25" customHeight="1">
      <c r="A214" s="537" t="s">
        <v>94</v>
      </c>
      <c r="B214" s="537"/>
      <c r="C214" s="537"/>
      <c r="D214" s="328"/>
      <c r="E214" s="329"/>
      <c r="F214" s="329">
        <f>SUM(F201:F213)</f>
        <v>14326468.051900001</v>
      </c>
      <c r="G214" s="328"/>
      <c r="H214" s="329"/>
      <c r="I214" s="329">
        <f>SUM(I201:I213)</f>
        <v>24830542.046100002</v>
      </c>
      <c r="J214" s="328"/>
      <c r="K214" s="329">
        <f>SUM(K201:K213)</f>
        <v>1065158.0162</v>
      </c>
      <c r="L214" s="328"/>
      <c r="M214" s="329">
        <f>SUM(M201:M213)</f>
        <v>11569232.010399999</v>
      </c>
      <c r="N214" s="360"/>
    </row>
    <row r="215" spans="1:14" s="327" customFormat="1" ht="32.25" customHeight="1">
      <c r="A215" s="541" t="s">
        <v>1042</v>
      </c>
      <c r="B215" s="541"/>
      <c r="C215" s="541"/>
      <c r="D215" s="330"/>
      <c r="E215" s="331"/>
      <c r="F215" s="331"/>
      <c r="G215" s="330"/>
      <c r="H215" s="331"/>
      <c r="I215" s="331">
        <v>32901264</v>
      </c>
      <c r="J215" s="330">
        <f t="shared" ref="J215:J218" si="44">MAX(D215-G215,0)</f>
        <v>0</v>
      </c>
      <c r="K215" s="331">
        <f t="shared" ref="K215:K220" si="45">MAX(F215-I215,0)</f>
        <v>0</v>
      </c>
      <c r="L215" s="330">
        <f t="shared" ref="L215:L218" si="46">MAX(G215-D215,0)</f>
        <v>0</v>
      </c>
      <c r="M215" s="331">
        <f t="shared" ref="M215:M220" si="47">MAX(I215-F215,0)</f>
        <v>32901264</v>
      </c>
      <c r="N215" s="332"/>
    </row>
    <row r="216" spans="1:14" s="327" customFormat="1" ht="32.25" customHeight="1">
      <c r="A216" s="542" t="s">
        <v>1043</v>
      </c>
      <c r="B216" s="542"/>
      <c r="C216" s="542"/>
      <c r="D216" s="367"/>
      <c r="E216" s="368"/>
      <c r="F216" s="368"/>
      <c r="G216" s="367"/>
      <c r="H216" s="368"/>
      <c r="I216" s="368">
        <v>119905555</v>
      </c>
      <c r="J216" s="367">
        <f t="shared" si="44"/>
        <v>0</v>
      </c>
      <c r="K216" s="368">
        <f t="shared" si="45"/>
        <v>0</v>
      </c>
      <c r="L216" s="367">
        <f t="shared" si="46"/>
        <v>0</v>
      </c>
      <c r="M216" s="368">
        <f t="shared" si="47"/>
        <v>119905555</v>
      </c>
      <c r="N216" s="369"/>
    </row>
    <row r="217" spans="1:14" s="327" customFormat="1" ht="32.25" customHeight="1">
      <c r="A217" s="542" t="s">
        <v>1044</v>
      </c>
      <c r="B217" s="542"/>
      <c r="C217" s="542"/>
      <c r="D217" s="367"/>
      <c r="E217" s="368"/>
      <c r="F217" s="368"/>
      <c r="G217" s="367"/>
      <c r="H217" s="368"/>
      <c r="I217" s="368">
        <v>886969404</v>
      </c>
      <c r="J217" s="367">
        <f t="shared" si="44"/>
        <v>0</v>
      </c>
      <c r="K217" s="368">
        <f t="shared" si="45"/>
        <v>0</v>
      </c>
      <c r="L217" s="367">
        <f t="shared" si="46"/>
        <v>0</v>
      </c>
      <c r="M217" s="368">
        <f t="shared" si="47"/>
        <v>886969404</v>
      </c>
      <c r="N217" s="369"/>
    </row>
    <row r="218" spans="1:14" s="327" customFormat="1" ht="32.25" customHeight="1">
      <c r="A218" s="542" t="s">
        <v>1045</v>
      </c>
      <c r="B218" s="542"/>
      <c r="C218" s="542"/>
      <c r="D218" s="367"/>
      <c r="E218" s="368"/>
      <c r="F218" s="368"/>
      <c r="G218" s="367"/>
      <c r="H218" s="368"/>
      <c r="I218" s="368">
        <v>286230000</v>
      </c>
      <c r="J218" s="367">
        <f t="shared" si="44"/>
        <v>0</v>
      </c>
      <c r="K218" s="368">
        <f t="shared" si="45"/>
        <v>0</v>
      </c>
      <c r="L218" s="367">
        <f t="shared" si="46"/>
        <v>0</v>
      </c>
      <c r="M218" s="368">
        <f t="shared" si="47"/>
        <v>286230000</v>
      </c>
      <c r="N218" s="369"/>
    </row>
    <row r="219" spans="1:14" s="327" customFormat="1" ht="32.25" customHeight="1">
      <c r="A219" s="542" t="s">
        <v>1046</v>
      </c>
      <c r="B219" s="542"/>
      <c r="C219" s="542"/>
      <c r="D219" s="367"/>
      <c r="E219" s="368"/>
      <c r="F219" s="368"/>
      <c r="G219" s="367"/>
      <c r="H219" s="368"/>
      <c r="I219" s="368">
        <v>300003882</v>
      </c>
      <c r="J219" s="367"/>
      <c r="K219" s="368">
        <f t="shared" si="45"/>
        <v>0</v>
      </c>
      <c r="L219" s="367"/>
      <c r="M219" s="368">
        <f t="shared" si="47"/>
        <v>300003882</v>
      </c>
      <c r="N219" s="369"/>
    </row>
    <row r="220" spans="1:14" s="327" customFormat="1" ht="32.25" customHeight="1">
      <c r="A220" s="543" t="s">
        <v>1047</v>
      </c>
      <c r="B220" s="543"/>
      <c r="C220" s="543"/>
      <c r="D220" s="370"/>
      <c r="E220" s="371"/>
      <c r="F220" s="371"/>
      <c r="G220" s="370"/>
      <c r="H220" s="371"/>
      <c r="I220" s="371">
        <v>53183258</v>
      </c>
      <c r="J220" s="370"/>
      <c r="K220" s="371">
        <f t="shared" si="45"/>
        <v>0</v>
      </c>
      <c r="L220" s="370"/>
      <c r="M220" s="371">
        <f t="shared" si="47"/>
        <v>53183258</v>
      </c>
      <c r="N220" s="372"/>
    </row>
    <row r="221" spans="1:14" s="327" customFormat="1" ht="32.25" customHeight="1">
      <c r="A221" s="537" t="s">
        <v>94</v>
      </c>
      <c r="B221" s="537"/>
      <c r="C221" s="537"/>
      <c r="D221" s="328"/>
      <c r="E221" s="329"/>
      <c r="F221" s="329">
        <f>SUM(F215:F220)</f>
        <v>0</v>
      </c>
      <c r="G221" s="328"/>
      <c r="H221" s="329"/>
      <c r="I221" s="329">
        <f>SUM(I215:I220)</f>
        <v>1679193363</v>
      </c>
      <c r="J221" s="328"/>
      <c r="K221" s="329">
        <f>SUM(K215:K220)</f>
        <v>0</v>
      </c>
      <c r="L221" s="328"/>
      <c r="M221" s="329">
        <f>SUM(M215:M220)</f>
        <v>1679193363</v>
      </c>
      <c r="N221" s="360"/>
    </row>
    <row r="222" spans="1:14" s="327" customFormat="1" ht="32.25" customHeight="1">
      <c r="A222" s="538" t="s">
        <v>1048</v>
      </c>
      <c r="B222" s="539"/>
      <c r="C222" s="540"/>
      <c r="D222" s="328"/>
      <c r="E222" s="329"/>
      <c r="F222" s="329">
        <f>F31+F72+F112+F152+F180+F200+F214+F221</f>
        <v>8748426395.2454014</v>
      </c>
      <c r="G222" s="329"/>
      <c r="H222" s="329"/>
      <c r="I222" s="329">
        <f>I31+I72+I112+I152+I180+I200+I214+I221</f>
        <v>10172568447.6012</v>
      </c>
      <c r="J222" s="329"/>
      <c r="K222" s="329">
        <f>K31+K72+K112+K152+K180+K200+K214+K221</f>
        <v>1267596478.4047</v>
      </c>
      <c r="L222" s="329"/>
      <c r="M222" s="329">
        <f>M31+M72+M112+M152+M180+M200+M214+M221</f>
        <v>2691738530.7605</v>
      </c>
      <c r="N222" s="360"/>
    </row>
    <row r="224" spans="1:14" ht="32.25" customHeight="1">
      <c r="G224" s="376"/>
    </row>
  </sheetData>
  <mergeCells count="30">
    <mergeCell ref="A73:C73"/>
    <mergeCell ref="A112:C112"/>
    <mergeCell ref="A113:C113"/>
    <mergeCell ref="A72:C72"/>
    <mergeCell ref="A2:A3"/>
    <mergeCell ref="B2:B3"/>
    <mergeCell ref="C2:C3"/>
    <mergeCell ref="A32:C32"/>
    <mergeCell ref="D2:F2"/>
    <mergeCell ref="L2:M2"/>
    <mergeCell ref="N2:N3"/>
    <mergeCell ref="A4:C4"/>
    <mergeCell ref="A31:C31"/>
    <mergeCell ref="G2:I2"/>
    <mergeCell ref="J2:K2"/>
    <mergeCell ref="A152:C152"/>
    <mergeCell ref="A153:C153"/>
    <mergeCell ref="A222:C222"/>
    <mergeCell ref="A181:C181"/>
    <mergeCell ref="A200:C200"/>
    <mergeCell ref="A201:C201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180:C180"/>
  </mergeCells>
  <pageMargins left="0.16" right="0.15" top="0.16" bottom="0.16" header="0.13" footer="0.16"/>
  <pageSetup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17</vt:i4>
      </vt:variant>
    </vt:vector>
  </HeadingPairs>
  <TitlesOfParts>
    <vt:vector size="25" baseType="lpstr">
      <vt:lpstr>CDPS</vt:lpstr>
      <vt:lpstr>TH</vt:lpstr>
      <vt:lpstr>tra vinh</vt:lpstr>
      <vt:lpstr>TH - TT</vt:lpstr>
      <vt:lpstr>331</vt:lpstr>
      <vt:lpstr>331-CT</vt:lpstr>
      <vt:lpstr>HOANG KIM</vt:lpstr>
      <vt:lpstr>KHANH TRÂN</vt:lpstr>
      <vt:lpstr>DSKH</vt:lpstr>
      <vt:lpstr>DSTK</vt:lpstr>
      <vt:lpstr>'HOANG KIM'!DSTT</vt:lpstr>
      <vt:lpstr>DSTT</vt:lpstr>
      <vt:lpstr>'HOANG KIM'!DSTT1</vt:lpstr>
      <vt:lpstr>DSTT1</vt:lpstr>
      <vt:lpstr>KH</vt:lpstr>
      <vt:lpstr>KHC</vt:lpstr>
      <vt:lpstr>KHN</vt:lpstr>
      <vt:lpstr>'TH - TT'!Print_Area</vt:lpstr>
      <vt:lpstr>'HOANG KIM'!Print_Titles</vt:lpstr>
      <vt:lpstr>'KHANH TRÂN'!Print_Titles</vt:lpstr>
      <vt:lpstr>'TH - TT'!Print_Titles</vt:lpstr>
      <vt:lpstr>'tra vinh'!Print_Titles</vt:lpstr>
      <vt:lpstr>TH</vt:lpstr>
      <vt:lpstr>THN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2016-02-22T07:33:16Z</cp:lastPrinted>
  <dcterms:created xsi:type="dcterms:W3CDTF">1996-10-14T23:33:28Z</dcterms:created>
  <dcterms:modified xsi:type="dcterms:W3CDTF">2016-03-24T02:42:22Z</dcterms:modified>
</cp:coreProperties>
</file>