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930" activeTab="2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- 1'!$A$7:$AC$9</definedName>
    <definedName name="_xlnm._FilterDatabase" localSheetId="20" hidden="1">'L - 10'!$A$7:$AC$10</definedName>
    <definedName name="_xlnm._FilterDatabase" localSheetId="22" hidden="1">'L - 11'!$A$7:$AC$10</definedName>
    <definedName name="_xlnm._FilterDatabase" localSheetId="24" hidden="1">'L - 12'!$A$7:$AC$10</definedName>
    <definedName name="_xlnm._FilterDatabase" localSheetId="4" hidden="1">'L - 2'!$A$7:$AC$10</definedName>
    <definedName name="_xlnm._FilterDatabase" localSheetId="6" hidden="1">'L - 3'!$A$7:$AC$10</definedName>
    <definedName name="_xlnm._FilterDatabase" localSheetId="8" hidden="1">'L - 4'!$A$7:$AC$9</definedName>
    <definedName name="_xlnm._FilterDatabase" localSheetId="10" hidden="1">'L - 5'!$A$7:$AC$10</definedName>
    <definedName name="_xlnm._FilterDatabase" localSheetId="12" hidden="1">'L - 6'!$A$7:$AC$10</definedName>
    <definedName name="_xlnm._FilterDatabase" localSheetId="14" hidden="1">'L - 7'!$A$7:$AC$10</definedName>
    <definedName name="_xlnm._FilterDatabase" localSheetId="16" hidden="1">'L - 8'!$A$7:$AC$10</definedName>
    <definedName name="_xlnm._FilterDatabase" localSheetId="18" hidden="1">'L - 9'!$A$7:$AC$10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TH!$B$10:$AJ$20</definedName>
    <definedName name="DS_01">'L - 1'!$B$9:$R$18</definedName>
    <definedName name="DS_02">'L - 2'!$B$9:$R$17</definedName>
    <definedName name="DS_03">'L - 3'!$B$9:$R$19</definedName>
    <definedName name="DS_04">'L - 4'!$B$9:$R$17</definedName>
    <definedName name="DS_05">'L - 5'!$B$9:$R$17</definedName>
    <definedName name="DS_06">'L - 6'!$B$9:$R$17</definedName>
    <definedName name="DS_07">'L - 7'!$B$9:$R$17</definedName>
    <definedName name="DS_08">'L - 8'!$B$9:$R$16</definedName>
    <definedName name="DS_09">'L - 9'!$B$9:$R$16</definedName>
    <definedName name="DS_10">'L - 10'!$B$9:$R$16</definedName>
    <definedName name="DS_11">'L - 11'!$B$9:$R$16</definedName>
    <definedName name="DS_12">'L - 12'!$B$9:$R$16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- 8'!$A$1:$AS$35</definedName>
    <definedName name="_xlnm.Print_Area" localSheetId="1">'CC -1'!$A$1:$AS$39</definedName>
    <definedName name="_xlnm.Print_Area" localSheetId="19">'CC -10'!$A$1:$AS$35</definedName>
    <definedName name="_xlnm.Print_Area" localSheetId="21">'CC -11'!$A$1:$AS$35</definedName>
    <definedName name="_xlnm.Print_Area" localSheetId="23">'CC -12'!$A$1:$AS$35</definedName>
    <definedName name="_xlnm.Print_Area" localSheetId="3">'CC -2'!$A$1:$AQ$37</definedName>
    <definedName name="_xlnm.Print_Area" localSheetId="5">'CC -3'!$A$1:$AS$41</definedName>
    <definedName name="_xlnm.Print_Area" localSheetId="7">'CC -4'!$A$1:$AR$37</definedName>
    <definedName name="_xlnm.Print_Area" localSheetId="9">'CC -5'!$A$1:$AS$37</definedName>
    <definedName name="_xlnm.Print_Area" localSheetId="11">'CC -6'!$A$1:$AS$37</definedName>
    <definedName name="_xlnm.Print_Area" localSheetId="13">'CC -7'!$A$1:$AS$37</definedName>
    <definedName name="_xlnm.Print_Area" localSheetId="17">'CC -9'!$A$1:$AS$35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 iterate="1"/>
</workbook>
</file>

<file path=xl/calcChain.xml><?xml version="1.0" encoding="utf-8"?>
<calcChain xmlns="http://schemas.openxmlformats.org/spreadsheetml/2006/main">
  <c r="Q10" i="46" l="1"/>
  <c r="AG17" i="15"/>
  <c r="AG16" i="15"/>
  <c r="AG14" i="15"/>
  <c r="AG13" i="15"/>
  <c r="AG12" i="15"/>
  <c r="AG10" i="15"/>
  <c r="AE17" i="15"/>
  <c r="AE16" i="15"/>
  <c r="AE14" i="15"/>
  <c r="AE13" i="15"/>
  <c r="AE12" i="15"/>
  <c r="AE10" i="15"/>
  <c r="AC17" i="15"/>
  <c r="AC16" i="15"/>
  <c r="AC14" i="15"/>
  <c r="AC13" i="15"/>
  <c r="AC12" i="15"/>
  <c r="AC10" i="15"/>
  <c r="AA17" i="15"/>
  <c r="AA16" i="15"/>
  <c r="AA14" i="15"/>
  <c r="AA13" i="15"/>
  <c r="AA12" i="15"/>
  <c r="AA10" i="15"/>
  <c r="P12" i="38"/>
  <c r="P13" i="36"/>
  <c r="W17" i="15"/>
  <c r="W16" i="15"/>
  <c r="W13" i="15"/>
  <c r="W12" i="15"/>
  <c r="W10" i="15"/>
  <c r="U18" i="15" l="1"/>
  <c r="P13" i="34"/>
  <c r="P15" i="52" l="1"/>
  <c r="S12" i="15"/>
  <c r="S13" i="15"/>
  <c r="S16" i="15"/>
  <c r="Q12" i="15"/>
  <c r="Q13" i="15"/>
  <c r="Q16" i="15"/>
  <c r="O12" i="15"/>
  <c r="O16" i="15"/>
  <c r="O17" i="15"/>
  <c r="M12" i="15"/>
  <c r="M13" i="15"/>
  <c r="M14" i="15"/>
  <c r="M16" i="15"/>
  <c r="M17" i="15"/>
  <c r="K13" i="15"/>
  <c r="K14" i="15"/>
  <c r="K16" i="15"/>
  <c r="K17" i="15"/>
  <c r="C11" i="16"/>
  <c r="D11" i="16"/>
  <c r="E11" i="16"/>
  <c r="F11" i="16"/>
  <c r="H11" i="16"/>
  <c r="AL11" i="14"/>
  <c r="D11" i="14"/>
  <c r="C11" i="14"/>
  <c r="C11" i="54"/>
  <c r="D11" i="54"/>
  <c r="E11" i="54"/>
  <c r="F11" i="54"/>
  <c r="H11" i="54"/>
  <c r="AL13" i="51"/>
  <c r="D13" i="51"/>
  <c r="C13" i="51"/>
  <c r="C13" i="52"/>
  <c r="D13" i="52"/>
  <c r="E13" i="52"/>
  <c r="AK11" i="53"/>
  <c r="D11" i="53"/>
  <c r="C11" i="53"/>
  <c r="A13" i="15"/>
  <c r="A14" i="15"/>
  <c r="P13" i="54"/>
  <c r="M11" i="16" l="1"/>
  <c r="N11" i="16"/>
  <c r="L11" i="16"/>
  <c r="M11" i="54"/>
  <c r="N11" i="54"/>
  <c r="L11" i="54"/>
  <c r="N13" i="52"/>
  <c r="L13" i="52"/>
  <c r="M13" i="52"/>
  <c r="J11" i="16"/>
  <c r="J11" i="54"/>
  <c r="C9" i="14"/>
  <c r="C14" i="14"/>
  <c r="AL14" i="14" l="1"/>
  <c r="D14" i="14"/>
  <c r="E15" i="54"/>
  <c r="D15" i="54"/>
  <c r="C15" i="54"/>
  <c r="AK14" i="53"/>
  <c r="D14" i="53"/>
  <c r="C14" i="53"/>
  <c r="E17" i="52"/>
  <c r="D17" i="52"/>
  <c r="C17" i="52"/>
  <c r="AL18" i="51"/>
  <c r="D18" i="51"/>
  <c r="C18" i="51"/>
  <c r="H18" i="15"/>
  <c r="Y14" i="15"/>
  <c r="A15" i="15"/>
  <c r="E14" i="46"/>
  <c r="E10" i="46"/>
  <c r="E14" i="44"/>
  <c r="E10" i="44"/>
  <c r="E14" i="42"/>
  <c r="E10" i="42"/>
  <c r="E14" i="40"/>
  <c r="E10" i="40"/>
  <c r="E14" i="38"/>
  <c r="E10" i="38"/>
  <c r="E12" i="38" s="1"/>
  <c r="E15" i="36"/>
  <c r="E17" i="36" s="1"/>
  <c r="E11" i="36"/>
  <c r="E10" i="36"/>
  <c r="E15" i="34"/>
  <c r="E11" i="34"/>
  <c r="E10" i="34"/>
  <c r="E15" i="16"/>
  <c r="E10" i="16"/>
  <c r="N10" i="16" s="1"/>
  <c r="E10" i="54"/>
  <c r="E12" i="52"/>
  <c r="E11" i="52"/>
  <c r="E10" i="52"/>
  <c r="N10" i="52" s="1"/>
  <c r="E15" i="50"/>
  <c r="E11" i="50"/>
  <c r="E10" i="50"/>
  <c r="N10" i="50" s="1"/>
  <c r="E16" i="48"/>
  <c r="E12" i="48"/>
  <c r="N12" i="48" s="1"/>
  <c r="E11" i="48"/>
  <c r="N11" i="48" s="1"/>
  <c r="E10" i="48"/>
  <c r="N10" i="48" s="1"/>
  <c r="E13" i="36" l="1"/>
  <c r="N10" i="34"/>
  <c r="E13" i="34"/>
  <c r="M15" i="34"/>
  <c r="L15" i="34"/>
  <c r="N15" i="34"/>
  <c r="M11" i="34"/>
  <c r="N11" i="34"/>
  <c r="L11" i="34"/>
  <c r="L10" i="34"/>
  <c r="M10" i="34"/>
  <c r="M13" i="34" s="1"/>
  <c r="M15" i="16"/>
  <c r="L15" i="16"/>
  <c r="N15" i="16"/>
  <c r="L10" i="16"/>
  <c r="M10" i="16"/>
  <c r="M15" i="54"/>
  <c r="L15" i="54"/>
  <c r="N15" i="54"/>
  <c r="M10" i="54"/>
  <c r="N10" i="54"/>
  <c r="E13" i="54"/>
  <c r="L10" i="54"/>
  <c r="N17" i="52"/>
  <c r="L17" i="52"/>
  <c r="M17" i="52"/>
  <c r="M11" i="52"/>
  <c r="N11" i="52"/>
  <c r="L11" i="52"/>
  <c r="L12" i="52"/>
  <c r="N12" i="52"/>
  <c r="M12" i="52"/>
  <c r="L10" i="52"/>
  <c r="M10" i="52"/>
  <c r="M15" i="50"/>
  <c r="L15" i="50"/>
  <c r="N15" i="50"/>
  <c r="M11" i="50"/>
  <c r="N11" i="50"/>
  <c r="L11" i="50"/>
  <c r="L10" i="50"/>
  <c r="M10" i="50"/>
  <c r="N16" i="48"/>
  <c r="L16" i="48"/>
  <c r="M16" i="48"/>
  <c r="L11" i="48"/>
  <c r="M11" i="48"/>
  <c r="L12" i="48"/>
  <c r="M12" i="48"/>
  <c r="L10" i="48"/>
  <c r="M10" i="48"/>
  <c r="E15" i="52"/>
  <c r="S18" i="15"/>
  <c r="Q18" i="15"/>
  <c r="L13" i="34" l="1"/>
  <c r="N13" i="34"/>
  <c r="Y17" i="15"/>
  <c r="U17" i="15"/>
  <c r="S17" i="15"/>
  <c r="Q17" i="15"/>
  <c r="Y16" i="15"/>
  <c r="U16" i="15"/>
  <c r="C11" i="36"/>
  <c r="D11" i="36"/>
  <c r="N11" i="36"/>
  <c r="AL11" i="35"/>
  <c r="D11" i="35"/>
  <c r="C11" i="35"/>
  <c r="C11" i="34"/>
  <c r="D11" i="34"/>
  <c r="AL11" i="33"/>
  <c r="D11" i="33"/>
  <c r="C11" i="33"/>
  <c r="C10" i="54"/>
  <c r="D10" i="54"/>
  <c r="L13" i="54"/>
  <c r="M13" i="54"/>
  <c r="N13" i="54"/>
  <c r="AK9" i="53"/>
  <c r="D9" i="53"/>
  <c r="C9" i="53"/>
  <c r="D11" i="52"/>
  <c r="C11" i="52"/>
  <c r="AL11" i="51"/>
  <c r="D11" i="51"/>
  <c r="C11" i="51"/>
  <c r="D11" i="50"/>
  <c r="C11" i="50"/>
  <c r="AJ11" i="49"/>
  <c r="D11" i="49"/>
  <c r="C11" i="49"/>
  <c r="AL11" i="47"/>
  <c r="D11" i="47"/>
  <c r="C11" i="47"/>
  <c r="C12" i="48"/>
  <c r="D12" i="48"/>
  <c r="M11" i="36" l="1"/>
  <c r="L11" i="36"/>
  <c r="A11" i="15" l="1"/>
  <c r="A12" i="15"/>
  <c r="A10" i="15"/>
  <c r="AF19" i="15" a="1"/>
  <c r="AF19" i="15" s="1"/>
  <c r="AD19" i="15" a="1"/>
  <c r="AD19" i="15" s="1"/>
  <c r="AB19" i="15" a="1"/>
  <c r="AB19" i="15" s="1"/>
  <c r="Z19" i="15" a="1"/>
  <c r="Z19" i="15" s="1"/>
  <c r="X19" i="15" a="1"/>
  <c r="X19" i="15" s="1"/>
  <c r="V19" i="15" a="1"/>
  <c r="V19" i="15" s="1"/>
  <c r="T19" i="15" a="1"/>
  <c r="T19" i="15" s="1"/>
  <c r="R19" i="15" a="1"/>
  <c r="R19" i="15" s="1"/>
  <c r="P19" i="15" a="1"/>
  <c r="P19" i="15" s="1"/>
  <c r="N19" i="15" a="1"/>
  <c r="N19" i="15" s="1"/>
  <c r="L19" i="15" a="1"/>
  <c r="L19" i="15" s="1"/>
  <c r="K18" i="15"/>
  <c r="AG18" i="15"/>
  <c r="M18" i="15"/>
  <c r="O18" i="15"/>
  <c r="W18" i="15"/>
  <c r="Y18" i="15"/>
  <c r="AA18" i="15"/>
  <c r="AC18" i="15"/>
  <c r="AE18" i="15"/>
  <c r="N15" i="52" l="1"/>
  <c r="M15" i="52"/>
  <c r="L15" i="52"/>
  <c r="AH18" i="15"/>
  <c r="AH17" i="15"/>
  <c r="AH16" i="15"/>
  <c r="C12" i="52" l="1"/>
  <c r="D12" i="52"/>
  <c r="AL15" i="51"/>
  <c r="D15" i="51"/>
  <c r="C15" i="51"/>
  <c r="D16" i="48"/>
  <c r="C16" i="48"/>
  <c r="AL13" i="47"/>
  <c r="D13" i="47"/>
  <c r="C13" i="47"/>
  <c r="C11" i="48"/>
  <c r="D11" i="48"/>
  <c r="A16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4" i="35"/>
  <c r="D14" i="35"/>
  <c r="C14" i="35"/>
  <c r="AL14" i="33"/>
  <c r="D14" i="33"/>
  <c r="C14" i="33"/>
  <c r="M17" i="54"/>
  <c r="E4" i="54"/>
  <c r="Q19" i="54" s="1"/>
  <c r="F5" i="53"/>
  <c r="F6" i="53" s="1"/>
  <c r="S1" i="53"/>
  <c r="P19" i="52"/>
  <c r="N19" i="52"/>
  <c r="E19" i="52"/>
  <c r="D10" i="52"/>
  <c r="C10" i="52"/>
  <c r="E4" i="52"/>
  <c r="Q21" i="52" s="1"/>
  <c r="AL9" i="51"/>
  <c r="D9" i="51"/>
  <c r="C9" i="51"/>
  <c r="F5" i="51"/>
  <c r="F6" i="51" s="1"/>
  <c r="S1" i="51"/>
  <c r="D15" i="50"/>
  <c r="C15" i="50"/>
  <c r="D10" i="50"/>
  <c r="C10" i="50"/>
  <c r="E4" i="50"/>
  <c r="Q19" i="50" s="1"/>
  <c r="AJ14" i="49"/>
  <c r="D14" i="49"/>
  <c r="C14" i="49"/>
  <c r="AJ9" i="49"/>
  <c r="D9" i="49"/>
  <c r="C9" i="49"/>
  <c r="F5" i="49"/>
  <c r="F6" i="49" s="1"/>
  <c r="S1" i="49"/>
  <c r="N14" i="48"/>
  <c r="M14" i="48"/>
  <c r="E14" i="48"/>
  <c r="D10" i="48"/>
  <c r="C10" i="48"/>
  <c r="E4" i="48"/>
  <c r="Q20" i="48" s="1"/>
  <c r="AL16" i="47"/>
  <c r="D16" i="47"/>
  <c r="C16" i="47"/>
  <c r="AL9" i="47"/>
  <c r="D9" i="47"/>
  <c r="C9" i="47"/>
  <c r="F5" i="47"/>
  <c r="F6" i="47" s="1"/>
  <c r="S1" i="47"/>
  <c r="L14" i="48" l="1"/>
  <c r="E18" i="48"/>
  <c r="E17" i="50"/>
  <c r="P17" i="50"/>
  <c r="E17" i="54"/>
  <c r="P17" i="54"/>
  <c r="L17" i="54"/>
  <c r="D1" i="50"/>
  <c r="L13" i="50"/>
  <c r="N17" i="54"/>
  <c r="D1" i="52"/>
  <c r="D1" i="48"/>
  <c r="D1" i="54"/>
  <c r="L19" i="52"/>
  <c r="G5" i="53"/>
  <c r="N17" i="50"/>
  <c r="M19" i="52"/>
  <c r="M13" i="50"/>
  <c r="L17" i="50"/>
  <c r="G5" i="51"/>
  <c r="N18" i="48"/>
  <c r="N13" i="50"/>
  <c r="M17" i="50"/>
  <c r="L18" i="48"/>
  <c r="G5" i="49"/>
  <c r="E13" i="50"/>
  <c r="M18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D14" i="46"/>
  <c r="C14" i="46"/>
  <c r="D10" i="46"/>
  <c r="C10" i="46"/>
  <c r="E4" i="46"/>
  <c r="Q18" i="46" s="1"/>
  <c r="AL9" i="45"/>
  <c r="D9" i="45"/>
  <c r="C9" i="45"/>
  <c r="F5" i="45"/>
  <c r="G5" i="45" s="1"/>
  <c r="S1" i="45"/>
  <c r="D14" i="44"/>
  <c r="C14" i="44"/>
  <c r="D10" i="44"/>
  <c r="C10" i="44"/>
  <c r="E4" i="44"/>
  <c r="Q18" i="44" s="1"/>
  <c r="AL9" i="43"/>
  <c r="D9" i="43"/>
  <c r="C9" i="43"/>
  <c r="F5" i="43"/>
  <c r="G5" i="43" s="1"/>
  <c r="S1" i="43"/>
  <c r="D14" i="42"/>
  <c r="C14" i="42"/>
  <c r="D10" i="42"/>
  <c r="C10" i="42"/>
  <c r="E4" i="42"/>
  <c r="Q18" i="42" s="1"/>
  <c r="AL9" i="41"/>
  <c r="D9" i="41"/>
  <c r="C9" i="41"/>
  <c r="F5" i="41"/>
  <c r="G5" i="41" s="1"/>
  <c r="S1" i="41"/>
  <c r="N10" i="46" l="1"/>
  <c r="N12" i="46" s="1"/>
  <c r="L10" i="46"/>
  <c r="L12" i="46" s="1"/>
  <c r="M10" i="46"/>
  <c r="M12" i="46" s="1"/>
  <c r="N14" i="46"/>
  <c r="N16" i="46" s="1"/>
  <c r="M14" i="46"/>
  <c r="M16" i="46" s="1"/>
  <c r="L14" i="46"/>
  <c r="L16" i="46" s="1"/>
  <c r="M10" i="44"/>
  <c r="M12" i="44" s="1"/>
  <c r="N10" i="44"/>
  <c r="N12" i="44" s="1"/>
  <c r="L10" i="44"/>
  <c r="L12" i="44" s="1"/>
  <c r="L14" i="44"/>
  <c r="L16" i="44" s="1"/>
  <c r="N14" i="44"/>
  <c r="N16" i="44" s="1"/>
  <c r="M14" i="44"/>
  <c r="M16" i="44" s="1"/>
  <c r="N10" i="42"/>
  <c r="N12" i="42" s="1"/>
  <c r="L10" i="42"/>
  <c r="L12" i="42" s="1"/>
  <c r="M10" i="42"/>
  <c r="M12" i="42" s="1"/>
  <c r="N14" i="42"/>
  <c r="N16" i="42" s="1"/>
  <c r="M14" i="42"/>
  <c r="M16" i="42" s="1"/>
  <c r="L14" i="42"/>
  <c r="L16" i="42" s="1"/>
  <c r="E12" i="46"/>
  <c r="J5" i="53"/>
  <c r="I6" i="53"/>
  <c r="J5" i="51"/>
  <c r="I6" i="51"/>
  <c r="E12" i="44"/>
  <c r="J5" i="49"/>
  <c r="I6" i="49"/>
  <c r="I6" i="47"/>
  <c r="J5" i="47"/>
  <c r="F6" i="43"/>
  <c r="E16" i="42"/>
  <c r="P16" i="42"/>
  <c r="E16" i="44"/>
  <c r="P16" i="44"/>
  <c r="F6" i="45"/>
  <c r="F6" i="41"/>
  <c r="E16" i="46"/>
  <c r="D1" i="42"/>
  <c r="D1" i="44"/>
  <c r="P16" i="46"/>
  <c r="D1" i="46"/>
  <c r="G6" i="45"/>
  <c r="H5" i="45"/>
  <c r="G6" i="43"/>
  <c r="H5" i="43"/>
  <c r="G6" i="41"/>
  <c r="H5" i="41"/>
  <c r="E12" i="42"/>
  <c r="D14" i="40"/>
  <c r="C14" i="40"/>
  <c r="D10" i="40"/>
  <c r="C10" i="40"/>
  <c r="E4" i="40"/>
  <c r="Q18" i="40" s="1"/>
  <c r="AL9" i="39"/>
  <c r="D9" i="39"/>
  <c r="C9" i="39"/>
  <c r="F5" i="39"/>
  <c r="G5" i="39" s="1"/>
  <c r="S1" i="39"/>
  <c r="D14" i="38"/>
  <c r="C14" i="38"/>
  <c r="D10" i="38"/>
  <c r="C10" i="38"/>
  <c r="E4" i="38"/>
  <c r="Q18" i="38" s="1"/>
  <c r="AL9" i="37"/>
  <c r="D9" i="37"/>
  <c r="C9" i="37"/>
  <c r="F5" i="37"/>
  <c r="F6" i="37" s="1"/>
  <c r="S1" i="37"/>
  <c r="D15" i="36"/>
  <c r="C15" i="36"/>
  <c r="D10" i="36"/>
  <c r="C10" i="36"/>
  <c r="E4" i="36"/>
  <c r="Q19" i="36" s="1"/>
  <c r="AL9" i="35"/>
  <c r="D9" i="35"/>
  <c r="C9" i="35"/>
  <c r="F5" i="35"/>
  <c r="F6" i="35" s="1"/>
  <c r="S1" i="35"/>
  <c r="M10" i="40" l="1"/>
  <c r="M12" i="40" s="1"/>
  <c r="N10" i="40"/>
  <c r="N12" i="40" s="1"/>
  <c r="L10" i="40"/>
  <c r="L12" i="40" s="1"/>
  <c r="L14" i="40"/>
  <c r="L16" i="40" s="1"/>
  <c r="N14" i="40"/>
  <c r="N16" i="40" s="1"/>
  <c r="M14" i="40"/>
  <c r="M16" i="40" s="1"/>
  <c r="L10" i="38"/>
  <c r="L12" i="38" s="1"/>
  <c r="M10" i="38"/>
  <c r="M12" i="38" s="1"/>
  <c r="N10" i="38"/>
  <c r="N12" i="38" s="1"/>
  <c r="M14" i="38"/>
  <c r="M16" i="38" s="1"/>
  <c r="L14" i="38"/>
  <c r="L16" i="38" s="1"/>
  <c r="N14" i="38"/>
  <c r="N16" i="38" s="1"/>
  <c r="L10" i="36"/>
  <c r="L13" i="36" s="1"/>
  <c r="M10" i="36"/>
  <c r="M13" i="36" s="1"/>
  <c r="N10" i="36"/>
  <c r="N13" i="36" s="1"/>
  <c r="M15" i="36"/>
  <c r="M17" i="36" s="1"/>
  <c r="L15" i="36"/>
  <c r="L17" i="36" s="1"/>
  <c r="N15" i="36"/>
  <c r="N17" i="36" s="1"/>
  <c r="D1" i="36"/>
  <c r="J6" i="53"/>
  <c r="K5" i="53"/>
  <c r="J6" i="51"/>
  <c r="K5" i="51"/>
  <c r="J6" i="49"/>
  <c r="K5" i="49"/>
  <c r="J6" i="47"/>
  <c r="K5" i="47"/>
  <c r="D1" i="38"/>
  <c r="I5" i="45"/>
  <c r="H6" i="45"/>
  <c r="I5" i="43"/>
  <c r="H6" i="43"/>
  <c r="E16" i="40"/>
  <c r="P16" i="40"/>
  <c r="I5" i="41"/>
  <c r="H6" i="41"/>
  <c r="E16" i="38"/>
  <c r="P16" i="38"/>
  <c r="F6" i="39"/>
  <c r="D1" i="40"/>
  <c r="G6" i="39"/>
  <c r="H5" i="39"/>
  <c r="E12" i="40"/>
  <c r="P17" i="36"/>
  <c r="G5" i="37"/>
  <c r="G5" i="35"/>
  <c r="C15" i="16"/>
  <c r="D15" i="16"/>
  <c r="C10" i="16"/>
  <c r="D10" i="16"/>
  <c r="N17" i="16" l="1"/>
  <c r="M17" i="16"/>
  <c r="L17" i="16"/>
  <c r="L13" i="16"/>
  <c r="M13" i="16"/>
  <c r="N13" i="16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E17" i="16"/>
  <c r="P17" i="16"/>
  <c r="G6" i="35"/>
  <c r="H5" i="35"/>
  <c r="A17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D15" i="34"/>
  <c r="C15" i="34"/>
  <c r="D10" i="34"/>
  <c r="C10" i="34"/>
  <c r="E4" i="34"/>
  <c r="Q19" i="34" s="1"/>
  <c r="AL9" i="33"/>
  <c r="D9" i="33"/>
  <c r="C9" i="33"/>
  <c r="F5" i="33"/>
  <c r="G5" i="33" s="1"/>
  <c r="S1" i="33"/>
  <c r="L17" i="34" l="1"/>
  <c r="N17" i="34"/>
  <c r="M17" i="34"/>
  <c r="N5" i="53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7" i="34"/>
  <c r="P17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I18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19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9" i="15" a="1"/>
  <c r="J19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K11" i="49" l="1"/>
  <c r="H11" i="50" s="1"/>
  <c r="AI11" i="49"/>
  <c r="F11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3" i="51" l="1"/>
  <c r="AK13" i="51"/>
  <c r="AN13" i="51" s="1"/>
  <c r="AL11" i="53"/>
  <c r="AJ11" i="53"/>
  <c r="AJ14" i="53"/>
  <c r="AL14" i="53"/>
  <c r="H15" i="54" s="1"/>
  <c r="AK18" i="51"/>
  <c r="AM18" i="51"/>
  <c r="H17" i="52" s="1"/>
  <c r="J11" i="50"/>
  <c r="AK11" i="47"/>
  <c r="AN11" i="47" s="1"/>
  <c r="AM11" i="47"/>
  <c r="AJ9" i="53"/>
  <c r="F10" i="54" s="1"/>
  <c r="AL9" i="53"/>
  <c r="H10" i="54" s="1"/>
  <c r="AM11" i="51"/>
  <c r="H11" i="52" s="1"/>
  <c r="AK11" i="51"/>
  <c r="F11" i="52" s="1"/>
  <c r="AL11" i="49"/>
  <c r="AM15" i="51"/>
  <c r="AK15" i="51"/>
  <c r="F13" i="52" s="1"/>
  <c r="AK13" i="47"/>
  <c r="F12" i="48" s="1"/>
  <c r="AM13" i="47"/>
  <c r="H12" i="48" s="1"/>
  <c r="AM9" i="51"/>
  <c r="H10" i="52" s="1"/>
  <c r="AK9" i="51"/>
  <c r="AK9" i="49"/>
  <c r="AI9" i="49"/>
  <c r="AI14" i="49"/>
  <c r="F15" i="50" s="1"/>
  <c r="AK14" i="49"/>
  <c r="H15" i="50" s="1"/>
  <c r="AK9" i="47"/>
  <c r="F10" i="48" s="1"/>
  <c r="AM16" i="47"/>
  <c r="H16" i="48" s="1"/>
  <c r="AM9" i="47"/>
  <c r="AK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8" i="51" l="1"/>
  <c r="F17" i="52"/>
  <c r="J17" i="52" s="1"/>
  <c r="H12" i="52"/>
  <c r="H13" i="52"/>
  <c r="J13" i="52" s="1"/>
  <c r="AM11" i="53"/>
  <c r="J10" i="54"/>
  <c r="AM14" i="53"/>
  <c r="F15" i="54"/>
  <c r="J15" i="54" s="1"/>
  <c r="J11" i="52"/>
  <c r="AN11" i="51"/>
  <c r="F11" i="48"/>
  <c r="J12" i="48"/>
  <c r="AM9" i="53"/>
  <c r="F12" i="52"/>
  <c r="AN15" i="51"/>
  <c r="AN13" i="47"/>
  <c r="F16" i="48"/>
  <c r="H11" i="48"/>
  <c r="H10" i="50"/>
  <c r="F10" i="50"/>
  <c r="H10" i="48"/>
  <c r="AN9" i="51"/>
  <c r="F10" i="52"/>
  <c r="AL14" i="49"/>
  <c r="AL9" i="49"/>
  <c r="AN16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J11" i="48" l="1"/>
  <c r="J12" i="52"/>
  <c r="J16" i="48"/>
  <c r="AM12" i="45"/>
  <c r="AK12" i="45"/>
  <c r="AM12" i="43"/>
  <c r="AK12" i="43"/>
  <c r="AK12" i="41"/>
  <c r="AM12" i="41"/>
  <c r="S2" i="54"/>
  <c r="S2" i="50"/>
  <c r="S2" i="48"/>
  <c r="S2" i="52"/>
  <c r="J10" i="52"/>
  <c r="J10" i="50"/>
  <c r="J15" i="50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G11" i="54" l="1"/>
  <c r="I11" i="54"/>
  <c r="G13" i="52"/>
  <c r="I13" i="52"/>
  <c r="G15" i="54"/>
  <c r="I15" i="54"/>
  <c r="G17" i="52"/>
  <c r="I17" i="52"/>
  <c r="I10" i="54"/>
  <c r="G10" i="54"/>
  <c r="G11" i="52"/>
  <c r="I11" i="52"/>
  <c r="G11" i="50"/>
  <c r="I11" i="50"/>
  <c r="I12" i="48"/>
  <c r="G12" i="48"/>
  <c r="AN12" i="45"/>
  <c r="I12" i="52"/>
  <c r="G12" i="52"/>
  <c r="G16" i="48"/>
  <c r="I16" i="48"/>
  <c r="I11" i="48"/>
  <c r="G11" i="48"/>
  <c r="AN12" i="41"/>
  <c r="AN12" i="43"/>
  <c r="AM12" i="39"/>
  <c r="AK12" i="39"/>
  <c r="G15" i="50"/>
  <c r="G10" i="50"/>
  <c r="I10" i="50"/>
  <c r="I15" i="50"/>
  <c r="G10" i="48"/>
  <c r="I10" i="48"/>
  <c r="G10" i="52"/>
  <c r="I10" i="52"/>
  <c r="H14" i="46"/>
  <c r="H14" i="44"/>
  <c r="H14" i="42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I15" i="52" l="1"/>
  <c r="G15" i="52"/>
  <c r="I13" i="54"/>
  <c r="G13" i="54"/>
  <c r="K11" i="54"/>
  <c r="O11" i="54" s="1"/>
  <c r="K13" i="52"/>
  <c r="O13" i="52" s="1"/>
  <c r="K15" i="54"/>
  <c r="O15" i="54" s="1"/>
  <c r="G19" i="52"/>
  <c r="K17" i="52"/>
  <c r="O17" i="52" s="1"/>
  <c r="AK11" i="35"/>
  <c r="F11" i="36" s="1"/>
  <c r="AM11" i="35"/>
  <c r="H11" i="36" s="1"/>
  <c r="K10" i="54"/>
  <c r="O10" i="54" s="1"/>
  <c r="K11" i="52"/>
  <c r="O11" i="52" s="1"/>
  <c r="K11" i="50"/>
  <c r="O11" i="50" s="1"/>
  <c r="K12" i="48"/>
  <c r="O12" i="48" s="1"/>
  <c r="AN12" i="39"/>
  <c r="G14" i="48"/>
  <c r="I14" i="48"/>
  <c r="K16" i="48"/>
  <c r="O16" i="48" s="1"/>
  <c r="K12" i="52"/>
  <c r="O12" i="52" s="1"/>
  <c r="K11" i="48"/>
  <c r="O11" i="48" s="1"/>
  <c r="K10" i="50"/>
  <c r="O10" i="50" s="1"/>
  <c r="K10" i="48"/>
  <c r="O10" i="48" s="1"/>
  <c r="S2" i="44"/>
  <c r="G17" i="50"/>
  <c r="K15" i="50"/>
  <c r="O15" i="50" s="1"/>
  <c r="I17" i="54"/>
  <c r="G17" i="54"/>
  <c r="AM12" i="37"/>
  <c r="AK12" i="37"/>
  <c r="I13" i="50"/>
  <c r="I17" i="50"/>
  <c r="G13" i="50"/>
  <c r="AM14" i="35"/>
  <c r="AK14" i="35"/>
  <c r="K10" i="52"/>
  <c r="O10" i="52" s="1"/>
  <c r="G18" i="48"/>
  <c r="I18" i="48"/>
  <c r="I19" i="52"/>
  <c r="S2" i="46"/>
  <c r="S2" i="42"/>
  <c r="H14" i="40"/>
  <c r="J10" i="46"/>
  <c r="J14" i="46"/>
  <c r="J10" i="44"/>
  <c r="J14" i="44"/>
  <c r="J14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Q15" i="54" l="1"/>
  <c r="Q15" i="15" s="1"/>
  <c r="Q11" i="54"/>
  <c r="Q14" i="15" s="1"/>
  <c r="Q17" i="52"/>
  <c r="O15" i="15" s="1"/>
  <c r="Q13" i="52"/>
  <c r="O14" i="15" s="1"/>
  <c r="K15" i="52"/>
  <c r="K13" i="54"/>
  <c r="J11" i="36"/>
  <c r="Q11" i="50"/>
  <c r="M11" i="15" s="1"/>
  <c r="Q11" i="52"/>
  <c r="O11" i="15" s="1"/>
  <c r="Q12" i="52"/>
  <c r="O13" i="15" s="1"/>
  <c r="Q16" i="48"/>
  <c r="K15" i="15" s="1"/>
  <c r="Q12" i="48"/>
  <c r="K12" i="15" s="1"/>
  <c r="Q11" i="48"/>
  <c r="K11" i="15" s="1"/>
  <c r="AN11" i="35"/>
  <c r="K14" i="48"/>
  <c r="G10" i="44"/>
  <c r="AN12" i="37"/>
  <c r="K13" i="50"/>
  <c r="K17" i="50"/>
  <c r="K17" i="54"/>
  <c r="AN14" i="35"/>
  <c r="G10" i="42"/>
  <c r="K18" i="48"/>
  <c r="I10" i="42"/>
  <c r="G14" i="42"/>
  <c r="I14" i="42"/>
  <c r="K19" i="52"/>
  <c r="I14" i="46"/>
  <c r="G14" i="46"/>
  <c r="G10" i="46"/>
  <c r="I10" i="46"/>
  <c r="I10" i="44"/>
  <c r="I14" i="44"/>
  <c r="G14" i="44"/>
  <c r="S2" i="40"/>
  <c r="H14" i="38"/>
  <c r="H15" i="36"/>
  <c r="J10" i="40"/>
  <c r="J14" i="40"/>
  <c r="F14" i="38"/>
  <c r="AN9" i="37"/>
  <c r="F10" i="38"/>
  <c r="F15" i="36"/>
  <c r="AN9" i="35"/>
  <c r="F10" i="36"/>
  <c r="AI6" i="33"/>
  <c r="AJ5" i="33"/>
  <c r="AJ6" i="33" s="1"/>
  <c r="Y5" i="14"/>
  <c r="X6" i="14"/>
  <c r="O13" i="54" l="1"/>
  <c r="O15" i="52"/>
  <c r="Q10" i="54"/>
  <c r="Q11" i="15" s="1"/>
  <c r="AM11" i="33"/>
  <c r="H11" i="34" s="1"/>
  <c r="AK11" i="33"/>
  <c r="Q10" i="48"/>
  <c r="K10" i="15" s="1"/>
  <c r="K10" i="44"/>
  <c r="O10" i="44" s="1"/>
  <c r="K14" i="46"/>
  <c r="O14" i="46" s="1"/>
  <c r="G12" i="42"/>
  <c r="K10" i="46"/>
  <c r="O10" i="46" s="1"/>
  <c r="K14" i="42"/>
  <c r="O14" i="42" s="1"/>
  <c r="K10" i="42"/>
  <c r="O10" i="42" s="1"/>
  <c r="I12" i="42"/>
  <c r="AK14" i="33"/>
  <c r="AM14" i="33"/>
  <c r="K14" i="44"/>
  <c r="O14" i="44" s="1"/>
  <c r="G12" i="46"/>
  <c r="G16" i="46"/>
  <c r="I16" i="46"/>
  <c r="I12" i="46"/>
  <c r="I16" i="44"/>
  <c r="G16" i="44"/>
  <c r="I12" i="44"/>
  <c r="G12" i="44"/>
  <c r="I16" i="42"/>
  <c r="G16" i="42"/>
  <c r="I10" i="40"/>
  <c r="I14" i="40"/>
  <c r="G14" i="40"/>
  <c r="G10" i="40"/>
  <c r="S2" i="38"/>
  <c r="S2" i="36"/>
  <c r="O17" i="54"/>
  <c r="Q10" i="52"/>
  <c r="O19" i="52"/>
  <c r="O17" i="50"/>
  <c r="Q15" i="50"/>
  <c r="M15" i="15" s="1"/>
  <c r="O13" i="50"/>
  <c r="Q10" i="50"/>
  <c r="M10" i="15" s="1"/>
  <c r="O18" i="48"/>
  <c r="J10" i="38"/>
  <c r="J14" i="38"/>
  <c r="J10" i="36"/>
  <c r="J15" i="36"/>
  <c r="AM9" i="33"/>
  <c r="H10" i="34" s="1"/>
  <c r="AK9" i="33"/>
  <c r="Z5" i="14"/>
  <c r="Y6" i="14"/>
  <c r="O10" i="15" l="1"/>
  <c r="Q15" i="52"/>
  <c r="Q13" i="54"/>
  <c r="AN11" i="33"/>
  <c r="F11" i="34"/>
  <c r="J11" i="34" s="1"/>
  <c r="Q14" i="48"/>
  <c r="I11" i="36"/>
  <c r="G11" i="36"/>
  <c r="Q17" i="54"/>
  <c r="Q19" i="52"/>
  <c r="Q17" i="50"/>
  <c r="Q13" i="50"/>
  <c r="Q18" i="48"/>
  <c r="O14" i="48"/>
  <c r="K12" i="46"/>
  <c r="AN14" i="33"/>
  <c r="Q10" i="15"/>
  <c r="K12" i="42"/>
  <c r="K16" i="46"/>
  <c r="K16" i="44"/>
  <c r="K12" i="44"/>
  <c r="K16" i="42"/>
  <c r="K14" i="40"/>
  <c r="O14" i="40" s="1"/>
  <c r="G12" i="40"/>
  <c r="G16" i="40"/>
  <c r="K10" i="40"/>
  <c r="O10" i="40" s="1"/>
  <c r="I16" i="40"/>
  <c r="I12" i="40"/>
  <c r="G10" i="38"/>
  <c r="G12" i="38" s="1"/>
  <c r="G14" i="38"/>
  <c r="I10" i="38"/>
  <c r="I12" i="38" s="1"/>
  <c r="I14" i="38"/>
  <c r="I10" i="36"/>
  <c r="I15" i="36"/>
  <c r="G15" i="36"/>
  <c r="G10" i="36"/>
  <c r="G13" i="36" s="1"/>
  <c r="H15" i="34"/>
  <c r="F15" i="34"/>
  <c r="F10" i="34"/>
  <c r="AN9" i="33"/>
  <c r="AA5" i="14"/>
  <c r="Z6" i="14"/>
  <c r="I13" i="36" l="1"/>
  <c r="O12" i="46"/>
  <c r="O12" i="44"/>
  <c r="K11" i="36"/>
  <c r="O11" i="36" s="1"/>
  <c r="O20" i="15"/>
  <c r="Q20" i="15"/>
  <c r="M20" i="15"/>
  <c r="K10" i="36"/>
  <c r="K12" i="40"/>
  <c r="K16" i="40"/>
  <c r="K10" i="38"/>
  <c r="K14" i="38"/>
  <c r="O14" i="38" s="1"/>
  <c r="I16" i="38"/>
  <c r="G16" i="38"/>
  <c r="K15" i="36"/>
  <c r="O15" i="36" s="1"/>
  <c r="G17" i="36"/>
  <c r="I17" i="36"/>
  <c r="S2" i="34"/>
  <c r="O16" i="46"/>
  <c r="Q14" i="46"/>
  <c r="Q10" i="44"/>
  <c r="O16" i="44"/>
  <c r="Q14" i="44"/>
  <c r="O12" i="42"/>
  <c r="Q10" i="42"/>
  <c r="O16" i="42"/>
  <c r="Q14" i="42"/>
  <c r="J15" i="34"/>
  <c r="J10" i="34"/>
  <c r="AB5" i="14"/>
  <c r="AA6" i="14"/>
  <c r="O10" i="38" l="1"/>
  <c r="O12" i="38" s="1"/>
  <c r="K12" i="38"/>
  <c r="O10" i="36"/>
  <c r="O13" i="36" s="1"/>
  <c r="K13" i="36"/>
  <c r="Q11" i="36"/>
  <c r="Y12" i="15"/>
  <c r="I11" i="34"/>
  <c r="G11" i="34"/>
  <c r="Q16" i="46"/>
  <c r="Q12" i="46"/>
  <c r="Q16" i="44"/>
  <c r="Q12" i="44"/>
  <c r="Q16" i="42"/>
  <c r="Q12" i="42"/>
  <c r="K20" i="15"/>
  <c r="I10" i="34"/>
  <c r="I15" i="34"/>
  <c r="G10" i="34"/>
  <c r="G15" i="34"/>
  <c r="K16" i="38"/>
  <c r="K17" i="36"/>
  <c r="O12" i="40"/>
  <c r="Q10" i="40"/>
  <c r="O16" i="40"/>
  <c r="Q14" i="40"/>
  <c r="AB6" i="14"/>
  <c r="AC5" i="14"/>
  <c r="I13" i="34" l="1"/>
  <c r="G13" i="34"/>
  <c r="K11" i="34"/>
  <c r="O11" i="34" s="1"/>
  <c r="Q16" i="40"/>
  <c r="Q12" i="40"/>
  <c r="K10" i="34"/>
  <c r="K15" i="34"/>
  <c r="O15" i="34" s="1"/>
  <c r="G17" i="34"/>
  <c r="I17" i="34"/>
  <c r="Q10" i="38"/>
  <c r="O16" i="38"/>
  <c r="Q14" i="38"/>
  <c r="Q10" i="36"/>
  <c r="Q13" i="36" s="1"/>
  <c r="O17" i="36"/>
  <c r="Q15" i="36"/>
  <c r="AC6" i="14"/>
  <c r="AD5" i="14"/>
  <c r="AE11" i="15" l="1"/>
  <c r="AG11" i="15"/>
  <c r="AE15" i="15"/>
  <c r="AG15" i="15"/>
  <c r="AA15" i="15"/>
  <c r="AC15" i="15"/>
  <c r="AA11" i="15"/>
  <c r="AC11" i="15"/>
  <c r="Y10" i="15"/>
  <c r="Q12" i="38"/>
  <c r="Y11" i="15"/>
  <c r="O10" i="34"/>
  <c r="O13" i="34" s="1"/>
  <c r="K13" i="34"/>
  <c r="Y13" i="15"/>
  <c r="Y15" i="15"/>
  <c r="U12" i="15"/>
  <c r="Q11" i="34"/>
  <c r="W14" i="15" s="1"/>
  <c r="Q16" i="38"/>
  <c r="Q17" i="36"/>
  <c r="K17" i="34"/>
  <c r="AD6" i="14"/>
  <c r="AE5" i="14"/>
  <c r="AC20" i="15" l="1"/>
  <c r="AA20" i="15"/>
  <c r="AG20" i="15"/>
  <c r="AE20" i="15"/>
  <c r="Q10" i="34"/>
  <c r="Q13" i="34" s="1"/>
  <c r="U14" i="15"/>
  <c r="Q15" i="34"/>
  <c r="W15" i="15" s="1"/>
  <c r="Y20" i="15"/>
  <c r="O17" i="34"/>
  <c r="U10" i="15"/>
  <c r="AF5" i="14"/>
  <c r="AE6" i="14"/>
  <c r="W11" i="15" l="1"/>
  <c r="W20" i="15" s="1"/>
  <c r="U11" i="15"/>
  <c r="Q17" i="34"/>
  <c r="U15" i="15"/>
  <c r="U13" i="15"/>
  <c r="AF6" i="14"/>
  <c r="AG5" i="14"/>
  <c r="AH5" i="14" l="1"/>
  <c r="AG6" i="14"/>
  <c r="AI5" i="14" l="1"/>
  <c r="AH6" i="14"/>
  <c r="AJ5" i="14" l="1"/>
  <c r="AJ6" i="14" s="1"/>
  <c r="AI6" i="14"/>
  <c r="AM11" i="14" l="1"/>
  <c r="AK11" i="14"/>
  <c r="AM14" i="14"/>
  <c r="AK14" i="14"/>
  <c r="AK9" i="14"/>
  <c r="F10" i="16" s="1"/>
  <c r="AM9" i="14"/>
  <c r="H10" i="16" s="1"/>
  <c r="AN11" i="14" l="1"/>
  <c r="AN14" i="14"/>
  <c r="H15" i="16"/>
  <c r="F15" i="16"/>
  <c r="J10" i="16"/>
  <c r="AN9" i="14"/>
  <c r="J15" i="16" l="1"/>
  <c r="S2" i="16"/>
  <c r="I11" i="16" l="1"/>
  <c r="G11" i="16"/>
  <c r="I10" i="16"/>
  <c r="G10" i="16"/>
  <c r="I15" i="16"/>
  <c r="G15" i="16"/>
  <c r="K11" i="16" l="1"/>
  <c r="O11" i="16" s="1"/>
  <c r="I17" i="16"/>
  <c r="G13" i="16"/>
  <c r="K10" i="16"/>
  <c r="O10" i="16" s="1"/>
  <c r="I13" i="16"/>
  <c r="K15" i="16"/>
  <c r="O15" i="16" s="1"/>
  <c r="G17" i="16"/>
  <c r="Q11" i="16" l="1"/>
  <c r="S14" i="15" s="1"/>
  <c r="AH14" i="15" s="1"/>
  <c r="K13" i="16"/>
  <c r="K17" i="16"/>
  <c r="Q10" i="16" l="1"/>
  <c r="S11" i="15" s="1"/>
  <c r="O13" i="16"/>
  <c r="O17" i="16"/>
  <c r="Q15" i="16"/>
  <c r="S15" i="15" s="1"/>
  <c r="S10" i="15" l="1"/>
  <c r="AH11" i="15"/>
  <c r="AH13" i="15"/>
  <c r="AH15" i="15"/>
  <c r="AH12" i="15"/>
  <c r="U20" i="15"/>
  <c r="Q17" i="16"/>
  <c r="Q13" i="16"/>
  <c r="S20" i="15" l="1"/>
  <c r="AH20" i="15" s="1"/>
  <c r="AH10" i="15"/>
</calcChain>
</file>

<file path=xl/sharedStrings.xml><?xml version="1.0" encoding="utf-8"?>
<sst xmlns="http://schemas.openxmlformats.org/spreadsheetml/2006/main" count="1023" uniqueCount="115">
  <si>
    <t>Ghi chú</t>
  </si>
  <si>
    <t>Họ và Tên</t>
  </si>
  <si>
    <t>Chức Vụ</t>
  </si>
  <si>
    <t>Mã NV</t>
  </si>
  <si>
    <t>Thu nhập theo ngày công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</si>
  <si>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</si>
  <si>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</si>
  <si>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</si>
  <si>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</si>
  <si>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</si>
  <si>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</si>
  <si>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</si>
  <si>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</si>
  <si>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</si>
  <si>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</si>
  <si>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</si>
  <si>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</si>
  <si>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</si>
  <si>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</si>
  <si>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</si>
  <si>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</si>
  <si>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</si>
  <si>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</si>
  <si>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</si>
  <si>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</si>
  <si>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</si>
  <si>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</si>
  <si>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</si>
  <si>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</si>
  <si>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</si>
  <si>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</si>
  <si>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</si>
  <si>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</si>
  <si>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</si>
  <si>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</si>
  <si>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</si>
  <si>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</si>
  <si>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</si>
  <si>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</si>
  <si>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</si>
  <si>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</si>
  <si>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</si>
  <si>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</si>
  <si>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</si>
  <si>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</si>
  <si>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</si>
  <si>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</si>
  <si>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</si>
  <si>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</si>
  <si>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</si>
  <si>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</si>
  <si>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</si>
  <si>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</si>
  <si>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</si>
  <si>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</si>
  <si>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</si>
  <si>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</si>
  <si>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</si>
  <si>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</si>
  <si>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</si>
  <si>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</si>
  <si>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</si>
  <si>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</si>
  <si>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</si>
  <si>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</si>
  <si>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</si>
  <si>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</si>
  <si>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</si>
  <si>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</si>
  <si>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</si>
  <si>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</si>
  <si>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</si>
  <si>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</si>
  <si>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</si>
  <si>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</si>
  <si>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BP: Quản lý :</t>
  </si>
  <si>
    <t>BP: Quản lý &amp; CN Trực Tiếp SX</t>
  </si>
  <si>
    <t>BP: Quản lý:</t>
  </si>
  <si>
    <t>Thông tin cá nhân</t>
  </si>
  <si>
    <t>MST</t>
  </si>
  <si>
    <t>CMND</t>
  </si>
  <si>
    <t>TL</t>
  </si>
  <si>
    <t>BH</t>
  </si>
  <si>
    <t>Tổng TL</t>
  </si>
  <si>
    <t>TQL-BHXH</t>
  </si>
  <si>
    <t>Nguyễn Phước Bảo Việt Hùng</t>
  </si>
  <si>
    <t>Kinh Doanh</t>
  </si>
  <si>
    <t>Mai Thị Hường</t>
  </si>
  <si>
    <t>Kế Toán</t>
  </si>
  <si>
    <t>Đào Quảng Ninh</t>
  </si>
  <si>
    <t>Giao Hàng</t>
  </si>
  <si>
    <t>Thạch Huy Chạch</t>
  </si>
  <si>
    <t>Công nhân</t>
  </si>
  <si>
    <t>QL03</t>
  </si>
  <si>
    <t>x</t>
  </si>
  <si>
    <t>Công Ty TNHH Một Thành Viên Khởi Nguyên An</t>
  </si>
  <si>
    <t>MST:3702076037 (Ngày DKT ban đầu: 24/07/2012)</t>
  </si>
  <si>
    <t>191322620</t>
  </si>
  <si>
    <t>241191354</t>
  </si>
  <si>
    <t>334713260</t>
  </si>
  <si>
    <t>8009869021</t>
  </si>
  <si>
    <t>172088136</t>
  </si>
  <si>
    <t>8049585315</t>
  </si>
  <si>
    <t>8464964697</t>
  </si>
  <si>
    <t>8402679562</t>
  </si>
  <si>
    <t>QL04</t>
  </si>
  <si>
    <t>Nguyễn Thị Thúy Hằng</t>
  </si>
  <si>
    <t>Trưởng Phòng</t>
  </si>
  <si>
    <t>Võ Ngọc Thúy Hằng</t>
  </si>
  <si>
    <t>162188798</t>
  </si>
  <si>
    <t>240614742</t>
  </si>
  <si>
    <t>8087032424</t>
  </si>
  <si>
    <t xml:space="preserve">Địa chỉ: Thửa đất số 144, tờ bản đồ số 12TĐH.1, tổ 1, KP Đông Tá - P.Tân Đông Hiệp - TX Dĩ An - Bình Dương
</t>
  </si>
  <si>
    <t>QL05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</si>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</sst>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5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2" xfId="337" quotePrefix="1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22" fillId="30" borderId="0" xfId="0" applyFont="1" applyFill="1" applyAlignment="1">
      <alignment horizontal="left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30" fillId="26" borderId="12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99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1"/>
  <sheetViews>
    <sheetView topLeftCell="A4" workbookViewId="0">
      <pane xSplit="6" ySplit="6" topLeftCell="U10" activePane="bottomRight" state="frozen"/>
      <selection activeCell="A4" sqref="A4"/>
      <selection pane="topRight" activeCell="G4" sqref="G4"/>
      <selection pane="bottomLeft" activeCell="A10" sqref="A10"/>
      <selection pane="bottomRight" activeCell="AF10" sqref="AF10:AF17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9.7109375" customWidth="1"/>
    <col min="7" max="7" width="10.5703125" customWidth="1"/>
    <col min="8" max="9" width="10.8554687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18" t="s">
        <v>95</v>
      </c>
      <c r="E1" s="25"/>
      <c r="F1" s="25"/>
      <c r="H1" s="41"/>
      <c r="I1" s="25"/>
      <c r="AI1" s="41"/>
      <c r="AJ1" s="41"/>
      <c r="AK1" s="41"/>
      <c r="AL1" s="41"/>
    </row>
    <row r="2" spans="1:38" s="2" customFormat="1" ht="306">
      <c r="A2" s="226" t="s">
        <v>112</v>
      </c>
      <c r="E2" s="25"/>
      <c r="F2" s="25"/>
      <c r="H2" s="41"/>
      <c r="I2" s="25"/>
      <c r="AI2" s="41"/>
      <c r="AJ2" s="41"/>
      <c r="AK2" s="41"/>
      <c r="AL2" s="41"/>
    </row>
    <row r="3" spans="1:38" s="2" customFormat="1">
      <c r="A3" s="217"/>
      <c r="B3" s="97"/>
      <c r="E3" s="25"/>
      <c r="F3" s="25"/>
      <c r="H3" s="41"/>
      <c r="I3" s="25"/>
      <c r="AI3" s="41"/>
      <c r="AJ3" s="41"/>
      <c r="AK3" s="41"/>
      <c r="AL3" s="41"/>
    </row>
    <row r="4" spans="1:38" s="2" customFormat="1" ht="23.25" customHeight="1"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 t="s">
        <v>31</v>
      </c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41"/>
      <c r="AL4" s="41"/>
    </row>
    <row r="5" spans="1:38" s="2" customFormat="1" ht="23.25" customHeight="1"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 t="s">
        <v>96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41"/>
      <c r="AL5" s="41"/>
    </row>
    <row r="6" spans="1:38" s="115" customFormat="1" ht="19.5" customHeigh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4"/>
      <c r="AL6" s="114"/>
    </row>
    <row r="7" spans="1:38" s="1" customFormat="1" ht="20.25" customHeight="1">
      <c r="A7" s="235" t="s">
        <v>18</v>
      </c>
      <c r="B7" s="235" t="s">
        <v>3</v>
      </c>
      <c r="C7" s="235" t="s">
        <v>1</v>
      </c>
      <c r="D7" s="235" t="s">
        <v>2</v>
      </c>
      <c r="E7" s="227" t="s">
        <v>78</v>
      </c>
      <c r="F7" s="239"/>
      <c r="G7" s="228"/>
      <c r="H7" s="238" t="s">
        <v>48</v>
      </c>
      <c r="I7" s="238"/>
      <c r="J7" s="227" t="s">
        <v>52</v>
      </c>
      <c r="K7" s="228"/>
      <c r="L7" s="227" t="s">
        <v>53</v>
      </c>
      <c r="M7" s="228"/>
      <c r="N7" s="227" t="s">
        <v>54</v>
      </c>
      <c r="O7" s="228"/>
      <c r="P7" s="227" t="s">
        <v>55</v>
      </c>
      <c r="Q7" s="228"/>
      <c r="R7" s="227" t="s">
        <v>56</v>
      </c>
      <c r="S7" s="228"/>
      <c r="T7" s="227" t="s">
        <v>57</v>
      </c>
      <c r="U7" s="228"/>
      <c r="V7" s="227" t="s">
        <v>58</v>
      </c>
      <c r="W7" s="228"/>
      <c r="X7" s="227" t="s">
        <v>59</v>
      </c>
      <c r="Y7" s="228"/>
      <c r="Z7" s="227" t="s">
        <v>60</v>
      </c>
      <c r="AA7" s="228"/>
      <c r="AB7" s="227" t="s">
        <v>61</v>
      </c>
      <c r="AC7" s="228"/>
      <c r="AD7" s="227" t="s">
        <v>62</v>
      </c>
      <c r="AE7" s="228"/>
      <c r="AF7" s="227" t="s">
        <v>63</v>
      </c>
      <c r="AG7" s="228"/>
      <c r="AH7" s="236" t="s">
        <v>83</v>
      </c>
      <c r="AI7" s="236" t="s">
        <v>21</v>
      </c>
      <c r="AJ7" s="236" t="s">
        <v>10</v>
      </c>
      <c r="AK7" s="95"/>
      <c r="AL7" s="95"/>
    </row>
    <row r="8" spans="1:38" s="1" customFormat="1" ht="20.25" customHeight="1">
      <c r="A8" s="235"/>
      <c r="B8" s="235"/>
      <c r="C8" s="235"/>
      <c r="D8" s="235"/>
      <c r="E8" s="212" t="s">
        <v>79</v>
      </c>
      <c r="F8" s="212" t="s">
        <v>80</v>
      </c>
      <c r="G8" s="212"/>
      <c r="H8" s="157" t="s">
        <v>70</v>
      </c>
      <c r="I8" s="157">
        <v>2015</v>
      </c>
      <c r="J8" s="156" t="s">
        <v>82</v>
      </c>
      <c r="K8" s="212" t="s">
        <v>81</v>
      </c>
      <c r="L8" s="212" t="s">
        <v>82</v>
      </c>
      <c r="M8" s="212" t="s">
        <v>81</v>
      </c>
      <c r="N8" s="212" t="s">
        <v>82</v>
      </c>
      <c r="O8" s="212" t="s">
        <v>81</v>
      </c>
      <c r="P8" s="212" t="s">
        <v>82</v>
      </c>
      <c r="Q8" s="212" t="s">
        <v>81</v>
      </c>
      <c r="R8" s="212" t="s">
        <v>82</v>
      </c>
      <c r="S8" s="212" t="s">
        <v>81</v>
      </c>
      <c r="T8" s="212" t="s">
        <v>82</v>
      </c>
      <c r="U8" s="212" t="s">
        <v>81</v>
      </c>
      <c r="V8" s="212" t="s">
        <v>82</v>
      </c>
      <c r="W8" s="212" t="s">
        <v>81</v>
      </c>
      <c r="X8" s="212" t="s">
        <v>82</v>
      </c>
      <c r="Y8" s="212" t="s">
        <v>81</v>
      </c>
      <c r="Z8" s="212" t="s">
        <v>82</v>
      </c>
      <c r="AA8" s="212" t="s">
        <v>81</v>
      </c>
      <c r="AB8" s="212" t="s">
        <v>82</v>
      </c>
      <c r="AC8" s="212" t="s">
        <v>81</v>
      </c>
      <c r="AD8" s="212" t="s">
        <v>82</v>
      </c>
      <c r="AE8" s="212" t="s">
        <v>81</v>
      </c>
      <c r="AF8" s="212" t="s">
        <v>82</v>
      </c>
      <c r="AG8" s="212" t="s">
        <v>81</v>
      </c>
      <c r="AH8" s="237"/>
      <c r="AI8" s="237"/>
      <c r="AJ8" s="237"/>
      <c r="AK8" s="95"/>
      <c r="AL8" s="95"/>
    </row>
    <row r="9" spans="1:38" s="2" customFormat="1" ht="14.25" customHeight="1">
      <c r="A9" s="117">
        <v>1</v>
      </c>
      <c r="B9" s="117">
        <v>1</v>
      </c>
      <c r="C9" s="117">
        <v>2</v>
      </c>
      <c r="D9" s="117">
        <v>3</v>
      </c>
      <c r="E9" s="117">
        <v>4</v>
      </c>
      <c r="F9" s="117">
        <v>5</v>
      </c>
      <c r="G9" s="117">
        <v>6</v>
      </c>
      <c r="H9" s="117">
        <v>7</v>
      </c>
      <c r="I9" s="117">
        <v>8</v>
      </c>
      <c r="J9" s="117">
        <v>9</v>
      </c>
      <c r="K9" s="117">
        <v>10</v>
      </c>
      <c r="L9" s="117">
        <v>11</v>
      </c>
      <c r="M9" s="117">
        <v>12</v>
      </c>
      <c r="N9" s="117">
        <v>13</v>
      </c>
      <c r="O9" s="117">
        <v>14</v>
      </c>
      <c r="P9" s="117">
        <v>15</v>
      </c>
      <c r="Q9" s="117">
        <v>16</v>
      </c>
      <c r="R9" s="117">
        <v>17</v>
      </c>
      <c r="S9" s="117">
        <v>18</v>
      </c>
      <c r="T9" s="117">
        <v>19</v>
      </c>
      <c r="U9" s="117">
        <v>20</v>
      </c>
      <c r="V9" s="117">
        <v>21</v>
      </c>
      <c r="W9" s="117">
        <v>22</v>
      </c>
      <c r="X9" s="117">
        <v>23</v>
      </c>
      <c r="Y9" s="117">
        <v>24</v>
      </c>
      <c r="Z9" s="117">
        <v>25</v>
      </c>
      <c r="AA9" s="117">
        <v>26</v>
      </c>
      <c r="AB9" s="117">
        <v>27</v>
      </c>
      <c r="AC9" s="117">
        <v>28</v>
      </c>
      <c r="AD9" s="117">
        <v>29</v>
      </c>
      <c r="AE9" s="117">
        <v>30</v>
      </c>
      <c r="AF9" s="117">
        <v>31</v>
      </c>
      <c r="AG9" s="117">
        <v>32</v>
      </c>
      <c r="AH9" s="117">
        <v>33</v>
      </c>
      <c r="AI9" s="117">
        <v>34</v>
      </c>
      <c r="AJ9" s="117">
        <v>35</v>
      </c>
      <c r="AK9" s="41"/>
      <c r="AL9" s="41"/>
    </row>
    <row r="10" spans="1:38" s="146" customFormat="1" ht="21.75" customHeight="1">
      <c r="A10" s="143">
        <f>IF(B10&lt;&gt;"",ROW()-9,"")</f>
        <v>1</v>
      </c>
      <c r="B10" s="143" t="s">
        <v>72</v>
      </c>
      <c r="C10" s="222" t="s">
        <v>85</v>
      </c>
      <c r="D10" s="143" t="s">
        <v>86</v>
      </c>
      <c r="E10" s="214" t="s">
        <v>102</v>
      </c>
      <c r="F10" s="215" t="s">
        <v>97</v>
      </c>
      <c r="G10" s="139"/>
      <c r="H10" s="173">
        <v>4012500</v>
      </c>
      <c r="I10" s="173"/>
      <c r="J10" s="139" t="s">
        <v>94</v>
      </c>
      <c r="K10" s="139">
        <f>IF(ISNA(VLOOKUP($B10,DS_01,16,0)),0,VLOOKUP($B10,DS_01,16,0))</f>
        <v>3591187</v>
      </c>
      <c r="L10" s="139" t="s">
        <v>94</v>
      </c>
      <c r="M10" s="139">
        <f t="shared" ref="M10:M17" si="0">IF(ISNA(VLOOKUP($B10,DS_02,16,0)),0,VLOOKUP($B10,DS_02,16,0))</f>
        <v>3591187</v>
      </c>
      <c r="N10" s="139" t="s">
        <v>94</v>
      </c>
      <c r="O10" s="139">
        <f t="shared" ref="O10:O17" si="1">IF(ISNA(VLOOKUP($B10,DS_03,16,0)),0,VLOOKUP($B10,DS_03,16,0))</f>
        <v>3591187</v>
      </c>
      <c r="P10" s="139"/>
      <c r="Q10" s="139">
        <f t="shared" ref="Q10:Q17" si="2">IF(ISNA(VLOOKUP($B10,DS_04,16,0)),0,VLOOKUP($B10,DS_04,16,0))</f>
        <v>0</v>
      </c>
      <c r="R10" s="139"/>
      <c r="S10" s="139">
        <f t="shared" ref="S10:S17" si="3">IF(ISNA(VLOOKUP($B10,DS_05,16,0)),0,VLOOKUP($B10,DS_05,16,0))</f>
        <v>0</v>
      </c>
      <c r="T10" s="139"/>
      <c r="U10" s="139">
        <f t="shared" ref="U10:W17" si="4">IF(ISNA(VLOOKUP($B10,DS_06,16,0)),0,VLOOKUP($B10,DS_06,16,0))</f>
        <v>0</v>
      </c>
      <c r="V10" s="139"/>
      <c r="W10" s="139">
        <f t="shared" si="4"/>
        <v>0</v>
      </c>
      <c r="X10" s="139"/>
      <c r="Y10" s="139">
        <f t="shared" ref="Y10:AG17" si="5">IF(ISNA(VLOOKUP($B10,DS_08,16,0)),0,VLOOKUP($B10,DS_08,16,0))</f>
        <v>0</v>
      </c>
      <c r="Z10" s="139"/>
      <c r="AA10" s="139">
        <f t="shared" si="5"/>
        <v>0</v>
      </c>
      <c r="AB10" s="139"/>
      <c r="AC10" s="139">
        <f t="shared" si="5"/>
        <v>0</v>
      </c>
      <c r="AD10" s="139"/>
      <c r="AE10" s="139">
        <f t="shared" si="5"/>
        <v>0</v>
      </c>
      <c r="AF10" s="139"/>
      <c r="AG10" s="139">
        <f t="shared" si="5"/>
        <v>0</v>
      </c>
      <c r="AH10" s="139">
        <f t="shared" ref="AH10:AH16" si="6">K10+M10+O10+Q10+S10+U10+W10+Y10+AA10+AC10+AE10+AG10</f>
        <v>10773561</v>
      </c>
      <c r="AI10" s="139"/>
      <c r="AJ10" s="139"/>
      <c r="AK10" s="144"/>
      <c r="AL10" s="145"/>
    </row>
    <row r="11" spans="1:38" s="146" customFormat="1" ht="21.75" customHeight="1">
      <c r="A11" s="143">
        <f t="shared" ref="A11:A14" si="7">IF(B11&lt;&gt;"",ROW()-9,"")</f>
        <v>2</v>
      </c>
      <c r="B11" s="143" t="s">
        <v>73</v>
      </c>
      <c r="C11" s="222" t="s">
        <v>87</v>
      </c>
      <c r="D11" s="143" t="s">
        <v>88</v>
      </c>
      <c r="E11" s="215" t="s">
        <v>103</v>
      </c>
      <c r="F11" s="216" t="s">
        <v>98</v>
      </c>
      <c r="G11" s="139"/>
      <c r="H11" s="173">
        <v>4012500</v>
      </c>
      <c r="I11" s="173"/>
      <c r="J11" s="139" t="s">
        <v>94</v>
      </c>
      <c r="K11" s="139">
        <f t="shared" ref="K11:K17" si="8">IF(ISNA(VLOOKUP($B11,DS_01,16,0)),0,VLOOKUP($B11,DS_01,16,0))</f>
        <v>3591187</v>
      </c>
      <c r="L11" s="139" t="s">
        <v>94</v>
      </c>
      <c r="M11" s="139">
        <f t="shared" si="0"/>
        <v>3591187</v>
      </c>
      <c r="N11" s="139" t="s">
        <v>94</v>
      </c>
      <c r="O11" s="139">
        <f t="shared" si="1"/>
        <v>3591187</v>
      </c>
      <c r="P11" s="139" t="s">
        <v>94</v>
      </c>
      <c r="Q11" s="139">
        <f t="shared" si="2"/>
        <v>3591187</v>
      </c>
      <c r="R11" s="139" t="s">
        <v>94</v>
      </c>
      <c r="S11" s="139">
        <f t="shared" si="3"/>
        <v>3591187</v>
      </c>
      <c r="T11" s="139" t="s">
        <v>94</v>
      </c>
      <c r="U11" s="139">
        <f t="shared" si="4"/>
        <v>3591187</v>
      </c>
      <c r="V11" s="139" t="s">
        <v>94</v>
      </c>
      <c r="W11" s="139">
        <f t="shared" si="4"/>
        <v>3591187</v>
      </c>
      <c r="X11" s="139" t="s">
        <v>94</v>
      </c>
      <c r="Y11" s="139">
        <f t="shared" si="5"/>
        <v>3591188</v>
      </c>
      <c r="Z11" s="139" t="s">
        <v>94</v>
      </c>
      <c r="AA11" s="139">
        <f t="shared" si="5"/>
        <v>3591188</v>
      </c>
      <c r="AB11" s="139" t="s">
        <v>94</v>
      </c>
      <c r="AC11" s="139">
        <f t="shared" si="5"/>
        <v>3591188</v>
      </c>
      <c r="AD11" s="139" t="s">
        <v>94</v>
      </c>
      <c r="AE11" s="139">
        <f t="shared" si="5"/>
        <v>3591188</v>
      </c>
      <c r="AF11" s="139" t="s">
        <v>94</v>
      </c>
      <c r="AG11" s="139">
        <f t="shared" si="5"/>
        <v>3591188</v>
      </c>
      <c r="AH11" s="139">
        <f t="shared" si="6"/>
        <v>43094249</v>
      </c>
      <c r="AI11" s="139"/>
      <c r="AJ11" s="139"/>
      <c r="AK11" s="144"/>
      <c r="AL11" s="145"/>
    </row>
    <row r="12" spans="1:38" s="146" customFormat="1" ht="21.75" customHeight="1">
      <c r="A12" s="143">
        <f t="shared" si="7"/>
        <v>3</v>
      </c>
      <c r="B12" s="143" t="s">
        <v>93</v>
      </c>
      <c r="C12" s="222" t="s">
        <v>89</v>
      </c>
      <c r="D12" s="143" t="s">
        <v>90</v>
      </c>
      <c r="E12" s="215" t="s">
        <v>100</v>
      </c>
      <c r="F12" s="215" t="s">
        <v>101</v>
      </c>
      <c r="G12" s="139"/>
      <c r="H12" s="151">
        <v>3937000</v>
      </c>
      <c r="I12" s="139"/>
      <c r="J12" s="139" t="s">
        <v>94</v>
      </c>
      <c r="K12" s="139">
        <f t="shared" si="8"/>
        <v>3523615</v>
      </c>
      <c r="L12" s="139"/>
      <c r="M12" s="139">
        <f t="shared" si="0"/>
        <v>0</v>
      </c>
      <c r="N12" s="139"/>
      <c r="O12" s="139">
        <f t="shared" si="1"/>
        <v>0</v>
      </c>
      <c r="P12" s="139"/>
      <c r="Q12" s="139">
        <f t="shared" si="2"/>
        <v>0</v>
      </c>
      <c r="R12" s="139"/>
      <c r="S12" s="139">
        <f t="shared" si="3"/>
        <v>0</v>
      </c>
      <c r="T12" s="139"/>
      <c r="U12" s="139">
        <f t="shared" si="4"/>
        <v>0</v>
      </c>
      <c r="V12" s="139"/>
      <c r="W12" s="139">
        <f t="shared" si="4"/>
        <v>0</v>
      </c>
      <c r="X12" s="139"/>
      <c r="Y12" s="139">
        <f t="shared" si="5"/>
        <v>0</v>
      </c>
      <c r="Z12" s="139"/>
      <c r="AA12" s="139">
        <f t="shared" si="5"/>
        <v>0</v>
      </c>
      <c r="AB12" s="139"/>
      <c r="AC12" s="139">
        <f t="shared" si="5"/>
        <v>0</v>
      </c>
      <c r="AD12" s="139"/>
      <c r="AE12" s="139">
        <f t="shared" si="5"/>
        <v>0</v>
      </c>
      <c r="AF12" s="139"/>
      <c r="AG12" s="139">
        <f t="shared" si="5"/>
        <v>0</v>
      </c>
      <c r="AH12" s="139">
        <f t="shared" si="6"/>
        <v>3523615</v>
      </c>
      <c r="AI12" s="139"/>
      <c r="AJ12" s="139"/>
      <c r="AK12" s="144"/>
      <c r="AL12" s="145"/>
    </row>
    <row r="13" spans="1:38" s="154" customFormat="1" ht="21.75" customHeight="1">
      <c r="A13" s="143">
        <f t="shared" si="7"/>
        <v>4</v>
      </c>
      <c r="B13" s="143" t="s">
        <v>105</v>
      </c>
      <c r="C13" s="222" t="s">
        <v>106</v>
      </c>
      <c r="D13" s="143" t="s">
        <v>107</v>
      </c>
      <c r="E13" s="215" t="s">
        <v>111</v>
      </c>
      <c r="F13" s="215" t="s">
        <v>109</v>
      </c>
      <c r="G13" s="151"/>
      <c r="H13" s="139">
        <v>7875000</v>
      </c>
      <c r="I13" s="139"/>
      <c r="J13" s="139"/>
      <c r="K13" s="139">
        <f t="shared" si="8"/>
        <v>0</v>
      </c>
      <c r="L13" s="139"/>
      <c r="M13" s="139">
        <f t="shared" si="0"/>
        <v>0</v>
      </c>
      <c r="N13" s="139" t="s">
        <v>94</v>
      </c>
      <c r="O13" s="139">
        <f t="shared" si="1"/>
        <v>7048125</v>
      </c>
      <c r="P13" s="151"/>
      <c r="Q13" s="139">
        <f t="shared" si="2"/>
        <v>0</v>
      </c>
      <c r="R13" s="151"/>
      <c r="S13" s="139">
        <f t="shared" si="3"/>
        <v>0</v>
      </c>
      <c r="T13" s="151"/>
      <c r="U13" s="139">
        <f t="shared" si="4"/>
        <v>0</v>
      </c>
      <c r="V13" s="151"/>
      <c r="W13" s="139">
        <f t="shared" si="4"/>
        <v>0</v>
      </c>
      <c r="X13" s="139"/>
      <c r="Y13" s="139">
        <f t="shared" si="5"/>
        <v>0</v>
      </c>
      <c r="Z13" s="139"/>
      <c r="AA13" s="139">
        <f t="shared" si="5"/>
        <v>0</v>
      </c>
      <c r="AB13" s="139"/>
      <c r="AC13" s="139">
        <f t="shared" si="5"/>
        <v>0</v>
      </c>
      <c r="AD13" s="139"/>
      <c r="AE13" s="139">
        <f t="shared" si="5"/>
        <v>0</v>
      </c>
      <c r="AF13" s="139"/>
      <c r="AG13" s="139">
        <f t="shared" si="5"/>
        <v>0</v>
      </c>
      <c r="AH13" s="139">
        <f t="shared" si="6"/>
        <v>7048125</v>
      </c>
      <c r="AI13" s="151"/>
      <c r="AJ13" s="151"/>
      <c r="AK13" s="152"/>
      <c r="AL13" s="153"/>
    </row>
    <row r="14" spans="1:38" s="2" customFormat="1" ht="21.75" customHeight="1">
      <c r="A14" s="143">
        <f t="shared" si="7"/>
        <v>5</v>
      </c>
      <c r="B14" s="143" t="s">
        <v>113</v>
      </c>
      <c r="C14" s="42" t="s">
        <v>108</v>
      </c>
      <c r="D14" s="148" t="s">
        <v>114</v>
      </c>
      <c r="E14" s="18"/>
      <c r="F14" s="224" t="s">
        <v>110</v>
      </c>
      <c r="G14" s="137"/>
      <c r="H14" s="151">
        <v>3937000</v>
      </c>
      <c r="I14" s="18"/>
      <c r="J14" s="18"/>
      <c r="K14" s="139">
        <f t="shared" si="8"/>
        <v>0</v>
      </c>
      <c r="L14" s="18"/>
      <c r="M14" s="139">
        <f t="shared" si="0"/>
        <v>0</v>
      </c>
      <c r="N14" s="139" t="s">
        <v>94</v>
      </c>
      <c r="O14" s="139">
        <f t="shared" si="1"/>
        <v>3523615</v>
      </c>
      <c r="P14" s="137" t="s">
        <v>94</v>
      </c>
      <c r="Q14" s="139">
        <f t="shared" si="2"/>
        <v>3523615</v>
      </c>
      <c r="R14" s="137" t="s">
        <v>94</v>
      </c>
      <c r="S14" s="139">
        <f t="shared" si="3"/>
        <v>3523615</v>
      </c>
      <c r="T14" s="137" t="s">
        <v>94</v>
      </c>
      <c r="U14" s="139">
        <f>IF(ISNA(VLOOKUP($B14,DS_06,16,0)),0,VLOOKUP($B14,DS_06,16,0))</f>
        <v>3523615</v>
      </c>
      <c r="V14" s="137" t="s">
        <v>94</v>
      </c>
      <c r="W14" s="139">
        <f>IF(ISNA(VLOOKUP($B14,DS_06,16,0)),0,VLOOKUP($B14,DS_06,16,0))</f>
        <v>3523615</v>
      </c>
      <c r="X14" s="137"/>
      <c r="Y14" s="139">
        <f>IF(ISNA(VLOOKUP($B14,DS_08,16,0)),0,VLOOKUP($B14,DS_08,16,0))</f>
        <v>0</v>
      </c>
      <c r="Z14" s="137"/>
      <c r="AA14" s="139">
        <f>IF(ISNA(VLOOKUP($B14,DS_08,16,0)),0,VLOOKUP($B14,DS_08,16,0))</f>
        <v>0</v>
      </c>
      <c r="AB14" s="137"/>
      <c r="AC14" s="139">
        <f>IF(ISNA(VLOOKUP($B14,DS_08,16,0)),0,VLOOKUP($B14,DS_08,16,0))</f>
        <v>0</v>
      </c>
      <c r="AD14" s="137"/>
      <c r="AE14" s="139">
        <f>IF(ISNA(VLOOKUP($B14,DS_08,16,0)),0,VLOOKUP($B14,DS_08,16,0))</f>
        <v>0</v>
      </c>
      <c r="AF14" s="137"/>
      <c r="AG14" s="139">
        <f>IF(ISNA(VLOOKUP($B14,DS_08,16,0)),0,VLOOKUP($B14,DS_08,16,0))</f>
        <v>0</v>
      </c>
      <c r="AH14" s="139">
        <f>K14+M14+O14+Q14+S14+U14+W14+Y14+AA14+AC14+AE14+AG14</f>
        <v>17618075</v>
      </c>
      <c r="AI14" s="137"/>
      <c r="AJ14" s="137"/>
      <c r="AK14" s="95"/>
      <c r="AL14" s="41"/>
    </row>
    <row r="15" spans="1:38" s="2" customFormat="1" ht="21.75" customHeight="1">
      <c r="A15" s="148">
        <f t="shared" ref="A15" si="9">IF(B15&lt;&gt;"",ROW()-10,"")</f>
        <v>5</v>
      </c>
      <c r="B15" s="149" t="s">
        <v>74</v>
      </c>
      <c r="C15" s="150" t="s">
        <v>91</v>
      </c>
      <c r="D15" s="148" t="s">
        <v>92</v>
      </c>
      <c r="E15" s="216" t="s">
        <v>104</v>
      </c>
      <c r="F15" s="216" t="s">
        <v>99</v>
      </c>
      <c r="G15" s="18"/>
      <c r="H15" s="151">
        <v>3937000</v>
      </c>
      <c r="I15" s="151"/>
      <c r="J15" s="139" t="s">
        <v>94</v>
      </c>
      <c r="K15" s="139">
        <f t="shared" si="8"/>
        <v>3523615</v>
      </c>
      <c r="L15" s="151" t="s">
        <v>94</v>
      </c>
      <c r="M15" s="139">
        <f t="shared" si="0"/>
        <v>3523615</v>
      </c>
      <c r="N15" s="139" t="s">
        <v>94</v>
      </c>
      <c r="O15" s="139">
        <f t="shared" si="1"/>
        <v>3523615</v>
      </c>
      <c r="P15" s="18" t="s">
        <v>94</v>
      </c>
      <c r="Q15" s="139">
        <f t="shared" si="2"/>
        <v>3523615</v>
      </c>
      <c r="R15" s="18" t="s">
        <v>94</v>
      </c>
      <c r="S15" s="139">
        <f t="shared" si="3"/>
        <v>3523615</v>
      </c>
      <c r="T15" s="18" t="s">
        <v>94</v>
      </c>
      <c r="U15" s="139">
        <f t="shared" si="4"/>
        <v>3523615</v>
      </c>
      <c r="V15" s="18" t="s">
        <v>94</v>
      </c>
      <c r="W15" s="139">
        <f t="shared" si="4"/>
        <v>3523615</v>
      </c>
      <c r="X15" s="18" t="s">
        <v>94</v>
      </c>
      <c r="Y15" s="139">
        <f t="shared" si="5"/>
        <v>3523615</v>
      </c>
      <c r="Z15" s="18" t="s">
        <v>94</v>
      </c>
      <c r="AA15" s="139">
        <f t="shared" si="5"/>
        <v>3523615</v>
      </c>
      <c r="AB15" s="18" t="s">
        <v>94</v>
      </c>
      <c r="AC15" s="139">
        <f t="shared" si="5"/>
        <v>3523615</v>
      </c>
      <c r="AD15" s="18" t="s">
        <v>94</v>
      </c>
      <c r="AE15" s="139">
        <f t="shared" si="5"/>
        <v>3523615</v>
      </c>
      <c r="AF15" s="18" t="s">
        <v>94</v>
      </c>
      <c r="AG15" s="139">
        <f t="shared" si="5"/>
        <v>3523615</v>
      </c>
      <c r="AH15" s="139">
        <f t="shared" ref="AH15" si="10">K15+M15+O15+Q15+S15+U15+W15+Y15+AA15+AC15+AE15+AG15</f>
        <v>42283380</v>
      </c>
      <c r="AI15" s="18"/>
      <c r="AJ15" s="18"/>
      <c r="AK15" s="95"/>
      <c r="AL15" s="41"/>
    </row>
    <row r="16" spans="1:38" s="2" customFormat="1" ht="21.75" customHeight="1">
      <c r="A16" s="148" t="str">
        <f t="shared" ref="A16:A17" si="11">IF(B16&lt;&gt;"",ROW()-10,"")</f>
        <v/>
      </c>
      <c r="B16" s="17"/>
      <c r="C16" s="42"/>
      <c r="D16" s="129"/>
      <c r="E16" s="18"/>
      <c r="F16" s="18"/>
      <c r="G16" s="18"/>
      <c r="H16" s="18"/>
      <c r="I16" s="18"/>
      <c r="J16" s="18"/>
      <c r="K16" s="139">
        <f t="shared" si="8"/>
        <v>0</v>
      </c>
      <c r="L16" s="137"/>
      <c r="M16" s="139">
        <f t="shared" si="0"/>
        <v>0</v>
      </c>
      <c r="N16" s="137"/>
      <c r="O16" s="139">
        <f t="shared" si="1"/>
        <v>0</v>
      </c>
      <c r="P16" s="18"/>
      <c r="Q16" s="139">
        <f t="shared" si="2"/>
        <v>0</v>
      </c>
      <c r="R16" s="18"/>
      <c r="S16" s="139">
        <f t="shared" si="3"/>
        <v>0</v>
      </c>
      <c r="T16" s="18"/>
      <c r="U16" s="139">
        <f t="shared" si="4"/>
        <v>0</v>
      </c>
      <c r="V16" s="18"/>
      <c r="W16" s="139">
        <f t="shared" si="4"/>
        <v>0</v>
      </c>
      <c r="X16" s="18"/>
      <c r="Y16" s="139">
        <f t="shared" si="5"/>
        <v>0</v>
      </c>
      <c r="Z16" s="18"/>
      <c r="AA16" s="139">
        <f t="shared" si="5"/>
        <v>0</v>
      </c>
      <c r="AB16" s="18"/>
      <c r="AC16" s="139">
        <f t="shared" si="5"/>
        <v>0</v>
      </c>
      <c r="AD16" s="18"/>
      <c r="AE16" s="139">
        <f t="shared" si="5"/>
        <v>0</v>
      </c>
      <c r="AF16" s="18"/>
      <c r="AG16" s="139">
        <f t="shared" si="5"/>
        <v>0</v>
      </c>
      <c r="AH16" s="139">
        <f t="shared" si="6"/>
        <v>0</v>
      </c>
      <c r="AI16" s="18"/>
      <c r="AJ16" s="18"/>
      <c r="AK16" s="95"/>
      <c r="AL16" s="41"/>
    </row>
    <row r="17" spans="1:38" s="2" customFormat="1" ht="21.75" customHeight="1">
      <c r="A17" s="143" t="str">
        <f t="shared" si="11"/>
        <v/>
      </c>
      <c r="B17" s="130"/>
      <c r="C17" s="136"/>
      <c r="D17" s="135"/>
      <c r="E17" s="137"/>
      <c r="F17" s="137"/>
      <c r="G17" s="137"/>
      <c r="H17" s="137"/>
      <c r="I17" s="137"/>
      <c r="J17" s="137"/>
      <c r="K17" s="139">
        <f t="shared" si="8"/>
        <v>0</v>
      </c>
      <c r="L17" s="137"/>
      <c r="M17" s="139">
        <f t="shared" si="0"/>
        <v>0</v>
      </c>
      <c r="N17" s="137"/>
      <c r="O17" s="139">
        <f t="shared" si="1"/>
        <v>0</v>
      </c>
      <c r="P17" s="137"/>
      <c r="Q17" s="139">
        <f t="shared" si="2"/>
        <v>0</v>
      </c>
      <c r="R17" s="137"/>
      <c r="S17" s="139">
        <f t="shared" si="3"/>
        <v>0</v>
      </c>
      <c r="T17" s="137"/>
      <c r="U17" s="139">
        <f t="shared" si="4"/>
        <v>0</v>
      </c>
      <c r="V17" s="137"/>
      <c r="W17" s="139">
        <f t="shared" si="4"/>
        <v>0</v>
      </c>
      <c r="X17" s="137"/>
      <c r="Y17" s="139">
        <f t="shared" si="5"/>
        <v>0</v>
      </c>
      <c r="Z17" s="137"/>
      <c r="AA17" s="139">
        <f t="shared" si="5"/>
        <v>0</v>
      </c>
      <c r="AB17" s="137"/>
      <c r="AC17" s="139">
        <f t="shared" si="5"/>
        <v>0</v>
      </c>
      <c r="AD17" s="137"/>
      <c r="AE17" s="139">
        <f t="shared" si="5"/>
        <v>0</v>
      </c>
      <c r="AF17" s="137"/>
      <c r="AG17" s="139">
        <f t="shared" si="5"/>
        <v>0</v>
      </c>
      <c r="AH17" s="139">
        <f>K17+M17+O17+Q17+S17+U17+W17+Y17+AA17+AC17+AE17+AG17</f>
        <v>0</v>
      </c>
      <c r="AI17" s="137"/>
      <c r="AJ17" s="137"/>
      <c r="AK17" s="95"/>
      <c r="AL17" s="41"/>
    </row>
    <row r="18" spans="1:38" s="2" customFormat="1" ht="21.75" customHeight="1">
      <c r="A18" s="229" t="s">
        <v>22</v>
      </c>
      <c r="B18" s="230"/>
      <c r="C18" s="230"/>
      <c r="D18" s="140" t="s">
        <v>84</v>
      </c>
      <c r="E18" s="138"/>
      <c r="F18" s="138"/>
      <c r="G18" s="138"/>
      <c r="H18" s="138">
        <f>SUM(H10:H17)</f>
        <v>27711000</v>
      </c>
      <c r="I18" s="138">
        <f>SUM(I10:I17)</f>
        <v>0</v>
      </c>
      <c r="J18" s="138"/>
      <c r="K18" s="138">
        <f>SUMIF(J$10:J$17,"x",$H$10:$H$17)</f>
        <v>15899000</v>
      </c>
      <c r="L18" s="138"/>
      <c r="M18" s="138">
        <f>SUMIF(L$10:L$17,"x",$H$10:$H$17)</f>
        <v>11962000</v>
      </c>
      <c r="N18" s="138"/>
      <c r="O18" s="138">
        <f>SUMIF(N$10:N$17,"x",$H$10:$H$17)</f>
        <v>23774000</v>
      </c>
      <c r="P18" s="138"/>
      <c r="Q18" s="138">
        <f>SUMIF(P$10:P$17,"x",$H$10:$H$17)</f>
        <v>11886500</v>
      </c>
      <c r="R18" s="138"/>
      <c r="S18" s="138">
        <f>SUMIF(R$10:R$17,"x",$H$10:$H$17)</f>
        <v>11886500</v>
      </c>
      <c r="T18" s="138"/>
      <c r="U18" s="138">
        <f>SUMIF(T$10:T$17,"x",$H$10:$H$17)</f>
        <v>11886500</v>
      </c>
      <c r="V18" s="138"/>
      <c r="W18" s="138">
        <f>SUMIF(V$10:V$17,"x",$H$10:$H$17)</f>
        <v>11886500</v>
      </c>
      <c r="X18" s="138"/>
      <c r="Y18" s="138">
        <f>SUMIF(X$10:X$17,"x",$H$10:$H$17)</f>
        <v>7949500</v>
      </c>
      <c r="Z18" s="138"/>
      <c r="AA18" s="138">
        <f>SUMIF(Z$10:Z$17,"x",$H$10:$H$17)</f>
        <v>7949500</v>
      </c>
      <c r="AB18" s="138"/>
      <c r="AC18" s="138">
        <f>SUMIF(AB$10:AB$17,"x",$H$10:$H$17)</f>
        <v>7949500</v>
      </c>
      <c r="AD18" s="138"/>
      <c r="AE18" s="138">
        <f>SUMIF(AD$10:AD$17,"x",$H$10:$H$17)</f>
        <v>7949500</v>
      </c>
      <c r="AF18" s="138"/>
      <c r="AG18" s="138">
        <f>SUMIF(AF$10:AF$17,"x",$H$10:$H$17)</f>
        <v>7949500</v>
      </c>
      <c r="AH18" s="138">
        <f>K18+M18+O18+Q18+S18+U18+W18+Y18+AA18+AC18+AE18+AG18</f>
        <v>138928500</v>
      </c>
      <c r="AI18" s="138"/>
      <c r="AJ18" s="138"/>
      <c r="AK18" s="95"/>
      <c r="AL18" s="41"/>
    </row>
    <row r="19" spans="1:38" s="2" customFormat="1" ht="21.75" customHeight="1">
      <c r="A19" s="231"/>
      <c r="B19" s="232"/>
      <c r="C19" s="232"/>
      <c r="D19" s="140" t="s">
        <v>64</v>
      </c>
      <c r="E19" s="138"/>
      <c r="F19" s="138"/>
      <c r="G19" s="138"/>
      <c r="H19" s="138"/>
      <c r="I19" s="138"/>
      <c r="J19" s="138">
        <f t="array" ref="J19">SUM((J$10:J$17="x")*1)</f>
        <v>4</v>
      </c>
      <c r="K19" s="138"/>
      <c r="L19" s="138">
        <f t="array" ref="L19">SUM((L$10:L$17="x")*1)</f>
        <v>3</v>
      </c>
      <c r="M19" s="138"/>
      <c r="N19" s="138">
        <f t="array" ref="N19">SUM((N$10:N$17="x")*1)</f>
        <v>5</v>
      </c>
      <c r="O19" s="138"/>
      <c r="P19" s="138">
        <f t="array" ref="P19">SUM((P$10:P$17="x")*1)</f>
        <v>3</v>
      </c>
      <c r="Q19" s="138"/>
      <c r="R19" s="138">
        <f t="array" ref="R19">SUM((R$10:R$17="x")*1)</f>
        <v>3</v>
      </c>
      <c r="S19" s="138"/>
      <c r="T19" s="138">
        <f t="array" ref="T19">SUM((T$10:T$17="x")*1)</f>
        <v>3</v>
      </c>
      <c r="U19" s="138"/>
      <c r="V19" s="138">
        <f t="array" ref="V19">SUM((V$10:V$17="x")*1)</f>
        <v>3</v>
      </c>
      <c r="W19" s="138"/>
      <c r="X19" s="138">
        <f t="array" ref="X19">SUM((X$10:X$17="x")*1)</f>
        <v>2</v>
      </c>
      <c r="Y19" s="138"/>
      <c r="Z19" s="138">
        <f t="array" ref="Z19">SUM((Z$10:Z$17="x")*1)</f>
        <v>2</v>
      </c>
      <c r="AA19" s="138"/>
      <c r="AB19" s="138">
        <f t="array" ref="AB19">SUM((AB$10:AB$17="x")*1)</f>
        <v>2</v>
      </c>
      <c r="AC19" s="138"/>
      <c r="AD19" s="138">
        <f t="array" ref="AD19">SUM((AD$10:AD$17="x")*1)</f>
        <v>2</v>
      </c>
      <c r="AE19" s="138"/>
      <c r="AF19" s="138">
        <f t="array" ref="AF19">SUM((AF$10:AF$17="x")*1)</f>
        <v>2</v>
      </c>
      <c r="AG19" s="138"/>
      <c r="AH19" s="138"/>
      <c r="AI19" s="138"/>
      <c r="AJ19" s="138"/>
      <c r="AK19" s="95"/>
      <c r="AL19" s="41"/>
    </row>
    <row r="20" spans="1:38" s="2" customFormat="1" ht="21.75" customHeight="1">
      <c r="A20" s="233"/>
      <c r="B20" s="234"/>
      <c r="C20" s="234"/>
      <c r="D20" s="140" t="s">
        <v>65</v>
      </c>
      <c r="E20" s="138"/>
      <c r="F20" s="138"/>
      <c r="G20" s="138"/>
      <c r="H20" s="138"/>
      <c r="I20" s="138"/>
      <c r="J20" s="138"/>
      <c r="K20" s="138">
        <f>SUM(K10:K17)</f>
        <v>14229604</v>
      </c>
      <c r="L20" s="138"/>
      <c r="M20" s="138">
        <f>SUM(M10:M17)</f>
        <v>10705989</v>
      </c>
      <c r="N20" s="138"/>
      <c r="O20" s="138">
        <f>SUM(O10:O17)</f>
        <v>21277729</v>
      </c>
      <c r="P20" s="138"/>
      <c r="Q20" s="138">
        <f>SUM(Q10:Q17)</f>
        <v>10638417</v>
      </c>
      <c r="R20" s="138"/>
      <c r="S20" s="138">
        <f>SUM(S10:S17)</f>
        <v>10638417</v>
      </c>
      <c r="T20" s="138"/>
      <c r="U20" s="138">
        <f>SUM(U10:U17)</f>
        <v>10638417</v>
      </c>
      <c r="V20" s="138"/>
      <c r="W20" s="138">
        <f>SUM(W10:W17)</f>
        <v>10638417</v>
      </c>
      <c r="X20" s="138"/>
      <c r="Y20" s="138">
        <f>SUM(Y10:Y17)</f>
        <v>7114803</v>
      </c>
      <c r="Z20" s="138"/>
      <c r="AA20" s="138">
        <f>SUM(AA10:AA17)</f>
        <v>7114803</v>
      </c>
      <c r="AB20" s="138"/>
      <c r="AC20" s="138">
        <f>SUM(AC10:AC17)</f>
        <v>7114803</v>
      </c>
      <c r="AD20" s="138"/>
      <c r="AE20" s="138">
        <f>SUM(AE10:AE17)</f>
        <v>7114803</v>
      </c>
      <c r="AF20" s="138"/>
      <c r="AG20" s="138">
        <f>SUM(AG10:AG17)</f>
        <v>7114803</v>
      </c>
      <c r="AH20" s="138">
        <f t="shared" ref="AH20" si="12">K20+M20+O20+Q20+S20+U20+W20+Y20+AA20+AC20+AE20+AG20</f>
        <v>124341005</v>
      </c>
      <c r="AI20" s="138"/>
      <c r="AJ20" s="138"/>
      <c r="AK20" s="95"/>
      <c r="AL20" s="41"/>
    </row>
    <row r="21" spans="1:38" s="2" customFormat="1" ht="11.25" customHeight="1">
      <c r="A21" s="19"/>
      <c r="B21" s="19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41"/>
      <c r="AL21" s="41"/>
    </row>
  </sheetData>
  <protectedRanges>
    <protectedRange password="CC78" sqref="B7:D8 AI7:AI8 AK7:JS11 I7 AI11:AJ11 B21:B65165 P11 AI12:JS13 C22:JS65165 E7:F7 B9:AJ9 C16:F20 H18:JS20 R11 A7:A65165 H16:J17 L17 K10:K17 N17 M10:M17 P17:U17 O11:O17 P14:P16 R14:R16 Q11:Q16 S11:S16 U11:U13 T11 T14:U16 V14:Y17 O10:Y10 W11:Y13 V11 AH14:JS17 AH10:AJ10 AH11:AH13 Z10:AG17" name="Range1"/>
    <protectedRange password="CC78" sqref="O4:JS6 B4:N5 A6:N6" name="Range1_2"/>
    <protectedRange password="CC78" sqref="G7:G8 J7:AH8 G10:G20" name="Range1_3"/>
    <protectedRange password="CC78" sqref="B16:B20" name="Range1_1"/>
    <protectedRange password="CC78" sqref="H7:H8 I8" name="Range1_4"/>
    <protectedRange password="CC78" sqref="O10:U10 U14:U17 Y14:Y17 K10:K17 M10:M17 P12:P13 O12:O17 O11:P11 R11:R13 Q11:Q17 S11:S17 T11:U13 W14:W17 AA14:AA17 AC14:AC17 AE14:AE17 AG14:AG17 V10:AG13" name="Range1_11"/>
    <protectedRange password="CC78" sqref="C14" name="Range1_7"/>
    <protectedRange password="CC78" sqref="B15" name="Range1_6_1_2"/>
    <protectedRange password="CC78" sqref="D10:D15" name="Range1_7_1_2"/>
    <protectedRange password="CC78" sqref="E14:F14" name="Range1_9"/>
    <protectedRange password="CC78" sqref="F12:F13" name="Range1_3_2_2"/>
    <protectedRange password="CC78" sqref="E12:E13" name="Range1_11_1_3"/>
    <protectedRange password="CC78" sqref="F10" name="Range1_6_3"/>
    <protectedRange password="CC78" sqref="F10" name="Range1_11_2_2"/>
    <protectedRange password="CC78" sqref="F15 F11" name="Range1_3_3_2"/>
    <protectedRange password="CC78" sqref="E10" name="Range1_8_1_1_1"/>
    <protectedRange password="CC78" sqref="E11" name="Range1_11_1_1_2"/>
    <protectedRange password="CC78" sqref="E15" name="Range1_11_1_2_1"/>
    <protectedRange password="CC78" sqref="I14" name="Range1_10"/>
    <protectedRange password="CC78" sqref="I10:I13 I15" name="Range1_8_3"/>
    <protectedRange password="CC78" sqref="H10:H15" name="Range1_12_12_2"/>
    <protectedRange password="CC78" sqref="J10:J15" name="Range1_12"/>
    <protectedRange password="CC78" sqref="J10:J13 J15" name="Range1_11_4"/>
    <protectedRange password="CC78" sqref="L10:L14 L16" name="Range1_13"/>
    <protectedRange password="CC78" sqref="L10:L13 L15" name="Range1_11_5"/>
    <protectedRange password="CC78" sqref="N10:N16" name="Range1_14"/>
    <protectedRange password="CC78" sqref="N10:N15" name="Range1_11_6"/>
  </protectedRanges>
  <autoFilter ref="A9:AL13"/>
  <mergeCells count="22">
    <mergeCell ref="A18:C20"/>
    <mergeCell ref="B7:B8"/>
    <mergeCell ref="A7:A8"/>
    <mergeCell ref="C7:C8"/>
    <mergeCell ref="AJ7:AJ8"/>
    <mergeCell ref="AI7:AI8"/>
    <mergeCell ref="D7:D8"/>
    <mergeCell ref="H7:I7"/>
    <mergeCell ref="E7:G7"/>
    <mergeCell ref="J7:K7"/>
    <mergeCell ref="L7:M7"/>
    <mergeCell ref="AH7:AH8"/>
    <mergeCell ref="N7:O7"/>
    <mergeCell ref="P7:Q7"/>
    <mergeCell ref="R7:S7"/>
    <mergeCell ref="T7:U7"/>
    <mergeCell ref="AF7:AG7"/>
    <mergeCell ref="V7:W7"/>
    <mergeCell ref="X7:Y7"/>
    <mergeCell ref="Z7:AA7"/>
    <mergeCell ref="AB7:AC7"/>
    <mergeCell ref="AD7:AE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M18" sqref="M1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42736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42736</v>
      </c>
      <c r="G5" s="106">
        <f t="shared" ref="G5:AJ5" si="0">F5+1</f>
        <v>42737</v>
      </c>
      <c r="H5" s="106">
        <f t="shared" si="0"/>
        <v>42738</v>
      </c>
      <c r="I5" s="106">
        <f t="shared" si="0"/>
        <v>42739</v>
      </c>
      <c r="J5" s="106">
        <f t="shared" si="0"/>
        <v>42740</v>
      </c>
      <c r="K5" s="106">
        <f t="shared" si="0"/>
        <v>42741</v>
      </c>
      <c r="L5" s="106">
        <f t="shared" si="0"/>
        <v>42742</v>
      </c>
      <c r="M5" s="106">
        <f t="shared" si="0"/>
        <v>42743</v>
      </c>
      <c r="N5" s="106">
        <f t="shared" si="0"/>
        <v>42744</v>
      </c>
      <c r="O5" s="106">
        <f t="shared" si="0"/>
        <v>42745</v>
      </c>
      <c r="P5" s="106">
        <f t="shared" si="0"/>
        <v>42746</v>
      </c>
      <c r="Q5" s="106">
        <f t="shared" si="0"/>
        <v>42747</v>
      </c>
      <c r="R5" s="106">
        <f t="shared" si="0"/>
        <v>42748</v>
      </c>
      <c r="S5" s="106">
        <f t="shared" si="0"/>
        <v>42749</v>
      </c>
      <c r="T5" s="106">
        <f t="shared" si="0"/>
        <v>42750</v>
      </c>
      <c r="U5" s="106">
        <f t="shared" si="0"/>
        <v>42751</v>
      </c>
      <c r="V5" s="106">
        <f t="shared" si="0"/>
        <v>42752</v>
      </c>
      <c r="W5" s="106">
        <f t="shared" si="0"/>
        <v>42753</v>
      </c>
      <c r="X5" s="106">
        <f t="shared" si="0"/>
        <v>42754</v>
      </c>
      <c r="Y5" s="106">
        <f t="shared" si="0"/>
        <v>42755</v>
      </c>
      <c r="Z5" s="106">
        <f t="shared" si="0"/>
        <v>42756</v>
      </c>
      <c r="AA5" s="106">
        <f t="shared" si="0"/>
        <v>42757</v>
      </c>
      <c r="AB5" s="106">
        <f t="shared" si="0"/>
        <v>42758</v>
      </c>
      <c r="AC5" s="106">
        <f t="shared" si="0"/>
        <v>42759</v>
      </c>
      <c r="AD5" s="106">
        <f t="shared" si="0"/>
        <v>42760</v>
      </c>
      <c r="AE5" s="106">
        <f t="shared" si="0"/>
        <v>42761</v>
      </c>
      <c r="AF5" s="106">
        <f t="shared" si="0"/>
        <v>42762</v>
      </c>
      <c r="AG5" s="106">
        <f t="shared" si="0"/>
        <v>42763</v>
      </c>
      <c r="AH5" s="106">
        <f>AG5+1</f>
        <v>42764</v>
      </c>
      <c r="AI5" s="106">
        <f t="shared" si="0"/>
        <v>42765</v>
      </c>
      <c r="AJ5" s="106">
        <f t="shared" si="0"/>
        <v>42766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72</v>
      </c>
      <c r="C9" s="246" t="str">
        <f>VLOOKUP(B9,DS,2,0)</f>
        <v>Nguyễn Phước Bảo Việt Hùng</v>
      </c>
      <c r="D9" s="254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/>
      <c r="AG9" s="131"/>
      <c r="AH9" s="131"/>
      <c r="AI9" s="131"/>
      <c r="AJ9" s="131"/>
      <c r="AK9" s="252">
        <f t="shared" ref="AK9" si="2">((SUM(F9:AJ9))/8)-(SUMIF($F$6:$AJ$6,"C.Nhật",F9:AJ9)/8)</f>
        <v>21</v>
      </c>
      <c r="AL9" s="252">
        <f t="shared" ref="AL9" si="3">SUM(F10:AJ10)/8*1.5</f>
        <v>0</v>
      </c>
      <c r="AM9" s="248">
        <f t="shared" ref="AM9:AM13" si="4">SUMIF($F$6:$AJ$6,"C.Nhật",$F9:$AJ10)/8*2</f>
        <v>0</v>
      </c>
      <c r="AN9" s="240">
        <f t="shared" ref="AN9" si="5">SUM(AK9:AM10)</f>
        <v>21</v>
      </c>
      <c r="AO9" s="250">
        <v>0</v>
      </c>
      <c r="AP9" s="240"/>
      <c r="AQ9" s="240"/>
      <c r="AR9" s="240"/>
      <c r="AS9" s="242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73</v>
      </c>
      <c r="C11" s="246" t="str">
        <f>VLOOKUP(B11,DS,2,0)</f>
        <v>Mai Thị Hường</v>
      </c>
      <c r="D11" s="254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/>
      <c r="AG11" s="131"/>
      <c r="AH11" s="131"/>
      <c r="AI11" s="131"/>
      <c r="AJ11" s="131"/>
      <c r="AK11" s="252">
        <f t="shared" ref="AK11" si="6">((SUM(F11:AJ11))/8)-(SUMIF($F$6:$AJ$6,"C.Nhật",F11:AJ11)/8)</f>
        <v>21</v>
      </c>
      <c r="AL11" s="252">
        <f t="shared" ref="AL11" si="7">SUM(F12:AJ12)/8*1.5</f>
        <v>0</v>
      </c>
      <c r="AM11" s="248">
        <f t="shared" si="4"/>
        <v>0</v>
      </c>
      <c r="AN11" s="240">
        <f t="shared" ref="AN11" si="8">SUM(AK11:AM12)</f>
        <v>21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3</v>
      </c>
      <c r="B13" s="244" t="s">
        <v>93</v>
      </c>
      <c r="C13" s="246" t="str">
        <f>VLOOKUP(B13,DS,2,0)</f>
        <v>Đào Quảng Ninh</v>
      </c>
      <c r="D13" s="254" t="str">
        <f>VLOOKUP(B13,DS,3,0)</f>
        <v>Giao Hàng</v>
      </c>
      <c r="E13" s="57" t="s">
        <v>29</v>
      </c>
      <c r="F13" s="131"/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/>
      <c r="AG13" s="131"/>
      <c r="AH13" s="131"/>
      <c r="AI13" s="131"/>
      <c r="AJ13" s="131"/>
      <c r="AK13" s="252">
        <f t="shared" ref="AK13" si="9">((SUM(F13:AJ13))/8)-(SUMIF($F$6:$AJ$6,"C.Nhật",F13:AJ13)/8)</f>
        <v>21</v>
      </c>
      <c r="AL13" s="252">
        <f t="shared" ref="AL13" si="10">SUM(F14:AJ14)/8*1.5</f>
        <v>0</v>
      </c>
      <c r="AM13" s="248">
        <f t="shared" si="4"/>
        <v>0</v>
      </c>
      <c r="AN13" s="240">
        <f t="shared" ref="AN13" si="11">SUM(AK13:AM14)</f>
        <v>21</v>
      </c>
      <c r="AO13" s="250">
        <v>0</v>
      </c>
      <c r="AP13" s="240"/>
      <c r="AQ13" s="240"/>
      <c r="AR13" s="240"/>
      <c r="AS13" s="242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4">
        <v>1</v>
      </c>
      <c r="B16" s="244" t="s">
        <v>74</v>
      </c>
      <c r="C16" s="246" t="str">
        <f>VLOOKUP(B16,DS,2,0)</f>
        <v>Thạch Huy Chạch</v>
      </c>
      <c r="D16" s="254" t="str">
        <f>VLOOKUP(B16,DS,3,0)</f>
        <v>Công nhân</v>
      </c>
      <c r="E16" s="57" t="s">
        <v>29</v>
      </c>
      <c r="F16" s="131"/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/>
      <c r="AG16" s="131"/>
      <c r="AH16" s="131"/>
      <c r="AI16" s="131"/>
      <c r="AJ16" s="131"/>
      <c r="AK16" s="252">
        <f t="shared" ref="AK16" si="12">((SUM(F16:AJ16))/8)-(SUMIF($F$6:$AJ$6,"C.Nhật",F16:AJ16)/8)</f>
        <v>21</v>
      </c>
      <c r="AL16" s="252">
        <f t="shared" ref="AL16" si="13">SUM(F17:AJ17)/8*1.5</f>
        <v>0</v>
      </c>
      <c r="AM16" s="248">
        <f>SUMIF($F$6:$AJ$6,"C.Nhật",$F16:$AJ17)/8*2</f>
        <v>0</v>
      </c>
      <c r="AN16" s="240">
        <f>SUM(AK16:AM17)</f>
        <v>21</v>
      </c>
      <c r="AO16" s="250">
        <v>0</v>
      </c>
      <c r="AP16" s="240"/>
      <c r="AQ16" s="240"/>
      <c r="AR16" s="240"/>
      <c r="AS16" s="24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5"/>
      <c r="B17" s="245"/>
      <c r="C17" s="247"/>
      <c r="D17" s="255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3"/>
      <c r="AL17" s="253"/>
      <c r="AM17" s="249"/>
      <c r="AN17" s="241"/>
      <c r="AO17" s="251"/>
      <c r="AP17" s="241"/>
      <c r="AQ17" s="241"/>
      <c r="AR17" s="241"/>
      <c r="AS17" s="24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L16:AL17"/>
    <mergeCell ref="AM16:AM17"/>
    <mergeCell ref="AN16:AN17"/>
    <mergeCell ref="AO16:AO17"/>
    <mergeCell ref="B13:B14"/>
    <mergeCell ref="C13:C14"/>
    <mergeCell ref="D13:D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5:A6"/>
    <mergeCell ref="B5:B6"/>
    <mergeCell ref="C5:C6"/>
    <mergeCell ref="D5:D6"/>
    <mergeCell ref="E5:E6"/>
    <mergeCell ref="AL13:AL14"/>
    <mergeCell ref="D11:D12"/>
    <mergeCell ref="AK11:AK12"/>
    <mergeCell ref="AL11:AL12"/>
    <mergeCell ref="AM1:AS1"/>
    <mergeCell ref="AK5:AM5"/>
    <mergeCell ref="AN5:AN6"/>
    <mergeCell ref="AO5:AO6"/>
    <mergeCell ref="AP5:AP6"/>
    <mergeCell ref="AQ5:AQ6"/>
    <mergeCell ref="AR5:AR6"/>
    <mergeCell ref="AS5:AS6"/>
    <mergeCell ref="A13:A14"/>
    <mergeCell ref="A11:A12"/>
    <mergeCell ref="B11:B12"/>
    <mergeCell ref="C11:C12"/>
    <mergeCell ref="AP16:AP17"/>
    <mergeCell ref="AP13:AP14"/>
    <mergeCell ref="AP11:AP12"/>
    <mergeCell ref="AM11:AM12"/>
    <mergeCell ref="AN11:AN12"/>
    <mergeCell ref="AO11:AO12"/>
    <mergeCell ref="AK13:AK14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S11:AS12"/>
    <mergeCell ref="AS13:AS14"/>
    <mergeCell ref="AQ13:AQ14"/>
    <mergeCell ref="AR13:AR14"/>
    <mergeCell ref="AQ11:AQ12"/>
    <mergeCell ref="AR11:AR12"/>
  </mergeCells>
  <conditionalFormatting sqref="F5:AJ6 AJ13:AJ14 F13 F9 AJ9:AJ10">
    <cfRule type="expression" dxfId="98" priority="71" stopIfTrue="1">
      <formula>IF(WEEKDAY(F$5)=1,TRUE,FALSE)</formula>
    </cfRule>
  </conditionalFormatting>
  <conditionalFormatting sqref="AJ13:AJ14 F13 F9 AJ9:AJ10">
    <cfRule type="expression" dxfId="97" priority="70" stopIfTrue="1">
      <formula>IF(WEEKDAY(F$5)=1,TRUE,FALSE)</formula>
    </cfRule>
  </conditionalFormatting>
  <conditionalFormatting sqref="F10 F14">
    <cfRule type="expression" dxfId="96" priority="68" stopIfTrue="1">
      <formula>IF(WEEKDAY(F$5)=1,TRUE,FALSE)</formula>
    </cfRule>
  </conditionalFormatting>
  <conditionalFormatting sqref="F10 F14">
    <cfRule type="expression" dxfId="95" priority="67" stopIfTrue="1">
      <formula>IF(WEEKDAY(F$5)=1,TRUE,FALSE)</formula>
    </cfRule>
  </conditionalFormatting>
  <conditionalFormatting sqref="AJ16:AJ17 F16">
    <cfRule type="expression" dxfId="94" priority="36" stopIfTrue="1">
      <formula>IF(WEEKDAY(F$5)=1,TRUE,FALSE)</formula>
    </cfRule>
  </conditionalFormatting>
  <conditionalFormatting sqref="AJ16:AJ17 F16">
    <cfRule type="expression" dxfId="93" priority="35" stopIfTrue="1">
      <formula>IF(WEEKDAY(F$5)=1,TRUE,FALSE)</formula>
    </cfRule>
  </conditionalFormatting>
  <conditionalFormatting sqref="F17">
    <cfRule type="expression" dxfId="92" priority="34" stopIfTrue="1">
      <formula>IF(WEEKDAY(F$5)=1,TRUE,FALSE)</formula>
    </cfRule>
  </conditionalFormatting>
  <conditionalFormatting sqref="F17">
    <cfRule type="expression" dxfId="91" priority="33" stopIfTrue="1">
      <formula>IF(WEEKDAY(F$5)=1,TRUE,FALSE)</formula>
    </cfRule>
  </conditionalFormatting>
  <conditionalFormatting sqref="AJ11:AJ12 F11">
    <cfRule type="expression" dxfId="90" priority="28" stopIfTrue="1">
      <formula>IF(WEEKDAY(F$5)=1,TRUE,FALSE)</formula>
    </cfRule>
  </conditionalFormatting>
  <conditionalFormatting sqref="AJ11:AJ12 F11">
    <cfRule type="expression" dxfId="89" priority="27" stopIfTrue="1">
      <formula>IF(WEEKDAY(F$5)=1,TRUE,FALSE)</formula>
    </cfRule>
  </conditionalFormatting>
  <conditionalFormatting sqref="F12">
    <cfRule type="expression" dxfId="88" priority="26" stopIfTrue="1">
      <formula>IF(WEEKDAY(F$5)=1,TRUE,FALSE)</formula>
    </cfRule>
  </conditionalFormatting>
  <conditionalFormatting sqref="F12">
    <cfRule type="expression" dxfId="87" priority="25" stopIfTrue="1">
      <formula>IF(WEEKDAY(F$5)=1,TRUE,FALSE)</formula>
    </cfRule>
  </conditionalFormatting>
  <conditionalFormatting sqref="G9 G13 I9:AI10 I13:AI14">
    <cfRule type="expression" dxfId="86" priority="24" stopIfTrue="1">
      <formula>IF(WEEKDAY(G$5)=1,TRUE,FALSE)</formula>
    </cfRule>
  </conditionalFormatting>
  <conditionalFormatting sqref="G9 G13 I9:AI10 I13:AI14">
    <cfRule type="expression" dxfId="85" priority="23" stopIfTrue="1">
      <formula>IF(WEEKDAY(G$5)=1,TRUE,FALSE)</formula>
    </cfRule>
  </conditionalFormatting>
  <conditionalFormatting sqref="G10 G14">
    <cfRule type="expression" dxfId="84" priority="22" stopIfTrue="1">
      <formula>IF(WEEKDAY(G$5)=1,TRUE,FALSE)</formula>
    </cfRule>
  </conditionalFormatting>
  <conditionalFormatting sqref="G10 G14">
    <cfRule type="expression" dxfId="83" priority="21" stopIfTrue="1">
      <formula>IF(WEEKDAY(G$5)=1,TRUE,FALSE)</formula>
    </cfRule>
  </conditionalFormatting>
  <conditionalFormatting sqref="G16 I16:AI17">
    <cfRule type="expression" dxfId="82" priority="20" stopIfTrue="1">
      <formula>IF(WEEKDAY(G$5)=1,TRUE,FALSE)</formula>
    </cfRule>
  </conditionalFormatting>
  <conditionalFormatting sqref="G16 I16:AI17">
    <cfRule type="expression" dxfId="81" priority="19" stopIfTrue="1">
      <formula>IF(WEEKDAY(G$5)=1,TRUE,FALSE)</formula>
    </cfRule>
  </conditionalFormatting>
  <conditionalFormatting sqref="G17">
    <cfRule type="expression" dxfId="80" priority="18" stopIfTrue="1">
      <formula>IF(WEEKDAY(G$5)=1,TRUE,FALSE)</formula>
    </cfRule>
  </conditionalFormatting>
  <conditionalFormatting sqref="G17">
    <cfRule type="expression" dxfId="79" priority="17" stopIfTrue="1">
      <formula>IF(WEEKDAY(G$5)=1,TRUE,FALSE)</formula>
    </cfRule>
  </conditionalFormatting>
  <conditionalFormatting sqref="G11 I11:AI12">
    <cfRule type="expression" dxfId="78" priority="16" stopIfTrue="1">
      <formula>IF(WEEKDAY(G$5)=1,TRUE,FALSE)</formula>
    </cfRule>
  </conditionalFormatting>
  <conditionalFormatting sqref="G11 I11:AI12">
    <cfRule type="expression" dxfId="77" priority="15" stopIfTrue="1">
      <formula>IF(WEEKDAY(G$5)=1,TRUE,FALSE)</formula>
    </cfRule>
  </conditionalFormatting>
  <conditionalFormatting sqref="G12">
    <cfRule type="expression" dxfId="76" priority="14" stopIfTrue="1">
      <formula>IF(WEEKDAY(G$5)=1,TRUE,FALSE)</formula>
    </cfRule>
  </conditionalFormatting>
  <conditionalFormatting sqref="G12">
    <cfRule type="expression" dxfId="75" priority="13" stopIfTrue="1">
      <formula>IF(WEEKDAY(G$5)=1,TRUE,FALSE)</formula>
    </cfRule>
  </conditionalFormatting>
  <conditionalFormatting sqref="H9 H13">
    <cfRule type="expression" dxfId="74" priority="12" stopIfTrue="1">
      <formula>IF(WEEKDAY(H$5)=1,TRUE,FALSE)</formula>
    </cfRule>
  </conditionalFormatting>
  <conditionalFormatting sqref="H9 H13">
    <cfRule type="expression" dxfId="73" priority="11" stopIfTrue="1">
      <formula>IF(WEEKDAY(H$5)=1,TRUE,FALSE)</formula>
    </cfRule>
  </conditionalFormatting>
  <conditionalFormatting sqref="H10 H14">
    <cfRule type="expression" dxfId="72" priority="10" stopIfTrue="1">
      <formula>IF(WEEKDAY(H$5)=1,TRUE,FALSE)</formula>
    </cfRule>
  </conditionalFormatting>
  <conditionalFormatting sqref="H10 H14">
    <cfRule type="expression" dxfId="71" priority="9" stopIfTrue="1">
      <formula>IF(WEEKDAY(H$5)=1,TRUE,FALSE)</formula>
    </cfRule>
  </conditionalFormatting>
  <conditionalFormatting sqref="H16">
    <cfRule type="expression" dxfId="70" priority="8" stopIfTrue="1">
      <formula>IF(WEEKDAY(H$5)=1,TRUE,FALSE)</formula>
    </cfRule>
  </conditionalFormatting>
  <conditionalFormatting sqref="H16">
    <cfRule type="expression" dxfId="69" priority="7" stopIfTrue="1">
      <formula>IF(WEEKDAY(H$5)=1,TRUE,FALSE)</formula>
    </cfRule>
  </conditionalFormatting>
  <conditionalFormatting sqref="H17">
    <cfRule type="expression" dxfId="68" priority="6" stopIfTrue="1">
      <formula>IF(WEEKDAY(H$5)=1,TRUE,FALSE)</formula>
    </cfRule>
  </conditionalFormatting>
  <conditionalFormatting sqref="H17">
    <cfRule type="expression" dxfId="67" priority="5" stopIfTrue="1">
      <formula>IF(WEEKDAY(H$5)=1,TRUE,FALSE)</formula>
    </cfRule>
  </conditionalFormatting>
  <conditionalFormatting sqref="H11">
    <cfRule type="expression" dxfId="66" priority="4" stopIfTrue="1">
      <formula>IF(WEEKDAY(H$5)=1,TRUE,FALSE)</formula>
    </cfRule>
  </conditionalFormatting>
  <conditionalFormatting sqref="H11">
    <cfRule type="expression" dxfId="65" priority="3" stopIfTrue="1">
      <formula>IF(WEEKDAY(H$5)=1,TRUE,FALSE)</formula>
    </cfRule>
  </conditionalFormatting>
  <conditionalFormatting sqref="H12">
    <cfRule type="expression" dxfId="64" priority="2" stopIfTrue="1">
      <formula>IF(WEEKDAY(H$5)=1,TRUE,FALSE)</formula>
    </cfRule>
  </conditionalFormatting>
  <conditionalFormatting sqref="H12">
    <cfRule type="expression" dxfId="63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selection activeCell="S6" sqref="S6"/>
    </sheetView>
  </sheetViews>
  <sheetFormatPr defaultRowHeight="11.25"/>
  <cols>
    <col min="1" max="1" width="5.28515625" style="6" customWidth="1"/>
    <col min="2" max="2" width="8.42578125" style="6" customWidth="1"/>
    <col min="3" max="3" width="23.85546875" style="6" customWidth="1"/>
    <col min="4" max="4" width="12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1.8554687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01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284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21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-1'!$E$4</f>
        <v>42736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/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>VLOOKUP(B10,DS,7,0)</f>
        <v>4012500</v>
      </c>
      <c r="F10" s="81">
        <f>VLOOKUP(B10,'CC -1'!$B$9:$AS$18,36,0)</f>
        <v>21</v>
      </c>
      <c r="G10" s="133">
        <f>ROUND(E10/$S$2*F10,0)</f>
        <v>4012500</v>
      </c>
      <c r="H10" s="81">
        <f>(VLOOKUP(B10,'CC -1'!$B$9:$AS$18,37,0)+VLOOKUP(B10,'CC -1'!$B$9:$AS$18,38,0))</f>
        <v>0</v>
      </c>
      <c r="I10" s="133">
        <f>ROUND(E10/$S$2*H10,0)</f>
        <v>0</v>
      </c>
      <c r="J10" s="82">
        <f t="shared" ref="J10:K10" si="2">F10+H10</f>
        <v>21</v>
      </c>
      <c r="K10" s="33">
        <f t="shared" si="2"/>
        <v>4012500</v>
      </c>
      <c r="L10" s="34">
        <f t="shared" ref="L10:N12" si="3">ROUND(IF(VLOOKUP($B10,DS,9,0)="x",$E10*L$4,0),0)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" si="4">VLOOKUP(B11,DS,2,0)</f>
        <v>Mai Thị Hường</v>
      </c>
      <c r="D11" s="104" t="str">
        <f t="shared" ref="D11" si="5">VLOOKUP(B11,DS,3,0)</f>
        <v>Kế Toán</v>
      </c>
      <c r="E11" s="79">
        <f>VLOOKUP(B11,DS,7,0)</f>
        <v>4012500</v>
      </c>
      <c r="F11" s="81">
        <f>VLOOKUP(B11,'CC -1'!$B$9:$AS$18,36,0)</f>
        <v>21</v>
      </c>
      <c r="G11" s="133">
        <f>ROUND(E11/$S$2*F11,0)</f>
        <v>4012500</v>
      </c>
      <c r="H11" s="81">
        <f>(VLOOKUP(B11,'CC -1'!$B$9:$AS$18,37,0)+VLOOKUP(B11,'CC -1'!$B$9:$AS$18,38,0))</f>
        <v>0</v>
      </c>
      <c r="I11" s="133">
        <f>ROUND(E11/$S$2*H11,0)</f>
        <v>0</v>
      </c>
      <c r="J11" s="82">
        <f t="shared" ref="J11" si="6">F11+H11</f>
        <v>21</v>
      </c>
      <c r="K11" s="33">
        <f t="shared" ref="K11" si="7">G11+I11</f>
        <v>4012500</v>
      </c>
      <c r="L11" s="34">
        <f t="shared" si="3"/>
        <v>321000</v>
      </c>
      <c r="M11" s="34">
        <f t="shared" si="3"/>
        <v>60188</v>
      </c>
      <c r="N11" s="34">
        <f t="shared" si="3"/>
        <v>40125</v>
      </c>
      <c r="O11" s="33">
        <f t="shared" ref="O11:O12" si="8">K11-SUM(L11:N11)</f>
        <v>3591187</v>
      </c>
      <c r="P11" s="33"/>
      <c r="Q11" s="39">
        <f t="shared" ref="Q11" si="9">O11-P11</f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10">VLOOKUP(B12,DS,2,0)</f>
        <v>Đào Quảng Ninh</v>
      </c>
      <c r="D12" s="104" t="str">
        <f t="shared" ref="D12" si="11">VLOOKUP(B12,DS,3,0)</f>
        <v>Giao Hàng</v>
      </c>
      <c r="E12" s="79">
        <f>VLOOKUP(B12,DS,7,0)</f>
        <v>3937000</v>
      </c>
      <c r="F12" s="81">
        <f>VLOOKUP(B12,'CC -1'!$B$9:$AS$18,36,0)</f>
        <v>21</v>
      </c>
      <c r="G12" s="133">
        <f>ROUND(E12/$S$2*F12,0)</f>
        <v>3937000</v>
      </c>
      <c r="H12" s="81">
        <f>(VLOOKUP(B12,'CC -1'!$B$9:$AS$18,37,0)+VLOOKUP(B12,'CC -1'!$B$9:$AS$18,38,0))</f>
        <v>0</v>
      </c>
      <c r="I12" s="133">
        <f>ROUND(E12/$S$2*H12,0)</f>
        <v>0</v>
      </c>
      <c r="J12" s="82">
        <f t="shared" ref="J12" si="12">F12+H12</f>
        <v>21</v>
      </c>
      <c r="K12" s="33">
        <f t="shared" ref="K12" si="13">G12+I12</f>
        <v>3937000</v>
      </c>
      <c r="L12" s="34">
        <f t="shared" si="3"/>
        <v>314960</v>
      </c>
      <c r="M12" s="34">
        <f t="shared" si="3"/>
        <v>59055</v>
      </c>
      <c r="N12" s="34">
        <f t="shared" si="3"/>
        <v>39370</v>
      </c>
      <c r="O12" s="33">
        <f t="shared" si="8"/>
        <v>3523615</v>
      </c>
      <c r="P12" s="33"/>
      <c r="Q12" s="39">
        <f t="shared" ref="Q12" si="14">O12-P12</f>
        <v>3523615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>
        <f>SUM(E9:E13)</f>
        <v>11962000</v>
      </c>
      <c r="F14" s="128"/>
      <c r="G14" s="128">
        <f>SUM(G9:G13)</f>
        <v>11962000</v>
      </c>
      <c r="H14" s="128"/>
      <c r="I14" s="128">
        <f>SUM(I9:I13)</f>
        <v>0</v>
      </c>
      <c r="J14" s="128"/>
      <c r="K14" s="128">
        <f t="shared" ref="K14:O14" si="15">SUM(K9:K13)</f>
        <v>11962000</v>
      </c>
      <c r="L14" s="128">
        <f t="shared" si="15"/>
        <v>956960</v>
      </c>
      <c r="M14" s="128">
        <f t="shared" si="15"/>
        <v>179431</v>
      </c>
      <c r="N14" s="128">
        <f t="shared" si="15"/>
        <v>119620</v>
      </c>
      <c r="O14" s="128">
        <f t="shared" si="15"/>
        <v>10705989</v>
      </c>
      <c r="P14" s="128"/>
      <c r="Q14" s="128">
        <f>SUM(Q9:Q13)</f>
        <v>10705989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6">VLOOKUP(B16,DS,2,0)</f>
        <v>Thạch Huy Chạch</v>
      </c>
      <c r="D16" s="104" t="str">
        <f t="shared" ref="D16" si="17">VLOOKUP(B16,DS,3,0)</f>
        <v>Công nhân</v>
      </c>
      <c r="E16" s="79">
        <f>VLOOKUP(B16,DS,7,0)</f>
        <v>3937000</v>
      </c>
      <c r="F16" s="81">
        <f>VLOOKUP(B16,'CC -1'!$B$9:$AS$18,36,0)</f>
        <v>21</v>
      </c>
      <c r="G16" s="133">
        <f>ROUND(E16/$S$2*F16,0)</f>
        <v>3937000</v>
      </c>
      <c r="H16" s="81">
        <f>(VLOOKUP(B16,'CC -1'!$B$9:$AS$18,37,0)+VLOOKUP(B16,'CC -1'!$B$9:$AS$18,38,0))</f>
        <v>0</v>
      </c>
      <c r="I16" s="133">
        <f>ROUND(E16/$S$2*H16,0)</f>
        <v>0</v>
      </c>
      <c r="J16" s="134">
        <f t="shared" ref="J16" si="18">F16+H16</f>
        <v>21</v>
      </c>
      <c r="K16" s="33">
        <f t="shared" ref="K16" si="19">G16+I16</f>
        <v>3937000</v>
      </c>
      <c r="L16" s="34">
        <f>ROUND(IF(VLOOKUP($B16,DS,9,0)="x",$E16*L$4,0),0)</f>
        <v>314960</v>
      </c>
      <c r="M16" s="34">
        <f>ROUND(IF(VLOOKUP($B16,DS,9,0)="x",$E16*M$4,0),0)</f>
        <v>59055</v>
      </c>
      <c r="N16" s="34">
        <f>ROUND(IF(VLOOKUP($B16,DS,9,0)="x",$E16*N$4,0),0)</f>
        <v>39370</v>
      </c>
      <c r="O16" s="33">
        <f>K16-SUM(L16:N16)</f>
        <v>3523615</v>
      </c>
      <c r="P16" s="33"/>
      <c r="Q16" s="39">
        <f>O16-P16</f>
        <v>3523615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>
        <f>SUM(E15:E17)</f>
        <v>3937000</v>
      </c>
      <c r="F18" s="128"/>
      <c r="G18" s="128">
        <f>SUM(G15:G17)</f>
        <v>3937000</v>
      </c>
      <c r="H18" s="128"/>
      <c r="I18" s="128">
        <f>SUM(I15:I17)</f>
        <v>0</v>
      </c>
      <c r="J18" s="128"/>
      <c r="K18" s="128">
        <f>SUM(K15:K17)</f>
        <v>3937000</v>
      </c>
      <c r="L18" s="128">
        <f>SUM(L15:L17)</f>
        <v>314960</v>
      </c>
      <c r="M18" s="128">
        <f>SUM(M15:M17)</f>
        <v>59055</v>
      </c>
      <c r="N18" s="128">
        <f>SUM(N15:N17)</f>
        <v>39370</v>
      </c>
      <c r="O18" s="128">
        <f>SUM(O15:O17)</f>
        <v>3523615</v>
      </c>
      <c r="P18" s="128"/>
      <c r="Q18" s="128">
        <f>SUM(Q15:Q17)</f>
        <v>3523615</v>
      </c>
      <c r="R18" s="21"/>
      <c r="S18" s="205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01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L24:R57 S30:S57 J17:Q17 T24:II57 L58:II65325 AD15:II15 T14:II14 AD5:II13 U10:U13 A10:B14 A24:K65325 D18:R18 D14:R14 J6:K7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2:S3" name="Range1_2_2_1"/>
    <protectedRange password="CC78" sqref="U16 A16:B16 P16:Q16 AD16:II16" name="Range1_5"/>
    <protectedRange password="CC78" sqref="V16:AC16 S16" name="Range1_2_3"/>
    <protectedRange password="CC78" sqref="T16" name="Range1_1_3"/>
    <protectedRange password="CC78" sqref="K16 K10:K13" name="Range1_6"/>
    <protectedRange password="CC78" sqref="A2:A3" name="Range1_2_1_3"/>
  </protectedRanges>
  <autoFilter ref="A7:AC9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5" sqref="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4" width="3.42578125" style="112" customWidth="1"/>
    <col min="35" max="36" width="4.42578125" style="2" customWidth="1"/>
    <col min="37" max="37" width="5.5703125" style="89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44"/>
      <c r="AJ1" s="44"/>
      <c r="AK1" s="256" t="s">
        <v>76</v>
      </c>
      <c r="AL1" s="257"/>
      <c r="AM1" s="257"/>
      <c r="AN1" s="257"/>
      <c r="AO1" s="257"/>
      <c r="AP1" s="257"/>
      <c r="AQ1" s="258"/>
      <c r="AR1" s="46"/>
    </row>
    <row r="2" spans="1:89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44"/>
      <c r="AJ2" s="44"/>
      <c r="AK2" s="85"/>
      <c r="AL2" s="48"/>
      <c r="AM2" s="48"/>
      <c r="AN2" s="48"/>
      <c r="AO2" s="48"/>
      <c r="AP2" s="48"/>
      <c r="AQ2" s="84"/>
      <c r="AR2" s="84"/>
    </row>
    <row r="3" spans="1:89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44"/>
      <c r="AJ3" s="44"/>
      <c r="AK3" s="85"/>
      <c r="AL3" s="46"/>
      <c r="AM3" s="46"/>
      <c r="AN3" s="46"/>
      <c r="AO3" s="46"/>
      <c r="AP3" s="46"/>
      <c r="AQ3" s="51"/>
      <c r="AR3" s="51"/>
    </row>
    <row r="4" spans="1:89" ht="14.25" customHeight="1">
      <c r="A4" s="52"/>
      <c r="B4" s="52"/>
      <c r="C4" s="142"/>
      <c r="D4" s="141"/>
      <c r="E4" s="53">
        <v>42767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2"/>
      <c r="AJ4" s="52"/>
      <c r="AK4" s="86"/>
      <c r="AL4" s="52"/>
      <c r="AM4" s="52"/>
      <c r="AN4" s="52"/>
      <c r="AO4" s="52"/>
      <c r="AP4" s="52"/>
      <c r="AQ4" s="52"/>
      <c r="AR4" s="90"/>
    </row>
    <row r="5" spans="1:89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42767</v>
      </c>
      <c r="G5" s="106">
        <f t="shared" ref="G5:AG5" si="0">F5+1</f>
        <v>42768</v>
      </c>
      <c r="H5" s="106">
        <f t="shared" si="0"/>
        <v>42769</v>
      </c>
      <c r="I5" s="106">
        <f t="shared" si="0"/>
        <v>42770</v>
      </c>
      <c r="J5" s="106">
        <f t="shared" si="0"/>
        <v>42771</v>
      </c>
      <c r="K5" s="106">
        <f t="shared" si="0"/>
        <v>42772</v>
      </c>
      <c r="L5" s="106">
        <f t="shared" si="0"/>
        <v>42773</v>
      </c>
      <c r="M5" s="106">
        <f t="shared" si="0"/>
        <v>42774</v>
      </c>
      <c r="N5" s="106">
        <f t="shared" si="0"/>
        <v>42775</v>
      </c>
      <c r="O5" s="106">
        <f t="shared" si="0"/>
        <v>42776</v>
      </c>
      <c r="P5" s="106">
        <f t="shared" si="0"/>
        <v>42777</v>
      </c>
      <c r="Q5" s="106">
        <f t="shared" si="0"/>
        <v>42778</v>
      </c>
      <c r="R5" s="106">
        <f t="shared" si="0"/>
        <v>42779</v>
      </c>
      <c r="S5" s="106">
        <f t="shared" si="0"/>
        <v>42780</v>
      </c>
      <c r="T5" s="106">
        <f t="shared" si="0"/>
        <v>42781</v>
      </c>
      <c r="U5" s="106">
        <f t="shared" si="0"/>
        <v>42782</v>
      </c>
      <c r="V5" s="106">
        <f t="shared" si="0"/>
        <v>42783</v>
      </c>
      <c r="W5" s="106">
        <f t="shared" si="0"/>
        <v>42784</v>
      </c>
      <c r="X5" s="106">
        <f t="shared" si="0"/>
        <v>42785</v>
      </c>
      <c r="Y5" s="106">
        <f t="shared" si="0"/>
        <v>42786</v>
      </c>
      <c r="Z5" s="106">
        <f t="shared" si="0"/>
        <v>42787</v>
      </c>
      <c r="AA5" s="106">
        <f t="shared" si="0"/>
        <v>42788</v>
      </c>
      <c r="AB5" s="106">
        <f t="shared" si="0"/>
        <v>42789</v>
      </c>
      <c r="AC5" s="106">
        <f t="shared" si="0"/>
        <v>42790</v>
      </c>
      <c r="AD5" s="106">
        <f t="shared" si="0"/>
        <v>42791</v>
      </c>
      <c r="AE5" s="106">
        <f t="shared" si="0"/>
        <v>42792</v>
      </c>
      <c r="AF5" s="106">
        <f t="shared" si="0"/>
        <v>42793</v>
      </c>
      <c r="AG5" s="106">
        <f t="shared" si="0"/>
        <v>42794</v>
      </c>
      <c r="AH5" s="106">
        <f>AG5+1</f>
        <v>42795</v>
      </c>
      <c r="AI5" s="259" t="s">
        <v>14</v>
      </c>
      <c r="AJ5" s="260"/>
      <c r="AK5" s="261"/>
      <c r="AL5" s="262" t="s">
        <v>38</v>
      </c>
      <c r="AM5" s="262" t="s">
        <v>34</v>
      </c>
      <c r="AN5" s="262" t="s">
        <v>35</v>
      </c>
      <c r="AO5" s="262" t="s">
        <v>36</v>
      </c>
      <c r="AP5" s="262" t="s">
        <v>37</v>
      </c>
      <c r="AQ5" s="264" t="s">
        <v>0</v>
      </c>
      <c r="AR5" s="267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T.Tư</v>
      </c>
      <c r="G6" s="158" t="str">
        <f t="shared" ref="G6:AH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9" t="s">
        <v>15</v>
      </c>
      <c r="AJ6" s="159" t="s">
        <v>28</v>
      </c>
      <c r="AK6" s="160" t="s">
        <v>16</v>
      </c>
      <c r="AL6" s="263"/>
      <c r="AM6" s="263"/>
      <c r="AN6" s="263"/>
      <c r="AO6" s="263"/>
      <c r="AP6" s="263"/>
      <c r="AQ6" s="265"/>
      <c r="AR6" s="267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20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7"/>
      <c r="AR8" s="163"/>
    </row>
    <row r="9" spans="1:89" s="56" customFormat="1" ht="18" customHeight="1">
      <c r="A9" s="244">
        <v>1</v>
      </c>
      <c r="B9" s="244" t="s">
        <v>72</v>
      </c>
      <c r="C9" s="246" t="str">
        <f>VLOOKUP(B9,DS,2,0)</f>
        <v>Nguyễn Phước Bảo Việt Hùng</v>
      </c>
      <c r="D9" s="254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/>
      <c r="AI9" s="252">
        <f>((SUM(F9:AH9))/8)-(SUMIF($F$6:$AH$6,"C.Nhật",F9:AH9)/8)</f>
        <v>22</v>
      </c>
      <c r="AJ9" s="252">
        <f>SUM(F10:AH10)/8*1.5</f>
        <v>0</v>
      </c>
      <c r="AK9" s="248">
        <f>SUMIF($F$6:$AH$6,"C.Nhật",$F9:$AH10)/8*2</f>
        <v>0</v>
      </c>
      <c r="AL9" s="240">
        <f>SUM(AI9:AK10)</f>
        <v>22</v>
      </c>
      <c r="AM9" s="250">
        <v>0</v>
      </c>
      <c r="AN9" s="240"/>
      <c r="AO9" s="240"/>
      <c r="AP9" s="240"/>
      <c r="AQ9" s="242"/>
      <c r="AR9" s="20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253"/>
      <c r="AJ10" s="253"/>
      <c r="AK10" s="249"/>
      <c r="AL10" s="241"/>
      <c r="AM10" s="251"/>
      <c r="AN10" s="241"/>
      <c r="AO10" s="241"/>
      <c r="AP10" s="241"/>
      <c r="AQ10" s="243"/>
      <c r="AR10" s="20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6" customFormat="1" ht="18" customHeight="1">
      <c r="A11" s="244">
        <v>2</v>
      </c>
      <c r="B11" s="244" t="s">
        <v>73</v>
      </c>
      <c r="C11" s="246" t="str">
        <f>VLOOKUP(B11,DS,2,0)</f>
        <v>Mai Thị Hường</v>
      </c>
      <c r="D11" s="254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/>
      <c r="AI11" s="252">
        <f>((SUM(F11:AH11))/8)-(SUMIF($F$6:$AH$6,"C.Nhật",F11:AH11)/8)</f>
        <v>22</v>
      </c>
      <c r="AJ11" s="252">
        <f>SUM(F12:AH12)/8*1.5</f>
        <v>0</v>
      </c>
      <c r="AK11" s="248">
        <f>SUMIF($F$6:$AH$6,"C.Nhật",$F11:$AH12)/8*2</f>
        <v>0</v>
      </c>
      <c r="AL11" s="240">
        <f t="shared" ref="AL11" si="2">SUM(AI11:AK12)</f>
        <v>22</v>
      </c>
      <c r="AM11" s="250">
        <v>0</v>
      </c>
      <c r="AN11" s="240"/>
      <c r="AO11" s="240"/>
      <c r="AP11" s="240"/>
      <c r="AQ11" s="242"/>
      <c r="AR11" s="21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253"/>
      <c r="AJ12" s="253"/>
      <c r="AK12" s="249"/>
      <c r="AL12" s="241"/>
      <c r="AM12" s="251"/>
      <c r="AN12" s="241"/>
      <c r="AO12" s="241"/>
      <c r="AP12" s="241"/>
      <c r="AQ12" s="243"/>
      <c r="AR12" s="21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7"/>
      <c r="AR13" s="163"/>
    </row>
    <row r="14" spans="1:89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/>
      <c r="G14" s="131"/>
      <c r="H14" s="131">
        <v>8</v>
      </c>
      <c r="I14" s="131">
        <v>8</v>
      </c>
      <c r="J14" s="131"/>
      <c r="K14" s="131">
        <v>8</v>
      </c>
      <c r="L14" s="131">
        <v>8</v>
      </c>
      <c r="M14" s="131">
        <v>8</v>
      </c>
      <c r="N14" s="131">
        <v>8</v>
      </c>
      <c r="O14" s="131">
        <v>8</v>
      </c>
      <c r="P14" s="131">
        <v>8</v>
      </c>
      <c r="Q14" s="131"/>
      <c r="R14" s="131">
        <v>8</v>
      </c>
      <c r="S14" s="131">
        <v>8</v>
      </c>
      <c r="T14" s="131">
        <v>8</v>
      </c>
      <c r="U14" s="131">
        <v>8</v>
      </c>
      <c r="V14" s="131">
        <v>8</v>
      </c>
      <c r="W14" s="131">
        <v>8</v>
      </c>
      <c r="X14" s="131"/>
      <c r="Y14" s="131">
        <v>8</v>
      </c>
      <c r="Z14" s="131">
        <v>8</v>
      </c>
      <c r="AA14" s="131">
        <v>8</v>
      </c>
      <c r="AB14" s="131">
        <v>8</v>
      </c>
      <c r="AC14" s="131">
        <v>8</v>
      </c>
      <c r="AD14" s="131">
        <v>8</v>
      </c>
      <c r="AE14" s="131"/>
      <c r="AF14" s="131">
        <v>8</v>
      </c>
      <c r="AG14" s="131">
        <v>8</v>
      </c>
      <c r="AH14" s="131"/>
      <c r="AI14" s="252">
        <f>((SUM(F14:AH14))/8)-(SUMIF($F$6:$AH$6,"C.Nhật",F14:AH14)/8)</f>
        <v>22</v>
      </c>
      <c r="AJ14" s="252">
        <f>SUM(F15:AH15)/8*1.5</f>
        <v>0</v>
      </c>
      <c r="AK14" s="248">
        <f>SUMIF($F$6:$AH$6,"C.Nhật",$F14:$AH15)/8*2</f>
        <v>0</v>
      </c>
      <c r="AL14" s="240">
        <f>SUM(AI14:AK15)</f>
        <v>22</v>
      </c>
      <c r="AM14" s="250">
        <v>0</v>
      </c>
      <c r="AN14" s="240"/>
      <c r="AO14" s="240"/>
      <c r="AP14" s="240"/>
      <c r="AQ14" s="242"/>
      <c r="AR14" s="20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253"/>
      <c r="AJ15" s="253"/>
      <c r="AK15" s="249"/>
      <c r="AL15" s="241"/>
      <c r="AM15" s="251"/>
      <c r="AN15" s="241"/>
      <c r="AO15" s="241"/>
      <c r="AP15" s="241"/>
      <c r="AQ15" s="243"/>
      <c r="AR15" s="20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4"/>
      <c r="AJ16" s="4"/>
      <c r="AK16" s="87"/>
      <c r="AL16" s="63"/>
      <c r="AM16" s="63"/>
      <c r="AN16" s="63"/>
      <c r="AO16" s="63"/>
      <c r="AP16" s="63"/>
      <c r="AQ16" s="4"/>
      <c r="AR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4"/>
      <c r="AJ17" s="4"/>
      <c r="AK17" s="87"/>
      <c r="AL17" s="63"/>
      <c r="AM17" s="63"/>
      <c r="AN17" s="63"/>
      <c r="AO17" s="63"/>
      <c r="AP17" s="63"/>
      <c r="AQ17" s="4"/>
      <c r="AR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4"/>
      <c r="AJ18" s="4"/>
      <c r="AK18" s="87"/>
      <c r="AL18" s="65"/>
      <c r="AM18" s="65"/>
      <c r="AN18" s="65"/>
      <c r="AO18" s="65"/>
      <c r="AP18" s="65"/>
      <c r="AQ18" s="4"/>
      <c r="AR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4"/>
      <c r="AJ19" s="4"/>
      <c r="AK19" s="87"/>
      <c r="AL19" s="65"/>
      <c r="AM19" s="65"/>
      <c r="AN19" s="65"/>
      <c r="AO19" s="65"/>
      <c r="AP19" s="65"/>
      <c r="AQ19" s="4"/>
      <c r="AR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4"/>
      <c r="AJ20" s="4"/>
      <c r="AK20" s="87"/>
      <c r="AL20" s="65"/>
      <c r="AM20" s="65"/>
      <c r="AN20" s="65"/>
      <c r="AO20" s="65"/>
      <c r="AP20" s="65"/>
      <c r="AQ20" s="4"/>
      <c r="AR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4"/>
      <c r="AJ21" s="4"/>
      <c r="AK21" s="87"/>
      <c r="AL21" s="65"/>
      <c r="AM21" s="65"/>
      <c r="AN21" s="65"/>
      <c r="AO21" s="65"/>
      <c r="AP21" s="65"/>
      <c r="AQ21" s="4"/>
      <c r="AR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66"/>
      <c r="AK22" s="88"/>
      <c r="AL22" s="10"/>
      <c r="AM22" s="10"/>
      <c r="AN22" s="10"/>
      <c r="AO22" s="10"/>
      <c r="AP22" s="10"/>
      <c r="AQ22" s="14"/>
      <c r="AR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2"/>
      <c r="AJ23" s="2"/>
      <c r="AK23" s="89"/>
      <c r="AL23" s="2"/>
      <c r="AM23" s="2"/>
      <c r="AN23" s="2"/>
      <c r="AO23" s="2"/>
      <c r="AP23" s="2"/>
      <c r="AQ23" s="2"/>
      <c r="AR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2"/>
      <c r="AJ24" s="2"/>
      <c r="AK24" s="89"/>
      <c r="AL24" s="2"/>
      <c r="AM24" s="2"/>
      <c r="AN24" s="2"/>
      <c r="AO24" s="2"/>
      <c r="AP24" s="2"/>
      <c r="AQ24" s="2"/>
      <c r="AR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2"/>
      <c r="AJ27" s="2"/>
      <c r="AK27" s="8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2"/>
      <c r="AJ28" s="2"/>
      <c r="AK28" s="8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2"/>
      <c r="AJ29" s="2"/>
      <c r="AK29" s="8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2"/>
      <c r="AJ30" s="2"/>
      <c r="AK30" s="8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2"/>
      <c r="AJ31" s="2"/>
      <c r="AK31" s="8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2"/>
      <c r="AJ32" s="2"/>
      <c r="AK32" s="8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4:A15" name="Range1_1_2"/>
    <protectedRange password="CC78" sqref="A14:A15 C14:E15" name="Range1_6_2"/>
    <protectedRange password="CC78" sqref="B14:B15" name="Range1_4_2"/>
  </protectedRanges>
  <mergeCells count="53">
    <mergeCell ref="AN11:AN12"/>
    <mergeCell ref="AO11:AO12"/>
    <mergeCell ref="AP11:AP12"/>
    <mergeCell ref="AQ11:AQ12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Q14:AQ15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">
    <cfRule type="expression" dxfId="62" priority="27" stopIfTrue="1">
      <formula>IF(WEEKDAY(F$5)=1,TRUE,FALSE)</formula>
    </cfRule>
  </conditionalFormatting>
  <conditionalFormatting sqref="H14:I15">
    <cfRule type="expression" dxfId="61" priority="1" stopIfTrue="1">
      <formula>IF(WEEKDAY(H$5)=1,TRUE,FALSE)</formula>
    </cfRule>
  </conditionalFormatting>
  <conditionalFormatting sqref="F9:G10 J9:AH10">
    <cfRule type="expression" dxfId="60" priority="6" stopIfTrue="1">
      <formula>IF(WEEKDAY(F$5)=1,TRUE,FALSE)</formula>
    </cfRule>
  </conditionalFormatting>
  <conditionalFormatting sqref="F11:G12 J11:AH12">
    <cfRule type="expression" dxfId="59" priority="5" stopIfTrue="1">
      <formula>IF(WEEKDAY(F$5)=1,TRUE,FALSE)</formula>
    </cfRule>
  </conditionalFormatting>
  <conditionalFormatting sqref="H9:I10">
    <cfRule type="expression" dxfId="58" priority="4" stopIfTrue="1">
      <formula>IF(WEEKDAY(H$5)=1,TRUE,FALSE)</formula>
    </cfRule>
  </conditionalFormatting>
  <conditionalFormatting sqref="H11:I12">
    <cfRule type="expression" dxfId="57" priority="3" stopIfTrue="1">
      <formula>IF(WEEKDAY(H$5)=1,TRUE,FALSE)</formula>
    </cfRule>
  </conditionalFormatting>
  <conditionalFormatting sqref="F14:G15 J14:AH15">
    <cfRule type="expression" dxfId="56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G12" activePane="bottomRight" state="frozen"/>
      <selection activeCell="X10" sqref="X10"/>
      <selection pane="topRight" activeCell="X10" sqref="X10"/>
      <selection pane="bottomLeft" activeCell="X10" sqref="X10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3.8554687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02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22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-2'!$E$4</f>
        <v>42767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-2'!$B$8:$AQ$15,34,0)</f>
        <v>22</v>
      </c>
      <c r="G10" s="133">
        <f>ROUND(E10/$S$2*F10,0)</f>
        <v>4012500</v>
      </c>
      <c r="H10" s="81">
        <f>(VLOOKUP(B10,'CC -2'!$B$8:$AQ$15,35,0)+VLOOKUP(B10,'CC -2'!$B$8:$AQ$15,36,0))</f>
        <v>0</v>
      </c>
      <c r="I10" s="133">
        <f>ROUND(E10/$S$2*H10,0)</f>
        <v>0</v>
      </c>
      <c r="J10" s="82">
        <f t="shared" ref="J10:J11" si="2">F10+H10</f>
        <v>22</v>
      </c>
      <c r="K10" s="33">
        <f>G10+I10</f>
        <v>4012500</v>
      </c>
      <c r="L10" s="34">
        <f t="shared" ref="L10:N11" si="3">ROUND(IF(VLOOKUP($B10,DS,11,0)="x",$E10*L$4,0),0)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 t="shared" ref="Q10:Q11" si="4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-2'!$B$8:$AQ$15,34,0)</f>
        <v>22</v>
      </c>
      <c r="G11" s="133">
        <f>ROUND(E11/$S$2*F11,0)</f>
        <v>4012500</v>
      </c>
      <c r="H11" s="81">
        <f>(VLOOKUP(B11,'CC -2'!$B$8:$AQ$15,35,0)+VLOOKUP(B11,'CC -2'!$B$8:$AQ$15,36,0))</f>
        <v>0</v>
      </c>
      <c r="I11" s="133">
        <f>ROUND(E11/$S$2*H11,0)</f>
        <v>0</v>
      </c>
      <c r="J11" s="82">
        <f t="shared" si="2"/>
        <v>22</v>
      </c>
      <c r="K11" s="33">
        <f t="shared" ref="K11" si="5">G11+I11</f>
        <v>4012500</v>
      </c>
      <c r="L11" s="34">
        <f t="shared" si="3"/>
        <v>321000</v>
      </c>
      <c r="M11" s="34">
        <f t="shared" si="3"/>
        <v>60188</v>
      </c>
      <c r="N11" s="34">
        <f t="shared" si="3"/>
        <v>40125</v>
      </c>
      <c r="O11" s="33">
        <f>K11-SUM(L11:N11)</f>
        <v>3591187</v>
      </c>
      <c r="P11" s="33"/>
      <c r="Q11" s="39">
        <f t="shared" si="4"/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SUM(E9:E11)</f>
        <v>8025000</v>
      </c>
      <c r="F13" s="128"/>
      <c r="G13" s="128">
        <f>SUM(G9:G11)</f>
        <v>8025000</v>
      </c>
      <c r="H13" s="128"/>
      <c r="I13" s="128">
        <f>SUM(I9:I11)</f>
        <v>0</v>
      </c>
      <c r="J13" s="128"/>
      <c r="K13" s="128">
        <f>SUM(K9:K11)</f>
        <v>8025000</v>
      </c>
      <c r="L13" s="128">
        <f>SUM(L9:L11)</f>
        <v>642000</v>
      </c>
      <c r="M13" s="128">
        <f>SUM(M9:M11)</f>
        <v>120376</v>
      </c>
      <c r="N13" s="128">
        <f>SUM(N9:N11)</f>
        <v>80250</v>
      </c>
      <c r="O13" s="128">
        <f>SUM(O9:O11)</f>
        <v>7182374</v>
      </c>
      <c r="P13" s="128"/>
      <c r="Q13" s="128">
        <f>SUM(Q9:Q11)</f>
        <v>7182374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6">VLOOKUP(B15,DS,2,0)</f>
        <v>Thạch Huy Chạch</v>
      </c>
      <c r="D15" s="104" t="str">
        <f t="shared" ref="D15" si="7">VLOOKUP(B15,DS,3,0)</f>
        <v>Công nhân</v>
      </c>
      <c r="E15" s="79">
        <f>VLOOKUP(B15,DS,7,0)</f>
        <v>3937000</v>
      </c>
      <c r="F15" s="81">
        <f>VLOOKUP(B15,'CC -2'!$B$8:$AQ$15,34,0)</f>
        <v>22</v>
      </c>
      <c r="G15" s="133">
        <f t="shared" ref="G15" si="8">ROUND(E15/$S$2*F15,0)</f>
        <v>3937000</v>
      </c>
      <c r="H15" s="81">
        <f>(VLOOKUP(B15,'CC -2'!$B$8:$AQ$15,35,0)+VLOOKUP(B15,'CC -2'!$B$8:$AQ$15,36,0))</f>
        <v>0</v>
      </c>
      <c r="I15" s="133">
        <f t="shared" ref="I15" si="9">ROUND(E15/$S$2*H15,0)</f>
        <v>0</v>
      </c>
      <c r="J15" s="134">
        <f t="shared" ref="J15:K15" si="10">F15+H15</f>
        <v>22</v>
      </c>
      <c r="K15" s="33">
        <f t="shared" si="10"/>
        <v>3937000</v>
      </c>
      <c r="L15" s="34">
        <f>ROUND(IF(VLOOKUP($B15,DS,11,0)="x",$E15*L$4,0),0)</f>
        <v>314960</v>
      </c>
      <c r="M15" s="34">
        <f>ROUND(IF(VLOOKUP($B15,DS,11,0)="x",$E15*M$4,0),0)</f>
        <v>59055</v>
      </c>
      <c r="N15" s="34">
        <f>ROUND(IF(VLOOKUP($B15,DS,11,0)="x",$E15*N$4,0),0)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1">SUM(K14:K16)</f>
        <v>3937000</v>
      </c>
      <c r="L17" s="128">
        <f t="shared" si="11"/>
        <v>314960</v>
      </c>
      <c r="M17" s="128">
        <f t="shared" si="11"/>
        <v>59055</v>
      </c>
      <c r="N17" s="128">
        <f t="shared" si="11"/>
        <v>39370</v>
      </c>
      <c r="O17" s="128">
        <f t="shared" si="11"/>
        <v>3523615</v>
      </c>
      <c r="P17" s="128">
        <f t="shared" si="11"/>
        <v>0</v>
      </c>
      <c r="Q17" s="128">
        <f t="shared" si="11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02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3:R13 D17:R17 O12:Q12 A10:B13 U10:U12 AD5:II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S4:S14 V5:AC12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:B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S2" name="Range1_2_2_1_1"/>
    <protectedRange password="CC78" sqref="O10:O11 O15" name="Range1_3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20" sqref="A20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03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42795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42795</v>
      </c>
      <c r="G5" s="106">
        <f t="shared" ref="G5:AJ5" si="0">F5+1</f>
        <v>42796</v>
      </c>
      <c r="H5" s="106">
        <f t="shared" si="0"/>
        <v>42797</v>
      </c>
      <c r="I5" s="106">
        <f t="shared" si="0"/>
        <v>42798</v>
      </c>
      <c r="J5" s="106">
        <f t="shared" si="0"/>
        <v>42799</v>
      </c>
      <c r="K5" s="106">
        <f t="shared" si="0"/>
        <v>42800</v>
      </c>
      <c r="L5" s="106">
        <f t="shared" si="0"/>
        <v>42801</v>
      </c>
      <c r="M5" s="106">
        <f t="shared" si="0"/>
        <v>42802</v>
      </c>
      <c r="N5" s="106">
        <f t="shared" si="0"/>
        <v>42803</v>
      </c>
      <c r="O5" s="106">
        <f t="shared" si="0"/>
        <v>42804</v>
      </c>
      <c r="P5" s="106">
        <f t="shared" si="0"/>
        <v>42805</v>
      </c>
      <c r="Q5" s="106">
        <f t="shared" si="0"/>
        <v>42806</v>
      </c>
      <c r="R5" s="106">
        <f t="shared" si="0"/>
        <v>42807</v>
      </c>
      <c r="S5" s="106">
        <f t="shared" si="0"/>
        <v>42808</v>
      </c>
      <c r="T5" s="106">
        <f t="shared" si="0"/>
        <v>42809</v>
      </c>
      <c r="U5" s="106">
        <f t="shared" si="0"/>
        <v>42810</v>
      </c>
      <c r="V5" s="106">
        <f t="shared" si="0"/>
        <v>42811</v>
      </c>
      <c r="W5" s="106">
        <f t="shared" si="0"/>
        <v>42812</v>
      </c>
      <c r="X5" s="106">
        <f t="shared" si="0"/>
        <v>42813</v>
      </c>
      <c r="Y5" s="106">
        <f t="shared" si="0"/>
        <v>42814</v>
      </c>
      <c r="Z5" s="106">
        <f t="shared" si="0"/>
        <v>42815</v>
      </c>
      <c r="AA5" s="106">
        <f t="shared" si="0"/>
        <v>42816</v>
      </c>
      <c r="AB5" s="106">
        <f t="shared" si="0"/>
        <v>42817</v>
      </c>
      <c r="AC5" s="106">
        <f t="shared" si="0"/>
        <v>42818</v>
      </c>
      <c r="AD5" s="106">
        <f t="shared" si="0"/>
        <v>42819</v>
      </c>
      <c r="AE5" s="106">
        <f t="shared" si="0"/>
        <v>42820</v>
      </c>
      <c r="AF5" s="106">
        <f t="shared" si="0"/>
        <v>42821</v>
      </c>
      <c r="AG5" s="106">
        <f t="shared" si="0"/>
        <v>42822</v>
      </c>
      <c r="AH5" s="106">
        <f>AG5+1</f>
        <v>42823</v>
      </c>
      <c r="AI5" s="106">
        <f t="shared" si="0"/>
        <v>42824</v>
      </c>
      <c r="AJ5" s="106">
        <f t="shared" si="0"/>
        <v>42825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T.Tư</v>
      </c>
      <c r="G6" s="158" t="str">
        <f t="shared" ref="G6:AJ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 t="str">
        <f t="shared" si="1"/>
        <v>T.Sáu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72</v>
      </c>
      <c r="C9" s="246" t="str">
        <f>VLOOKUP(B9,DS,2,0)</f>
        <v>Nguyễn Phước Bảo Việt Hùng</v>
      </c>
      <c r="D9" s="254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131">
        <v>8</v>
      </c>
      <c r="AK9" s="252">
        <f>((SUM(F9:AJ9))/8)-(SUMIF($F$6:$AJ$6,"C.Nhật",F9:AJ9)/8)</f>
        <v>27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27</v>
      </c>
      <c r="AO9" s="250">
        <v>0</v>
      </c>
      <c r="AP9" s="240"/>
      <c r="AQ9" s="240"/>
      <c r="AR9" s="240"/>
      <c r="AS9" s="242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73</v>
      </c>
      <c r="C11" s="246" t="str">
        <f>VLOOKUP(B11,DS,2,0)</f>
        <v>Mai Thị Hường</v>
      </c>
      <c r="D11" s="254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131">
        <v>8</v>
      </c>
      <c r="AK11" s="252">
        <f t="shared" ref="AK11" si="2">((SUM(F11:AJ11))/8)-(SUMIF($F$6:$AJ$6,"C.Nhật",F11:AJ11)/8)</f>
        <v>27</v>
      </c>
      <c r="AL11" s="252">
        <f t="shared" ref="AL11" si="3">SUM(F12:AJ12)/8*1.5</f>
        <v>0</v>
      </c>
      <c r="AM11" s="248">
        <f t="shared" ref="AM11:AM15" si="4">SUMIF($F$6:$AJ$6,"C.Nhật",$F11:$AJ12)/8*2</f>
        <v>0</v>
      </c>
      <c r="AN11" s="240">
        <f t="shared" ref="AN11" si="5">SUM(AK11:AM12)</f>
        <v>27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4">
        <v>2</v>
      </c>
      <c r="B13" s="244" t="s">
        <v>105</v>
      </c>
      <c r="C13" s="246" t="str">
        <f>VLOOKUP(B13,DS,2,0)</f>
        <v>Nguyễn Thị Thúy Hằng</v>
      </c>
      <c r="D13" s="254" t="str">
        <f>VLOOKUP(B13,DS,3,0)</f>
        <v>Trưởng Phòng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131">
        <v>8</v>
      </c>
      <c r="AK13" s="252">
        <f t="shared" ref="AK13" si="6">((SUM(F13:AJ13))/8)-(SUMIF($F$6:$AJ$6,"C.Nhật",F13:AJ13)/8)</f>
        <v>27</v>
      </c>
      <c r="AL13" s="252">
        <f t="shared" ref="AL13" si="7">SUM(F14:AJ14)/8*1.5</f>
        <v>0</v>
      </c>
      <c r="AM13" s="248">
        <f>SUMIF($F$6:$AJ$6,"C.Nhật",$F13:$AJ14)/8*2</f>
        <v>0</v>
      </c>
      <c r="AN13" s="240">
        <f>SUM(AK13:AM14)</f>
        <v>27</v>
      </c>
      <c r="AO13" s="250">
        <v>0</v>
      </c>
      <c r="AP13" s="240"/>
      <c r="AQ13" s="240"/>
      <c r="AR13" s="240"/>
      <c r="AS13" s="242"/>
      <c r="AT13" s="22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5"/>
      <c r="B14" s="245"/>
      <c r="C14" s="247"/>
      <c r="D14" s="255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3"/>
      <c r="AL14" s="253"/>
      <c r="AM14" s="249"/>
      <c r="AN14" s="241"/>
      <c r="AO14" s="251"/>
      <c r="AP14" s="241"/>
      <c r="AQ14" s="241"/>
      <c r="AR14" s="241"/>
      <c r="AS14" s="243"/>
      <c r="AT14" s="22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4">
        <v>3</v>
      </c>
      <c r="B15" s="244" t="s">
        <v>113</v>
      </c>
      <c r="C15" s="246" t="str">
        <f>VLOOKUP(B15,DS,2,0)</f>
        <v>Võ Ngọc Thúy Hằng</v>
      </c>
      <c r="D15" s="254" t="str">
        <f>VLOOKUP(B15,DS,3,0)</f>
        <v>Văn Phòng</v>
      </c>
      <c r="E15" s="57" t="s">
        <v>29</v>
      </c>
      <c r="F15" s="131">
        <v>8</v>
      </c>
      <c r="G15" s="131">
        <v>8</v>
      </c>
      <c r="H15" s="131">
        <v>8</v>
      </c>
      <c r="I15" s="131">
        <v>8</v>
      </c>
      <c r="J15" s="131"/>
      <c r="K15" s="131">
        <v>8</v>
      </c>
      <c r="L15" s="131">
        <v>8</v>
      </c>
      <c r="M15" s="131">
        <v>8</v>
      </c>
      <c r="N15" s="131">
        <v>8</v>
      </c>
      <c r="O15" s="131">
        <v>8</v>
      </c>
      <c r="P15" s="131">
        <v>8</v>
      </c>
      <c r="Q15" s="131"/>
      <c r="R15" s="131">
        <v>8</v>
      </c>
      <c r="S15" s="131">
        <v>8</v>
      </c>
      <c r="T15" s="131">
        <v>8</v>
      </c>
      <c r="U15" s="131">
        <v>8</v>
      </c>
      <c r="V15" s="131">
        <v>8</v>
      </c>
      <c r="W15" s="131">
        <v>8</v>
      </c>
      <c r="X15" s="131"/>
      <c r="Y15" s="131">
        <v>8</v>
      </c>
      <c r="Z15" s="131">
        <v>8</v>
      </c>
      <c r="AA15" s="131">
        <v>8</v>
      </c>
      <c r="AB15" s="131">
        <v>8</v>
      </c>
      <c r="AC15" s="131">
        <v>8</v>
      </c>
      <c r="AD15" s="131">
        <v>8</v>
      </c>
      <c r="AE15" s="131"/>
      <c r="AF15" s="131">
        <v>8</v>
      </c>
      <c r="AG15" s="131">
        <v>8</v>
      </c>
      <c r="AH15" s="131">
        <v>8</v>
      </c>
      <c r="AI15" s="131">
        <v>8</v>
      </c>
      <c r="AJ15" s="131">
        <v>8</v>
      </c>
      <c r="AK15" s="252">
        <f t="shared" ref="AK15" si="8">((SUM(F15:AJ15))/8)-(SUMIF($F$6:$AJ$6,"C.Nhật",F15:AJ15)/8)</f>
        <v>27</v>
      </c>
      <c r="AL15" s="252">
        <f t="shared" ref="AL15" si="9">SUM(F16:AJ16)/8*1.5</f>
        <v>0</v>
      </c>
      <c r="AM15" s="248">
        <f t="shared" si="4"/>
        <v>0</v>
      </c>
      <c r="AN15" s="240">
        <f t="shared" ref="AN15" si="10">SUM(AK15:AM16)</f>
        <v>27</v>
      </c>
      <c r="AO15" s="250">
        <v>0</v>
      </c>
      <c r="AP15" s="240"/>
      <c r="AQ15" s="240"/>
      <c r="AR15" s="240"/>
      <c r="AS15" s="242"/>
      <c r="AT15" s="209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56" customFormat="1" ht="18" customHeight="1">
      <c r="A16" s="245"/>
      <c r="B16" s="245"/>
      <c r="C16" s="247"/>
      <c r="D16" s="255"/>
      <c r="E16" s="58" t="s">
        <v>28</v>
      </c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253"/>
      <c r="AL16" s="253"/>
      <c r="AM16" s="249"/>
      <c r="AN16" s="241"/>
      <c r="AO16" s="251"/>
      <c r="AP16" s="241"/>
      <c r="AQ16" s="241"/>
      <c r="AR16" s="241"/>
      <c r="AS16" s="243"/>
      <c r="AT16" s="209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64" customFormat="1" ht="21" customHeight="1">
      <c r="A17" s="162" t="s">
        <v>67</v>
      </c>
      <c r="B17" s="165" t="s">
        <v>71</v>
      </c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7"/>
      <c r="AT17" s="163"/>
    </row>
    <row r="18" spans="1:91" s="56" customFormat="1" ht="18" customHeight="1">
      <c r="A18" s="244">
        <v>1</v>
      </c>
      <c r="B18" s="244" t="s">
        <v>74</v>
      </c>
      <c r="C18" s="246" t="str">
        <f>VLOOKUP(B18,DS,2,0)</f>
        <v>Thạch Huy Chạch</v>
      </c>
      <c r="D18" s="254" t="str">
        <f>VLOOKUP(B18,DS,3,0)</f>
        <v>Công nhân</v>
      </c>
      <c r="E18" s="57" t="s">
        <v>29</v>
      </c>
      <c r="F18" s="131">
        <v>8</v>
      </c>
      <c r="G18" s="131">
        <v>8</v>
      </c>
      <c r="H18" s="131">
        <v>8</v>
      </c>
      <c r="I18" s="131">
        <v>8</v>
      </c>
      <c r="J18" s="131"/>
      <c r="K18" s="131">
        <v>8</v>
      </c>
      <c r="L18" s="131">
        <v>8</v>
      </c>
      <c r="M18" s="131">
        <v>8</v>
      </c>
      <c r="N18" s="131">
        <v>8</v>
      </c>
      <c r="O18" s="131">
        <v>8</v>
      </c>
      <c r="P18" s="131">
        <v>8</v>
      </c>
      <c r="Q18" s="131"/>
      <c r="R18" s="131">
        <v>8</v>
      </c>
      <c r="S18" s="131">
        <v>8</v>
      </c>
      <c r="T18" s="131">
        <v>8</v>
      </c>
      <c r="U18" s="131">
        <v>8</v>
      </c>
      <c r="V18" s="131">
        <v>8</v>
      </c>
      <c r="W18" s="131">
        <v>8</v>
      </c>
      <c r="X18" s="131"/>
      <c r="Y18" s="131">
        <v>8</v>
      </c>
      <c r="Z18" s="131">
        <v>8</v>
      </c>
      <c r="AA18" s="131">
        <v>8</v>
      </c>
      <c r="AB18" s="131">
        <v>8</v>
      </c>
      <c r="AC18" s="131">
        <v>8</v>
      </c>
      <c r="AD18" s="131">
        <v>8</v>
      </c>
      <c r="AE18" s="131"/>
      <c r="AF18" s="131">
        <v>8</v>
      </c>
      <c r="AG18" s="131">
        <v>8</v>
      </c>
      <c r="AH18" s="131">
        <v>8</v>
      </c>
      <c r="AI18" s="131">
        <v>8</v>
      </c>
      <c r="AJ18" s="131">
        <v>8</v>
      </c>
      <c r="AK18" s="252">
        <f t="shared" ref="AK18" si="11">((SUM(F18:AJ18))/8)-(SUMIF($F$6:$AJ$6,"C.Nhật",F18:AJ18)/8)</f>
        <v>27</v>
      </c>
      <c r="AL18" s="252">
        <f t="shared" ref="AL18" si="12">SUM(F19:AJ19)/8*1.5</f>
        <v>0</v>
      </c>
      <c r="AM18" s="248">
        <f>SUMIF($F$6:$AJ$6,"C.Nhật",$F18:$AJ19)/8*2</f>
        <v>0</v>
      </c>
      <c r="AN18" s="240">
        <f>SUM(AK18:AM19)</f>
        <v>27</v>
      </c>
      <c r="AO18" s="250">
        <v>0</v>
      </c>
      <c r="AP18" s="240"/>
      <c r="AQ18" s="240"/>
      <c r="AR18" s="240"/>
      <c r="AS18" s="242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6" customFormat="1" ht="18" customHeight="1">
      <c r="A19" s="245"/>
      <c r="B19" s="245"/>
      <c r="C19" s="247"/>
      <c r="D19" s="255"/>
      <c r="E19" s="58" t="s">
        <v>28</v>
      </c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253"/>
      <c r="AL19" s="253"/>
      <c r="AM19" s="249"/>
      <c r="AN19" s="241"/>
      <c r="AO19" s="251"/>
      <c r="AP19" s="241"/>
      <c r="AQ19" s="241"/>
      <c r="AR19" s="241"/>
      <c r="AS19" s="243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9" customFormat="1" ht="12.75">
      <c r="A20" s="14"/>
      <c r="B20" s="60"/>
      <c r="C20" s="4"/>
      <c r="D20" s="101"/>
      <c r="E20" s="4"/>
      <c r="F20" s="64"/>
      <c r="G20" s="64"/>
      <c r="H20" s="61"/>
      <c r="I20" s="61"/>
      <c r="J20" s="108"/>
      <c r="K20" s="64"/>
      <c r="L20" s="61"/>
      <c r="M20" s="64"/>
      <c r="N20" s="64"/>
      <c r="O20" s="64"/>
      <c r="P20" s="64"/>
      <c r="Q20" s="61"/>
      <c r="R20" s="64"/>
      <c r="S20" s="64"/>
      <c r="T20" s="108"/>
      <c r="U20" s="64"/>
      <c r="V20" s="64"/>
      <c r="W20" s="64"/>
      <c r="X20" s="60"/>
      <c r="Y20" s="64"/>
      <c r="Z20" s="64"/>
      <c r="AA20" s="64"/>
      <c r="AB20" s="64"/>
      <c r="AC20" s="64"/>
      <c r="AD20" s="61"/>
      <c r="AE20" s="64"/>
      <c r="AF20" s="64"/>
      <c r="AG20" s="64"/>
      <c r="AH20" s="64"/>
      <c r="AI20" s="64"/>
      <c r="AJ20" s="64"/>
      <c r="AK20" s="4"/>
      <c r="AL20" s="4"/>
      <c r="AM20" s="87"/>
      <c r="AN20" s="63"/>
      <c r="AO20" s="63"/>
      <c r="AP20" s="63"/>
      <c r="AQ20" s="63"/>
      <c r="AR20" s="63"/>
      <c r="AS20" s="4"/>
      <c r="AT20" s="92"/>
    </row>
    <row r="21" spans="1:91" s="59" customFormat="1" ht="12.75">
      <c r="A21" s="14"/>
      <c r="B21" s="60"/>
      <c r="C21" s="14" t="s">
        <v>13</v>
      </c>
      <c r="D21" s="101"/>
      <c r="E21" s="4"/>
      <c r="F21" s="64"/>
      <c r="G21" s="64"/>
      <c r="H21" s="61"/>
      <c r="I21" s="61"/>
      <c r="J21" s="108"/>
      <c r="K21" s="64"/>
      <c r="L21" s="61"/>
      <c r="M21" s="64"/>
      <c r="N21" s="64"/>
      <c r="O21" s="64"/>
      <c r="P21" s="64"/>
      <c r="Q21" s="61"/>
      <c r="R21" s="64"/>
      <c r="S21" s="64"/>
      <c r="T21" s="108"/>
      <c r="U21" s="64"/>
      <c r="V21" s="64"/>
      <c r="W21" s="64"/>
      <c r="X21" s="60"/>
      <c r="Y21" s="64"/>
      <c r="Z21" s="64"/>
      <c r="AA21" s="64"/>
      <c r="AB21" s="64"/>
      <c r="AC21" s="64"/>
      <c r="AD21" s="61"/>
      <c r="AE21" s="64"/>
      <c r="AF21" s="64"/>
      <c r="AG21" s="64"/>
      <c r="AH21" s="64"/>
      <c r="AI21" s="64"/>
      <c r="AJ21" s="64"/>
      <c r="AK21" s="4"/>
      <c r="AL21" s="4"/>
      <c r="AM21" s="87"/>
      <c r="AN21" s="63"/>
      <c r="AO21" s="63"/>
      <c r="AP21" s="63"/>
      <c r="AQ21" s="63"/>
      <c r="AR21" s="63"/>
      <c r="AS21" s="4"/>
      <c r="AT21" s="92"/>
    </row>
    <row r="22" spans="1:91" s="59" customFormat="1" ht="12.7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92"/>
    </row>
    <row r="23" spans="1:91" s="62" customFormat="1" ht="15" customHeight="1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2"/>
      <c r="B24" s="12"/>
      <c r="C24" s="4"/>
      <c r="D24" s="101"/>
      <c r="E24" s="4"/>
      <c r="F24" s="64"/>
      <c r="G24" s="64"/>
      <c r="H24" s="109"/>
      <c r="I24" s="109"/>
      <c r="J24" s="109"/>
      <c r="K24" s="64"/>
      <c r="L24" s="109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109"/>
      <c r="AE24" s="64"/>
      <c r="AF24" s="64"/>
      <c r="AG24" s="64"/>
      <c r="AH24" s="64"/>
      <c r="AI24" s="64"/>
      <c r="AJ24" s="64"/>
      <c r="AK24" s="4"/>
      <c r="AL24" s="4"/>
      <c r="AM24" s="87"/>
      <c r="AN24" s="65"/>
      <c r="AO24" s="65"/>
      <c r="AP24" s="65"/>
      <c r="AQ24" s="65"/>
      <c r="AR24" s="65"/>
      <c r="AS24" s="4"/>
      <c r="AT24" s="4"/>
    </row>
    <row r="25" spans="1:91" s="62" customFormat="1" ht="11.25">
      <c r="A25" s="12"/>
      <c r="B25" s="12"/>
      <c r="C25" s="4"/>
      <c r="D25" s="101"/>
      <c r="E25" s="4"/>
      <c r="F25" s="64"/>
      <c r="G25" s="64"/>
      <c r="H25" s="109"/>
      <c r="I25" s="109"/>
      <c r="J25" s="109"/>
      <c r="K25" s="64"/>
      <c r="L25" s="109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109"/>
      <c r="AE25" s="64"/>
      <c r="AF25" s="64"/>
      <c r="AG25" s="64"/>
      <c r="AH25" s="64"/>
      <c r="AI25" s="64"/>
      <c r="AJ25" s="64"/>
      <c r="AK25" s="4"/>
      <c r="AL25" s="4"/>
      <c r="AM25" s="87"/>
      <c r="AN25" s="65"/>
      <c r="AO25" s="65"/>
      <c r="AP25" s="65"/>
      <c r="AQ25" s="65"/>
      <c r="AR25" s="65"/>
      <c r="AS25" s="4"/>
      <c r="AT25" s="4"/>
    </row>
    <row r="26" spans="1:91" s="62" customFormat="1" ht="11.25">
      <c r="A26" s="10"/>
      <c r="B26" s="10"/>
      <c r="C26" s="14"/>
      <c r="D26" s="102"/>
      <c r="E26" s="66"/>
      <c r="F26" s="108"/>
      <c r="G26" s="110"/>
      <c r="H26" s="61"/>
      <c r="I26" s="61"/>
      <c r="J26" s="61"/>
      <c r="K26" s="110"/>
      <c r="L26" s="61"/>
      <c r="M26" s="110"/>
      <c r="N26" s="110"/>
      <c r="O26" s="110"/>
      <c r="P26" s="110"/>
      <c r="Q26" s="61"/>
      <c r="R26" s="108"/>
      <c r="S26" s="110"/>
      <c r="T26" s="110"/>
      <c r="U26" s="61"/>
      <c r="V26" s="110"/>
      <c r="W26" s="110"/>
      <c r="X26" s="61"/>
      <c r="Y26" s="110"/>
      <c r="Z26" s="110"/>
      <c r="AA26" s="110"/>
      <c r="AB26" s="110"/>
      <c r="AC26" s="110"/>
      <c r="AD26" s="61"/>
      <c r="AE26" s="110"/>
      <c r="AF26" s="110"/>
      <c r="AG26" s="110"/>
      <c r="AH26" s="110"/>
      <c r="AI26" s="110"/>
      <c r="AJ26" s="110"/>
      <c r="AK26" s="66"/>
      <c r="AM26" s="88"/>
      <c r="AN26" s="10"/>
      <c r="AO26" s="10"/>
      <c r="AP26" s="10"/>
      <c r="AQ26" s="10"/>
      <c r="AR26" s="10"/>
      <c r="AS26" s="14"/>
      <c r="AT26" s="4"/>
    </row>
    <row r="27" spans="1:91" s="62" customFormat="1" ht="12.75">
      <c r="A27" s="2"/>
      <c r="B27" s="2" t="s">
        <v>0</v>
      </c>
      <c r="C27" s="2"/>
      <c r="D27" s="20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4"/>
    </row>
    <row r="28" spans="1:91" s="62" customFormat="1" ht="12.75">
      <c r="A28" s="2"/>
      <c r="B28" s="2"/>
      <c r="C28" s="2" t="s">
        <v>39</v>
      </c>
      <c r="D28" s="20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40</v>
      </c>
    </row>
    <row r="30" spans="1:91" ht="15" customHeight="1">
      <c r="C30" s="2" t="s">
        <v>41</v>
      </c>
    </row>
    <row r="31" spans="1:91" s="200" customFormat="1" ht="15" customHeight="1">
      <c r="A31" s="2"/>
      <c r="B31" s="2"/>
      <c r="C31" s="2" t="s">
        <v>42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43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44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45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0" customFormat="1" ht="15" customHeight="1">
      <c r="A35" s="2"/>
      <c r="B35" s="2"/>
      <c r="C35" s="2" t="s">
        <v>46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89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0" customFormat="1" ht="15" customHeight="1">
      <c r="A36" s="2"/>
      <c r="B36" s="2"/>
      <c r="C36" s="2" t="s">
        <v>47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89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 A15:A16" name="Range1_1"/>
    <protectedRange password="CC78" sqref="C9:E12 A9:A12 C15:E16 A15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3:A14 A18:A19" name="Range1_1_2"/>
    <protectedRange password="CC78" sqref="A18:A19 A13:A14 C13:E14 C18:E19" name="Range1_6_2"/>
    <protectedRange password="CC78" sqref="B18:B19" name="Range1_4_2"/>
  </protectedRanges>
  <mergeCells count="79">
    <mergeCell ref="AL18:AL19"/>
    <mergeCell ref="AR18:AR19"/>
    <mergeCell ref="AS18:AS19"/>
    <mergeCell ref="AM18:AM19"/>
    <mergeCell ref="AN18:AN19"/>
    <mergeCell ref="AO18:AO19"/>
    <mergeCell ref="AP18:AP19"/>
    <mergeCell ref="AQ18:AQ19"/>
    <mergeCell ref="A18:A19"/>
    <mergeCell ref="B18:B19"/>
    <mergeCell ref="C18:C19"/>
    <mergeCell ref="D18:D19"/>
    <mergeCell ref="AK18:AK19"/>
    <mergeCell ref="AL15:AL16"/>
    <mergeCell ref="AO15:AO16"/>
    <mergeCell ref="AM15:AM16"/>
    <mergeCell ref="AN15:AN16"/>
    <mergeCell ref="A15:A16"/>
    <mergeCell ref="B15:B16"/>
    <mergeCell ref="C15:C16"/>
    <mergeCell ref="D15:D16"/>
    <mergeCell ref="AK15:AK16"/>
    <mergeCell ref="AS15:AS16"/>
    <mergeCell ref="AL11:AL12"/>
    <mergeCell ref="AM11:AM12"/>
    <mergeCell ref="AN11:AN12"/>
    <mergeCell ref="AO11:AO12"/>
    <mergeCell ref="AP15:AP16"/>
    <mergeCell ref="AQ15:AQ16"/>
    <mergeCell ref="AR15:AR1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AP11:AP12"/>
    <mergeCell ref="AQ11:AQ12"/>
    <mergeCell ref="AR11:AR12"/>
    <mergeCell ref="AS11:AS12"/>
    <mergeCell ref="C9:C10"/>
    <mergeCell ref="D9:D10"/>
    <mergeCell ref="AK9:AK10"/>
    <mergeCell ref="B9:B10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</mergeCells>
  <conditionalFormatting sqref="F5:AJ6">
    <cfRule type="expression" dxfId="55" priority="47" stopIfTrue="1">
      <formula>IF(WEEKDAY(F$5)=1,TRUE,FALSE)</formula>
    </cfRule>
  </conditionalFormatting>
  <conditionalFormatting sqref="F11:AJ12">
    <cfRule type="expression" dxfId="54" priority="6" stopIfTrue="1">
      <formula>IF(WEEKDAY(F$5)=1,TRUE,FALSE)</formula>
    </cfRule>
  </conditionalFormatting>
  <conditionalFormatting sqref="F11:AJ12">
    <cfRule type="expression" dxfId="53" priority="5" stopIfTrue="1">
      <formula>IF(WEEKDAY(F$5)=1,TRUE,FALSE)</formula>
    </cfRule>
  </conditionalFormatting>
  <conditionalFormatting sqref="F18:AJ19">
    <cfRule type="expression" dxfId="52" priority="4" stopIfTrue="1">
      <formula>IF(WEEKDAY(F$5)=1,TRUE,FALSE)</formula>
    </cfRule>
  </conditionalFormatting>
  <conditionalFormatting sqref="F18:AJ19">
    <cfRule type="expression" dxfId="51" priority="3" stopIfTrue="1">
      <formula>IF(WEEKDAY(F$5)=1,TRUE,FALSE)</formula>
    </cfRule>
  </conditionalFormatting>
  <conditionalFormatting sqref="F9:AJ10 F15:AJ16">
    <cfRule type="expression" dxfId="50" priority="10" stopIfTrue="1">
      <formula>IF(WEEKDAY(F$5)=1,TRUE,FALSE)</formula>
    </cfRule>
  </conditionalFormatting>
  <conditionalFormatting sqref="F9:AJ10 F15:AJ16">
    <cfRule type="expression" dxfId="49" priority="9" stopIfTrue="1">
      <formula>IF(WEEKDAY(F$5)=1,TRUE,FALSE)</formula>
    </cfRule>
  </conditionalFormatting>
  <conditionalFormatting sqref="F13:AJ14">
    <cfRule type="expression" dxfId="48" priority="2" stopIfTrue="1">
      <formula>IF(WEEKDAY(F$5)=1,TRUE,FALSE)</formula>
    </cfRule>
  </conditionalFormatting>
  <conditionalFormatting sqref="F13:AJ14">
    <cfRule type="expression" dxfId="4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L17" sqref="L17:O17"/>
    </sheetView>
  </sheetViews>
  <sheetFormatPr defaultRowHeight="11.25"/>
  <cols>
    <col min="1" max="1" width="4.28515625" style="6" customWidth="1"/>
    <col min="2" max="2" width="8.42578125" style="6" customWidth="1"/>
    <col min="3" max="3" width="23.710937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03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MAX(F10:F19)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-3'!$E$4</f>
        <v>42795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-3'!$B$8:$AS$19,36,0)</f>
        <v>27</v>
      </c>
      <c r="G10" s="133">
        <f>ROUND(E10/$S$2*F10,0)</f>
        <v>4012500</v>
      </c>
      <c r="H10" s="81">
        <f>(VLOOKUP(B10,'CC -3'!$B$8:$AS$19,37,0)+VLOOKUP(B10,'CC -3'!$B$8:$AS$19,38,0))</f>
        <v>0</v>
      </c>
      <c r="I10" s="133">
        <f>ROUND(E10/$S$2*H10,0)</f>
        <v>0</v>
      </c>
      <c r="J10" s="82">
        <f t="shared" ref="J10:J11" si="2">F10+H10</f>
        <v>27</v>
      </c>
      <c r="K10" s="33">
        <f>G10+I10</f>
        <v>4012500</v>
      </c>
      <c r="L10" s="34">
        <f t="shared" ref="L10:N13" si="3">ROUND(IF(VLOOKUP($B10,DS,13,0)="x",$E10*L$4,0),0)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 t="shared" ref="Q10:Q11" si="4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-3'!$B$8:$AS$19,36,0)</f>
        <v>27</v>
      </c>
      <c r="G11" s="133">
        <f>ROUND(E11/$S$2*F11,0)</f>
        <v>4012500</v>
      </c>
      <c r="H11" s="81">
        <f>(VLOOKUP(B11,'CC -3'!$B$8:$AS$19,37,0)+VLOOKUP(B11,'CC -3'!$B$8:$AS$19,38,0))</f>
        <v>0</v>
      </c>
      <c r="I11" s="133">
        <f>ROUND(E11/$S$2*H11,0)</f>
        <v>0</v>
      </c>
      <c r="J11" s="82">
        <f t="shared" si="2"/>
        <v>27</v>
      </c>
      <c r="K11" s="33">
        <f t="shared" ref="K11" si="5">G11+I11</f>
        <v>4012500</v>
      </c>
      <c r="L11" s="34">
        <f t="shared" si="3"/>
        <v>321000</v>
      </c>
      <c r="M11" s="34">
        <f t="shared" si="3"/>
        <v>60188</v>
      </c>
      <c r="N11" s="34">
        <f t="shared" si="3"/>
        <v>40125</v>
      </c>
      <c r="O11" s="33">
        <f t="shared" ref="O11:O13" si="6">K11-SUM(L11:N11)</f>
        <v>3591187</v>
      </c>
      <c r="P11" s="33"/>
      <c r="Q11" s="39">
        <f t="shared" si="4"/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105</v>
      </c>
      <c r="C12" s="78" t="str">
        <f t="shared" ref="C12" si="7">VLOOKUP(B12,DS,2,0)</f>
        <v>Nguyễn Thị Thúy Hằng</v>
      </c>
      <c r="D12" s="104" t="str">
        <f t="shared" ref="D12" si="8">VLOOKUP(B12,DS,3,0)</f>
        <v>Trưởng Phòng</v>
      </c>
      <c r="E12" s="79">
        <f>VLOOKUP(B12,DS,7,0)</f>
        <v>7875000</v>
      </c>
      <c r="F12" s="81">
        <f>VLOOKUP(B12,'CC -3'!$B$8:$AS$19,36,0)</f>
        <v>27</v>
      </c>
      <c r="G12" s="133">
        <f>ROUND(E12/$S$2*F12,0)</f>
        <v>7875000</v>
      </c>
      <c r="H12" s="81">
        <f>(VLOOKUP(B12,'CC -3'!$B$8:$AS$19,37,0)+VLOOKUP(B12,'CC -3'!$B$8:$AS$19,38,0))</f>
        <v>0</v>
      </c>
      <c r="I12" s="133">
        <f>ROUND(E12/$S$2*H12,0)</f>
        <v>0</v>
      </c>
      <c r="J12" s="82">
        <f t="shared" ref="J12" si="9">F12+H12</f>
        <v>27</v>
      </c>
      <c r="K12" s="33">
        <f t="shared" ref="K12" si="10">G12+I12</f>
        <v>7875000</v>
      </c>
      <c r="L12" s="34">
        <f t="shared" si="3"/>
        <v>630000</v>
      </c>
      <c r="M12" s="34">
        <f t="shared" si="3"/>
        <v>118125</v>
      </c>
      <c r="N12" s="34">
        <f t="shared" si="3"/>
        <v>78750</v>
      </c>
      <c r="O12" s="33">
        <f t="shared" si="6"/>
        <v>7048125</v>
      </c>
      <c r="P12" s="33"/>
      <c r="Q12" s="39">
        <f t="shared" ref="Q12" si="11">O12-P12</f>
        <v>7048125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32">
        <v>4</v>
      </c>
      <c r="B13" s="129" t="s">
        <v>113</v>
      </c>
      <c r="C13" s="78" t="str">
        <f t="shared" ref="C13" si="12">VLOOKUP(B13,DS,2,0)</f>
        <v>Võ Ngọc Thúy Hằng</v>
      </c>
      <c r="D13" s="104" t="str">
        <f t="shared" ref="D13" si="13">VLOOKUP(B13,DS,3,0)</f>
        <v>Văn Phòng</v>
      </c>
      <c r="E13" s="79">
        <f>VLOOKUP(B13,DS,7,0)</f>
        <v>3937000</v>
      </c>
      <c r="F13" s="81">
        <f>VLOOKUP(B13,'CC -3'!$B$8:$AS$19,36,0)</f>
        <v>27</v>
      </c>
      <c r="G13" s="133">
        <f>ROUND(E13/$S$2*F13,0)</f>
        <v>3937000</v>
      </c>
      <c r="H13" s="81">
        <f>(VLOOKUP(B13,'CC -3'!$B$8:$AS$19,37,0)+VLOOKUP(B13,'CC -3'!$B$8:$AS$19,38,0))</f>
        <v>0</v>
      </c>
      <c r="I13" s="133">
        <f>ROUND(E13/$S$2*H13,0)</f>
        <v>0</v>
      </c>
      <c r="J13" s="82">
        <f t="shared" ref="J13" si="14">F13+H13</f>
        <v>27</v>
      </c>
      <c r="K13" s="33">
        <f t="shared" ref="K13" si="15">G13+I13</f>
        <v>3937000</v>
      </c>
      <c r="L13" s="34">
        <f t="shared" si="3"/>
        <v>314960</v>
      </c>
      <c r="M13" s="34">
        <f t="shared" si="3"/>
        <v>59055</v>
      </c>
      <c r="N13" s="34">
        <f t="shared" si="3"/>
        <v>39370</v>
      </c>
      <c r="O13" s="33">
        <f t="shared" si="6"/>
        <v>3523615</v>
      </c>
      <c r="P13" s="33"/>
      <c r="Q13" s="39">
        <f t="shared" ref="Q13" si="16">O13-P13</f>
        <v>3523615</v>
      </c>
      <c r="R13" s="33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30" customFormat="1" ht="24" customHeight="1">
      <c r="A14" s="32"/>
      <c r="B14" s="129"/>
      <c r="C14" s="78"/>
      <c r="D14" s="104"/>
      <c r="E14" s="79"/>
      <c r="F14" s="81"/>
      <c r="G14" s="133"/>
      <c r="H14" s="81"/>
      <c r="I14" s="133"/>
      <c r="J14" s="82"/>
      <c r="K14" s="33"/>
      <c r="L14" s="34"/>
      <c r="M14" s="34"/>
      <c r="N14" s="34"/>
      <c r="O14" s="33"/>
      <c r="P14" s="33"/>
      <c r="Q14" s="39"/>
      <c r="R14" s="192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26" customFormat="1" ht="21" customHeight="1">
      <c r="A15" s="219" t="s">
        <v>22</v>
      </c>
      <c r="B15" s="220"/>
      <c r="C15" s="220"/>
      <c r="D15" s="221"/>
      <c r="E15" s="128">
        <f>SUM(E9:E14)</f>
        <v>19837000</v>
      </c>
      <c r="F15" s="128"/>
      <c r="G15" s="128">
        <f>SUM(G9:G14)</f>
        <v>19837000</v>
      </c>
      <c r="H15" s="128"/>
      <c r="I15" s="128">
        <f>SUM(I9:I14)</f>
        <v>0</v>
      </c>
      <c r="J15" s="128"/>
      <c r="K15" s="128">
        <f>SUM(K9:K14)</f>
        <v>19837000</v>
      </c>
      <c r="L15" s="128">
        <f t="shared" ref="L15:Q15" si="17">SUM(L9:L14)</f>
        <v>1586960</v>
      </c>
      <c r="M15" s="128">
        <f t="shared" si="17"/>
        <v>297556</v>
      </c>
      <c r="N15" s="128">
        <f t="shared" si="17"/>
        <v>198370</v>
      </c>
      <c r="O15" s="128">
        <f t="shared" si="17"/>
        <v>17754114</v>
      </c>
      <c r="P15" s="128">
        <f t="shared" si="17"/>
        <v>0</v>
      </c>
      <c r="Q15" s="128">
        <f t="shared" si="17"/>
        <v>17754114</v>
      </c>
      <c r="R15" s="21"/>
      <c r="S15" s="92"/>
      <c r="T15" s="27"/>
      <c r="U15" s="27"/>
      <c r="V15" s="27"/>
      <c r="W15" s="27"/>
      <c r="X15" s="27"/>
    </row>
    <row r="16" spans="1:29" s="74" customFormat="1" ht="24" customHeight="1">
      <c r="A16" s="171" t="s">
        <v>67</v>
      </c>
      <c r="B16" s="170" t="s">
        <v>68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92"/>
      <c r="T16" s="75"/>
      <c r="U16" s="75"/>
      <c r="V16" s="76"/>
      <c r="W16" s="76"/>
      <c r="X16" s="76"/>
      <c r="Y16" s="77"/>
      <c r="Z16" s="77"/>
      <c r="AA16" s="77"/>
      <c r="AB16" s="77"/>
      <c r="AC16" s="77"/>
    </row>
    <row r="17" spans="1:29" s="30" customFormat="1" ht="24" customHeight="1">
      <c r="A17" s="32">
        <v>1</v>
      </c>
      <c r="B17" s="129" t="s">
        <v>74</v>
      </c>
      <c r="C17" s="78" t="str">
        <f t="shared" ref="C17" si="18">VLOOKUP(B17,DS,2,0)</f>
        <v>Thạch Huy Chạch</v>
      </c>
      <c r="D17" s="104" t="str">
        <f t="shared" ref="D17" si="19">VLOOKUP(B17,DS,3,0)</f>
        <v>Công nhân</v>
      </c>
      <c r="E17" s="79">
        <f>VLOOKUP(B17,DS,7,0)</f>
        <v>3937000</v>
      </c>
      <c r="F17" s="81">
        <f>VLOOKUP(B17,'CC -3'!$B$8:$AS$19,36,0)</f>
        <v>27</v>
      </c>
      <c r="G17" s="133">
        <f t="shared" ref="G17" si="20">ROUND(E17/$S$2*F17,0)</f>
        <v>3937000</v>
      </c>
      <c r="H17" s="81">
        <f>(VLOOKUP(B17,'CC -3'!$B$8:$AS$19,37,0)+VLOOKUP(B17,'CC -3'!$B$8:$AS$19,38,0))</f>
        <v>0</v>
      </c>
      <c r="I17" s="133">
        <f t="shared" ref="I17" si="21">ROUND(E17/$S$2*H17,0)</f>
        <v>0</v>
      </c>
      <c r="J17" s="134">
        <f t="shared" ref="J17" si="22">F17+H17</f>
        <v>27</v>
      </c>
      <c r="K17" s="33">
        <f t="shared" ref="K17" si="23">G17+I17</f>
        <v>3937000</v>
      </c>
      <c r="L17" s="34">
        <f>ROUND(IF(VLOOKUP($B17,DS,13,0)="x",$E17*L$4,0),0)</f>
        <v>314960</v>
      </c>
      <c r="M17" s="34">
        <f>ROUND(IF(VLOOKUP($B17,DS,13,0)="x",$E17*M$4,0),0)</f>
        <v>59055</v>
      </c>
      <c r="N17" s="34">
        <f>ROUND(IF(VLOOKUP($B17,DS,13,0)="x",$E17*N$4,0),0)</f>
        <v>39370</v>
      </c>
      <c r="O17" s="33">
        <f>K17-SUM(L17:N17)</f>
        <v>3523615</v>
      </c>
      <c r="P17" s="33"/>
      <c r="Q17" s="39">
        <f>O17-P17</f>
        <v>3523615</v>
      </c>
      <c r="R17" s="33"/>
      <c r="S17" s="92"/>
      <c r="T17" s="31"/>
      <c r="U17" s="23"/>
      <c r="V17" s="5"/>
      <c r="W17" s="5"/>
      <c r="X17" s="5"/>
      <c r="Y17" s="4"/>
      <c r="Z17" s="4"/>
      <c r="AA17" s="4"/>
      <c r="AB17" s="4"/>
      <c r="AC17" s="4"/>
    </row>
    <row r="18" spans="1:29" s="30" customFormat="1" ht="22.5" customHeight="1">
      <c r="A18" s="35"/>
      <c r="B18" s="168"/>
      <c r="C18" s="36"/>
      <c r="D18" s="3"/>
      <c r="E18" s="37"/>
      <c r="F18" s="37"/>
      <c r="G18" s="37"/>
      <c r="H18" s="37"/>
      <c r="I18" s="37"/>
      <c r="J18" s="38"/>
      <c r="K18" s="37"/>
      <c r="L18" s="37"/>
      <c r="M18" s="37"/>
      <c r="N18" s="37"/>
      <c r="O18" s="37"/>
      <c r="P18" s="37"/>
      <c r="Q18" s="37"/>
      <c r="R18" s="33"/>
      <c r="S18" s="92"/>
      <c r="T18" s="31"/>
      <c r="U18" s="31"/>
      <c r="V18" s="31"/>
      <c r="W18" s="31"/>
      <c r="X18" s="31"/>
    </row>
    <row r="19" spans="1:29" s="26" customFormat="1" ht="21" customHeight="1">
      <c r="A19" s="219" t="s">
        <v>22</v>
      </c>
      <c r="B19" s="220"/>
      <c r="C19" s="220"/>
      <c r="D19" s="221"/>
      <c r="E19" s="128">
        <f>SUM(E16:E18)</f>
        <v>3937000</v>
      </c>
      <c r="F19" s="128"/>
      <c r="G19" s="128">
        <f>SUM(G16:G18)</f>
        <v>3937000</v>
      </c>
      <c r="H19" s="128"/>
      <c r="I19" s="128">
        <f>SUM(I16:I18)</f>
        <v>0</v>
      </c>
      <c r="J19" s="128"/>
      <c r="K19" s="128">
        <f t="shared" ref="K19:Q19" si="24">SUM(K16:K18)</f>
        <v>3937000</v>
      </c>
      <c r="L19" s="128">
        <f t="shared" si="24"/>
        <v>314960</v>
      </c>
      <c r="M19" s="128">
        <f t="shared" si="24"/>
        <v>59055</v>
      </c>
      <c r="N19" s="128">
        <f t="shared" si="24"/>
        <v>39370</v>
      </c>
      <c r="O19" s="128">
        <f t="shared" si="24"/>
        <v>3523615</v>
      </c>
      <c r="P19" s="128">
        <f t="shared" si="24"/>
        <v>0</v>
      </c>
      <c r="Q19" s="128">
        <f t="shared" si="24"/>
        <v>3523615</v>
      </c>
      <c r="R19" s="21"/>
      <c r="S19" s="92"/>
      <c r="T19" s="27"/>
      <c r="U19" s="27"/>
      <c r="V19" s="27"/>
      <c r="W19" s="27"/>
      <c r="X19" s="27"/>
    </row>
    <row r="20" spans="1:29" ht="11.25" customHeight="1">
      <c r="A20" s="8"/>
      <c r="B20" s="8"/>
      <c r="C20" s="9"/>
      <c r="D20" s="105"/>
      <c r="E20" s="83"/>
      <c r="F20" s="9"/>
      <c r="G20" s="9"/>
      <c r="H20" s="9"/>
      <c r="I20" s="9"/>
      <c r="K20" s="9"/>
      <c r="L20" s="9"/>
      <c r="M20" s="9"/>
      <c r="N20" s="9"/>
      <c r="O20" s="9"/>
      <c r="P20" s="9"/>
      <c r="Q20" s="9"/>
      <c r="R20" s="9"/>
      <c r="S20" s="92"/>
    </row>
    <row r="21" spans="1:29" s="30" customFormat="1" ht="11.25" customHeight="1">
      <c r="A21" s="67"/>
      <c r="B21" s="67"/>
      <c r="C21" s="67"/>
      <c r="D21" s="121"/>
      <c r="E21" s="122"/>
      <c r="F21" s="67"/>
      <c r="G21" s="67"/>
      <c r="H21" s="67"/>
      <c r="I21" s="67"/>
      <c r="J21" s="123"/>
      <c r="K21" s="122"/>
      <c r="L21" s="67"/>
      <c r="M21" s="67"/>
      <c r="N21" s="67"/>
      <c r="O21" s="67"/>
      <c r="P21" s="67"/>
      <c r="Q21" s="96" t="str">
        <f>"Bình Dương, ngày  "&amp;$T$2&amp;"   tháng   "&amp;TEXT(E4,"mm")&amp;"   năm "&amp;TEXT(E4,"yyyy")</f>
        <v>Bình Dương, ngày  31   tháng   03   năm 2017</v>
      </c>
      <c r="R21" s="67"/>
      <c r="S21" s="124"/>
      <c r="T21" s="31"/>
      <c r="U21" s="31"/>
      <c r="V21" s="31"/>
      <c r="W21" s="31"/>
      <c r="X21" s="31"/>
    </row>
    <row r="22" spans="1:29" s="30" customFormat="1" ht="12.75">
      <c r="A22" s="24"/>
      <c r="B22" s="24"/>
      <c r="C22" s="24" t="s">
        <v>51</v>
      </c>
      <c r="D22" s="125"/>
      <c r="E22" s="68"/>
      <c r="F22" s="124"/>
      <c r="G22" s="68"/>
      <c r="H22" s="68"/>
      <c r="I22" s="68"/>
      <c r="J22" s="126"/>
      <c r="K22" s="31"/>
      <c r="L22" s="20"/>
      <c r="M22" s="20"/>
      <c r="N22" s="20"/>
      <c r="O22" s="20"/>
      <c r="Q22" s="124" t="s">
        <v>20</v>
      </c>
      <c r="R22" s="124"/>
      <c r="S22" s="124"/>
      <c r="T22" s="31"/>
      <c r="U22" s="31"/>
      <c r="V22" s="31"/>
      <c r="W22" s="31"/>
      <c r="X22" s="31"/>
    </row>
    <row r="23" spans="1:29" ht="12">
      <c r="A23" s="8"/>
      <c r="B23" s="8"/>
      <c r="C23" s="15"/>
      <c r="E23" s="13"/>
      <c r="F23" s="12"/>
      <c r="G23" s="13"/>
      <c r="H23" s="13"/>
      <c r="I23" s="13"/>
      <c r="K23" s="7"/>
      <c r="L23" s="11"/>
      <c r="M23" s="11"/>
      <c r="N23" s="11"/>
      <c r="O23" s="11"/>
      <c r="Q23" s="11"/>
      <c r="R23" s="12"/>
      <c r="S23" s="92"/>
    </row>
    <row r="24" spans="1:29" ht="12">
      <c r="C24" s="15"/>
      <c r="R24" s="15"/>
      <c r="S24" s="92"/>
    </row>
    <row r="25" spans="1:29" ht="12">
      <c r="S25" s="92"/>
    </row>
    <row r="26" spans="1:29" ht="12">
      <c r="S26" s="92"/>
    </row>
    <row r="27" spans="1:29" ht="12">
      <c r="S27" s="92"/>
    </row>
    <row r="28" spans="1:29" ht="12">
      <c r="S28" s="92"/>
    </row>
    <row r="29" spans="1:29" ht="12">
      <c r="S29" s="92"/>
    </row>
    <row r="30" spans="1:29" ht="12">
      <c r="S30" s="92"/>
    </row>
  </sheetData>
  <protectedRanges>
    <protectedRange password="CC78" sqref="T18:II19 C5:D7 B22:C22 T5:U9 A18:A23 B18:B21 B23 T16:U16 O5:R7 E5:I6 L5:N6 J6:K7 A25:R58 S31:S58 J18:Q18 T25:II58 A59:II65326 AD16:II16 T15:II15 AD5:II14 U10:U14 D19:R19 A10:B15 O14:Q14 D15:R15 P10:Q13" name="Range1"/>
    <protectedRange password="CC78" sqref="F7:H7" name="Range1_4"/>
    <protectedRange password="CC78" sqref="T22:II23 Q22:R23 L22:O23 E22:I23" name="Range1_1_1"/>
    <protectedRange password="CC78" sqref="S1 U1:II3 T4:II4 L4:R4 P2:Q3 L1:O3 S18:S30 V16:AC16 V5:AC14 S4:S16 B1:K4" name="Range1_2"/>
    <protectedRange password="CC78" sqref="T10:T14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D17:II17 P17:Q17 A17:B17 U17" name="Range1_5"/>
    <protectedRange password="CC78" sqref="S17 V17:AC17" name="Range1_2_3"/>
    <protectedRange password="CC78" sqref="T17" name="Range1_1_3"/>
    <protectedRange password="CC78" sqref="K17 K10:K14" name="Range1_6"/>
    <protectedRange password="CC78" sqref="A2:A3" name="Range1_2_1_3"/>
    <protectedRange password="CC78" sqref="S2" name="Range1_2_2_1_1"/>
    <protectedRange password="CC78" sqref="O10:O13 O17" name="Range1_7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1" sqref="E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5" width="3.42578125" style="112" customWidth="1"/>
    <col min="36" max="37" width="4.42578125" style="2" customWidth="1"/>
    <col min="38" max="38" width="5.5703125" style="89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04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44"/>
      <c r="AK1" s="44"/>
      <c r="AL1" s="256" t="s">
        <v>76</v>
      </c>
      <c r="AM1" s="257"/>
      <c r="AN1" s="257"/>
      <c r="AO1" s="257"/>
      <c r="AP1" s="257"/>
      <c r="AQ1" s="257"/>
      <c r="AR1" s="258"/>
      <c r="AS1" s="46"/>
    </row>
    <row r="2" spans="1:90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44"/>
      <c r="AK2" s="44"/>
      <c r="AL2" s="85"/>
      <c r="AM2" s="48"/>
      <c r="AN2" s="48"/>
      <c r="AO2" s="48"/>
      <c r="AP2" s="48"/>
      <c r="AQ2" s="48"/>
      <c r="AR2" s="84"/>
      <c r="AS2" s="84"/>
    </row>
    <row r="3" spans="1:90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44"/>
      <c r="AK3" s="44"/>
      <c r="AL3" s="85"/>
      <c r="AM3" s="46"/>
      <c r="AN3" s="46"/>
      <c r="AO3" s="46"/>
      <c r="AP3" s="46"/>
      <c r="AQ3" s="46"/>
      <c r="AR3" s="51"/>
      <c r="AS3" s="51"/>
    </row>
    <row r="4" spans="1:90" ht="14.25" customHeight="1">
      <c r="A4" s="52"/>
      <c r="B4" s="52"/>
      <c r="C4" s="142"/>
      <c r="D4" s="141"/>
      <c r="E4" s="53">
        <v>42826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2"/>
      <c r="AK4" s="52"/>
      <c r="AL4" s="86"/>
      <c r="AM4" s="52"/>
      <c r="AN4" s="52"/>
      <c r="AO4" s="52"/>
      <c r="AP4" s="52"/>
      <c r="AQ4" s="52"/>
      <c r="AR4" s="52"/>
      <c r="AS4" s="90"/>
    </row>
    <row r="5" spans="1:90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42826</v>
      </c>
      <c r="G5" s="106">
        <f t="shared" ref="G5:AI5" si="0">F5+1</f>
        <v>42827</v>
      </c>
      <c r="H5" s="106">
        <f t="shared" si="0"/>
        <v>42828</v>
      </c>
      <c r="I5" s="106">
        <f t="shared" si="0"/>
        <v>42829</v>
      </c>
      <c r="J5" s="106">
        <f t="shared" si="0"/>
        <v>42830</v>
      </c>
      <c r="K5" s="106">
        <f t="shared" si="0"/>
        <v>42831</v>
      </c>
      <c r="L5" s="106">
        <f t="shared" si="0"/>
        <v>42832</v>
      </c>
      <c r="M5" s="106">
        <f t="shared" si="0"/>
        <v>42833</v>
      </c>
      <c r="N5" s="106">
        <f t="shared" si="0"/>
        <v>42834</v>
      </c>
      <c r="O5" s="106">
        <f t="shared" si="0"/>
        <v>42835</v>
      </c>
      <c r="P5" s="106">
        <f t="shared" si="0"/>
        <v>42836</v>
      </c>
      <c r="Q5" s="106">
        <f t="shared" si="0"/>
        <v>42837</v>
      </c>
      <c r="R5" s="106">
        <f t="shared" si="0"/>
        <v>42838</v>
      </c>
      <c r="S5" s="106">
        <f t="shared" si="0"/>
        <v>42839</v>
      </c>
      <c r="T5" s="106">
        <f t="shared" si="0"/>
        <v>42840</v>
      </c>
      <c r="U5" s="106">
        <f t="shared" si="0"/>
        <v>42841</v>
      </c>
      <c r="V5" s="106">
        <f t="shared" si="0"/>
        <v>42842</v>
      </c>
      <c r="W5" s="106">
        <f t="shared" si="0"/>
        <v>42843</v>
      </c>
      <c r="X5" s="106">
        <f t="shared" si="0"/>
        <v>42844</v>
      </c>
      <c r="Y5" s="106">
        <f t="shared" si="0"/>
        <v>42845</v>
      </c>
      <c r="Z5" s="106">
        <f t="shared" si="0"/>
        <v>42846</v>
      </c>
      <c r="AA5" s="106">
        <f t="shared" si="0"/>
        <v>42847</v>
      </c>
      <c r="AB5" s="106">
        <f t="shared" si="0"/>
        <v>42848</v>
      </c>
      <c r="AC5" s="106">
        <f t="shared" si="0"/>
        <v>42849</v>
      </c>
      <c r="AD5" s="106">
        <f t="shared" si="0"/>
        <v>42850</v>
      </c>
      <c r="AE5" s="106">
        <f t="shared" si="0"/>
        <v>42851</v>
      </c>
      <c r="AF5" s="106">
        <f t="shared" si="0"/>
        <v>42852</v>
      </c>
      <c r="AG5" s="106">
        <f t="shared" si="0"/>
        <v>42853</v>
      </c>
      <c r="AH5" s="106">
        <f>AG5+1</f>
        <v>42854</v>
      </c>
      <c r="AI5" s="106">
        <f t="shared" si="0"/>
        <v>42855</v>
      </c>
      <c r="AJ5" s="259" t="s">
        <v>14</v>
      </c>
      <c r="AK5" s="260"/>
      <c r="AL5" s="261"/>
      <c r="AM5" s="262" t="s">
        <v>38</v>
      </c>
      <c r="AN5" s="262" t="s">
        <v>34</v>
      </c>
      <c r="AO5" s="262" t="s">
        <v>35</v>
      </c>
      <c r="AP5" s="262" t="s">
        <v>36</v>
      </c>
      <c r="AQ5" s="262" t="s">
        <v>37</v>
      </c>
      <c r="AR5" s="264" t="s">
        <v>0</v>
      </c>
      <c r="AS5" s="267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T.Bảy</v>
      </c>
      <c r="G6" s="158" t="str">
        <f t="shared" ref="G6:AI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9" t="s">
        <v>15</v>
      </c>
      <c r="AK6" s="159" t="s">
        <v>28</v>
      </c>
      <c r="AL6" s="160" t="s">
        <v>16</v>
      </c>
      <c r="AM6" s="263"/>
      <c r="AN6" s="263"/>
      <c r="AO6" s="263"/>
      <c r="AP6" s="263"/>
      <c r="AQ6" s="263"/>
      <c r="AR6" s="265"/>
      <c r="AS6" s="267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36</v>
      </c>
      <c r="AK7" s="161">
        <v>37</v>
      </c>
      <c r="AL7" s="161">
        <v>38</v>
      </c>
      <c r="AM7" s="161">
        <v>39</v>
      </c>
      <c r="AN7" s="161">
        <v>40</v>
      </c>
      <c r="AO7" s="161">
        <v>41</v>
      </c>
      <c r="AP7" s="161">
        <v>42</v>
      </c>
      <c r="AQ7" s="161">
        <v>43</v>
      </c>
      <c r="AR7" s="161">
        <v>44</v>
      </c>
      <c r="AS7" s="20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3"/>
    </row>
    <row r="9" spans="1:90" s="56" customFormat="1" ht="18" customHeight="1">
      <c r="A9" s="244">
        <v>2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/>
      <c r="AJ9" s="252">
        <f>((SUM(F9:AI9))/8)-(SUMIF($F$6:$AI$6,"C.Nhật",F9:AI9)/8)</f>
        <v>24</v>
      </c>
      <c r="AK9" s="252">
        <f>SUM(F10:AI10)/8*1.5</f>
        <v>0</v>
      </c>
      <c r="AL9" s="248">
        <f>SUMIF($F$6:$AI$6,"C.Nhật",$F9:$AI10)/8*2</f>
        <v>0</v>
      </c>
      <c r="AM9" s="240">
        <f>SUM(AJ9:AL10)</f>
        <v>24</v>
      </c>
      <c r="AN9" s="250">
        <v>0</v>
      </c>
      <c r="AO9" s="240"/>
      <c r="AP9" s="240"/>
      <c r="AQ9" s="240"/>
      <c r="AR9" s="242"/>
      <c r="AS9" s="21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53"/>
      <c r="AK10" s="253"/>
      <c r="AL10" s="249"/>
      <c r="AM10" s="241"/>
      <c r="AN10" s="251"/>
      <c r="AO10" s="241"/>
      <c r="AP10" s="241"/>
      <c r="AQ10" s="241"/>
      <c r="AR10" s="243"/>
      <c r="AS10" s="21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6" customFormat="1" ht="18" customHeight="1">
      <c r="A11" s="244">
        <v>2</v>
      </c>
      <c r="B11" s="244" t="s">
        <v>113</v>
      </c>
      <c r="C11" s="246" t="str">
        <f>VLOOKUP(B11,DS,2,0)</f>
        <v>Võ Ngọc Thúy Hằng</v>
      </c>
      <c r="D11" s="254" t="str">
        <f>VLOOKUP(B11,DS,3,0)</f>
        <v>Văn Phòng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/>
      <c r="AI11" s="131"/>
      <c r="AJ11" s="252">
        <f>((SUM(F11:AI11))/8)-(SUMIF($F$6:$AI$6,"C.Nhật",F11:AI11)/8)</f>
        <v>24</v>
      </c>
      <c r="AK11" s="252">
        <f>SUM(F12:AI12)/8*1.5</f>
        <v>0</v>
      </c>
      <c r="AL11" s="248">
        <f>SUMIF($F$6:$AI$6,"C.Nhật",$F11:$AI12)/8*2</f>
        <v>0</v>
      </c>
      <c r="AM11" s="240">
        <f>SUM(AJ11:AL12)</f>
        <v>24</v>
      </c>
      <c r="AN11" s="250">
        <v>0</v>
      </c>
      <c r="AO11" s="240"/>
      <c r="AP11" s="240"/>
      <c r="AQ11" s="240"/>
      <c r="AR11" s="242"/>
      <c r="AS11" s="22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90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53"/>
      <c r="AK12" s="253"/>
      <c r="AL12" s="249"/>
      <c r="AM12" s="241"/>
      <c r="AN12" s="251"/>
      <c r="AO12" s="241"/>
      <c r="AP12" s="241"/>
      <c r="AQ12" s="241"/>
      <c r="AR12" s="243"/>
      <c r="AS12" s="22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7"/>
      <c r="AS13" s="163"/>
    </row>
    <row r="14" spans="1:90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>
        <v>8</v>
      </c>
      <c r="G14" s="131"/>
      <c r="H14" s="131">
        <v>8</v>
      </c>
      <c r="I14" s="131">
        <v>8</v>
      </c>
      <c r="J14" s="131">
        <v>8</v>
      </c>
      <c r="K14" s="131">
        <v>8</v>
      </c>
      <c r="L14" s="131">
        <v>8</v>
      </c>
      <c r="M14" s="131">
        <v>8</v>
      </c>
      <c r="N14" s="131"/>
      <c r="O14" s="131">
        <v>8</v>
      </c>
      <c r="P14" s="131">
        <v>8</v>
      </c>
      <c r="Q14" s="131">
        <v>8</v>
      </c>
      <c r="R14" s="131">
        <v>8</v>
      </c>
      <c r="S14" s="131">
        <v>8</v>
      </c>
      <c r="T14" s="131">
        <v>8</v>
      </c>
      <c r="U14" s="131"/>
      <c r="V14" s="131">
        <v>8</v>
      </c>
      <c r="W14" s="131">
        <v>8</v>
      </c>
      <c r="X14" s="131">
        <v>8</v>
      </c>
      <c r="Y14" s="131">
        <v>8</v>
      </c>
      <c r="Z14" s="131">
        <v>8</v>
      </c>
      <c r="AA14" s="131">
        <v>8</v>
      </c>
      <c r="AB14" s="131"/>
      <c r="AC14" s="131">
        <v>8</v>
      </c>
      <c r="AD14" s="131">
        <v>8</v>
      </c>
      <c r="AE14" s="131">
        <v>8</v>
      </c>
      <c r="AF14" s="131">
        <v>8</v>
      </c>
      <c r="AG14" s="131">
        <v>8</v>
      </c>
      <c r="AH14" s="131"/>
      <c r="AI14" s="131"/>
      <c r="AJ14" s="252">
        <f>((SUM(F14:AI14))/8)-(SUMIF($F$6:$AI$6,"C.Nhật",F14:AI14)/8)</f>
        <v>24</v>
      </c>
      <c r="AK14" s="252">
        <f>SUM(F15:AI15)/8*1.5</f>
        <v>0</v>
      </c>
      <c r="AL14" s="248">
        <f>SUMIF($F$6:$AI$6,"C.Nhật",$F14:$AI15)/8*2</f>
        <v>0</v>
      </c>
      <c r="AM14" s="240">
        <f>SUM(AJ14:AL15)</f>
        <v>24</v>
      </c>
      <c r="AN14" s="250">
        <v>0</v>
      </c>
      <c r="AO14" s="240"/>
      <c r="AP14" s="240"/>
      <c r="AQ14" s="240"/>
      <c r="AR14" s="242"/>
      <c r="AS14" s="223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253"/>
      <c r="AK15" s="253"/>
      <c r="AL15" s="249"/>
      <c r="AM15" s="241"/>
      <c r="AN15" s="251"/>
      <c r="AO15" s="241"/>
      <c r="AP15" s="241"/>
      <c r="AQ15" s="241"/>
      <c r="AR15" s="243"/>
      <c r="AS15" s="223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4"/>
      <c r="AK16" s="4"/>
      <c r="AL16" s="87"/>
      <c r="AM16" s="63"/>
      <c r="AN16" s="63"/>
      <c r="AO16" s="63"/>
      <c r="AP16" s="63"/>
      <c r="AQ16" s="63"/>
      <c r="AR16" s="4"/>
      <c r="AS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4"/>
      <c r="AK17" s="4"/>
      <c r="AL17" s="87"/>
      <c r="AM17" s="63"/>
      <c r="AN17" s="63"/>
      <c r="AO17" s="63"/>
      <c r="AP17" s="63"/>
      <c r="AQ17" s="63"/>
      <c r="AR17" s="4"/>
      <c r="AS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4"/>
      <c r="AK18" s="4"/>
      <c r="AL18" s="87"/>
      <c r="AM18" s="65"/>
      <c r="AN18" s="65"/>
      <c r="AO18" s="65"/>
      <c r="AP18" s="65"/>
      <c r="AQ18" s="65"/>
      <c r="AR18" s="4"/>
      <c r="AS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4"/>
      <c r="AK19" s="4"/>
      <c r="AL19" s="87"/>
      <c r="AM19" s="65"/>
      <c r="AN19" s="65"/>
      <c r="AO19" s="65"/>
      <c r="AP19" s="65"/>
      <c r="AQ19" s="65"/>
      <c r="AR19" s="4"/>
      <c r="AS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4"/>
      <c r="AK20" s="4"/>
      <c r="AL20" s="87"/>
      <c r="AM20" s="65"/>
      <c r="AN20" s="65"/>
      <c r="AO20" s="65"/>
      <c r="AP20" s="65"/>
      <c r="AQ20" s="65"/>
      <c r="AR20" s="4"/>
      <c r="AS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4"/>
      <c r="AK21" s="4"/>
      <c r="AL21" s="87"/>
      <c r="AM21" s="65"/>
      <c r="AN21" s="65"/>
      <c r="AO21" s="65"/>
      <c r="AP21" s="65"/>
      <c r="AQ21" s="65"/>
      <c r="AR21" s="4"/>
      <c r="AS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66"/>
      <c r="AL22" s="88"/>
      <c r="AM22" s="10"/>
      <c r="AN22" s="10"/>
      <c r="AO22" s="10"/>
      <c r="AP22" s="10"/>
      <c r="AQ22" s="10"/>
      <c r="AR22" s="14"/>
      <c r="AS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2"/>
      <c r="AK23" s="2"/>
      <c r="AL23" s="89"/>
      <c r="AM23" s="2"/>
      <c r="AN23" s="2"/>
      <c r="AO23" s="2"/>
      <c r="AP23" s="2"/>
      <c r="AQ23" s="2"/>
      <c r="AR23" s="2"/>
      <c r="AS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2"/>
      <c r="AK24" s="2"/>
      <c r="AL24" s="89"/>
      <c r="AM24" s="2"/>
      <c r="AN24" s="2"/>
      <c r="AO24" s="2"/>
      <c r="AP24" s="2"/>
      <c r="AQ24" s="2"/>
      <c r="AR24" s="2"/>
      <c r="AS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2"/>
      <c r="AK27" s="2"/>
      <c r="AL27" s="89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2"/>
      <c r="AK28" s="2"/>
      <c r="AL28" s="89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2"/>
      <c r="AK29" s="2"/>
      <c r="AL29" s="89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2"/>
      <c r="AK30" s="2"/>
      <c r="AL30" s="89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2"/>
      <c r="AK31" s="2"/>
      <c r="AL31" s="89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2"/>
      <c r="AK32" s="2"/>
      <c r="AL32" s="89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1:A12 A14:A15" name="Range1_1_2"/>
    <protectedRange password="CC78" sqref="A14:A15 A11:A12 C11:E12 C14:E15" name="Range1_6_2"/>
    <protectedRange password="CC78" sqref="B14:B15" name="Range1_4_2"/>
  </protectedRanges>
  <mergeCells count="53">
    <mergeCell ref="AR14:AR15"/>
    <mergeCell ref="AK14:AK15"/>
    <mergeCell ref="AL14:AL15"/>
    <mergeCell ref="AM14:AM15"/>
    <mergeCell ref="AN14:AN15"/>
    <mergeCell ref="AO14:AO15"/>
    <mergeCell ref="AP14:AP15"/>
    <mergeCell ref="AQ14:AQ15"/>
    <mergeCell ref="A14:A15"/>
    <mergeCell ref="B14:B15"/>
    <mergeCell ref="C14:C15"/>
    <mergeCell ref="D14:D15"/>
    <mergeCell ref="AJ14:AJ15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11:A12"/>
    <mergeCell ref="AK9:AK10"/>
    <mergeCell ref="AL9:AL10"/>
    <mergeCell ref="AM9:AM10"/>
    <mergeCell ref="AN9:AN10"/>
    <mergeCell ref="A9:A10"/>
    <mergeCell ref="B9:B10"/>
    <mergeCell ref="C9:C10"/>
    <mergeCell ref="D9:D10"/>
    <mergeCell ref="AJ9:AJ10"/>
    <mergeCell ref="B11:B12"/>
    <mergeCell ref="C11:C12"/>
    <mergeCell ref="AL11:AL12"/>
    <mergeCell ref="AM11:AM12"/>
    <mergeCell ref="AN11:AN12"/>
    <mergeCell ref="D11:D12"/>
    <mergeCell ref="AJ11:AJ12"/>
    <mergeCell ref="AK11:AK12"/>
    <mergeCell ref="AS5:AS6"/>
    <mergeCell ref="AP9:AP10"/>
    <mergeCell ref="AQ9:AQ10"/>
    <mergeCell ref="AR9:AR10"/>
    <mergeCell ref="AO9:AO10"/>
    <mergeCell ref="AR11:AR12"/>
    <mergeCell ref="AQ11:AQ12"/>
    <mergeCell ref="AO11:AO12"/>
    <mergeCell ref="AP11:AP12"/>
  </mergeCells>
  <conditionalFormatting sqref="F5:AI6 F9:AI10">
    <cfRule type="expression" dxfId="46" priority="25" stopIfTrue="1">
      <formula>IF(WEEKDAY(F$5)=1,TRUE,FALSE)</formula>
    </cfRule>
  </conditionalFormatting>
  <conditionalFormatting sqref="F14:AI15">
    <cfRule type="expression" dxfId="45" priority="2" stopIfTrue="1">
      <formula>IF(WEEKDAY(F$5)=1,TRUE,FALSE)</formula>
    </cfRule>
  </conditionalFormatting>
  <conditionalFormatting sqref="F11:AI12">
    <cfRule type="expression" dxfId="4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4" t="str">
        <f>"BẢNG THANH TOÁN LƯƠNG THÁNG"&amp;" "&amp;TEXT($E$4,"mm")&amp;" / "&amp;TEXT($E$4,"yyyy")</f>
        <v>BẢNG THANH TOÁN LƯƠNG THÁNG 04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24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-4'!$E$4</f>
        <v>42826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03" t="s">
        <v>33</v>
      </c>
      <c r="G7" s="201" t="s">
        <v>17</v>
      </c>
      <c r="H7" s="203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2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-4'!$B$8:$AR$15,35,0)</f>
        <v>24</v>
      </c>
      <c r="G10" s="133">
        <f>ROUND(E10/$S$2*F10,0)</f>
        <v>4012500</v>
      </c>
      <c r="H10" s="81">
        <f>(VLOOKUP(B10,'CC -4'!$B$8:$AR$15,36,0)+VLOOKUP(B10,'CC -4'!$B$8:$AR$15,37,0))</f>
        <v>0</v>
      </c>
      <c r="I10" s="133">
        <f>ROUND(E10/$S$2*H10,0)</f>
        <v>0</v>
      </c>
      <c r="J10" s="82">
        <f t="shared" ref="J10" si="2">F10+H10</f>
        <v>24</v>
      </c>
      <c r="K10" s="33">
        <f t="shared" ref="K10" si="3">G10+I10</f>
        <v>4012500</v>
      </c>
      <c r="L10" s="34">
        <f t="shared" ref="L10:N11" si="4">ROUND(IF(VLOOKUP($B10,DS,15,0)="x",$E10*L$4,0),0)</f>
        <v>321000</v>
      </c>
      <c r="M10" s="34">
        <f t="shared" si="4"/>
        <v>60188</v>
      </c>
      <c r="N10" s="34">
        <f t="shared" si="4"/>
        <v>40125</v>
      </c>
      <c r="O10" s="33">
        <f>K10-SUM(L10:N10)</f>
        <v>3591187</v>
      </c>
      <c r="P10" s="33"/>
      <c r="Q10" s="39">
        <f t="shared" ref="Q10" si="5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3</v>
      </c>
      <c r="B11" s="129" t="s">
        <v>113</v>
      </c>
      <c r="C11" s="78" t="str">
        <f t="shared" ref="C11" si="6">VLOOKUP(B11,DS,2,0)</f>
        <v>Võ Ngọc Thúy Hằng</v>
      </c>
      <c r="D11" s="104" t="str">
        <f t="shared" ref="D11" si="7">VLOOKUP(B11,DS,3,0)</f>
        <v>Văn Phòng</v>
      </c>
      <c r="E11" s="79">
        <f>VLOOKUP(B11,DS,7,0)</f>
        <v>3937000</v>
      </c>
      <c r="F11" s="81">
        <f>VLOOKUP(B11,'CC -4'!$B$8:$AR$15,35,0)</f>
        <v>24</v>
      </c>
      <c r="G11" s="133">
        <f>ROUND(E11/$S$2*F11,0)</f>
        <v>3937000</v>
      </c>
      <c r="H11" s="81">
        <f>(VLOOKUP(B11,'CC -4'!$B$8:$AR$15,36,0)+VLOOKUP(B11,'CC -4'!$B$8:$AR$15,37,0))</f>
        <v>0</v>
      </c>
      <c r="I11" s="133">
        <f>ROUND(E11/$S$2*H11,0)</f>
        <v>0</v>
      </c>
      <c r="J11" s="82">
        <f t="shared" ref="J11" si="8">F11+H11</f>
        <v>24</v>
      </c>
      <c r="K11" s="33">
        <f t="shared" ref="K11" si="9">G11+I11</f>
        <v>3937000</v>
      </c>
      <c r="L11" s="34">
        <f t="shared" si="4"/>
        <v>314960</v>
      </c>
      <c r="M11" s="34">
        <f t="shared" si="4"/>
        <v>59055</v>
      </c>
      <c r="N11" s="34">
        <f t="shared" si="4"/>
        <v>39370</v>
      </c>
      <c r="O11" s="33">
        <f>K11-SUM(L11:N11)</f>
        <v>3523615</v>
      </c>
      <c r="P11" s="33"/>
      <c r="Q11" s="39">
        <f t="shared" ref="Q11" si="10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>SUM(G9:G12)</f>
        <v>7949500</v>
      </c>
      <c r="H13" s="128"/>
      <c r="I13" s="128">
        <f>SUM(I9:I12)</f>
        <v>0</v>
      </c>
      <c r="J13" s="128"/>
      <c r="K13" s="128">
        <f>SUM(K9:K12)</f>
        <v>7949500</v>
      </c>
      <c r="L13" s="128">
        <f t="shared" ref="L13:O13" si="11">SUM(L9:L12)</f>
        <v>635960</v>
      </c>
      <c r="M13" s="128">
        <f t="shared" si="11"/>
        <v>119243</v>
      </c>
      <c r="N13" s="128">
        <f t="shared" si="11"/>
        <v>79495</v>
      </c>
      <c r="O13" s="128">
        <f t="shared" si="11"/>
        <v>7114802</v>
      </c>
      <c r="P13" s="128">
        <f t="shared" ref="P13" si="12">SUM(P9:P12)</f>
        <v>0</v>
      </c>
      <c r="Q13" s="128">
        <f t="shared" ref="Q13" si="13">SUM(Q9:Q12)</f>
        <v>7114802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14">VLOOKUP(B15,DS,2,0)</f>
        <v>Thạch Huy Chạch</v>
      </c>
      <c r="D15" s="104" t="str">
        <f t="shared" ref="D15" si="15">VLOOKUP(B15,DS,3,0)</f>
        <v>Công nhân</v>
      </c>
      <c r="E15" s="79">
        <f>VLOOKUP(B15,DS,7,0)</f>
        <v>3937000</v>
      </c>
      <c r="F15" s="81">
        <f>VLOOKUP(B15,'CC -4'!$B$8:$AR$15,35,0)</f>
        <v>24</v>
      </c>
      <c r="G15" s="133">
        <f t="shared" ref="G15" si="16">ROUND(E15/$S$2*F15,0)</f>
        <v>3937000</v>
      </c>
      <c r="H15" s="81">
        <f>(VLOOKUP(B15,'CC -4'!$B$8:$AR$15,36,0)+VLOOKUP(B15,'CC -4'!$B$8:$AR$15,37,0))</f>
        <v>0</v>
      </c>
      <c r="I15" s="133">
        <f t="shared" ref="I15" si="17">ROUND(E15/$S$2*H15,0)</f>
        <v>0</v>
      </c>
      <c r="J15" s="134">
        <f t="shared" ref="J15" si="18">F15+H15</f>
        <v>24</v>
      </c>
      <c r="K15" s="33">
        <f t="shared" ref="K15" si="19">G15+I15</f>
        <v>3937000</v>
      </c>
      <c r="L15" s="34">
        <f>ROUND(IF(VLOOKUP($B15,DS,15,0)="x",$E15*L$4,0),0)</f>
        <v>314960</v>
      </c>
      <c r="M15" s="34">
        <f>ROUND(IF(VLOOKUP($B15,DS,15,0)="x",$E15*M$4,0),0)</f>
        <v>59055</v>
      </c>
      <c r="N15" s="34">
        <f>ROUND(IF(VLOOKUP($B15,DS,15,0)="x",$E15*N$4,0),0)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20">SUM(K14:K16)</f>
        <v>3937000</v>
      </c>
      <c r="L17" s="128">
        <f t="shared" si="20"/>
        <v>314960</v>
      </c>
      <c r="M17" s="128">
        <f t="shared" si="20"/>
        <v>59055</v>
      </c>
      <c r="N17" s="128">
        <f t="shared" si="20"/>
        <v>39370</v>
      </c>
      <c r="O17" s="128">
        <f t="shared" si="20"/>
        <v>3523615</v>
      </c>
      <c r="P17" s="128">
        <f t="shared" si="20"/>
        <v>0</v>
      </c>
      <c r="Q17" s="128">
        <f t="shared" si="20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04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7:R17 A10:B13 AD5:II12 U10:U12 D13:R13 O12:Q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U15 P15:Q15 A15:B15 AD15:II15" name="Range1_5"/>
    <protectedRange password="CC78" sqref="V15:AC15 S15" name="Range1_2_3"/>
    <protectedRange password="CC78" sqref="T15" name="Range1_1_3"/>
    <protectedRange password="CC78" sqref="K10:K12 K15" name="Range1_6"/>
    <protectedRange password="CC78" sqref="A2:A3" name="Range1_2_1_3"/>
    <protectedRange password="CC78" sqref="S2" name="Range1_2_2_1_1"/>
    <protectedRange password="CC78" sqref="O10:O11 O15" name="Range1_3_1_1"/>
  </protectedRanges>
  <autoFilter ref="A7:AC9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2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L24" sqref="L2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3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05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42856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42856</v>
      </c>
      <c r="G5" s="106">
        <f t="shared" ref="G5:AJ5" si="0">F5+1</f>
        <v>42857</v>
      </c>
      <c r="H5" s="106">
        <f t="shared" si="0"/>
        <v>42858</v>
      </c>
      <c r="I5" s="106">
        <f t="shared" si="0"/>
        <v>42859</v>
      </c>
      <c r="J5" s="106">
        <f t="shared" si="0"/>
        <v>42860</v>
      </c>
      <c r="K5" s="106">
        <f t="shared" si="0"/>
        <v>42861</v>
      </c>
      <c r="L5" s="106">
        <f t="shared" si="0"/>
        <v>42862</v>
      </c>
      <c r="M5" s="106">
        <f t="shared" si="0"/>
        <v>42863</v>
      </c>
      <c r="N5" s="106">
        <f t="shared" si="0"/>
        <v>42864</v>
      </c>
      <c r="O5" s="106">
        <f t="shared" si="0"/>
        <v>42865</v>
      </c>
      <c r="P5" s="106">
        <f t="shared" si="0"/>
        <v>42866</v>
      </c>
      <c r="Q5" s="106">
        <f t="shared" si="0"/>
        <v>42867</v>
      </c>
      <c r="R5" s="106">
        <f t="shared" si="0"/>
        <v>42868</v>
      </c>
      <c r="S5" s="106">
        <f t="shared" si="0"/>
        <v>42869</v>
      </c>
      <c r="T5" s="106">
        <f t="shared" si="0"/>
        <v>42870</v>
      </c>
      <c r="U5" s="106">
        <f t="shared" si="0"/>
        <v>42871</v>
      </c>
      <c r="V5" s="106">
        <f t="shared" si="0"/>
        <v>42872</v>
      </c>
      <c r="W5" s="106">
        <f t="shared" si="0"/>
        <v>42873</v>
      </c>
      <c r="X5" s="106">
        <f t="shared" si="0"/>
        <v>42874</v>
      </c>
      <c r="Y5" s="106">
        <f t="shared" si="0"/>
        <v>42875</v>
      </c>
      <c r="Z5" s="106">
        <f t="shared" si="0"/>
        <v>42876</v>
      </c>
      <c r="AA5" s="106">
        <f t="shared" si="0"/>
        <v>42877</v>
      </c>
      <c r="AB5" s="106">
        <f t="shared" si="0"/>
        <v>42878</v>
      </c>
      <c r="AC5" s="106">
        <f t="shared" si="0"/>
        <v>42879</v>
      </c>
      <c r="AD5" s="106">
        <f t="shared" si="0"/>
        <v>42880</v>
      </c>
      <c r="AE5" s="106">
        <f t="shared" si="0"/>
        <v>42881</v>
      </c>
      <c r="AF5" s="106">
        <f t="shared" si="0"/>
        <v>42882</v>
      </c>
      <c r="AG5" s="106">
        <f t="shared" si="0"/>
        <v>42883</v>
      </c>
      <c r="AH5" s="106">
        <f>AG5+1</f>
        <v>42884</v>
      </c>
      <c r="AI5" s="106">
        <f t="shared" si="0"/>
        <v>42885</v>
      </c>
      <c r="AJ5" s="106">
        <f t="shared" si="0"/>
        <v>42886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T.Hai</v>
      </c>
      <c r="G6" s="158" t="str">
        <f t="shared" ref="G6:AJ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8" t="str">
        <f t="shared" si="1"/>
        <v>T.Ba</v>
      </c>
      <c r="AJ6" s="158" t="str">
        <f t="shared" si="1"/>
        <v>T.Tư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131">
        <v>8</v>
      </c>
      <c r="AJ9" s="131">
        <v>8</v>
      </c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113</v>
      </c>
      <c r="C11" s="246" t="str">
        <f>VLOOKUP(B11,DS,2,0)</f>
        <v>Võ Ngọc Thúy Hằng</v>
      </c>
      <c r="D11" s="254" t="str">
        <f>VLOOKUP(B11,DS,3,0)</f>
        <v>Văn Phòng</v>
      </c>
      <c r="E11" s="57" t="s">
        <v>29</v>
      </c>
      <c r="F11" s="131"/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131">
        <v>8</v>
      </c>
      <c r="AJ11" s="131">
        <v>8</v>
      </c>
      <c r="AK11" s="252">
        <f t="shared" ref="AK11" si="2">((SUM(F11:AJ11))/8)-(SUMIF($F$6:$AJ$6,"C.Nhật",F11:AJ11)/8)</f>
        <v>26</v>
      </c>
      <c r="AL11" s="252">
        <f t="shared" ref="AL11" si="3"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25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2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/>
      <c r="G14" s="131">
        <v>8</v>
      </c>
      <c r="H14" s="131">
        <v>8</v>
      </c>
      <c r="I14" s="131">
        <v>8</v>
      </c>
      <c r="J14" s="131">
        <v>8</v>
      </c>
      <c r="K14" s="131">
        <v>8</v>
      </c>
      <c r="L14" s="131"/>
      <c r="M14" s="131">
        <v>8</v>
      </c>
      <c r="N14" s="131">
        <v>8</v>
      </c>
      <c r="O14" s="131">
        <v>8</v>
      </c>
      <c r="P14" s="131">
        <v>8</v>
      </c>
      <c r="Q14" s="131">
        <v>8</v>
      </c>
      <c r="R14" s="131">
        <v>8</v>
      </c>
      <c r="S14" s="131"/>
      <c r="T14" s="131">
        <v>8</v>
      </c>
      <c r="U14" s="131">
        <v>8</v>
      </c>
      <c r="V14" s="131">
        <v>8</v>
      </c>
      <c r="W14" s="131">
        <v>8</v>
      </c>
      <c r="X14" s="131">
        <v>8</v>
      </c>
      <c r="Y14" s="131">
        <v>8</v>
      </c>
      <c r="Z14" s="131"/>
      <c r="AA14" s="131">
        <v>8</v>
      </c>
      <c r="AB14" s="131">
        <v>8</v>
      </c>
      <c r="AC14" s="131">
        <v>8</v>
      </c>
      <c r="AD14" s="131">
        <v>8</v>
      </c>
      <c r="AE14" s="131">
        <v>8</v>
      </c>
      <c r="AF14" s="131">
        <v>8</v>
      </c>
      <c r="AG14" s="131"/>
      <c r="AH14" s="131">
        <v>8</v>
      </c>
      <c r="AI14" s="131">
        <v>8</v>
      </c>
      <c r="AJ14" s="131">
        <v>8</v>
      </c>
      <c r="AK14" s="252">
        <f t="shared" ref="AK14" si="4">((SUM(F14:AJ14))/8)-(SUMIF($F$6:$AJ$6,"C.Nhật",F14:AJ14)/8)</f>
        <v>26</v>
      </c>
      <c r="AL14" s="252">
        <f t="shared" ref="AL14" si="5">SUM(F15:AJ15)/8*1.5</f>
        <v>0</v>
      </c>
      <c r="AM14" s="248">
        <f>SUMIF($F$6:$AJ$6,"C.Nhật",$F14:$AJ15)/8*2</f>
        <v>0</v>
      </c>
      <c r="AN14" s="240">
        <f>SUM(AK14:AM15)</f>
        <v>26</v>
      </c>
      <c r="AO14" s="250">
        <v>0</v>
      </c>
      <c r="AP14" s="240"/>
      <c r="AQ14" s="240"/>
      <c r="AR14" s="240"/>
      <c r="AS14" s="242"/>
      <c r="AT14" s="22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53"/>
      <c r="AL15" s="253"/>
      <c r="AM15" s="249"/>
      <c r="AN15" s="241"/>
      <c r="AO15" s="251"/>
      <c r="AP15" s="241"/>
      <c r="AQ15" s="241"/>
      <c r="AR15" s="241"/>
      <c r="AS15" s="243"/>
      <c r="AT15" s="22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03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03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J18:J21 Q16:Q17" name="Range1_1_1_1"/>
    <protectedRange password="CC78" sqref="J22" name="Range1_3_1_1"/>
    <protectedRange password="CC78" sqref="A11:A12 A14:A15" name="Range1_1_2"/>
    <protectedRange password="CC78" sqref="A14:A15 A11:A12 C11:E12 C14:E15" name="Range1_6_2"/>
    <protectedRange password="CC78" sqref="B14:B15" name="Range1_4_2"/>
    <protectedRange password="CC78" sqref="B9:B12" name="Range1_4_1"/>
  </protectedRanges>
  <mergeCells count="53">
    <mergeCell ref="AQ11:AQ12"/>
    <mergeCell ref="AR11:AR12"/>
    <mergeCell ref="AS11:AS12"/>
    <mergeCell ref="A14:A15"/>
    <mergeCell ref="B14:B15"/>
    <mergeCell ref="C14:C15"/>
    <mergeCell ref="D14:D15"/>
    <mergeCell ref="AK14:AK15"/>
    <mergeCell ref="AQ14:AQ15"/>
    <mergeCell ref="AR14:AR15"/>
    <mergeCell ref="AS14:AS15"/>
    <mergeCell ref="AL14:AL15"/>
    <mergeCell ref="AM14:AM15"/>
    <mergeCell ref="AN14:AN15"/>
    <mergeCell ref="AO14:AO15"/>
    <mergeCell ref="AP14:AP15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M9:AM10"/>
    <mergeCell ref="AO5:AO6"/>
    <mergeCell ref="AP5:AP6"/>
    <mergeCell ref="AN5:AN6"/>
    <mergeCell ref="AQ5:AQ6"/>
    <mergeCell ref="AN9:AN10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L9:AL10"/>
    <mergeCell ref="AK5:AM5"/>
    <mergeCell ref="AK9:AK10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0">
    <cfRule type="expression" dxfId="43" priority="65" stopIfTrue="1">
      <formula>IF(WEEKDAY(F$5)=1,TRUE,FALSE)</formula>
    </cfRule>
  </conditionalFormatting>
  <conditionalFormatting sqref="F9:AJ10">
    <cfRule type="expression" dxfId="42" priority="62" stopIfTrue="1">
      <formula>IF(WEEKDAY(F$5)=1,TRUE,FALSE)</formula>
    </cfRule>
  </conditionalFormatting>
  <conditionalFormatting sqref="F14:AJ15">
    <cfRule type="expression" dxfId="41" priority="4" stopIfTrue="1">
      <formula>IF(WEEKDAY(F$5)=1,TRUE,FALSE)</formula>
    </cfRule>
  </conditionalFormatting>
  <conditionalFormatting sqref="F14:AJ15">
    <cfRule type="expression" dxfId="40" priority="3" stopIfTrue="1">
      <formula>IF(WEEKDAY(F$5)=1,TRUE,FALSE)</formula>
    </cfRule>
  </conditionalFormatting>
  <conditionalFormatting sqref="F11:AJ12">
    <cfRule type="expression" dxfId="39" priority="2" stopIfTrue="1">
      <formula>IF(WEEKDAY(F$5)=1,TRUE,FALSE)</formula>
    </cfRule>
  </conditionalFormatting>
  <conditionalFormatting sqref="F11:AJ12">
    <cfRule type="expression" dxfId="3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40"/>
      <c r="C1" s="40"/>
      <c r="D1" s="274" t="str">
        <f>"BẢNG THANH TOÁN LƯƠNG THÁNG"&amp;" "&amp;TEXT($E$4,"mm")&amp;" / "&amp;TEXT($E$4,"yyyy")</f>
        <v>BẢNG THANH TOÁN LƯƠNG THÁNG 05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40"/>
      <c r="C2" s="40"/>
      <c r="D2" s="40"/>
      <c r="E2" s="70"/>
      <c r="F2" s="40"/>
      <c r="G2" s="40"/>
      <c r="H2" s="40"/>
      <c r="I2" s="40"/>
      <c r="J2" s="71"/>
      <c r="K2" s="40"/>
      <c r="L2" s="40"/>
      <c r="M2" s="40"/>
      <c r="N2" s="40"/>
      <c r="O2" s="40"/>
      <c r="P2" s="40"/>
      <c r="Q2" s="40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40"/>
      <c r="C3" s="40"/>
      <c r="D3" s="40"/>
      <c r="E3" s="70"/>
      <c r="F3" s="40"/>
      <c r="G3" s="40"/>
      <c r="H3" s="40"/>
      <c r="I3" s="40"/>
      <c r="J3" s="71"/>
      <c r="K3" s="40"/>
      <c r="L3" s="40"/>
      <c r="M3" s="40"/>
      <c r="N3" s="40"/>
      <c r="O3" s="40"/>
      <c r="P3" s="40"/>
      <c r="Q3" s="40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-5'!$E$4</f>
        <v>42856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28" t="s">
        <v>33</v>
      </c>
      <c r="G7" s="29" t="s">
        <v>17</v>
      </c>
      <c r="H7" s="155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-5'!$B$8:$AS$15,36,0)</f>
        <v>26</v>
      </c>
      <c r="G10" s="133">
        <f>ROUND(E10/$S$2*F10,0)</f>
        <v>4012500</v>
      </c>
      <c r="H10" s="81">
        <f>(VLOOKUP(B10,'CC -5'!$B$8:$AS$15,37,0)+VLOOKUP(B10,'CC -5'!$B$8:$AS$15,38,0))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1" si="3">ROUND(IF(VLOOKUP($B10,DS,17,0)="x",$E10*L$4,0),0)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 t="shared" ref="Q10" si="4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5">VLOOKUP(B11,DS,2,0)</f>
        <v>Võ Ngọc Thúy Hằng</v>
      </c>
      <c r="D11" s="104" t="str">
        <f t="shared" ref="D11" si="6">VLOOKUP(B11,DS,3,0)</f>
        <v>Văn Phòng</v>
      </c>
      <c r="E11" s="79">
        <f>VLOOKUP(B11,DS,7,0)</f>
        <v>3937000</v>
      </c>
      <c r="F11" s="81">
        <f>VLOOKUP(B11,'CC -5'!$B$8:$AS$15,36,0)</f>
        <v>26</v>
      </c>
      <c r="G11" s="133">
        <f>ROUND(E11/$S$2*F11,0)</f>
        <v>3937000</v>
      </c>
      <c r="H11" s="81">
        <f>(VLOOKUP(B11,'CC -5'!$B$8:$AS$15,37,0)+VLOOKUP(B11,'CC -5'!$B$8:$AS$15,38,0))</f>
        <v>0</v>
      </c>
      <c r="I11" s="133">
        <f>ROUND(E11/$S$2*H11,0)</f>
        <v>0</v>
      </c>
      <c r="J11" s="82">
        <f t="shared" ref="J11" si="7">F11+H11</f>
        <v>26</v>
      </c>
      <c r="K11" s="33">
        <f>G11+I11</f>
        <v>3937000</v>
      </c>
      <c r="L11" s="34">
        <f t="shared" si="3"/>
        <v>314960</v>
      </c>
      <c r="M11" s="34">
        <f t="shared" si="3"/>
        <v>59055</v>
      </c>
      <c r="N11" s="34">
        <f t="shared" si="3"/>
        <v>39370</v>
      </c>
      <c r="O11" s="33">
        <f>K11-SUM(L11:N11)</f>
        <v>3523615</v>
      </c>
      <c r="P11" s="33"/>
      <c r="Q11" s="39">
        <f t="shared" ref="Q11" si="8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SUM(E9:E10)</f>
        <v>4012500</v>
      </c>
      <c r="F13" s="128"/>
      <c r="G13" s="128">
        <f>SUM(G9:G10)</f>
        <v>4012500</v>
      </c>
      <c r="H13" s="128"/>
      <c r="I13" s="128">
        <f>SUM(I9:I10)</f>
        <v>0</v>
      </c>
      <c r="J13" s="128"/>
      <c r="K13" s="128">
        <f>SUM(K9:K10)</f>
        <v>4012500</v>
      </c>
      <c r="L13" s="128">
        <f>SUM(L9:L10)</f>
        <v>321000</v>
      </c>
      <c r="M13" s="128">
        <f>SUM(M9:M10)</f>
        <v>60188</v>
      </c>
      <c r="N13" s="128">
        <f>SUM(N9:N10)</f>
        <v>40125</v>
      </c>
      <c r="O13" s="128">
        <f>SUM(O9:O10)</f>
        <v>3591187</v>
      </c>
      <c r="P13" s="128"/>
      <c r="Q13" s="128">
        <f>SUM(Q9:Q10)</f>
        <v>3591187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9">VLOOKUP(B15,DS,2,0)</f>
        <v>Thạch Huy Chạch</v>
      </c>
      <c r="D15" s="104" t="str">
        <f t="shared" ref="D15" si="10">VLOOKUP(B15,DS,3,0)</f>
        <v>Công nhân</v>
      </c>
      <c r="E15" s="79">
        <f>VLOOKUP(B15,DS,7,0)</f>
        <v>3937000</v>
      </c>
      <c r="F15" s="81">
        <f>VLOOKUP(B15,'CC -5'!$B$8:$AS$15,36,0)</f>
        <v>26</v>
      </c>
      <c r="G15" s="133">
        <f>ROUND(E15/$S$2*F15,0)</f>
        <v>3937000</v>
      </c>
      <c r="H15" s="81">
        <f>(VLOOKUP(B15,'CC -5'!$B$8:$AS$15,37,0)+VLOOKUP(B15,'CC -5'!$B$8:$AS$15,38,0))</f>
        <v>0</v>
      </c>
      <c r="I15" s="133">
        <f>ROUND(E15/$S$2*H15,0)</f>
        <v>0</v>
      </c>
      <c r="J15" s="134">
        <f t="shared" ref="J15" si="11">F15+H15</f>
        <v>26</v>
      </c>
      <c r="K15" s="33">
        <f t="shared" ref="K15" si="12">G15+I15</f>
        <v>3937000</v>
      </c>
      <c r="L15" s="34">
        <f>ROUND(IF(VLOOKUP($B15,DS,17,0)="x",$E15*L$4,0),0)</f>
        <v>314960</v>
      </c>
      <c r="M15" s="34">
        <f>ROUND(IF(VLOOKUP($B15,DS,17,0)="x",$E15*M$4,0),0)</f>
        <v>59055</v>
      </c>
      <c r="N15" s="34">
        <f>ROUND(IF(VLOOKUP($B15,DS,17,0)="x",$E15*N$4,0),0)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3">SUM(K14:K16)</f>
        <v>3937000</v>
      </c>
      <c r="L17" s="128">
        <f t="shared" si="13"/>
        <v>314960</v>
      </c>
      <c r="M17" s="128">
        <f t="shared" si="13"/>
        <v>59055</v>
      </c>
      <c r="N17" s="128">
        <f t="shared" si="13"/>
        <v>39370</v>
      </c>
      <c r="O17" s="128">
        <f t="shared" si="13"/>
        <v>3523615</v>
      </c>
      <c r="P17" s="128">
        <f t="shared" si="13"/>
        <v>0</v>
      </c>
      <c r="Q17" s="128">
        <f t="shared" si="13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05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3:R13 A12:B13 D17:R17 AD5:II12 U10:U12 O12:Q12 A10:A11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15 U15 AD15:II15 P15:Q15" name="Range1_5"/>
    <protectedRange password="CC78" sqref="V15:AC15 S15" name="Range1_2_3"/>
    <protectedRange password="CC78" sqref="T15" name="Range1_1_3"/>
    <protectedRange password="CC78" sqref="K10:K12 K15" name="Range1_6"/>
    <protectedRange password="CC78" sqref="A2:A3" name="Range1_2_1_3"/>
    <protectedRange password="CC78" sqref="S2" name="Range1_2_2_1_1"/>
    <protectedRange password="CC78" sqref="B10:B11" name="Range1_3"/>
    <protectedRange password="CC78" sqref="B15" name="Range1_5_1"/>
    <protectedRange password="CC78" sqref="O10:O11 O15" name="Range1_3_1"/>
  </protectedRanges>
  <autoFilter ref="A7:AC10"/>
  <mergeCells count="20">
    <mergeCell ref="Q5:Q7"/>
    <mergeCell ref="P1:R1"/>
    <mergeCell ref="O5:O7"/>
    <mergeCell ref="L5:N5"/>
    <mergeCell ref="P5:P7"/>
    <mergeCell ref="M6:M7"/>
    <mergeCell ref="L6:L7"/>
    <mergeCell ref="N6:N7"/>
    <mergeCell ref="R5:R7"/>
    <mergeCell ref="D1:O1"/>
    <mergeCell ref="A5:A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4" sqref="B14:B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4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06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42887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42887</v>
      </c>
      <c r="G5" s="106">
        <f t="shared" ref="G5:AJ5" si="0">F5+1</f>
        <v>42888</v>
      </c>
      <c r="H5" s="106">
        <f t="shared" si="0"/>
        <v>42889</v>
      </c>
      <c r="I5" s="106">
        <f t="shared" si="0"/>
        <v>42890</v>
      </c>
      <c r="J5" s="106">
        <f t="shared" si="0"/>
        <v>42891</v>
      </c>
      <c r="K5" s="106">
        <f t="shared" si="0"/>
        <v>42892</v>
      </c>
      <c r="L5" s="106">
        <f t="shared" si="0"/>
        <v>42893</v>
      </c>
      <c r="M5" s="106">
        <f t="shared" si="0"/>
        <v>42894</v>
      </c>
      <c r="N5" s="106">
        <f t="shared" si="0"/>
        <v>42895</v>
      </c>
      <c r="O5" s="106">
        <f t="shared" si="0"/>
        <v>42896</v>
      </c>
      <c r="P5" s="106">
        <f t="shared" si="0"/>
        <v>42897</v>
      </c>
      <c r="Q5" s="106">
        <f t="shared" si="0"/>
        <v>42898</v>
      </c>
      <c r="R5" s="106">
        <f t="shared" si="0"/>
        <v>42899</v>
      </c>
      <c r="S5" s="106">
        <f t="shared" si="0"/>
        <v>42900</v>
      </c>
      <c r="T5" s="106">
        <f t="shared" si="0"/>
        <v>42901</v>
      </c>
      <c r="U5" s="106">
        <f t="shared" si="0"/>
        <v>42902</v>
      </c>
      <c r="V5" s="106">
        <f t="shared" si="0"/>
        <v>42903</v>
      </c>
      <c r="W5" s="106">
        <f t="shared" si="0"/>
        <v>42904</v>
      </c>
      <c r="X5" s="106">
        <f t="shared" si="0"/>
        <v>42905</v>
      </c>
      <c r="Y5" s="106">
        <f t="shared" si="0"/>
        <v>42906</v>
      </c>
      <c r="Z5" s="106">
        <f t="shared" si="0"/>
        <v>42907</v>
      </c>
      <c r="AA5" s="106">
        <f t="shared" si="0"/>
        <v>42908</v>
      </c>
      <c r="AB5" s="106">
        <f t="shared" si="0"/>
        <v>42909</v>
      </c>
      <c r="AC5" s="106">
        <f t="shared" si="0"/>
        <v>42910</v>
      </c>
      <c r="AD5" s="106">
        <f t="shared" si="0"/>
        <v>42911</v>
      </c>
      <c r="AE5" s="106">
        <f t="shared" si="0"/>
        <v>42912</v>
      </c>
      <c r="AF5" s="106">
        <f t="shared" si="0"/>
        <v>42913</v>
      </c>
      <c r="AG5" s="106">
        <f t="shared" si="0"/>
        <v>42914</v>
      </c>
      <c r="AH5" s="106">
        <f>AG5+1</f>
        <v>42915</v>
      </c>
      <c r="AI5" s="106">
        <f t="shared" si="0"/>
        <v>42916</v>
      </c>
      <c r="AJ5" s="106">
        <f t="shared" si="0"/>
        <v>42917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7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>
        <v>8</v>
      </c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7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7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113</v>
      </c>
      <c r="C11" s="246" t="str">
        <f>VLOOKUP(B11,DS,2,0)</f>
        <v>Võ Ngọc Thúy Hằng</v>
      </c>
      <c r="D11" s="254" t="str">
        <f>VLOOKUP(B11,DS,3,0)</f>
        <v>Văn Phòng</v>
      </c>
      <c r="E11" s="57" t="s">
        <v>29</v>
      </c>
      <c r="F11" s="131">
        <v>8</v>
      </c>
      <c r="G11" s="131">
        <v>8</v>
      </c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52">
        <f>((SUM(F11:AJ11))/8)-(SUMIF($F$6:$AJ$6,"C.Nhật",F11:AJ11)/8)</f>
        <v>26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>
        <v>8</v>
      </c>
      <c r="G14" s="131">
        <v>8</v>
      </c>
      <c r="H14" s="131">
        <v>8</v>
      </c>
      <c r="I14" s="131"/>
      <c r="J14" s="131">
        <v>8</v>
      </c>
      <c r="K14" s="131">
        <v>8</v>
      </c>
      <c r="L14" s="131">
        <v>8</v>
      </c>
      <c r="M14" s="131">
        <v>8</v>
      </c>
      <c r="N14" s="131">
        <v>8</v>
      </c>
      <c r="O14" s="131">
        <v>8</v>
      </c>
      <c r="P14" s="131"/>
      <c r="Q14" s="131">
        <v>8</v>
      </c>
      <c r="R14" s="131">
        <v>8</v>
      </c>
      <c r="S14" s="131">
        <v>8</v>
      </c>
      <c r="T14" s="131">
        <v>8</v>
      </c>
      <c r="U14" s="131">
        <v>8</v>
      </c>
      <c r="V14" s="131">
        <v>8</v>
      </c>
      <c r="W14" s="131"/>
      <c r="X14" s="131">
        <v>8</v>
      </c>
      <c r="Y14" s="131">
        <v>8</v>
      </c>
      <c r="Z14" s="131">
        <v>8</v>
      </c>
      <c r="AA14" s="131">
        <v>8</v>
      </c>
      <c r="AB14" s="131">
        <v>8</v>
      </c>
      <c r="AC14" s="131">
        <v>8</v>
      </c>
      <c r="AD14" s="131"/>
      <c r="AE14" s="131">
        <v>8</v>
      </c>
      <c r="AF14" s="131">
        <v>8</v>
      </c>
      <c r="AG14" s="131">
        <v>8</v>
      </c>
      <c r="AH14" s="131">
        <v>8</v>
      </c>
      <c r="AI14" s="131">
        <v>8</v>
      </c>
      <c r="AJ14" s="131"/>
      <c r="AK14" s="252">
        <f t="shared" ref="AK14" si="2">((SUM(F14:AJ14))/8)-(SUMIF($F$6:$AJ$6,"C.Nhật",F14:AJ14)/8)</f>
        <v>26</v>
      </c>
      <c r="AL14" s="252">
        <f t="shared" ref="AL14" si="3">SUM(F15:AJ15)/8*1.5</f>
        <v>0</v>
      </c>
      <c r="AM14" s="248">
        <f>SUMIF($F$6:$AJ$6,"C.Nhật",$F14:$AJ15)/8*2</f>
        <v>0</v>
      </c>
      <c r="AN14" s="240">
        <f>SUM(AK14:AM15)</f>
        <v>26</v>
      </c>
      <c r="AO14" s="250">
        <v>0</v>
      </c>
      <c r="AP14" s="240"/>
      <c r="AQ14" s="240"/>
      <c r="AR14" s="240"/>
      <c r="AS14" s="242"/>
      <c r="AT14" s="20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53"/>
      <c r="AL15" s="253"/>
      <c r="AM15" s="249"/>
      <c r="AN15" s="241"/>
      <c r="AO15" s="251"/>
      <c r="AP15" s="241"/>
      <c r="AQ15" s="241"/>
      <c r="AR15" s="241"/>
      <c r="AS15" s="243"/>
      <c r="AT15" s="20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74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74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J18:J21 Q16:Q17" name="Range1_1_1_1"/>
    <protectedRange password="CC78" sqref="J22" name="Range1_3_1_1"/>
    <protectedRange password="CC78" sqref="A14:A15" name="Range1_1_2"/>
    <protectedRange password="CC78" sqref="C14:E15 A14:A15" name="Range1_6_2"/>
    <protectedRange password="CC78" sqref="B9:B12" name="Range1_4_1"/>
    <protectedRange password="CC78" sqref="B14:B15" name="Range1_4_2_1"/>
  </protectedRanges>
  <mergeCells count="53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4:AM15"/>
    <mergeCell ref="AN14:AN15"/>
    <mergeCell ref="AO14:AO15"/>
    <mergeCell ref="AP14:AP15"/>
    <mergeCell ref="AS14:AS15"/>
    <mergeCell ref="AQ14:AQ15"/>
    <mergeCell ref="AR14:AR15"/>
    <mergeCell ref="AL14:AL15"/>
    <mergeCell ref="A14:A15"/>
    <mergeCell ref="B14:B15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</mergeCells>
  <conditionalFormatting sqref="F5:AJ6 F9:AJ10">
    <cfRule type="expression" dxfId="37" priority="70" stopIfTrue="1">
      <formula>IF(WEEKDAY(F$5)=1,TRUE,FALSE)</formula>
    </cfRule>
  </conditionalFormatting>
  <conditionalFormatting sqref="F9:AJ10">
    <cfRule type="expression" dxfId="36" priority="69" stopIfTrue="1">
      <formula>IF(WEEKDAY(F$5)=1,TRUE,FALSE)</formula>
    </cfRule>
  </conditionalFormatting>
  <conditionalFormatting sqref="AJ14:AJ15">
    <cfRule type="expression" dxfId="35" priority="58" stopIfTrue="1">
      <formula>IF(WEEKDAY(AJ$5)=1,TRUE,FALSE)</formula>
    </cfRule>
  </conditionalFormatting>
  <conditionalFormatting sqref="AJ14:AJ15">
    <cfRule type="expression" dxfId="34" priority="57" stopIfTrue="1">
      <formula>IF(WEEKDAY(AJ$5)=1,TRUE,FALSE)</formula>
    </cfRule>
  </conditionalFormatting>
  <conditionalFormatting sqref="AJ14:AJ15">
    <cfRule type="expression" dxfId="33" priority="56" stopIfTrue="1">
      <formula>IF(WEEKDAY(AJ$5)=1,TRUE,FALSE)</formula>
    </cfRule>
  </conditionalFormatting>
  <conditionalFormatting sqref="AJ14:AJ15">
    <cfRule type="expression" dxfId="32" priority="54" stopIfTrue="1">
      <formula>IF(WEEKDAY(AJ$5)=1,TRUE,FALSE)</formula>
    </cfRule>
  </conditionalFormatting>
  <conditionalFormatting sqref="AJ14:AJ15">
    <cfRule type="expression" dxfId="31" priority="52" stopIfTrue="1">
      <formula>IF(WEEKDAY(AJ$5)=1,TRUE,FALSE)</formula>
    </cfRule>
  </conditionalFormatting>
  <conditionalFormatting sqref="AJ14:AJ15">
    <cfRule type="expression" dxfId="30" priority="51" stopIfTrue="1">
      <formula>IF(WEEKDAY(AJ$5)=1,TRUE,FALSE)</formula>
    </cfRule>
  </conditionalFormatting>
  <conditionalFormatting sqref="AJ14:AJ15">
    <cfRule type="expression" dxfId="29" priority="50" stopIfTrue="1">
      <formula>IF(WEEKDAY(AJ$5)=1,TRUE,FALSE)</formula>
    </cfRule>
  </conditionalFormatting>
  <conditionalFormatting sqref="F14:AI15">
    <cfRule type="expression" dxfId="28" priority="17" stopIfTrue="1">
      <formula>IF(WEEKDAY(F$5)=1,TRUE,FALSE)</formula>
    </cfRule>
  </conditionalFormatting>
  <conditionalFormatting sqref="F14:AI15">
    <cfRule type="expression" dxfId="27" priority="16" stopIfTrue="1">
      <formula>IF(WEEKDAY(F$5)=1,TRUE,FALSE)</formula>
    </cfRule>
  </conditionalFormatting>
  <conditionalFormatting sqref="F11:AJ12">
    <cfRule type="expression" dxfId="26" priority="2" stopIfTrue="1">
      <formula>IF(WEEKDAY(F$5)=1,TRUE,FALSE)</formula>
    </cfRule>
  </conditionalFormatting>
  <conditionalFormatting sqref="F11:AJ12">
    <cfRule type="expression" dxfId="2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1" sqref="E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77"/>
      <c r="C1" s="177"/>
      <c r="D1" s="274" t="str">
        <f>"BẢNG THANH TOÁN LƯƠNG THÁNG"&amp;" "&amp;TEXT($E$4,"mm")&amp;" / "&amp;TEXT($E$4,"yyyy")</f>
        <v>BẢNG THANH TOÁN LƯƠNG THÁNG 06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77"/>
      <c r="C2" s="177"/>
      <c r="D2" s="177"/>
      <c r="E2" s="70"/>
      <c r="F2" s="177"/>
      <c r="G2" s="177"/>
      <c r="H2" s="177"/>
      <c r="I2" s="177"/>
      <c r="J2" s="71"/>
      <c r="K2" s="177"/>
      <c r="L2" s="177"/>
      <c r="M2" s="177"/>
      <c r="N2" s="177"/>
      <c r="O2" s="177"/>
      <c r="P2" s="177"/>
      <c r="Q2" s="177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77"/>
      <c r="C3" s="177"/>
      <c r="D3" s="177"/>
      <c r="E3" s="70"/>
      <c r="F3" s="177"/>
      <c r="G3" s="177"/>
      <c r="H3" s="177"/>
      <c r="I3" s="177"/>
      <c r="J3" s="71"/>
      <c r="K3" s="177"/>
      <c r="L3" s="177"/>
      <c r="M3" s="177"/>
      <c r="N3" s="177"/>
      <c r="O3" s="177"/>
      <c r="P3" s="177"/>
      <c r="Q3" s="177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-6'!$E$4</f>
        <v>42887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78" t="s">
        <v>33</v>
      </c>
      <c r="G7" s="175" t="s">
        <v>17</v>
      </c>
      <c r="H7" s="178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-6'!$B$8:$AS$15,36,0)</f>
        <v>26</v>
      </c>
      <c r="G10" s="133">
        <f>ROUND(E10/$S$2*F10,0)</f>
        <v>4012500</v>
      </c>
      <c r="H10" s="81">
        <f>(VLOOKUP(B10,'CC -6'!$B$8:$AS$15,37,0)+VLOOKUP(B10,'CC -6'!$B$8:$AS$15,38,0))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1" si="3">ROUND(IF(VLOOKUP($B10,DS,19,0)="x",$E10*L$4,0),0)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4">VLOOKUP(B11,DS,2,0)</f>
        <v>Võ Ngọc Thúy Hằng</v>
      </c>
      <c r="D11" s="104" t="str">
        <f t="shared" ref="D11" si="5">VLOOKUP(B11,DS,3,0)</f>
        <v>Văn Phòng</v>
      </c>
      <c r="E11" s="79">
        <f>VLOOKUP(B11,DS,7,0)</f>
        <v>3937000</v>
      </c>
      <c r="F11" s="81">
        <f>VLOOKUP(B11,'CC -6'!$B$8:$AS$15,36,0)</f>
        <v>26</v>
      </c>
      <c r="G11" s="133">
        <f>ROUND(E11/$S$2*F11,0)</f>
        <v>3937000</v>
      </c>
      <c r="H11" s="81">
        <f>(VLOOKUP(B11,'CC -6'!$B$8:$AS$15,37,0)+VLOOKUP(B11,'CC -6'!$B$8:$AS$15,38,0))</f>
        <v>0</v>
      </c>
      <c r="I11" s="133">
        <f>ROUND(E11/$S$2*H11,0)</f>
        <v>0</v>
      </c>
      <c r="J11" s="82">
        <f t="shared" ref="J11" si="6">F11+H11</f>
        <v>26</v>
      </c>
      <c r="K11" s="33">
        <f t="shared" ref="K11" si="7">G11+I11</f>
        <v>3937000</v>
      </c>
      <c r="L11" s="34">
        <f t="shared" si="3"/>
        <v>314960</v>
      </c>
      <c r="M11" s="34">
        <f t="shared" si="3"/>
        <v>59055</v>
      </c>
      <c r="N11" s="34">
        <f t="shared" si="3"/>
        <v>39370</v>
      </c>
      <c r="O11" s="33">
        <f>K11-SUM(L11:N11)</f>
        <v>3523615</v>
      </c>
      <c r="P11" s="33"/>
      <c r="Q11" s="39">
        <f t="shared" ref="Q11" si="8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>SUM(G9:G12)</f>
        <v>7949500</v>
      </c>
      <c r="H13" s="128"/>
      <c r="I13" s="128">
        <f>SUM(I9:I12)</f>
        <v>0</v>
      </c>
      <c r="J13" s="128"/>
      <c r="K13" s="128">
        <f>SUM(K9:K12)</f>
        <v>7949500</v>
      </c>
      <c r="L13" s="128">
        <f t="shared" ref="L13:Q13" si="9">SUM(L9:L12)</f>
        <v>635960</v>
      </c>
      <c r="M13" s="128">
        <f t="shared" si="9"/>
        <v>119243</v>
      </c>
      <c r="N13" s="128">
        <f t="shared" si="9"/>
        <v>79495</v>
      </c>
      <c r="O13" s="128">
        <f t="shared" si="9"/>
        <v>7114802</v>
      </c>
      <c r="P13" s="128">
        <f t="shared" si="9"/>
        <v>0</v>
      </c>
      <c r="Q13" s="128">
        <f t="shared" si="9"/>
        <v>7114802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10">VLOOKUP(B15,DS,2,0)</f>
        <v>Thạch Huy Chạch</v>
      </c>
      <c r="D15" s="104" t="str">
        <f t="shared" ref="D15" si="11">VLOOKUP(B15,DS,3,0)</f>
        <v>Công nhân</v>
      </c>
      <c r="E15" s="79">
        <f>VLOOKUP(B15,DS,7,0)</f>
        <v>3937000</v>
      </c>
      <c r="F15" s="81">
        <f>VLOOKUP(B15,'CC -6'!$B$8:$AS$15,36,0)</f>
        <v>26</v>
      </c>
      <c r="G15" s="133">
        <f>ROUND(E15/$S$2*F15,0)</f>
        <v>3937000</v>
      </c>
      <c r="H15" s="81">
        <f>(VLOOKUP(B15,'CC -6'!$B$8:$AS$15,37,0)+VLOOKUP(B15,'CC -6'!$B$8:$AS$15,38,0))</f>
        <v>0</v>
      </c>
      <c r="I15" s="133">
        <f>ROUND(E15/$S$2*H15,0)</f>
        <v>0</v>
      </c>
      <c r="J15" s="134">
        <f t="shared" ref="J15:K15" si="12">F15+H15</f>
        <v>26</v>
      </c>
      <c r="K15" s="33">
        <f t="shared" si="12"/>
        <v>3937000</v>
      </c>
      <c r="L15" s="34">
        <f>ROUND(IF(VLOOKUP($B15,DS,19,0)="x",$E15*L$4,0),0)</f>
        <v>314960</v>
      </c>
      <c r="M15" s="34">
        <f>ROUND(IF(VLOOKUP($B15,DS,19,0)="x",$E15*M$4,0),0)</f>
        <v>59055</v>
      </c>
      <c r="N15" s="34">
        <f>ROUND(IF(VLOOKUP($B15,DS,19,0)="x",$E15*N$4,0),0)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3">SUM(K14:K16)</f>
        <v>3937000</v>
      </c>
      <c r="L17" s="128">
        <f t="shared" si="13"/>
        <v>314960</v>
      </c>
      <c r="M17" s="128">
        <f t="shared" si="13"/>
        <v>59055</v>
      </c>
      <c r="N17" s="128">
        <f t="shared" si="13"/>
        <v>39370</v>
      </c>
      <c r="O17" s="128">
        <f t="shared" si="13"/>
        <v>3523615</v>
      </c>
      <c r="P17" s="128">
        <f t="shared" si="13"/>
        <v>0</v>
      </c>
      <c r="Q17" s="128">
        <f t="shared" si="13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06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D17 L5:N6 A12:B13 J6:K7 A23:R56 S29:S56 J16:Q16 T23:II56 A57:II65324 AD14:II14 T13:II13 D13 A10:A11 O12:Q12 AD5:II12 U10:U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E13:R13" name="Range1_3"/>
    <protectedRange password="CC78" sqref="E17:R17" name="Range1_7"/>
    <protectedRange password="CC78" sqref="S2" name="Range1_2_2_1_1"/>
    <protectedRange password="CC78" sqref="B10:B11" name="Range1_3_1"/>
    <protectedRange password="CC78" sqref="B15" name="Range1_5_1"/>
    <protectedRange password="CC78" sqref="O10:O11 O15" name="Range1_3_2"/>
  </protectedRanges>
  <autoFilter ref="A7:AC10"/>
  <mergeCells count="20">
    <mergeCell ref="A5:A7"/>
    <mergeCell ref="B5:B7"/>
    <mergeCell ref="C5:C7"/>
    <mergeCell ref="D5:D7"/>
    <mergeCell ref="E5:E7"/>
    <mergeCell ref="M6:M7"/>
    <mergeCell ref="N6:N7"/>
    <mergeCell ref="J6:J7"/>
    <mergeCell ref="D1:O1"/>
    <mergeCell ref="P1:R1"/>
    <mergeCell ref="F5:K5"/>
    <mergeCell ref="P5:P7"/>
    <mergeCell ref="Q5:Q7"/>
    <mergeCell ref="R5:R7"/>
    <mergeCell ref="F6:G6"/>
    <mergeCell ref="H6:I6"/>
    <mergeCell ref="L5:N5"/>
    <mergeCell ref="O5:O7"/>
    <mergeCell ref="K6:K7"/>
    <mergeCell ref="L6:L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4" sqref="B14:B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07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42917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42917</v>
      </c>
      <c r="G5" s="106">
        <f t="shared" ref="G5:AJ5" si="0">F5+1</f>
        <v>42918</v>
      </c>
      <c r="H5" s="106">
        <f t="shared" si="0"/>
        <v>42919</v>
      </c>
      <c r="I5" s="106">
        <f t="shared" si="0"/>
        <v>42920</v>
      </c>
      <c r="J5" s="106">
        <f t="shared" si="0"/>
        <v>42921</v>
      </c>
      <c r="K5" s="106">
        <f t="shared" si="0"/>
        <v>42922</v>
      </c>
      <c r="L5" s="106">
        <f t="shared" si="0"/>
        <v>42923</v>
      </c>
      <c r="M5" s="106">
        <f t="shared" si="0"/>
        <v>42924</v>
      </c>
      <c r="N5" s="106">
        <f t="shared" si="0"/>
        <v>42925</v>
      </c>
      <c r="O5" s="106">
        <f t="shared" si="0"/>
        <v>42926</v>
      </c>
      <c r="P5" s="106">
        <f t="shared" si="0"/>
        <v>42927</v>
      </c>
      <c r="Q5" s="106">
        <f t="shared" si="0"/>
        <v>42928</v>
      </c>
      <c r="R5" s="106">
        <f t="shared" si="0"/>
        <v>42929</v>
      </c>
      <c r="S5" s="106">
        <f t="shared" si="0"/>
        <v>42930</v>
      </c>
      <c r="T5" s="106">
        <f t="shared" si="0"/>
        <v>42931</v>
      </c>
      <c r="U5" s="106">
        <f t="shared" si="0"/>
        <v>42932</v>
      </c>
      <c r="V5" s="106">
        <f t="shared" si="0"/>
        <v>42933</v>
      </c>
      <c r="W5" s="106">
        <f t="shared" si="0"/>
        <v>42934</v>
      </c>
      <c r="X5" s="106">
        <f t="shared" si="0"/>
        <v>42935</v>
      </c>
      <c r="Y5" s="106">
        <f t="shared" si="0"/>
        <v>42936</v>
      </c>
      <c r="Z5" s="106">
        <f t="shared" si="0"/>
        <v>42937</v>
      </c>
      <c r="AA5" s="106">
        <f t="shared" si="0"/>
        <v>42938</v>
      </c>
      <c r="AB5" s="106">
        <f t="shared" si="0"/>
        <v>42939</v>
      </c>
      <c r="AC5" s="106">
        <f t="shared" si="0"/>
        <v>42940</v>
      </c>
      <c r="AD5" s="106">
        <f t="shared" si="0"/>
        <v>42941</v>
      </c>
      <c r="AE5" s="106">
        <f t="shared" si="0"/>
        <v>42942</v>
      </c>
      <c r="AF5" s="106">
        <f t="shared" si="0"/>
        <v>42943</v>
      </c>
      <c r="AG5" s="106">
        <f t="shared" si="0"/>
        <v>42944</v>
      </c>
      <c r="AH5" s="106">
        <f>AG5+1</f>
        <v>42945</v>
      </c>
      <c r="AI5" s="106">
        <f t="shared" si="0"/>
        <v>42946</v>
      </c>
      <c r="AJ5" s="106">
        <f t="shared" si="0"/>
        <v>42947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T.Bảy</v>
      </c>
      <c r="G6" s="158" t="str">
        <f t="shared" ref="G6:AJ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8" t="str">
        <f t="shared" si="1"/>
        <v>T.Hai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131">
        <v>8</v>
      </c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4">
        <v>2</v>
      </c>
      <c r="B11" s="244" t="s">
        <v>113</v>
      </c>
      <c r="C11" s="246" t="str">
        <f>VLOOKUP(B11,DS,2,0)</f>
        <v>Võ Ngọc Thúy Hằng</v>
      </c>
      <c r="D11" s="254" t="str">
        <f>VLOOKUP(B11,DS,3,0)</f>
        <v>Văn Phòng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131">
        <v>8</v>
      </c>
      <c r="AK11" s="252">
        <f>((SUM(F11:AJ11))/8)-(SUMIF($F$6:$AJ$6,"C.Nhật",F11:AJ11)/8)</f>
        <v>26</v>
      </c>
      <c r="AL11" s="252">
        <f>SUM(F12:AJ12)/8*1.5</f>
        <v>0</v>
      </c>
      <c r="AM11" s="248">
        <f>SUMIF($F$6:$AJ$6,"C.Nhật",$F11:$AJ12)/8*2</f>
        <v>0</v>
      </c>
      <c r="AN11" s="240">
        <f>SUM(AK11:AM12)</f>
        <v>26</v>
      </c>
      <c r="AO11" s="250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5"/>
      <c r="B12" s="245"/>
      <c r="C12" s="247"/>
      <c r="D12" s="255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3"/>
      <c r="AL12" s="253"/>
      <c r="AM12" s="249"/>
      <c r="AN12" s="241"/>
      <c r="AO12" s="251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4">
        <v>1</v>
      </c>
      <c r="B14" s="244" t="s">
        <v>74</v>
      </c>
      <c r="C14" s="246" t="str">
        <f>VLOOKUP(B14,DS,2,0)</f>
        <v>Thạch Huy Chạch</v>
      </c>
      <c r="D14" s="254" t="str">
        <f>VLOOKUP(B14,DS,3,0)</f>
        <v>Công nhân</v>
      </c>
      <c r="E14" s="57" t="s">
        <v>29</v>
      </c>
      <c r="F14" s="131">
        <v>8</v>
      </c>
      <c r="G14" s="131"/>
      <c r="H14" s="131">
        <v>8</v>
      </c>
      <c r="I14" s="131">
        <v>8</v>
      </c>
      <c r="J14" s="131">
        <v>8</v>
      </c>
      <c r="K14" s="131">
        <v>8</v>
      </c>
      <c r="L14" s="131">
        <v>8</v>
      </c>
      <c r="M14" s="131">
        <v>8</v>
      </c>
      <c r="N14" s="131"/>
      <c r="O14" s="131">
        <v>8</v>
      </c>
      <c r="P14" s="131">
        <v>8</v>
      </c>
      <c r="Q14" s="131">
        <v>8</v>
      </c>
      <c r="R14" s="131">
        <v>8</v>
      </c>
      <c r="S14" s="131">
        <v>8</v>
      </c>
      <c r="T14" s="131">
        <v>8</v>
      </c>
      <c r="U14" s="131"/>
      <c r="V14" s="131">
        <v>8</v>
      </c>
      <c r="W14" s="131">
        <v>8</v>
      </c>
      <c r="X14" s="131">
        <v>8</v>
      </c>
      <c r="Y14" s="131">
        <v>8</v>
      </c>
      <c r="Z14" s="131">
        <v>8</v>
      </c>
      <c r="AA14" s="131">
        <v>8</v>
      </c>
      <c r="AB14" s="131"/>
      <c r="AC14" s="131">
        <v>8</v>
      </c>
      <c r="AD14" s="131">
        <v>8</v>
      </c>
      <c r="AE14" s="131">
        <v>8</v>
      </c>
      <c r="AF14" s="131">
        <v>8</v>
      </c>
      <c r="AG14" s="131">
        <v>8</v>
      </c>
      <c r="AH14" s="131">
        <v>8</v>
      </c>
      <c r="AI14" s="131"/>
      <c r="AJ14" s="131">
        <v>8</v>
      </c>
      <c r="AK14" s="252">
        <f t="shared" ref="AK14" si="2">((SUM(F14:AJ14))/8)-(SUMIF($F$6:$AJ$6,"C.Nhật",F14:AJ14)/8)</f>
        <v>26</v>
      </c>
      <c r="AL14" s="252">
        <f t="shared" ref="AL14" si="3">SUM(F15:AJ15)/8*1.5</f>
        <v>0</v>
      </c>
      <c r="AM14" s="248">
        <f>SUMIF($F$6:$AJ$6,"C.Nhật",$F14:$AJ15)/8*2</f>
        <v>0</v>
      </c>
      <c r="AN14" s="240">
        <f>SUM(AK14:AM15)</f>
        <v>26</v>
      </c>
      <c r="AO14" s="250">
        <v>0</v>
      </c>
      <c r="AP14" s="240"/>
      <c r="AQ14" s="240"/>
      <c r="AR14" s="240"/>
      <c r="AS14" s="242"/>
      <c r="AT14" s="20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5"/>
      <c r="B15" s="245"/>
      <c r="C15" s="247"/>
      <c r="D15" s="255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53"/>
      <c r="AL15" s="253"/>
      <c r="AM15" s="249"/>
      <c r="AN15" s="241"/>
      <c r="AO15" s="251"/>
      <c r="AP15" s="241"/>
      <c r="AQ15" s="241"/>
      <c r="AR15" s="241"/>
      <c r="AS15" s="243"/>
      <c r="AT15" s="20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79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79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4:A15" name="Range1_1_2"/>
    <protectedRange password="CC78" sqref="C14:E15 A14:A15" name="Range1_6_2"/>
    <protectedRange password="CC78" sqref="B14:B15" name="Range1_4_2_1"/>
  </protectedRanges>
  <mergeCells count="53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Q14:AQ15"/>
    <mergeCell ref="AR14:AR15"/>
    <mergeCell ref="AS14:AS15"/>
    <mergeCell ref="AO14:AO15"/>
    <mergeCell ref="AP14:AP15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I10 F14:AI15">
    <cfRule type="expression" dxfId="24" priority="50" stopIfTrue="1">
      <formula>IF(WEEKDAY(F$5)=1,TRUE,FALSE)</formula>
    </cfRule>
  </conditionalFormatting>
  <conditionalFormatting sqref="F9:AI10">
    <cfRule type="expression" dxfId="23" priority="49" stopIfTrue="1">
      <formula>IF(WEEKDAY(F$5)=1,TRUE,FALSE)</formula>
    </cfRule>
  </conditionalFormatting>
  <conditionalFormatting sqref="F11:AI12">
    <cfRule type="expression" dxfId="22" priority="8" stopIfTrue="1">
      <formula>IF(WEEKDAY(F$5)=1,TRUE,FALSE)</formula>
    </cfRule>
  </conditionalFormatting>
  <conditionalFormatting sqref="F11:AI12">
    <cfRule type="expression" dxfId="21" priority="7" stopIfTrue="1">
      <formula>IF(WEEKDAY(F$5)=1,TRUE,FALSE)</formula>
    </cfRule>
  </conditionalFormatting>
  <conditionalFormatting sqref="AJ9:AJ10 AJ14:AJ15">
    <cfRule type="expression" dxfId="20" priority="6" stopIfTrue="1">
      <formula>IF(WEEKDAY(AJ$5)=1,TRUE,FALSE)</formula>
    </cfRule>
  </conditionalFormatting>
  <conditionalFormatting sqref="AJ9:AJ10">
    <cfRule type="expression" dxfId="19" priority="5" stopIfTrue="1">
      <formula>IF(WEEKDAY(AJ$5)=1,TRUE,FALSE)</formula>
    </cfRule>
  </conditionalFormatting>
  <conditionalFormatting sqref="AJ11:AJ12">
    <cfRule type="expression" dxfId="18" priority="2" stopIfTrue="1">
      <formula>IF(WEEKDAY(AJ$5)=1,TRUE,FALSE)</formula>
    </cfRule>
  </conditionalFormatting>
  <conditionalFormatting sqref="AJ11:AJ12">
    <cfRule type="expression" dxfId="17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Q17" activeCellId="1" sqref="Q13 Q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4" t="str">
        <f>"BẢNG THANH TOÁN LƯƠNG THÁNG"&amp;" "&amp;TEXT($E$4,"mm")&amp;" / "&amp;TEXT($E$4,"yyyy")</f>
        <v>BẢNG THANH TOÁN LƯƠNG THÁNG 07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-7'!$E$4</f>
        <v>42917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82" t="s">
        <v>33</v>
      </c>
      <c r="G7" s="180" t="s">
        <v>17</v>
      </c>
      <c r="H7" s="182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-7'!$B$8:$AS$15,36,0)</f>
        <v>26</v>
      </c>
      <c r="G10" s="133">
        <f>ROUND(E10/$S$2*F10,0)</f>
        <v>4012500</v>
      </c>
      <c r="H10" s="81">
        <f>(VLOOKUP(B10,'CC -7'!$B$8:$AS$15,37,0)+VLOOKUP(B10,'CC -7'!$B$8:$AS$15,38,0))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1" si="3">IF(VLOOKUP($B10,DS,21,0)="x",$E10*L$4,0)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:O11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6">VLOOKUP(B11,DS,2,0)</f>
        <v>Võ Ngọc Thúy Hằng</v>
      </c>
      <c r="D11" s="104" t="str">
        <f t="shared" ref="D11" si="7">VLOOKUP(B11,DS,3,0)</f>
        <v>Văn Phòng</v>
      </c>
      <c r="E11" s="79">
        <f>VLOOKUP(B11,DS,7,0)</f>
        <v>3937000</v>
      </c>
      <c r="F11" s="81">
        <f>VLOOKUP(B11,'CC -7'!$B$8:$AS$15,36,0)</f>
        <v>26</v>
      </c>
      <c r="G11" s="133">
        <f>ROUND(E11/$S$2*F11,0)</f>
        <v>3937000</v>
      </c>
      <c r="H11" s="81">
        <f>(VLOOKUP(B11,'CC -7'!$B$8:$AS$15,37,0)+VLOOKUP(B11,'CC -7'!$B$8:$AS$15,38,0))</f>
        <v>0</v>
      </c>
      <c r="I11" s="133">
        <f>ROUND(E11/$S$2*H11,0)</f>
        <v>0</v>
      </c>
      <c r="J11" s="82">
        <f t="shared" ref="J11" si="8">F11+H11</f>
        <v>26</v>
      </c>
      <c r="K11" s="33">
        <f t="shared" ref="K11" si="9">G11+I11</f>
        <v>3937000</v>
      </c>
      <c r="L11" s="34">
        <f t="shared" si="3"/>
        <v>314960</v>
      </c>
      <c r="M11" s="34">
        <f t="shared" si="3"/>
        <v>59055</v>
      </c>
      <c r="N11" s="34">
        <f t="shared" si="3"/>
        <v>39370</v>
      </c>
      <c r="O11" s="33">
        <f t="shared" si="4"/>
        <v>3523615</v>
      </c>
      <c r="P11" s="33"/>
      <c r="Q11" s="39">
        <f t="shared" ref="Q11" si="10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 t="shared" ref="G13:Q13" si="11">SUM(G9:G12)</f>
        <v>7949500</v>
      </c>
      <c r="H13" s="128"/>
      <c r="I13" s="128">
        <f t="shared" si="11"/>
        <v>0</v>
      </c>
      <c r="J13" s="128"/>
      <c r="K13" s="128">
        <f t="shared" si="11"/>
        <v>7949500</v>
      </c>
      <c r="L13" s="128">
        <f t="shared" si="11"/>
        <v>635960</v>
      </c>
      <c r="M13" s="128">
        <f t="shared" si="11"/>
        <v>119242.5</v>
      </c>
      <c r="N13" s="128">
        <f t="shared" si="11"/>
        <v>79495</v>
      </c>
      <c r="O13" s="128">
        <f t="shared" si="11"/>
        <v>7114803</v>
      </c>
      <c r="P13" s="128">
        <f t="shared" si="11"/>
        <v>0</v>
      </c>
      <c r="Q13" s="128">
        <f t="shared" si="11"/>
        <v>7114803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12">VLOOKUP(B15,DS,2,0)</f>
        <v>Thạch Huy Chạch</v>
      </c>
      <c r="D15" s="104" t="str">
        <f t="shared" ref="D15" si="13">VLOOKUP(B15,DS,3,0)</f>
        <v>Công nhân</v>
      </c>
      <c r="E15" s="79">
        <f>VLOOKUP(B15,DS,7,0)</f>
        <v>3937000</v>
      </c>
      <c r="F15" s="81">
        <f>VLOOKUP(B15,'CC -7'!$B$8:$AS$15,36,0)</f>
        <v>26</v>
      </c>
      <c r="G15" s="133">
        <f>ROUND(E15/$S$2*F15,0)</f>
        <v>3937000</v>
      </c>
      <c r="H15" s="81">
        <f>(VLOOKUP(B15,'CC -7'!$B$8:$AS$15,37,0)+VLOOKUP(B15,'CC -7'!$B$8:$AS$15,38,0))</f>
        <v>0</v>
      </c>
      <c r="I15" s="133">
        <f>ROUND(E15/$S$2*H15,0)</f>
        <v>0</v>
      </c>
      <c r="J15" s="134">
        <f t="shared" ref="J15:K15" si="14">F15+H15</f>
        <v>26</v>
      </c>
      <c r="K15" s="33">
        <f t="shared" si="14"/>
        <v>3937000</v>
      </c>
      <c r="L15" s="34">
        <f t="shared" ref="L15:N15" si="15">IF(VLOOKUP($B15,DS,21,0)="x",$E15*L$4,0)</f>
        <v>314960</v>
      </c>
      <c r="M15" s="34">
        <f t="shared" si="15"/>
        <v>59055</v>
      </c>
      <c r="N15" s="34">
        <f t="shared" si="15"/>
        <v>39370</v>
      </c>
      <c r="O15" s="33">
        <f t="shared" ref="O15" si="16">ROUND(K15-SUM(L15:N15),0)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7">SUM(K14:K16)</f>
        <v>3937000</v>
      </c>
      <c r="L17" s="128">
        <f t="shared" si="17"/>
        <v>314960</v>
      </c>
      <c r="M17" s="128">
        <f t="shared" si="17"/>
        <v>59055</v>
      </c>
      <c r="N17" s="128">
        <f t="shared" si="17"/>
        <v>39370</v>
      </c>
      <c r="O17" s="128">
        <f t="shared" si="17"/>
        <v>3523615</v>
      </c>
      <c r="P17" s="128">
        <f t="shared" si="17"/>
        <v>0</v>
      </c>
      <c r="Q17" s="128">
        <f t="shared" si="17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07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D17 L5:N6 J6:K7 A23:R56 S29:S56 J16:Q16 T23:II56 A57:II65324 AD14:II14 T13:II13 D13 O12:Q12 P10:Q11 AD5:II12 U10:U12 A10:B13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:B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E13:R13" name="Range1_3"/>
    <protectedRange password="CC78" sqref="E17:R17" name="Range1_7"/>
    <protectedRange password="CC78" sqref="S2" name="Range1_2_2_1_1"/>
    <protectedRange password="CC78" sqref="O15 O10:O11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9" sqref="B9:B1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08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42948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42948</v>
      </c>
      <c r="G5" s="106">
        <f t="shared" ref="G5:AJ5" si="0">F5+1</f>
        <v>42949</v>
      </c>
      <c r="H5" s="106">
        <f t="shared" si="0"/>
        <v>42950</v>
      </c>
      <c r="I5" s="106">
        <f t="shared" si="0"/>
        <v>42951</v>
      </c>
      <c r="J5" s="106">
        <f t="shared" si="0"/>
        <v>42952</v>
      </c>
      <c r="K5" s="106">
        <f t="shared" si="0"/>
        <v>42953</v>
      </c>
      <c r="L5" s="106">
        <f t="shared" si="0"/>
        <v>42954</v>
      </c>
      <c r="M5" s="106">
        <f t="shared" si="0"/>
        <v>42955</v>
      </c>
      <c r="N5" s="106">
        <f t="shared" si="0"/>
        <v>42956</v>
      </c>
      <c r="O5" s="106">
        <f t="shared" si="0"/>
        <v>42957</v>
      </c>
      <c r="P5" s="106">
        <f t="shared" si="0"/>
        <v>42958</v>
      </c>
      <c r="Q5" s="106">
        <f t="shared" si="0"/>
        <v>42959</v>
      </c>
      <c r="R5" s="106">
        <f t="shared" si="0"/>
        <v>42960</v>
      </c>
      <c r="S5" s="106">
        <f t="shared" si="0"/>
        <v>42961</v>
      </c>
      <c r="T5" s="106">
        <f t="shared" si="0"/>
        <v>42962</v>
      </c>
      <c r="U5" s="106">
        <f t="shared" si="0"/>
        <v>42963</v>
      </c>
      <c r="V5" s="106">
        <f t="shared" si="0"/>
        <v>42964</v>
      </c>
      <c r="W5" s="106">
        <f t="shared" si="0"/>
        <v>42965</v>
      </c>
      <c r="X5" s="106">
        <f t="shared" si="0"/>
        <v>42966</v>
      </c>
      <c r="Y5" s="106">
        <f t="shared" si="0"/>
        <v>42967</v>
      </c>
      <c r="Z5" s="106">
        <f t="shared" si="0"/>
        <v>42968</v>
      </c>
      <c r="AA5" s="106">
        <f t="shared" si="0"/>
        <v>42969</v>
      </c>
      <c r="AB5" s="106">
        <f t="shared" si="0"/>
        <v>42970</v>
      </c>
      <c r="AC5" s="106">
        <f t="shared" si="0"/>
        <v>42971</v>
      </c>
      <c r="AD5" s="106">
        <f t="shared" si="0"/>
        <v>42972</v>
      </c>
      <c r="AE5" s="106">
        <f t="shared" si="0"/>
        <v>42973</v>
      </c>
      <c r="AF5" s="106">
        <f t="shared" si="0"/>
        <v>42974</v>
      </c>
      <c r="AG5" s="106">
        <f t="shared" si="0"/>
        <v>42975</v>
      </c>
      <c r="AH5" s="106">
        <f>AG5+1</f>
        <v>42976</v>
      </c>
      <c r="AI5" s="106">
        <f t="shared" si="0"/>
        <v>42977</v>
      </c>
      <c r="AJ5" s="106">
        <f t="shared" si="0"/>
        <v>42978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T.Ba</v>
      </c>
      <c r="G6" s="158" t="str">
        <f t="shared" ref="G6:AJ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 t="str">
        <f t="shared" si="1"/>
        <v>T.Năm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131">
        <v>8</v>
      </c>
      <c r="AK9" s="252">
        <f>((SUM(F9:AJ9))/8)-(SUMIF($F$6:$AJ$6,"C.Nhật",F9:AJ9)/8)</f>
        <v>27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27</v>
      </c>
      <c r="AO9" s="250">
        <v>0</v>
      </c>
      <c r="AP9" s="240"/>
      <c r="AQ9" s="240"/>
      <c r="AR9" s="240"/>
      <c r="AS9" s="24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4">
        <v>1</v>
      </c>
      <c r="B12" s="244" t="s">
        <v>74</v>
      </c>
      <c r="C12" s="246" t="str">
        <f>VLOOKUP(B12,DS,2,0)</f>
        <v>Thạch Huy Chạch</v>
      </c>
      <c r="D12" s="254" t="str">
        <f>VLOOKUP(B12,DS,3,0)</f>
        <v>Công nhân</v>
      </c>
      <c r="E12" s="57" t="s">
        <v>29</v>
      </c>
      <c r="F12" s="131">
        <v>8</v>
      </c>
      <c r="G12" s="131">
        <v>8</v>
      </c>
      <c r="H12" s="131">
        <v>8</v>
      </c>
      <c r="I12" s="131">
        <v>8</v>
      </c>
      <c r="J12" s="131">
        <v>8</v>
      </c>
      <c r="K12" s="131"/>
      <c r="L12" s="131">
        <v>8</v>
      </c>
      <c r="M12" s="131">
        <v>8</v>
      </c>
      <c r="N12" s="131">
        <v>8</v>
      </c>
      <c r="O12" s="131">
        <v>8</v>
      </c>
      <c r="P12" s="131">
        <v>8</v>
      </c>
      <c r="Q12" s="131">
        <v>8</v>
      </c>
      <c r="R12" s="131"/>
      <c r="S12" s="131">
        <v>8</v>
      </c>
      <c r="T12" s="131">
        <v>8</v>
      </c>
      <c r="U12" s="131">
        <v>8</v>
      </c>
      <c r="V12" s="131">
        <v>8</v>
      </c>
      <c r="W12" s="131">
        <v>8</v>
      </c>
      <c r="X12" s="131">
        <v>8</v>
      </c>
      <c r="Y12" s="131"/>
      <c r="Z12" s="131">
        <v>8</v>
      </c>
      <c r="AA12" s="131">
        <v>8</v>
      </c>
      <c r="AB12" s="131">
        <v>8</v>
      </c>
      <c r="AC12" s="131">
        <v>8</v>
      </c>
      <c r="AD12" s="131">
        <v>8</v>
      </c>
      <c r="AE12" s="131">
        <v>8</v>
      </c>
      <c r="AF12" s="131"/>
      <c r="AG12" s="131">
        <v>8</v>
      </c>
      <c r="AH12" s="131">
        <v>8</v>
      </c>
      <c r="AI12" s="131">
        <v>8</v>
      </c>
      <c r="AJ12" s="131">
        <v>8</v>
      </c>
      <c r="AK12" s="252">
        <f t="shared" ref="AK12" si="2">((SUM(F12:AJ12))/8)-(SUMIF($F$6:$AJ$6,"C.Nhật",F12:AJ12)/8)</f>
        <v>27</v>
      </c>
      <c r="AL12" s="252">
        <f t="shared" ref="AL12" si="3">SUM(F13:AJ13)/8*1.5</f>
        <v>0</v>
      </c>
      <c r="AM12" s="248">
        <f>SUMIF($F$6:$AJ$6,"C.Nhật",$F12:$AJ13)/8*2</f>
        <v>0</v>
      </c>
      <c r="AN12" s="240">
        <f>SUM(AK12:AM13)</f>
        <v>27</v>
      </c>
      <c r="AO12" s="250">
        <v>0</v>
      </c>
      <c r="AP12" s="240"/>
      <c r="AQ12" s="240"/>
      <c r="AR12" s="240"/>
      <c r="AS12" s="242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5"/>
      <c r="B13" s="245"/>
      <c r="C13" s="247"/>
      <c r="D13" s="255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53"/>
      <c r="AL13" s="253"/>
      <c r="AM13" s="249"/>
      <c r="AN13" s="241"/>
      <c r="AO13" s="251"/>
      <c r="AP13" s="241"/>
      <c r="AQ13" s="241"/>
      <c r="AR13" s="241"/>
      <c r="AS13" s="243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46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46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46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46" s="62" customFormat="1" ht="12.75">
      <c r="A21" s="2"/>
      <c r="B21" s="2" t="s">
        <v>0</v>
      </c>
      <c r="C21" s="2"/>
      <c r="D21" s="179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46" s="62" customFormat="1" ht="12.75">
      <c r="A22" s="2"/>
      <c r="B22" s="2"/>
      <c r="C22" s="2" t="s">
        <v>39</v>
      </c>
      <c r="D22" s="179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46" ht="15" customHeight="1">
      <c r="C23" s="2" t="s">
        <v>40</v>
      </c>
    </row>
    <row r="24" spans="1:46" ht="15" customHeight="1">
      <c r="C24" s="2" t="s">
        <v>41</v>
      </c>
    </row>
    <row r="25" spans="1:46" ht="15" customHeight="1">
      <c r="C25" s="2" t="s">
        <v>42</v>
      </c>
    </row>
    <row r="26" spans="1:46" ht="15" customHeight="1">
      <c r="C26" s="2" t="s">
        <v>43</v>
      </c>
    </row>
    <row r="27" spans="1:46" ht="15" customHeight="1">
      <c r="C27" s="2" t="s">
        <v>44</v>
      </c>
    </row>
    <row r="28" spans="1:46" ht="15" customHeight="1">
      <c r="C28" s="2" t="s">
        <v>45</v>
      </c>
    </row>
    <row r="29" spans="1:46" ht="15" customHeight="1">
      <c r="C29" s="2" t="s">
        <v>46</v>
      </c>
    </row>
    <row r="30" spans="1:46" ht="15" customHeight="1">
      <c r="C30" s="2" t="s">
        <v>47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AO9:AO10"/>
    <mergeCell ref="A5:A6"/>
    <mergeCell ref="B5:B6"/>
    <mergeCell ref="A12:A13"/>
    <mergeCell ref="B12:B13"/>
    <mergeCell ref="C12:C13"/>
    <mergeCell ref="D12:D13"/>
    <mergeCell ref="AK12:AK13"/>
    <mergeCell ref="C5:C6"/>
    <mergeCell ref="D5:D6"/>
    <mergeCell ref="E5:E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R12:AR13"/>
    <mergeCell ref="AS12:AS13"/>
    <mergeCell ref="AM1:AS1"/>
    <mergeCell ref="AK5:AM5"/>
    <mergeCell ref="AN5:AN6"/>
    <mergeCell ref="AO5:AO6"/>
    <mergeCell ref="AP5:AP6"/>
    <mergeCell ref="AQ5:AQ6"/>
    <mergeCell ref="AR5:AR6"/>
    <mergeCell ref="AS5:AS6"/>
    <mergeCell ref="AP12:AP13"/>
    <mergeCell ref="AQ12:AQ13"/>
    <mergeCell ref="AL12:AL13"/>
    <mergeCell ref="AM12:AM13"/>
    <mergeCell ref="AN12:AN13"/>
    <mergeCell ref="AO12:AO13"/>
  </mergeCells>
  <conditionalFormatting sqref="F5:AJ6 F9:AJ10 F12:AJ13">
    <cfRule type="expression" dxfId="16" priority="44" stopIfTrue="1">
      <formula>IF(WEEKDAY(F$5)=1,TRUE,FALSE)</formula>
    </cfRule>
  </conditionalFormatting>
  <conditionalFormatting sqref="F9:AJ10">
    <cfRule type="expression" dxfId="15" priority="4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Q16" activeCellId="1" sqref="Q12 Q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4" t="str">
        <f>"BẢNG THANH TOÁN LƯƠNG THÁNG"&amp;" "&amp;TEXT($E$4,"mm")&amp;" / "&amp;TEXT($E$4,"yyyy")</f>
        <v>BẢNG THANH TOÁN LƯƠNG THÁNG 08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MAX(F10:F16)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- 8'!$E$4</f>
        <v>42948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82" t="s">
        <v>33</v>
      </c>
      <c r="G7" s="180" t="s">
        <v>17</v>
      </c>
      <c r="H7" s="182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- 8'!$B$8:$AS$13,36,0)</f>
        <v>27</v>
      </c>
      <c r="G10" s="133">
        <f>ROUND(E10/$S$2*F10,0)</f>
        <v>4012500</v>
      </c>
      <c r="H10" s="81">
        <f>(VLOOKUP(B10,'CC - 8'!$B$8:$AS$13,37,0)+VLOOKUP(B10,'CC - 8'!$B$8:$AS$13,38,0))</f>
        <v>0</v>
      </c>
      <c r="I10" s="133">
        <f>ROUND(E10/$S$2*H10,0)</f>
        <v>0</v>
      </c>
      <c r="J10" s="82">
        <f t="shared" ref="J10" si="2">F10+H10</f>
        <v>27</v>
      </c>
      <c r="K10" s="33">
        <f>G10+I10</f>
        <v>4012500</v>
      </c>
      <c r="L10" s="34">
        <f t="shared" ref="L10:N10" si="3">IF(VLOOKUP($B10,DS,23,0)="x",$E10*L$4,0)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SUM(E9:E11)</f>
        <v>4012500</v>
      </c>
      <c r="F12" s="128"/>
      <c r="G12" s="128">
        <f t="shared" ref="G12:Q12" si="6">SUM(G9:G11)</f>
        <v>4012500</v>
      </c>
      <c r="H12" s="128"/>
      <c r="I12" s="128">
        <f t="shared" si="6"/>
        <v>0</v>
      </c>
      <c r="J12" s="128"/>
      <c r="K12" s="128">
        <f t="shared" si="6"/>
        <v>4012500</v>
      </c>
      <c r="L12" s="128">
        <f t="shared" si="6"/>
        <v>321000</v>
      </c>
      <c r="M12" s="128">
        <f t="shared" si="6"/>
        <v>60187.5</v>
      </c>
      <c r="N12" s="128">
        <f t="shared" si="6"/>
        <v>40125</v>
      </c>
      <c r="O12" s="128">
        <f t="shared" si="6"/>
        <v>3591188</v>
      </c>
      <c r="P12" s="128">
        <f t="shared" si="6"/>
        <v>0</v>
      </c>
      <c r="Q12" s="128">
        <f t="shared" si="6"/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7">VLOOKUP(B14,DS,2,0)</f>
        <v>Thạch Huy Chạch</v>
      </c>
      <c r="D14" s="104" t="str">
        <f t="shared" ref="D14" si="8">VLOOKUP(B14,DS,3,0)</f>
        <v>Công nhân</v>
      </c>
      <c r="E14" s="79">
        <f>VLOOKUP(B14,DS,7,0)</f>
        <v>3937000</v>
      </c>
      <c r="F14" s="81">
        <f>VLOOKUP(B14,'CC - 8'!$B$8:$AS$13,36,0)</f>
        <v>27</v>
      </c>
      <c r="G14" s="133">
        <f>ROUND(E14/$S$2*F14,0)</f>
        <v>3937000</v>
      </c>
      <c r="H14" s="81">
        <f>(VLOOKUP(B14,'CC - 8'!$B$8:$AS$13,37,0)+VLOOKUP(B14,'CC - 8'!$B$8:$AS$13,38,0))</f>
        <v>0</v>
      </c>
      <c r="I14" s="133">
        <f>ROUND(E14/$S$2*H14,0)</f>
        <v>0</v>
      </c>
      <c r="J14" s="134">
        <f t="shared" ref="J14:K14" si="9">F14+H14</f>
        <v>27</v>
      </c>
      <c r="K14" s="33">
        <f t="shared" si="9"/>
        <v>3937000</v>
      </c>
      <c r="L14" s="34">
        <f t="shared" ref="L14:N14" si="10">IF(VLOOKUP($B14,DS,23,0)="x",$E14*L$4,0)</f>
        <v>314960</v>
      </c>
      <c r="M14" s="34">
        <f t="shared" si="10"/>
        <v>59055</v>
      </c>
      <c r="N14" s="34">
        <f t="shared" si="10"/>
        <v>39370</v>
      </c>
      <c r="O14" s="33">
        <f t="shared" ref="O14" si="11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2">SUM(K13:K15)</f>
        <v>3937000</v>
      </c>
      <c r="L16" s="128">
        <f t="shared" si="12"/>
        <v>314960</v>
      </c>
      <c r="M16" s="128">
        <f t="shared" si="12"/>
        <v>59055</v>
      </c>
      <c r="N16" s="128">
        <f t="shared" si="12"/>
        <v>39370</v>
      </c>
      <c r="O16" s="128">
        <f t="shared" si="12"/>
        <v>3523615</v>
      </c>
      <c r="P16" s="128">
        <f t="shared" si="12"/>
        <v>0</v>
      </c>
      <c r="Q16" s="128">
        <f t="shared" si="12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08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AD5:II11 U10:U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B1:K4 V5:AC11 S4:S13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U14 AD14:II14" name="Range1_5"/>
    <protectedRange password="CC78" sqref="S14 V14:AC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1" sqref="A11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09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42979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42979</v>
      </c>
      <c r="G5" s="106">
        <f t="shared" ref="G5:AJ5" si="0">F5+1</f>
        <v>42980</v>
      </c>
      <c r="H5" s="106">
        <f t="shared" si="0"/>
        <v>42981</v>
      </c>
      <c r="I5" s="106">
        <f t="shared" si="0"/>
        <v>42982</v>
      </c>
      <c r="J5" s="106">
        <f t="shared" si="0"/>
        <v>42983</v>
      </c>
      <c r="K5" s="106">
        <f t="shared" si="0"/>
        <v>42984</v>
      </c>
      <c r="L5" s="106">
        <f t="shared" si="0"/>
        <v>42985</v>
      </c>
      <c r="M5" s="106">
        <f t="shared" si="0"/>
        <v>42986</v>
      </c>
      <c r="N5" s="106">
        <f t="shared" si="0"/>
        <v>42987</v>
      </c>
      <c r="O5" s="106">
        <f t="shared" si="0"/>
        <v>42988</v>
      </c>
      <c r="P5" s="106">
        <f t="shared" si="0"/>
        <v>42989</v>
      </c>
      <c r="Q5" s="106">
        <f t="shared" si="0"/>
        <v>42990</v>
      </c>
      <c r="R5" s="106">
        <f t="shared" si="0"/>
        <v>42991</v>
      </c>
      <c r="S5" s="106">
        <f t="shared" si="0"/>
        <v>42992</v>
      </c>
      <c r="T5" s="106">
        <f t="shared" si="0"/>
        <v>42993</v>
      </c>
      <c r="U5" s="106">
        <f t="shared" si="0"/>
        <v>42994</v>
      </c>
      <c r="V5" s="106">
        <f t="shared" si="0"/>
        <v>42995</v>
      </c>
      <c r="W5" s="106">
        <f t="shared" si="0"/>
        <v>42996</v>
      </c>
      <c r="X5" s="106">
        <f t="shared" si="0"/>
        <v>42997</v>
      </c>
      <c r="Y5" s="106">
        <f t="shared" si="0"/>
        <v>42998</v>
      </c>
      <c r="Z5" s="106">
        <f t="shared" si="0"/>
        <v>42999</v>
      </c>
      <c r="AA5" s="106">
        <f t="shared" si="0"/>
        <v>43000</v>
      </c>
      <c r="AB5" s="106">
        <f t="shared" si="0"/>
        <v>43001</v>
      </c>
      <c r="AC5" s="106">
        <f t="shared" si="0"/>
        <v>43002</v>
      </c>
      <c r="AD5" s="106">
        <f t="shared" si="0"/>
        <v>43003</v>
      </c>
      <c r="AE5" s="106">
        <f t="shared" si="0"/>
        <v>43004</v>
      </c>
      <c r="AF5" s="106">
        <f t="shared" si="0"/>
        <v>43005</v>
      </c>
      <c r="AG5" s="106">
        <f t="shared" si="0"/>
        <v>43006</v>
      </c>
      <c r="AH5" s="106">
        <f>AG5+1</f>
        <v>43007</v>
      </c>
      <c r="AI5" s="106">
        <f t="shared" si="0"/>
        <v>43008</v>
      </c>
      <c r="AJ5" s="106">
        <f t="shared" si="0"/>
        <v>43009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/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2">
        <f>((SUM(F9:AJ9))/8)-(SUMIF($F$6:$AJ$6,"C.Nhật",F9:AJ9)/8)</f>
        <v>25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25</v>
      </c>
      <c r="AO9" s="250">
        <v>0</v>
      </c>
      <c r="AP9" s="240"/>
      <c r="AQ9" s="240"/>
      <c r="AR9" s="240"/>
      <c r="AS9" s="24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4">
        <v>1</v>
      </c>
      <c r="B12" s="244" t="s">
        <v>74</v>
      </c>
      <c r="C12" s="246" t="str">
        <f>VLOOKUP(B12,DS,2,0)</f>
        <v>Thạch Huy Chạch</v>
      </c>
      <c r="D12" s="254" t="str">
        <f>VLOOKUP(B12,DS,3,0)</f>
        <v>Công nhân</v>
      </c>
      <c r="E12" s="57" t="s">
        <v>29</v>
      </c>
      <c r="F12" s="131">
        <v>8</v>
      </c>
      <c r="G12" s="131"/>
      <c r="H12" s="131"/>
      <c r="I12" s="131">
        <v>8</v>
      </c>
      <c r="J12" s="131">
        <v>8</v>
      </c>
      <c r="K12" s="131">
        <v>8</v>
      </c>
      <c r="L12" s="131">
        <v>8</v>
      </c>
      <c r="M12" s="131">
        <v>8</v>
      </c>
      <c r="N12" s="131">
        <v>8</v>
      </c>
      <c r="O12" s="131"/>
      <c r="P12" s="131">
        <v>8</v>
      </c>
      <c r="Q12" s="131">
        <v>8</v>
      </c>
      <c r="R12" s="131">
        <v>8</v>
      </c>
      <c r="S12" s="131">
        <v>8</v>
      </c>
      <c r="T12" s="131">
        <v>8</v>
      </c>
      <c r="U12" s="131">
        <v>8</v>
      </c>
      <c r="V12" s="131"/>
      <c r="W12" s="131">
        <v>8</v>
      </c>
      <c r="X12" s="131">
        <v>8</v>
      </c>
      <c r="Y12" s="131">
        <v>8</v>
      </c>
      <c r="Z12" s="131">
        <v>8</v>
      </c>
      <c r="AA12" s="131">
        <v>8</v>
      </c>
      <c r="AB12" s="131">
        <v>8</v>
      </c>
      <c r="AC12" s="131"/>
      <c r="AD12" s="131">
        <v>8</v>
      </c>
      <c r="AE12" s="131">
        <v>8</v>
      </c>
      <c r="AF12" s="131">
        <v>8</v>
      </c>
      <c r="AG12" s="131">
        <v>8</v>
      </c>
      <c r="AH12" s="131">
        <v>8</v>
      </c>
      <c r="AI12" s="131">
        <v>8</v>
      </c>
      <c r="AJ12" s="131"/>
      <c r="AK12" s="252">
        <f t="shared" ref="AK12" si="2">((SUM(F12:AJ12))/8)-(SUMIF($F$6:$AJ$6,"C.Nhật",F12:AJ12)/8)</f>
        <v>25</v>
      </c>
      <c r="AL12" s="252">
        <f t="shared" ref="AL12" si="3">SUM(F13:AJ13)/8*1.5</f>
        <v>0</v>
      </c>
      <c r="AM12" s="248">
        <f>SUMIF($F$6:$AJ$6,"C.Nhật",$F12:$AJ13)/8*2</f>
        <v>0</v>
      </c>
      <c r="AN12" s="240">
        <f>SUM(AK12:AM13)</f>
        <v>25</v>
      </c>
      <c r="AO12" s="250">
        <v>0</v>
      </c>
      <c r="AP12" s="240"/>
      <c r="AQ12" s="240"/>
      <c r="AR12" s="240"/>
      <c r="AS12" s="242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5"/>
      <c r="B13" s="245"/>
      <c r="C13" s="247"/>
      <c r="D13" s="255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53"/>
      <c r="AL13" s="253"/>
      <c r="AM13" s="249"/>
      <c r="AN13" s="241"/>
      <c r="AO13" s="251"/>
      <c r="AP13" s="241"/>
      <c r="AQ13" s="241"/>
      <c r="AR13" s="241"/>
      <c r="AS13" s="243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46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46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46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46" s="62" customFormat="1" ht="12.75">
      <c r="A21" s="2"/>
      <c r="B21" s="2" t="s">
        <v>0</v>
      </c>
      <c r="C21" s="2"/>
      <c r="D21" s="179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46" s="62" customFormat="1" ht="12.75">
      <c r="A22" s="2"/>
      <c r="B22" s="2"/>
      <c r="C22" s="2" t="s">
        <v>39</v>
      </c>
      <c r="D22" s="179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46" ht="15" customHeight="1">
      <c r="C23" s="2" t="s">
        <v>40</v>
      </c>
    </row>
    <row r="24" spans="1:46" ht="15" customHeight="1">
      <c r="C24" s="2" t="s">
        <v>41</v>
      </c>
    </row>
    <row r="25" spans="1:46" ht="15" customHeight="1">
      <c r="C25" s="2" t="s">
        <v>42</v>
      </c>
    </row>
    <row r="26" spans="1:46" ht="15" customHeight="1">
      <c r="C26" s="2" t="s">
        <v>43</v>
      </c>
    </row>
    <row r="27" spans="1:46" ht="15" customHeight="1">
      <c r="C27" s="2" t="s">
        <v>44</v>
      </c>
    </row>
    <row r="28" spans="1:46" ht="15" customHeight="1">
      <c r="C28" s="2" t="s">
        <v>45</v>
      </c>
    </row>
    <row r="29" spans="1:46" ht="15" customHeight="1">
      <c r="C29" s="2" t="s">
        <v>46</v>
      </c>
    </row>
    <row r="30" spans="1:46" ht="15" customHeight="1">
      <c r="C30" s="2" t="s">
        <v>47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  <protectedRange password="CC78" sqref="B9:B10" name="Range1_4_1"/>
  </protectedRanges>
  <mergeCells count="40">
    <mergeCell ref="AO9:AO10"/>
    <mergeCell ref="A5:A6"/>
    <mergeCell ref="B5:B6"/>
    <mergeCell ref="A12:A13"/>
    <mergeCell ref="B12:B13"/>
    <mergeCell ref="C12:C13"/>
    <mergeCell ref="D12:D13"/>
    <mergeCell ref="AK12:AK13"/>
    <mergeCell ref="C5:C6"/>
    <mergeCell ref="D5:D6"/>
    <mergeCell ref="E5:E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R12:AR13"/>
    <mergeCell ref="AS12:AS13"/>
    <mergeCell ref="AM1:AS1"/>
    <mergeCell ref="AK5:AM5"/>
    <mergeCell ref="AN5:AN6"/>
    <mergeCell ref="AO5:AO6"/>
    <mergeCell ref="AP5:AP6"/>
    <mergeCell ref="AQ5:AQ6"/>
    <mergeCell ref="AR5:AR6"/>
    <mergeCell ref="AS5:AS6"/>
    <mergeCell ref="AP12:AP13"/>
    <mergeCell ref="AQ12:AQ13"/>
    <mergeCell ref="AL12:AL13"/>
    <mergeCell ref="AM12:AM13"/>
    <mergeCell ref="AN12:AN13"/>
    <mergeCell ref="AO12:AO13"/>
  </mergeCells>
  <conditionalFormatting sqref="F5:AJ6 F9:AJ10 F12:AI13">
    <cfRule type="expression" dxfId="14" priority="61" stopIfTrue="1">
      <formula>IF(WEEKDAY(F$5)=1,TRUE,FALSE)</formula>
    </cfRule>
  </conditionalFormatting>
  <conditionalFormatting sqref="F9:AJ10">
    <cfRule type="expression" dxfId="13" priority="60" stopIfTrue="1">
      <formula>IF(WEEKDAY(F$5)=1,TRUE,FALSE)</formula>
    </cfRule>
  </conditionalFormatting>
  <conditionalFormatting sqref="AJ12:AJ13">
    <cfRule type="expression" dxfId="12" priority="47" stopIfTrue="1">
      <formula>IF(WEEKDAY(AJ$5)=1,TRUE,FALSE)</formula>
    </cfRule>
  </conditionalFormatting>
  <conditionalFormatting sqref="AJ12:AJ13">
    <cfRule type="expression" dxfId="11" priority="46" stopIfTrue="1">
      <formula>IF(WEEKDAY(AJ$5)=1,TRUE,FALSE)</formula>
    </cfRule>
  </conditionalFormatting>
  <conditionalFormatting sqref="AJ12:AJ13">
    <cfRule type="expression" dxfId="10" priority="45" stopIfTrue="1">
      <formula>IF(WEEKDAY(AJ$5)=1,TRUE,FALSE)</formula>
    </cfRule>
  </conditionalFormatting>
  <conditionalFormatting sqref="AJ12:AJ13">
    <cfRule type="expression" dxfId="9" priority="44" stopIfTrue="1">
      <formula>IF(WEEKDAY(AJ$5)=1,TRUE,FALSE)</formula>
    </cfRule>
  </conditionalFormatting>
  <conditionalFormatting sqref="AJ12:AJ13">
    <cfRule type="expression" dxfId="8" priority="43" stopIfTrue="1">
      <formula>IF(WEEKDAY(AJ$5)=1,TRUE,FALSE)</formula>
    </cfRule>
  </conditionalFormatting>
  <conditionalFormatting sqref="AJ12:AJ13">
    <cfRule type="expression" dxfId="7" priority="42" stopIfTrue="1">
      <formula>IF(WEEKDAY(AJ$5)=1,TRUE,FALSE)</formula>
    </cfRule>
  </conditionalFormatting>
  <conditionalFormatting sqref="AJ12:AJ13">
    <cfRule type="expression" dxfId="6" priority="4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Q16" activeCellId="1" sqref="Q12 Q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4" t="str">
        <f>"BẢNG THANH TOÁN LƯƠNG THÁNG"&amp;" "&amp;TEXT($E$4,"mm")&amp;" / "&amp;TEXT($E$4,"yyyy")</f>
        <v>BẢNG THANH TOÁN LƯƠNG THÁNG 09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MAX(F10:F16)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-9'!$E$4</f>
        <v>42979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82" t="s">
        <v>33</v>
      </c>
      <c r="G7" s="180" t="s">
        <v>17</v>
      </c>
      <c r="H7" s="182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-9'!$B$8:$AS$13,36,0)</f>
        <v>25</v>
      </c>
      <c r="G10" s="133">
        <f>ROUND(E10/$S$2*F10,0)</f>
        <v>4012500</v>
      </c>
      <c r="H10" s="81">
        <f>(VLOOKUP(B10,'CC -9'!$B$8:$AS$13,37,0)+VLOOKUP(B10,'CC -9'!$B$8:$AS$13,38,0))</f>
        <v>0</v>
      </c>
      <c r="I10" s="133">
        <f>ROUND(E10/$S$2*H10,0)</f>
        <v>0</v>
      </c>
      <c r="J10" s="82">
        <f t="shared" ref="J10" si="2">F10+H10</f>
        <v>25</v>
      </c>
      <c r="K10" s="33">
        <f>G10+I10</f>
        <v>4012500</v>
      </c>
      <c r="L10" s="34">
        <f t="shared" ref="L10:N10" si="3">IF(VLOOKUP($B10,DS,25,0)="x",$E10*L$4,0)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SUM(E9:E10)</f>
        <v>4012500</v>
      </c>
      <c r="F12" s="128"/>
      <c r="G12" s="128">
        <f>SUM(G9:G10)</f>
        <v>4012500</v>
      </c>
      <c r="H12" s="128"/>
      <c r="I12" s="128">
        <f>SUM(I9:I10)</f>
        <v>0</v>
      </c>
      <c r="J12" s="128"/>
      <c r="K12" s="128">
        <f>SUM(K9:K10)</f>
        <v>4012500</v>
      </c>
      <c r="L12" s="128">
        <f>SUM(L9:L10)</f>
        <v>321000</v>
      </c>
      <c r="M12" s="128">
        <f>SUM(M9:M10)</f>
        <v>60187.5</v>
      </c>
      <c r="N12" s="128">
        <f>SUM(N9:N10)</f>
        <v>40125</v>
      </c>
      <c r="O12" s="128">
        <f>SUM(O9:O10)</f>
        <v>3591188</v>
      </c>
      <c r="P12" s="128"/>
      <c r="Q12" s="128">
        <f>SUM(Q9:Q10)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6">VLOOKUP(B14,DS,2,0)</f>
        <v>Thạch Huy Chạch</v>
      </c>
      <c r="D14" s="104" t="str">
        <f t="shared" ref="D14" si="7">VLOOKUP(B14,DS,3,0)</f>
        <v>Công nhân</v>
      </c>
      <c r="E14" s="79">
        <f>VLOOKUP(B14,DS,7,0)</f>
        <v>3937000</v>
      </c>
      <c r="F14" s="81">
        <f>VLOOKUP(B14,'CC -9'!$B$8:$AS$13,36,0)</f>
        <v>25</v>
      </c>
      <c r="G14" s="133">
        <f>ROUND(E14/$S$2*F14,0)</f>
        <v>3937000</v>
      </c>
      <c r="H14" s="81">
        <f>(VLOOKUP(B14,'CC -9'!$B$8:$AS$13,37,0)+VLOOKUP(B14,'CC -9'!$B$8:$AS$13,38,0))</f>
        <v>0</v>
      </c>
      <c r="I14" s="133">
        <f>ROUND(E14/$S$2*H14,0)</f>
        <v>0</v>
      </c>
      <c r="J14" s="134">
        <f t="shared" ref="J14:K14" si="8">F14+H14</f>
        <v>25</v>
      </c>
      <c r="K14" s="33">
        <f t="shared" si="8"/>
        <v>3937000</v>
      </c>
      <c r="L14" s="34">
        <f t="shared" ref="L14:N14" si="9">IF(VLOOKUP($B14,DS,25,0)="x",$E14*L$4,0)</f>
        <v>314960</v>
      </c>
      <c r="M14" s="34">
        <f t="shared" si="9"/>
        <v>59055</v>
      </c>
      <c r="N14" s="34">
        <f t="shared" si="9"/>
        <v>39370</v>
      </c>
      <c r="O14" s="33">
        <f t="shared" ref="O14" si="10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1">SUM(K13:K15)</f>
        <v>3937000</v>
      </c>
      <c r="L16" s="128">
        <f t="shared" si="11"/>
        <v>314960</v>
      </c>
      <c r="M16" s="128">
        <f t="shared" si="11"/>
        <v>59055</v>
      </c>
      <c r="N16" s="128">
        <f t="shared" si="11"/>
        <v>39370</v>
      </c>
      <c r="O16" s="128">
        <f t="shared" si="11"/>
        <v>3523615</v>
      </c>
      <c r="P16" s="128">
        <f t="shared" si="11"/>
        <v>0</v>
      </c>
      <c r="Q16" s="128">
        <f t="shared" si="11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09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AD5:II11 U10:U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S11:S13 V11:AC11 B1:K4 V5:AC10 S4:S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U14 AD14:II14" name="Range1_5"/>
    <protectedRange password="CC78" sqref="S14 V14:AC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4" sqref="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10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43009</v>
      </c>
      <c r="G5" s="106">
        <f t="shared" ref="G5:AJ5" si="0">F5+1</f>
        <v>43010</v>
      </c>
      <c r="H5" s="106">
        <f t="shared" si="0"/>
        <v>43011</v>
      </c>
      <c r="I5" s="106">
        <f t="shared" si="0"/>
        <v>43012</v>
      </c>
      <c r="J5" s="106">
        <f t="shared" si="0"/>
        <v>43013</v>
      </c>
      <c r="K5" s="106">
        <f t="shared" si="0"/>
        <v>43014</v>
      </c>
      <c r="L5" s="106">
        <f t="shared" si="0"/>
        <v>43015</v>
      </c>
      <c r="M5" s="106">
        <f t="shared" si="0"/>
        <v>43016</v>
      </c>
      <c r="N5" s="106">
        <f t="shared" si="0"/>
        <v>43017</v>
      </c>
      <c r="O5" s="106">
        <f t="shared" si="0"/>
        <v>43018</v>
      </c>
      <c r="P5" s="106">
        <f t="shared" si="0"/>
        <v>43019</v>
      </c>
      <c r="Q5" s="106">
        <f t="shared" si="0"/>
        <v>43020</v>
      </c>
      <c r="R5" s="106">
        <f t="shared" si="0"/>
        <v>43021</v>
      </c>
      <c r="S5" s="106">
        <f t="shared" si="0"/>
        <v>43022</v>
      </c>
      <c r="T5" s="106">
        <f t="shared" si="0"/>
        <v>43023</v>
      </c>
      <c r="U5" s="106">
        <f t="shared" si="0"/>
        <v>43024</v>
      </c>
      <c r="V5" s="106">
        <f t="shared" si="0"/>
        <v>43025</v>
      </c>
      <c r="W5" s="106">
        <f t="shared" si="0"/>
        <v>43026</v>
      </c>
      <c r="X5" s="106">
        <f t="shared" si="0"/>
        <v>43027</v>
      </c>
      <c r="Y5" s="106">
        <f t="shared" si="0"/>
        <v>43028</v>
      </c>
      <c r="Z5" s="106">
        <f t="shared" si="0"/>
        <v>43029</v>
      </c>
      <c r="AA5" s="106">
        <f t="shared" si="0"/>
        <v>43030</v>
      </c>
      <c r="AB5" s="106">
        <f t="shared" si="0"/>
        <v>43031</v>
      </c>
      <c r="AC5" s="106">
        <f t="shared" si="0"/>
        <v>43032</v>
      </c>
      <c r="AD5" s="106">
        <f t="shared" si="0"/>
        <v>43033</v>
      </c>
      <c r="AE5" s="106">
        <f t="shared" si="0"/>
        <v>43034</v>
      </c>
      <c r="AF5" s="106">
        <f t="shared" si="0"/>
        <v>43035</v>
      </c>
      <c r="AG5" s="106">
        <f t="shared" si="0"/>
        <v>43036</v>
      </c>
      <c r="AH5" s="106">
        <f>AG5+1</f>
        <v>43037</v>
      </c>
      <c r="AI5" s="106">
        <f t="shared" si="0"/>
        <v>43038</v>
      </c>
      <c r="AJ5" s="106">
        <f t="shared" si="0"/>
        <v>43039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>
        <v>8</v>
      </c>
      <c r="AJ9" s="131">
        <v>8</v>
      </c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4">
        <v>1</v>
      </c>
      <c r="B12" s="244" t="s">
        <v>74</v>
      </c>
      <c r="C12" s="246" t="str">
        <f>VLOOKUP(B12,DS,2,0)</f>
        <v>Thạch Huy Chạch</v>
      </c>
      <c r="D12" s="254" t="str">
        <f>VLOOKUP(B12,DS,3,0)</f>
        <v>Công nhân</v>
      </c>
      <c r="E12" s="57" t="s">
        <v>29</v>
      </c>
      <c r="F12" s="131"/>
      <c r="G12" s="131">
        <v>8</v>
      </c>
      <c r="H12" s="131">
        <v>8</v>
      </c>
      <c r="I12" s="131">
        <v>8</v>
      </c>
      <c r="J12" s="131">
        <v>8</v>
      </c>
      <c r="K12" s="131">
        <v>8</v>
      </c>
      <c r="L12" s="131">
        <v>8</v>
      </c>
      <c r="M12" s="131"/>
      <c r="N12" s="131">
        <v>8</v>
      </c>
      <c r="O12" s="131">
        <v>8</v>
      </c>
      <c r="P12" s="131">
        <v>8</v>
      </c>
      <c r="Q12" s="131">
        <v>8</v>
      </c>
      <c r="R12" s="131">
        <v>8</v>
      </c>
      <c r="S12" s="131">
        <v>8</v>
      </c>
      <c r="T12" s="131"/>
      <c r="U12" s="131">
        <v>8</v>
      </c>
      <c r="V12" s="131">
        <v>8</v>
      </c>
      <c r="W12" s="131">
        <v>8</v>
      </c>
      <c r="X12" s="131">
        <v>8</v>
      </c>
      <c r="Y12" s="131">
        <v>8</v>
      </c>
      <c r="Z12" s="131">
        <v>8</v>
      </c>
      <c r="AA12" s="131"/>
      <c r="AB12" s="131">
        <v>8</v>
      </c>
      <c r="AC12" s="131">
        <v>8</v>
      </c>
      <c r="AD12" s="131">
        <v>8</v>
      </c>
      <c r="AE12" s="131">
        <v>8</v>
      </c>
      <c r="AF12" s="131">
        <v>8</v>
      </c>
      <c r="AG12" s="131">
        <v>8</v>
      </c>
      <c r="AH12" s="131"/>
      <c r="AI12" s="131">
        <v>8</v>
      </c>
      <c r="AJ12" s="131">
        <v>8</v>
      </c>
      <c r="AK12" s="252">
        <f t="shared" ref="AK12" si="2">((SUM(F12:AJ12))/8)-(SUMIF($F$6:$AJ$6,"C.Nhật",F12:AJ12)/8)</f>
        <v>26</v>
      </c>
      <c r="AL12" s="252">
        <f t="shared" ref="AL12" si="3">SUM(F13:AJ13)/8*1.5</f>
        <v>0</v>
      </c>
      <c r="AM12" s="248">
        <f>SUMIF($F$6:$AJ$6,"C.Nhật",$F12:$AJ13)/8*2</f>
        <v>0</v>
      </c>
      <c r="AN12" s="240">
        <f>SUM(AK12:AM13)</f>
        <v>26</v>
      </c>
      <c r="AO12" s="250">
        <v>0</v>
      </c>
      <c r="AP12" s="240"/>
      <c r="AQ12" s="240"/>
      <c r="AR12" s="240"/>
      <c r="AS12" s="242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5"/>
      <c r="B13" s="245"/>
      <c r="C13" s="247"/>
      <c r="D13" s="255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53"/>
      <c r="AL13" s="253"/>
      <c r="AM13" s="249"/>
      <c r="AN13" s="241"/>
      <c r="AO13" s="251"/>
      <c r="AP13" s="241"/>
      <c r="AQ13" s="241"/>
      <c r="AR13" s="241"/>
      <c r="AS13" s="243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91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91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91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91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91" s="62" customFormat="1" ht="12.75">
      <c r="A21" s="2"/>
      <c r="B21" s="2" t="s">
        <v>0</v>
      </c>
      <c r="C21" s="2"/>
      <c r="D21" s="195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91" s="62" customFormat="1" ht="12.75">
      <c r="A22" s="2"/>
      <c r="B22" s="2"/>
      <c r="C22" s="2" t="s">
        <v>39</v>
      </c>
      <c r="D22" s="195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91" ht="15" customHeight="1">
      <c r="C23" s="2" t="s">
        <v>40</v>
      </c>
    </row>
    <row r="24" spans="1:91" ht="15" customHeight="1">
      <c r="C24" s="2" t="s">
        <v>41</v>
      </c>
    </row>
    <row r="25" spans="1:91" s="195" customFormat="1" ht="15" customHeight="1">
      <c r="A25" s="2"/>
      <c r="B25" s="2"/>
      <c r="C25" s="2" t="s">
        <v>42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95" customFormat="1" ht="15" customHeight="1">
      <c r="A26" s="2"/>
      <c r="B26" s="2"/>
      <c r="C26" s="2" t="s">
        <v>43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95" customFormat="1" ht="15" customHeight="1">
      <c r="A27" s="2"/>
      <c r="B27" s="2"/>
      <c r="C27" s="2" t="s">
        <v>44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95" customFormat="1" ht="15" customHeight="1">
      <c r="A28" s="2"/>
      <c r="B28" s="2"/>
      <c r="C28" s="2" t="s">
        <v>45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95" customFormat="1" ht="15" customHeight="1">
      <c r="A29" s="2"/>
      <c r="B29" s="2"/>
      <c r="C29" s="2" t="s">
        <v>46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47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A12:A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2:B13"/>
    <mergeCell ref="C12:C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</mergeCells>
  <conditionalFormatting sqref="F5:AJ6 F9:AJ10 F12:AJ13">
    <cfRule type="expression" dxfId="5" priority="42" stopIfTrue="1">
      <formula>IF(WEEKDAY(F$5)=1,TRUE,FALSE)</formula>
    </cfRule>
  </conditionalFormatting>
  <conditionalFormatting sqref="F9:AJ10">
    <cfRule type="expression" dxfId="4" priority="4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J12" sqref="J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4" t="str">
        <f>"BẢNG THANH TOÁN LƯƠNG THÁNG"&amp;" "&amp;TEXT($E$4,"mm")&amp;" / "&amp;TEXT($E$4,"yyyy")</f>
        <v>BẢNG THANH TOÁN LƯƠNG THÁNG 10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MAX(F10:F16)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-10'!$E$4</f>
        <v>43009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99" t="s">
        <v>33</v>
      </c>
      <c r="G7" s="196" t="s">
        <v>17</v>
      </c>
      <c r="H7" s="199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-10'!$B$8:$AS$13,36,0)</f>
        <v>26</v>
      </c>
      <c r="G10" s="133">
        <f>ROUND(E10/$S$2*F10,0)</f>
        <v>4012500</v>
      </c>
      <c r="H10" s="81">
        <f>(VLOOKUP(B10,'CC -10'!$B$8:$AS$13,37,0)+VLOOKUP(B10,'CC -10'!$B$8:$AS$13,38,0))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0" si="3">IF(VLOOKUP($B10,DS,27,0)="x",$E10*L$4,0)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SUM(E9:E10)</f>
        <v>4012500</v>
      </c>
      <c r="F12" s="128"/>
      <c r="G12" s="128">
        <f>SUM(G9:G10)</f>
        <v>4012500</v>
      </c>
      <c r="H12" s="128"/>
      <c r="I12" s="128">
        <f>SUM(I9:I10)</f>
        <v>0</v>
      </c>
      <c r="J12" s="128"/>
      <c r="K12" s="128">
        <f>SUM(K9:K10)</f>
        <v>4012500</v>
      </c>
      <c r="L12" s="128">
        <f>SUM(L9:L10)</f>
        <v>321000</v>
      </c>
      <c r="M12" s="128">
        <f>SUM(M9:M10)</f>
        <v>60187.5</v>
      </c>
      <c r="N12" s="128">
        <f>SUM(N9:N10)</f>
        <v>40125</v>
      </c>
      <c r="O12" s="128">
        <f>SUM(O9:O10)</f>
        <v>3591188</v>
      </c>
      <c r="P12" s="128"/>
      <c r="Q12" s="128">
        <f>SUM(Q9:Q10)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6">VLOOKUP(B14,DS,2,0)</f>
        <v>Thạch Huy Chạch</v>
      </c>
      <c r="D14" s="104" t="str">
        <f t="shared" ref="D14" si="7">VLOOKUP(B14,DS,3,0)</f>
        <v>Công nhân</v>
      </c>
      <c r="E14" s="79">
        <f>VLOOKUP(B14,DS,7,0)</f>
        <v>3937000</v>
      </c>
      <c r="F14" s="81">
        <f>VLOOKUP(B14,'CC -10'!$B$8:$AS$13,36,0)</f>
        <v>26</v>
      </c>
      <c r="G14" s="133">
        <f>ROUND(E14/$S$2*F14,0)</f>
        <v>3937000</v>
      </c>
      <c r="H14" s="81">
        <f>(VLOOKUP(B14,'CC -10'!$B$8:$AS$13,37,0)+VLOOKUP(B14,'CC -10'!$B$8:$AS$13,38,0))</f>
        <v>0</v>
      </c>
      <c r="I14" s="133">
        <f>ROUND(E14/$S$2*H14,0)</f>
        <v>0</v>
      </c>
      <c r="J14" s="134">
        <f t="shared" ref="J14:K14" si="8">F14+H14</f>
        <v>26</v>
      </c>
      <c r="K14" s="33">
        <f t="shared" si="8"/>
        <v>3937000</v>
      </c>
      <c r="L14" s="34">
        <f t="shared" ref="L14:N14" si="9">IF(VLOOKUP($B14,DS,27,0)="x",$E14*L$4,0)</f>
        <v>314960</v>
      </c>
      <c r="M14" s="34">
        <f t="shared" si="9"/>
        <v>59055</v>
      </c>
      <c r="N14" s="34">
        <f t="shared" si="9"/>
        <v>39370</v>
      </c>
      <c r="O14" s="33">
        <f t="shared" ref="O14" si="10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1">SUM(K13:K15)</f>
        <v>3937000</v>
      </c>
      <c r="L16" s="128">
        <f t="shared" si="11"/>
        <v>314960</v>
      </c>
      <c r="M16" s="128">
        <f t="shared" si="11"/>
        <v>59055</v>
      </c>
      <c r="N16" s="128">
        <f t="shared" si="11"/>
        <v>39370</v>
      </c>
      <c r="O16" s="128">
        <f t="shared" si="11"/>
        <v>3523615</v>
      </c>
      <c r="P16" s="128">
        <f t="shared" si="11"/>
        <v>0</v>
      </c>
      <c r="Q16" s="128">
        <f t="shared" si="11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10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AD5:II11 U10:U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S11:S13 V11:AC11 B1:K4 V5:AC10 S4:S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AD14:II14 U14" name="Range1_5"/>
    <protectedRange password="CC78" sqref="V14:AC14 S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4" sqref="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43040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43040</v>
      </c>
      <c r="G5" s="106">
        <f t="shared" ref="G5:AI5" si="0">F5+1</f>
        <v>43041</v>
      </c>
      <c r="H5" s="106">
        <f t="shared" si="0"/>
        <v>43042</v>
      </c>
      <c r="I5" s="106">
        <f t="shared" si="0"/>
        <v>43043</v>
      </c>
      <c r="J5" s="106">
        <f t="shared" si="0"/>
        <v>43044</v>
      </c>
      <c r="K5" s="106">
        <f t="shared" si="0"/>
        <v>43045</v>
      </c>
      <c r="L5" s="106">
        <f t="shared" si="0"/>
        <v>43046</v>
      </c>
      <c r="M5" s="106">
        <f t="shared" si="0"/>
        <v>43047</v>
      </c>
      <c r="N5" s="106">
        <f t="shared" si="0"/>
        <v>43048</v>
      </c>
      <c r="O5" s="106">
        <f t="shared" si="0"/>
        <v>43049</v>
      </c>
      <c r="P5" s="106">
        <f t="shared" si="0"/>
        <v>43050</v>
      </c>
      <c r="Q5" s="106">
        <f t="shared" si="0"/>
        <v>43051</v>
      </c>
      <c r="R5" s="106">
        <f t="shared" si="0"/>
        <v>43052</v>
      </c>
      <c r="S5" s="106">
        <f t="shared" si="0"/>
        <v>43053</v>
      </c>
      <c r="T5" s="106">
        <f t="shared" si="0"/>
        <v>43054</v>
      </c>
      <c r="U5" s="106">
        <f t="shared" si="0"/>
        <v>43055</v>
      </c>
      <c r="V5" s="106">
        <f t="shared" si="0"/>
        <v>43056</v>
      </c>
      <c r="W5" s="106">
        <f t="shared" si="0"/>
        <v>43057</v>
      </c>
      <c r="X5" s="106">
        <f t="shared" si="0"/>
        <v>43058</v>
      </c>
      <c r="Y5" s="106">
        <f t="shared" si="0"/>
        <v>43059</v>
      </c>
      <c r="Z5" s="106">
        <f t="shared" si="0"/>
        <v>43060</v>
      </c>
      <c r="AA5" s="106">
        <f t="shared" si="0"/>
        <v>43061</v>
      </c>
      <c r="AB5" s="106">
        <f t="shared" si="0"/>
        <v>43062</v>
      </c>
      <c r="AC5" s="106">
        <f t="shared" si="0"/>
        <v>43063</v>
      </c>
      <c r="AD5" s="106">
        <f t="shared" si="0"/>
        <v>43064</v>
      </c>
      <c r="AE5" s="106">
        <f t="shared" si="0"/>
        <v>43065</v>
      </c>
      <c r="AF5" s="106">
        <f t="shared" si="0"/>
        <v>43066</v>
      </c>
      <c r="AG5" s="106">
        <f t="shared" si="0"/>
        <v>43067</v>
      </c>
      <c r="AH5" s="106">
        <f>AG5+1</f>
        <v>43068</v>
      </c>
      <c r="AI5" s="106">
        <f t="shared" si="0"/>
        <v>43069</v>
      </c>
      <c r="AJ5" s="206"/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T.Tư</v>
      </c>
      <c r="G6" s="158" t="str">
        <f t="shared" ref="G6:AI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/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/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207"/>
      <c r="AK9" s="252">
        <f>((SUM(F9:AI9))/8)-(SUMIF($F$6:$AI$6,"C.Nhật",F9:AI9)/8)</f>
        <v>26</v>
      </c>
      <c r="AL9" s="252">
        <f>SUM(F10:AI10)/8*1.5</f>
        <v>0</v>
      </c>
      <c r="AM9" s="248">
        <f>SUMIF($F$6:$AI$6,"C.Nhật",$F9:$AI10)/8*2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08"/>
      <c r="AK10" s="253"/>
      <c r="AL10" s="253"/>
      <c r="AM10" s="249"/>
      <c r="AN10" s="241"/>
      <c r="AO10" s="251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4">
        <v>1</v>
      </c>
      <c r="B12" s="244" t="s">
        <v>74</v>
      </c>
      <c r="C12" s="246" t="str">
        <f>VLOOKUP(B12,DS,2,0)</f>
        <v>Thạch Huy Chạch</v>
      </c>
      <c r="D12" s="254" t="str">
        <f>VLOOKUP(B12,DS,3,0)</f>
        <v>Công nhân</v>
      </c>
      <c r="E12" s="57" t="s">
        <v>29</v>
      </c>
      <c r="F12" s="131">
        <v>8</v>
      </c>
      <c r="G12" s="131">
        <v>8</v>
      </c>
      <c r="H12" s="131">
        <v>8</v>
      </c>
      <c r="I12" s="131">
        <v>8</v>
      </c>
      <c r="J12" s="131"/>
      <c r="K12" s="131">
        <v>8</v>
      </c>
      <c r="L12" s="131">
        <v>8</v>
      </c>
      <c r="M12" s="131">
        <v>8</v>
      </c>
      <c r="N12" s="131">
        <v>8</v>
      </c>
      <c r="O12" s="131">
        <v>8</v>
      </c>
      <c r="P12" s="131">
        <v>8</v>
      </c>
      <c r="Q12" s="131"/>
      <c r="R12" s="131">
        <v>8</v>
      </c>
      <c r="S12" s="131">
        <v>8</v>
      </c>
      <c r="T12" s="131">
        <v>8</v>
      </c>
      <c r="U12" s="131">
        <v>8</v>
      </c>
      <c r="V12" s="131">
        <v>8</v>
      </c>
      <c r="W12" s="131">
        <v>8</v>
      </c>
      <c r="X12" s="131"/>
      <c r="Y12" s="131">
        <v>8</v>
      </c>
      <c r="Z12" s="131">
        <v>8</v>
      </c>
      <c r="AA12" s="131">
        <v>8</v>
      </c>
      <c r="AB12" s="131">
        <v>8</v>
      </c>
      <c r="AC12" s="131">
        <v>8</v>
      </c>
      <c r="AD12" s="131">
        <v>8</v>
      </c>
      <c r="AE12" s="131"/>
      <c r="AF12" s="131">
        <v>8</v>
      </c>
      <c r="AG12" s="131">
        <v>8</v>
      </c>
      <c r="AH12" s="131">
        <v>8</v>
      </c>
      <c r="AI12" s="131">
        <v>8</v>
      </c>
      <c r="AJ12" s="207"/>
      <c r="AK12" s="252">
        <f>((SUM(F12:AI12))/8)-(SUMIF($F$6:$AI$6,"C.Nhật",F12:AI12)/8)</f>
        <v>26</v>
      </c>
      <c r="AL12" s="252">
        <f>SUM(F13:AI13)/8*1.5</f>
        <v>0</v>
      </c>
      <c r="AM12" s="248">
        <f>SUMIF($F$6:$AI$6,"C.Nhật",$F12:$AI13)/8*2</f>
        <v>0</v>
      </c>
      <c r="AN12" s="240">
        <f>SUM(AK12:AM13)</f>
        <v>26</v>
      </c>
      <c r="AO12" s="250">
        <v>0</v>
      </c>
      <c r="AP12" s="240"/>
      <c r="AQ12" s="240"/>
      <c r="AR12" s="240"/>
      <c r="AS12" s="242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5"/>
      <c r="B13" s="245"/>
      <c r="C13" s="247"/>
      <c r="D13" s="255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208"/>
      <c r="AK13" s="253"/>
      <c r="AL13" s="253"/>
      <c r="AM13" s="249"/>
      <c r="AN13" s="241"/>
      <c r="AO13" s="251"/>
      <c r="AP13" s="241"/>
      <c r="AQ13" s="241"/>
      <c r="AR13" s="241"/>
      <c r="AS13" s="243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91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91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91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91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91" s="62" customFormat="1" ht="12.75">
      <c r="A21" s="2"/>
      <c r="B21" s="2" t="s">
        <v>0</v>
      </c>
      <c r="C21" s="2"/>
      <c r="D21" s="195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91" s="62" customFormat="1" ht="12.75">
      <c r="A22" s="2"/>
      <c r="B22" s="2"/>
      <c r="C22" s="2" t="s">
        <v>39</v>
      </c>
      <c r="D22" s="195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91" ht="15" customHeight="1">
      <c r="C23" s="2" t="s">
        <v>40</v>
      </c>
    </row>
    <row r="24" spans="1:91" ht="15" customHeight="1">
      <c r="C24" s="2" t="s">
        <v>41</v>
      </c>
    </row>
    <row r="25" spans="1:91" s="195" customFormat="1" ht="15" customHeight="1">
      <c r="A25" s="2"/>
      <c r="B25" s="2"/>
      <c r="C25" s="2" t="s">
        <v>42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95" customFormat="1" ht="15" customHeight="1">
      <c r="A26" s="2"/>
      <c r="B26" s="2"/>
      <c r="C26" s="2" t="s">
        <v>43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95" customFormat="1" ht="15" customHeight="1">
      <c r="A27" s="2"/>
      <c r="B27" s="2"/>
      <c r="C27" s="2" t="s">
        <v>44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95" customFormat="1" ht="15" customHeight="1">
      <c r="A28" s="2"/>
      <c r="B28" s="2"/>
      <c r="C28" s="2" t="s">
        <v>45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95" customFormat="1" ht="15" customHeight="1">
      <c r="A29" s="2"/>
      <c r="B29" s="2"/>
      <c r="C29" s="2" t="s">
        <v>46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47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AL12:AL13"/>
    <mergeCell ref="AM12:AM13"/>
    <mergeCell ref="A12:A13"/>
    <mergeCell ref="B12:B13"/>
    <mergeCell ref="C12:C13"/>
    <mergeCell ref="D12:D13"/>
    <mergeCell ref="AK12:AK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2:AN13"/>
    <mergeCell ref="AO12:AO13"/>
    <mergeCell ref="AP12:AP13"/>
    <mergeCell ref="AR12:AR13"/>
    <mergeCell ref="AS12:AS13"/>
    <mergeCell ref="AQ12:AQ13"/>
  </mergeCells>
  <conditionalFormatting sqref="F5:AJ6 F9:AJ10 F12:AI13">
    <cfRule type="expression" dxfId="3" priority="68" stopIfTrue="1">
      <formula>IF(WEEKDAY(F$5)=1,TRUE,FALSE)</formula>
    </cfRule>
  </conditionalFormatting>
  <conditionalFormatting sqref="AJ12:AJ13">
    <cfRule type="expression" dxfId="2" priority="19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K14" sqref="K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4" t="str">
        <f>"BẢNG THANH TOÁN LƯƠNG THÁNG"&amp;" "&amp;TEXT($E$4,"mm")&amp;" / "&amp;TEXT($E$4,"yyyy")</f>
        <v>BẢNG THANH TOÁN LƯƠNG THÁNG 11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MAX(F10:F16)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-11'!$E$4</f>
        <v>43040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99" t="s">
        <v>33</v>
      </c>
      <c r="G7" s="196" t="s">
        <v>17</v>
      </c>
      <c r="H7" s="199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-11'!$B$8:$AS$13,36,0)</f>
        <v>26</v>
      </c>
      <c r="G10" s="133">
        <f>ROUND(E10/$S$2*F10,0)</f>
        <v>4012500</v>
      </c>
      <c r="H10" s="81">
        <f>(VLOOKUP(B10,'CC -11'!$B$8:$AS$13,37,0)+VLOOKUP(B10,'CC -11'!$B$8:$AS$13,38,0))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0" si="3">IF(VLOOKUP($B10,DS,29,0)="x",$E10*L$4,0)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SUM(E9:E11)</f>
        <v>4012500</v>
      </c>
      <c r="F12" s="128"/>
      <c r="G12" s="128">
        <f>SUM(G9:G11)</f>
        <v>4012500</v>
      </c>
      <c r="H12" s="128"/>
      <c r="I12" s="128">
        <f>SUM(I9:I11)</f>
        <v>0</v>
      </c>
      <c r="J12" s="128"/>
      <c r="K12" s="128">
        <f>SUM(K9:K11)</f>
        <v>4012500</v>
      </c>
      <c r="L12" s="128">
        <f>SUM(L9:L11)</f>
        <v>321000</v>
      </c>
      <c r="M12" s="128">
        <f>SUM(M9:M11)</f>
        <v>60187.5</v>
      </c>
      <c r="N12" s="128">
        <f>SUM(N9:N11)</f>
        <v>40125</v>
      </c>
      <c r="O12" s="128">
        <f>SUM(O9:O11)</f>
        <v>3591188</v>
      </c>
      <c r="P12" s="128"/>
      <c r="Q12" s="128">
        <f>SUM(Q9:Q11)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6">VLOOKUP(B14,DS,2,0)</f>
        <v>Thạch Huy Chạch</v>
      </c>
      <c r="D14" s="104" t="str">
        <f t="shared" ref="D14" si="7">VLOOKUP(B14,DS,3,0)</f>
        <v>Công nhân</v>
      </c>
      <c r="E14" s="79">
        <f>VLOOKUP(B14,DS,7,0)</f>
        <v>3937000</v>
      </c>
      <c r="F14" s="81">
        <f>VLOOKUP(B14,'CC -11'!$B$8:$AS$13,36,0)</f>
        <v>26</v>
      </c>
      <c r="G14" s="133">
        <f>ROUND(E14/$S$2*F14,0)</f>
        <v>3937000</v>
      </c>
      <c r="H14" s="81">
        <f>(VLOOKUP(B14,'CC -11'!$B$8:$AS$13,37,0)+VLOOKUP(B14,'CC -11'!$B$8:$AS$13,38,0))</f>
        <v>0</v>
      </c>
      <c r="I14" s="133">
        <f>ROUND(E14/$S$2*H14,0)</f>
        <v>0</v>
      </c>
      <c r="J14" s="134">
        <f t="shared" ref="J14:K14" si="8">F14+H14</f>
        <v>26</v>
      </c>
      <c r="K14" s="33">
        <f t="shared" si="8"/>
        <v>3937000</v>
      </c>
      <c r="L14" s="34">
        <f t="shared" ref="L14:N14" si="9">IF(VLOOKUP($B14,DS,29,0)="x",$E14*L$4,0)</f>
        <v>314960</v>
      </c>
      <c r="M14" s="34">
        <f t="shared" si="9"/>
        <v>59055</v>
      </c>
      <c r="N14" s="34">
        <f t="shared" si="9"/>
        <v>39370</v>
      </c>
      <c r="O14" s="33">
        <f t="shared" ref="O14" si="10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1">SUM(K13:K15)</f>
        <v>3937000</v>
      </c>
      <c r="L16" s="128">
        <f t="shared" si="11"/>
        <v>314960</v>
      </c>
      <c r="M16" s="128">
        <f t="shared" si="11"/>
        <v>59055</v>
      </c>
      <c r="N16" s="128">
        <f t="shared" si="11"/>
        <v>39370</v>
      </c>
      <c r="O16" s="128">
        <f t="shared" si="11"/>
        <v>3523615</v>
      </c>
      <c r="P16" s="128">
        <f t="shared" si="11"/>
        <v>0</v>
      </c>
      <c r="Q16" s="128">
        <f t="shared" si="11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11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U10:U11 AD5:II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V11:AC11 S11:S13 B1:K4 S4:S10 V5:AC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AD14:II14 U14" name="Range1_5"/>
    <protectedRange password="CC78" sqref="V14:AC14 S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4" sqref="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6" t="s">
        <v>76</v>
      </c>
      <c r="AN1" s="257"/>
      <c r="AO1" s="257"/>
      <c r="AP1" s="257"/>
      <c r="AQ1" s="257"/>
      <c r="AR1" s="257"/>
      <c r="AS1" s="258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43070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6" t="s">
        <v>25</v>
      </c>
      <c r="B5" s="266" t="s">
        <v>3</v>
      </c>
      <c r="C5" s="266" t="s">
        <v>1</v>
      </c>
      <c r="D5" s="264" t="s">
        <v>26</v>
      </c>
      <c r="E5" s="266" t="s">
        <v>27</v>
      </c>
      <c r="F5" s="106">
        <f>+E4</f>
        <v>43070</v>
      </c>
      <c r="G5" s="106">
        <f t="shared" ref="G5:AJ5" si="0">F5+1</f>
        <v>43071</v>
      </c>
      <c r="H5" s="106">
        <f t="shared" si="0"/>
        <v>43072</v>
      </c>
      <c r="I5" s="106">
        <f t="shared" si="0"/>
        <v>43073</v>
      </c>
      <c r="J5" s="106">
        <f t="shared" si="0"/>
        <v>43074</v>
      </c>
      <c r="K5" s="106">
        <f t="shared" si="0"/>
        <v>43075</v>
      </c>
      <c r="L5" s="106">
        <f t="shared" si="0"/>
        <v>43076</v>
      </c>
      <c r="M5" s="106">
        <f t="shared" si="0"/>
        <v>43077</v>
      </c>
      <c r="N5" s="106">
        <f t="shared" si="0"/>
        <v>43078</v>
      </c>
      <c r="O5" s="106">
        <f t="shared" si="0"/>
        <v>43079</v>
      </c>
      <c r="P5" s="106">
        <f t="shared" si="0"/>
        <v>43080</v>
      </c>
      <c r="Q5" s="106">
        <f t="shared" si="0"/>
        <v>43081</v>
      </c>
      <c r="R5" s="106">
        <f t="shared" si="0"/>
        <v>43082</v>
      </c>
      <c r="S5" s="106">
        <f t="shared" si="0"/>
        <v>43083</v>
      </c>
      <c r="T5" s="106">
        <f t="shared" si="0"/>
        <v>43084</v>
      </c>
      <c r="U5" s="106">
        <f t="shared" si="0"/>
        <v>43085</v>
      </c>
      <c r="V5" s="106">
        <f t="shared" si="0"/>
        <v>43086</v>
      </c>
      <c r="W5" s="106">
        <f t="shared" si="0"/>
        <v>43087</v>
      </c>
      <c r="X5" s="106">
        <f t="shared" si="0"/>
        <v>43088</v>
      </c>
      <c r="Y5" s="106">
        <f t="shared" si="0"/>
        <v>43089</v>
      </c>
      <c r="Z5" s="106">
        <f t="shared" si="0"/>
        <v>43090</v>
      </c>
      <c r="AA5" s="106">
        <f t="shared" si="0"/>
        <v>43091</v>
      </c>
      <c r="AB5" s="106">
        <f t="shared" si="0"/>
        <v>43092</v>
      </c>
      <c r="AC5" s="106">
        <f t="shared" si="0"/>
        <v>43093</v>
      </c>
      <c r="AD5" s="106">
        <f t="shared" si="0"/>
        <v>43094</v>
      </c>
      <c r="AE5" s="106">
        <f t="shared" si="0"/>
        <v>43095</v>
      </c>
      <c r="AF5" s="106">
        <f t="shared" si="0"/>
        <v>43096</v>
      </c>
      <c r="AG5" s="106">
        <f t="shared" si="0"/>
        <v>43097</v>
      </c>
      <c r="AH5" s="106">
        <f>AG5+1</f>
        <v>43098</v>
      </c>
      <c r="AI5" s="106">
        <f t="shared" si="0"/>
        <v>43099</v>
      </c>
      <c r="AJ5" s="106">
        <f t="shared" si="0"/>
        <v>43100</v>
      </c>
      <c r="AK5" s="259" t="s">
        <v>14</v>
      </c>
      <c r="AL5" s="260"/>
      <c r="AM5" s="261"/>
      <c r="AN5" s="262" t="s">
        <v>38</v>
      </c>
      <c r="AO5" s="262" t="s">
        <v>34</v>
      </c>
      <c r="AP5" s="262" t="s">
        <v>35</v>
      </c>
      <c r="AQ5" s="262" t="s">
        <v>36</v>
      </c>
      <c r="AR5" s="262" t="s">
        <v>37</v>
      </c>
      <c r="AS5" s="264" t="s">
        <v>0</v>
      </c>
      <c r="AT5" s="26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5"/>
      <c r="B6" s="265"/>
      <c r="C6" s="265"/>
      <c r="D6" s="265"/>
      <c r="E6" s="265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3"/>
      <c r="AO6" s="263"/>
      <c r="AP6" s="263"/>
      <c r="AQ6" s="263"/>
      <c r="AR6" s="263"/>
      <c r="AS6" s="265"/>
      <c r="AT6" s="26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4">
        <v>1</v>
      </c>
      <c r="B9" s="244" t="s">
        <v>73</v>
      </c>
      <c r="C9" s="246" t="str">
        <f>VLOOKUP(B9,DS,2,0)</f>
        <v>Mai Thị Hường</v>
      </c>
      <c r="D9" s="254" t="str">
        <f>VLOOKUP(B9,DS,3,0)</f>
        <v>Kế Toán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2">
        <f>((SUM(F9:AJ9))/8)-(SUMIF($F$6:$AJ$6,"C.Nhật",F9:AJ9)/8)</f>
        <v>26</v>
      </c>
      <c r="AL9" s="252">
        <f>SUM(F10:AJ10)/8*1.5</f>
        <v>0</v>
      </c>
      <c r="AM9" s="248">
        <f>SUMIF($F$6:$AJ$6,"C.Nhật",$F9:$AJ10)/8*2</f>
        <v>0</v>
      </c>
      <c r="AN9" s="240">
        <f>SUM(AK9:AM10)</f>
        <v>26</v>
      </c>
      <c r="AO9" s="250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5"/>
      <c r="B10" s="245"/>
      <c r="C10" s="247"/>
      <c r="D10" s="255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3"/>
      <c r="AL10" s="253"/>
      <c r="AM10" s="249"/>
      <c r="AN10" s="241"/>
      <c r="AO10" s="251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4">
        <v>1</v>
      </c>
      <c r="B12" s="244" t="s">
        <v>74</v>
      </c>
      <c r="C12" s="246" t="str">
        <f>VLOOKUP(B12,DS,2,0)</f>
        <v>Thạch Huy Chạch</v>
      </c>
      <c r="D12" s="254" t="str">
        <f>VLOOKUP(B12,DS,3,0)</f>
        <v>Công nhân</v>
      </c>
      <c r="E12" s="57" t="s">
        <v>29</v>
      </c>
      <c r="F12" s="131">
        <v>8</v>
      </c>
      <c r="G12" s="131">
        <v>8</v>
      </c>
      <c r="H12" s="131"/>
      <c r="I12" s="131">
        <v>8</v>
      </c>
      <c r="J12" s="131">
        <v>8</v>
      </c>
      <c r="K12" s="131">
        <v>8</v>
      </c>
      <c r="L12" s="131">
        <v>8</v>
      </c>
      <c r="M12" s="131">
        <v>8</v>
      </c>
      <c r="N12" s="131">
        <v>8</v>
      </c>
      <c r="O12" s="131"/>
      <c r="P12" s="131">
        <v>8</v>
      </c>
      <c r="Q12" s="131">
        <v>8</v>
      </c>
      <c r="R12" s="131">
        <v>8</v>
      </c>
      <c r="S12" s="131">
        <v>8</v>
      </c>
      <c r="T12" s="131">
        <v>8</v>
      </c>
      <c r="U12" s="131">
        <v>8</v>
      </c>
      <c r="V12" s="131"/>
      <c r="W12" s="131">
        <v>8</v>
      </c>
      <c r="X12" s="131">
        <v>8</v>
      </c>
      <c r="Y12" s="131">
        <v>8</v>
      </c>
      <c r="Z12" s="131">
        <v>8</v>
      </c>
      <c r="AA12" s="131">
        <v>8</v>
      </c>
      <c r="AB12" s="131">
        <v>8</v>
      </c>
      <c r="AC12" s="131"/>
      <c r="AD12" s="131">
        <v>8</v>
      </c>
      <c r="AE12" s="131">
        <v>8</v>
      </c>
      <c r="AF12" s="131">
        <v>8</v>
      </c>
      <c r="AG12" s="131">
        <v>8</v>
      </c>
      <c r="AH12" s="131">
        <v>8</v>
      </c>
      <c r="AI12" s="131">
        <v>8</v>
      </c>
      <c r="AJ12" s="131"/>
      <c r="AK12" s="252">
        <f t="shared" ref="AK12" si="2">((SUM(F12:AJ12))/8)-(SUMIF($F$6:$AJ$6,"C.Nhật",F12:AJ12)/8)</f>
        <v>26</v>
      </c>
      <c r="AL12" s="252">
        <f t="shared" ref="AL12" si="3">SUM(F13:AJ13)/8*1.5</f>
        <v>0</v>
      </c>
      <c r="AM12" s="248">
        <f>SUMIF($F$6:$AJ$6,"C.Nhật",$F12:$AJ13)/8*2</f>
        <v>0</v>
      </c>
      <c r="AN12" s="240">
        <f>SUM(AK12:AM13)</f>
        <v>26</v>
      </c>
      <c r="AO12" s="250">
        <v>0</v>
      </c>
      <c r="AP12" s="240"/>
      <c r="AQ12" s="240"/>
      <c r="AR12" s="240"/>
      <c r="AS12" s="242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5"/>
      <c r="B13" s="245"/>
      <c r="C13" s="247"/>
      <c r="D13" s="255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53"/>
      <c r="AL13" s="253"/>
      <c r="AM13" s="249"/>
      <c r="AN13" s="241"/>
      <c r="AO13" s="251"/>
      <c r="AP13" s="241"/>
      <c r="AQ13" s="241"/>
      <c r="AR13" s="241"/>
      <c r="AS13" s="243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91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91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91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91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91" s="62" customFormat="1" ht="12.75">
      <c r="A21" s="2"/>
      <c r="B21" s="2" t="s">
        <v>0</v>
      </c>
      <c r="C21" s="2"/>
      <c r="D21" s="195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91" s="62" customFormat="1" ht="12.75">
      <c r="A22" s="2"/>
      <c r="B22" s="2"/>
      <c r="C22" s="2" t="s">
        <v>39</v>
      </c>
      <c r="D22" s="195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91" ht="15" customHeight="1">
      <c r="C23" s="2" t="s">
        <v>40</v>
      </c>
    </row>
    <row r="24" spans="1:91" ht="15" customHeight="1">
      <c r="C24" s="2" t="s">
        <v>41</v>
      </c>
    </row>
    <row r="25" spans="1:91" s="195" customFormat="1" ht="15" customHeight="1">
      <c r="A25" s="2"/>
      <c r="B25" s="2"/>
      <c r="C25" s="2" t="s">
        <v>42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95" customFormat="1" ht="15" customHeight="1">
      <c r="A26" s="2"/>
      <c r="B26" s="2"/>
      <c r="C26" s="2" t="s">
        <v>43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95" customFormat="1" ht="15" customHeight="1">
      <c r="A27" s="2"/>
      <c r="B27" s="2"/>
      <c r="C27" s="2" t="s">
        <v>44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95" customFormat="1" ht="15" customHeight="1">
      <c r="A28" s="2"/>
      <c r="B28" s="2"/>
      <c r="C28" s="2" t="s">
        <v>45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95" customFormat="1" ht="15" customHeight="1">
      <c r="A29" s="2"/>
      <c r="B29" s="2"/>
      <c r="C29" s="2" t="s">
        <v>46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47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AL12:AL13"/>
    <mergeCell ref="AM12:AM13"/>
    <mergeCell ref="A12:A13"/>
    <mergeCell ref="B12:B13"/>
    <mergeCell ref="C12:C13"/>
    <mergeCell ref="D12:D13"/>
    <mergeCell ref="AK12:AK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2:AN13"/>
    <mergeCell ref="AO12:AO13"/>
    <mergeCell ref="AP12:AP13"/>
    <mergeCell ref="AR12:AR13"/>
    <mergeCell ref="AS12:AS13"/>
    <mergeCell ref="AQ12:AQ13"/>
  </mergeCells>
  <conditionalFormatting sqref="F5:AJ6 F9:AJ10 F12:AJ13">
    <cfRule type="expression" dxfId="1" priority="46" stopIfTrue="1">
      <formula>IF(WEEKDAY(F$5)=1,TRUE,FALSE)</formula>
    </cfRule>
  </conditionalFormatting>
  <conditionalFormatting sqref="F9:AJ10">
    <cfRule type="expression" dxfId="0" priority="4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9" sqref="I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4" t="str">
        <f>"BẢNG THANH TOÁN LƯƠNG THÁNG"&amp;" "&amp;TEXT($E$4,"mm")&amp;" / "&amp;TEXT($E$4,"yyyy")</f>
        <v>BẢNG THANH TOÁN LƯƠNG THÁNG 12 / 2017</v>
      </c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5"/>
      <c r="P1" s="276" t="s">
        <v>76</v>
      </c>
      <c r="Q1" s="277"/>
      <c r="R1" s="278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MAX(F10:F16)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-12'!$E$4</f>
        <v>43070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8" t="s">
        <v>18</v>
      </c>
      <c r="B5" s="268" t="s">
        <v>19</v>
      </c>
      <c r="C5" s="235" t="s">
        <v>1</v>
      </c>
      <c r="D5" s="235" t="s">
        <v>2</v>
      </c>
      <c r="E5" s="238" t="s">
        <v>48</v>
      </c>
      <c r="F5" s="279" t="s">
        <v>23</v>
      </c>
      <c r="G5" s="280"/>
      <c r="H5" s="280"/>
      <c r="I5" s="280"/>
      <c r="J5" s="280"/>
      <c r="K5" s="281"/>
      <c r="L5" s="235" t="s">
        <v>5</v>
      </c>
      <c r="M5" s="235"/>
      <c r="N5" s="235"/>
      <c r="O5" s="270" t="s">
        <v>6</v>
      </c>
      <c r="P5" s="270" t="s">
        <v>7</v>
      </c>
      <c r="Q5" s="270" t="s">
        <v>8</v>
      </c>
      <c r="R5" s="236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9"/>
      <c r="B6" s="269"/>
      <c r="C6" s="235"/>
      <c r="D6" s="235"/>
      <c r="E6" s="238"/>
      <c r="F6" s="279" t="s">
        <v>50</v>
      </c>
      <c r="G6" s="281"/>
      <c r="H6" s="279" t="s">
        <v>69</v>
      </c>
      <c r="I6" s="280"/>
      <c r="J6" s="282" t="s">
        <v>24</v>
      </c>
      <c r="K6" s="270" t="s">
        <v>4</v>
      </c>
      <c r="L6" s="271" t="s">
        <v>11</v>
      </c>
      <c r="M6" s="270" t="s">
        <v>12</v>
      </c>
      <c r="N6" s="270" t="s">
        <v>30</v>
      </c>
      <c r="O6" s="273"/>
      <c r="P6" s="273"/>
      <c r="Q6" s="273"/>
      <c r="R6" s="237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9"/>
      <c r="B7" s="269"/>
      <c r="C7" s="270"/>
      <c r="D7" s="270"/>
      <c r="E7" s="238"/>
      <c r="F7" s="199" t="s">
        <v>33</v>
      </c>
      <c r="G7" s="196" t="s">
        <v>17</v>
      </c>
      <c r="H7" s="199" t="s">
        <v>33</v>
      </c>
      <c r="I7" s="116" t="s">
        <v>17</v>
      </c>
      <c r="J7" s="283"/>
      <c r="K7" s="273"/>
      <c r="L7" s="272"/>
      <c r="M7" s="273"/>
      <c r="N7" s="273"/>
      <c r="O7" s="273"/>
      <c r="P7" s="273"/>
      <c r="Q7" s="273"/>
      <c r="R7" s="237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-12'!$B$8:$AS$13,36,0)</f>
        <v>26</v>
      </c>
      <c r="G10" s="133">
        <f>ROUND(E10/$S$2*F10,0)</f>
        <v>4012500</v>
      </c>
      <c r="H10" s="81">
        <f>(VLOOKUP(B10,'CC -12'!$B$8:$AS$13,37,0)+VLOOKUP(B10,'CC -12'!$B$8:$AS$13,38,0))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0" si="3">IF(VLOOKUP($B10,DS,31,0)="x",$E10*L$4,0)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SUM(E9:E11)</f>
        <v>4012500</v>
      </c>
      <c r="F12" s="128"/>
      <c r="G12" s="128">
        <f>SUM(G9:G11)</f>
        <v>4012500</v>
      </c>
      <c r="H12" s="128"/>
      <c r="I12" s="128">
        <f>SUM(I9:I11)</f>
        <v>0</v>
      </c>
      <c r="J12" s="128"/>
      <c r="K12" s="128">
        <f>SUM(K9:K11)</f>
        <v>4012500</v>
      </c>
      <c r="L12" s="128">
        <f>SUM(L9:L11)</f>
        <v>321000</v>
      </c>
      <c r="M12" s="128">
        <f>SUM(M9:M11)</f>
        <v>60187.5</v>
      </c>
      <c r="N12" s="128">
        <f>SUM(N9:N11)</f>
        <v>40125</v>
      </c>
      <c r="O12" s="128">
        <f>SUM(O9:O11)</f>
        <v>3591188</v>
      </c>
      <c r="P12" s="128"/>
      <c r="Q12" s="128">
        <f>SUM(Q9:Q11)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5">VLOOKUP(B14,DS,2,0)</f>
        <v>Thạch Huy Chạch</v>
      </c>
      <c r="D14" s="104" t="str">
        <f t="shared" ref="D14" si="6">VLOOKUP(B14,DS,3,0)</f>
        <v>Công nhân</v>
      </c>
      <c r="E14" s="79">
        <f>VLOOKUP(B14,DS,7,0)</f>
        <v>3937000</v>
      </c>
      <c r="F14" s="81">
        <f>VLOOKUP(B14,'CC -12'!$B$8:$AS$13,36,0)</f>
        <v>26</v>
      </c>
      <c r="G14" s="133">
        <f>ROUND(E14/$S$2*F14,0)</f>
        <v>3937000</v>
      </c>
      <c r="H14" s="81">
        <f>(VLOOKUP(B14,'CC -12'!$B$8:$AS$13,37,0)+VLOOKUP(B14,'CC -12'!$B$8:$AS$13,38,0))</f>
        <v>0</v>
      </c>
      <c r="I14" s="133">
        <f>ROUND(E14/$S$2*H14,0)</f>
        <v>0</v>
      </c>
      <c r="J14" s="134">
        <f t="shared" ref="J14:K14" si="7">F14+H14</f>
        <v>26</v>
      </c>
      <c r="K14" s="33">
        <f t="shared" si="7"/>
        <v>3937000</v>
      </c>
      <c r="L14" s="34">
        <f t="shared" ref="L14:N14" si="8">IF(VLOOKUP($B14,DS,31,0)="x",$E14*L$4,0)</f>
        <v>314960</v>
      </c>
      <c r="M14" s="34">
        <f t="shared" si="8"/>
        <v>59055</v>
      </c>
      <c r="N14" s="34">
        <f t="shared" si="8"/>
        <v>39370</v>
      </c>
      <c r="O14" s="33">
        <f t="shared" ref="O14" si="9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0">SUM(K13:K15)</f>
        <v>3937000</v>
      </c>
      <c r="L16" s="128">
        <f t="shared" si="10"/>
        <v>314960</v>
      </c>
      <c r="M16" s="128">
        <f t="shared" si="10"/>
        <v>59055</v>
      </c>
      <c r="N16" s="128">
        <f t="shared" si="10"/>
        <v>39370</v>
      </c>
      <c r="O16" s="128">
        <f t="shared" si="10"/>
        <v>3523615</v>
      </c>
      <c r="P16" s="128">
        <f t="shared" si="10"/>
        <v>0</v>
      </c>
      <c r="Q16" s="128">
        <f t="shared" si="10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12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U10:U11 AD5:II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V11:AC11 S11:S13 B1:K4 S4:S10 V5:AC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U14 AD14:II14" name="Range1_5"/>
    <protectedRange password="CC78" sqref="S14 V14:AC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2018-05-04T00:04:52Z</cp:lastPrinted>
  <dcterms:created xsi:type="dcterms:W3CDTF">2011-06-27T04:19:15Z</dcterms:created>
  <dcterms:modified xsi:type="dcterms:W3CDTF">2018-05-04T00:05:39Z</dcterms:modified>
</cp:coreProperties>
</file>