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825" windowWidth="19440" windowHeight="9255" activeTab="2"/>
  </bookViews>
  <sheets>
    <sheet name="TD-TQ" sheetId="1" r:id="rId1"/>
    <sheet name="GC - TQ (T8)" sheetId="2" r:id="rId2"/>
    <sheet name="19-10" sheetId="5" r:id="rId3"/>
    <sheet name="BS - CARTON" sheetId="6" r:id="rId4"/>
  </sheets>
  <definedNames>
    <definedName name="_Fill" localSheetId="2" hidden="1">#REF!</definedName>
    <definedName name="_Fill" localSheetId="1" hidden="1">#REF!</definedName>
    <definedName name="_Fill" hidden="1">#REF!</definedName>
    <definedName name="_xlnm.Print_Area" localSheetId="2">'19-10'!$A$328:$N$353</definedName>
    <definedName name="_xlnm.Print_Area" localSheetId="3">'BS - CARTON'!$A$45:$I$63</definedName>
    <definedName name="_xlnm.Print_Titles" localSheetId="0">'TD-TQ'!$2:$3</definedName>
  </definedNames>
  <calcPr calcId="144525"/>
</workbook>
</file>

<file path=xl/calcChain.xml><?xml version="1.0" encoding="utf-8"?>
<calcChain xmlns="http://schemas.openxmlformats.org/spreadsheetml/2006/main">
  <c r="F350" i="5" l="1"/>
  <c r="F347" i="5" l="1"/>
  <c r="E350" i="5"/>
  <c r="F349" i="5"/>
  <c r="E346" i="5"/>
  <c r="J333" i="5"/>
  <c r="J334" i="5"/>
  <c r="J335" i="5"/>
  <c r="K335" i="5"/>
  <c r="J370" i="5"/>
  <c r="K382" i="5"/>
  <c r="L380" i="5"/>
  <c r="J380" i="5"/>
  <c r="N380" i="5" s="1"/>
  <c r="L379" i="5"/>
  <c r="J379" i="5"/>
  <c r="N379" i="5" s="1"/>
  <c r="L378" i="5"/>
  <c r="J378" i="5"/>
  <c r="N378" i="5" s="1"/>
  <c r="L377" i="5"/>
  <c r="J377" i="5"/>
  <c r="N377" i="5" s="1"/>
  <c r="L376" i="5"/>
  <c r="J376" i="5"/>
  <c r="N376" i="5" s="1"/>
  <c r="L375" i="5"/>
  <c r="J375" i="5"/>
  <c r="N375" i="5" s="1"/>
  <c r="N374" i="5"/>
  <c r="L374" i="5"/>
  <c r="N373" i="5"/>
  <c r="L373" i="5"/>
  <c r="N372" i="5"/>
  <c r="L372" i="5"/>
  <c r="N371" i="5"/>
  <c r="L371" i="5"/>
  <c r="A371" i="5"/>
  <c r="N370" i="5"/>
  <c r="L370" i="5"/>
  <c r="E370" i="5"/>
  <c r="A370" i="5"/>
  <c r="N369" i="5"/>
  <c r="L369" i="5"/>
  <c r="E369" i="5"/>
  <c r="A369" i="5"/>
  <c r="N368" i="5"/>
  <c r="L368" i="5"/>
  <c r="E368" i="5"/>
  <c r="A368" i="5"/>
  <c r="N367" i="5"/>
  <c r="L367" i="5"/>
  <c r="E367" i="5"/>
  <c r="A367" i="5"/>
  <c r="N366" i="5"/>
  <c r="L366" i="5"/>
  <c r="E366" i="5"/>
  <c r="A366" i="5"/>
  <c r="N365" i="5"/>
  <c r="L365" i="5"/>
  <c r="E365" i="5"/>
  <c r="A365" i="5"/>
  <c r="N364" i="5"/>
  <c r="L364" i="5"/>
  <c r="E364" i="5"/>
  <c r="A364" i="5"/>
  <c r="N363" i="5"/>
  <c r="L363" i="5"/>
  <c r="E363" i="5"/>
  <c r="A363" i="5"/>
  <c r="L362" i="5"/>
  <c r="N362" i="5"/>
  <c r="E362" i="5"/>
  <c r="A362" i="5"/>
  <c r="L361" i="5"/>
  <c r="N361" i="5"/>
  <c r="E361" i="5"/>
  <c r="A361" i="5"/>
  <c r="F74" i="1"/>
  <c r="F75" i="1"/>
  <c r="A74" i="1"/>
  <c r="A75" i="1"/>
  <c r="E352" i="5" l="1"/>
  <c r="F352" i="5"/>
  <c r="L382" i="5"/>
  <c r="N382" i="5"/>
  <c r="E371" i="5" s="1"/>
  <c r="E382" i="5" s="1"/>
  <c r="F321" i="5"/>
  <c r="F322" i="5"/>
  <c r="F320" i="5"/>
  <c r="E322" i="5" l="1"/>
  <c r="E321" i="5"/>
  <c r="E320" i="5"/>
  <c r="F319" i="5"/>
  <c r="E317" i="5"/>
  <c r="J331" i="5"/>
  <c r="J332" i="5"/>
  <c r="K310" i="5"/>
  <c r="J309" i="5"/>
  <c r="L309" i="5"/>
  <c r="J310" i="5"/>
  <c r="L310" i="5"/>
  <c r="A292" i="5"/>
  <c r="A293" i="5"/>
  <c r="A294" i="5"/>
  <c r="A295" i="5"/>
  <c r="A296" i="5"/>
  <c r="A297" i="5"/>
  <c r="A298" i="5"/>
  <c r="A299" i="5"/>
  <c r="A300" i="5"/>
  <c r="A301" i="5"/>
  <c r="A291" i="5"/>
  <c r="K306" i="5"/>
  <c r="J307" i="5"/>
  <c r="N309" i="5" l="1"/>
  <c r="F324" i="5"/>
  <c r="E324" i="5"/>
  <c r="N310" i="5"/>
  <c r="K298" i="5"/>
  <c r="J299" i="5"/>
  <c r="J300" i="5"/>
  <c r="J301" i="5"/>
  <c r="J302" i="5"/>
  <c r="J303" i="5"/>
  <c r="J304" i="5"/>
  <c r="J305" i="5"/>
  <c r="J306" i="5"/>
  <c r="J308" i="5"/>
  <c r="J298" i="5"/>
  <c r="J297" i="5"/>
  <c r="J296" i="5"/>
  <c r="J295" i="5"/>
  <c r="J294" i="5"/>
  <c r="K343" i="5"/>
  <c r="L341" i="5"/>
  <c r="N341" i="5"/>
  <c r="A341" i="5"/>
  <c r="L340" i="5"/>
  <c r="N340" i="5"/>
  <c r="E340" i="5"/>
  <c r="A340" i="5"/>
  <c r="L339" i="5"/>
  <c r="N339" i="5"/>
  <c r="E339" i="5"/>
  <c r="A339" i="5"/>
  <c r="L338" i="5"/>
  <c r="N338" i="5"/>
  <c r="E338" i="5"/>
  <c r="A338" i="5"/>
  <c r="L337" i="5"/>
  <c r="N337" i="5"/>
  <c r="E337" i="5"/>
  <c r="A337" i="5"/>
  <c r="N336" i="5"/>
  <c r="L336" i="5"/>
  <c r="E336" i="5"/>
  <c r="A336" i="5"/>
  <c r="L335" i="5"/>
  <c r="N335" i="5" s="1"/>
  <c r="E335" i="5"/>
  <c r="A335" i="5"/>
  <c r="L334" i="5"/>
  <c r="N334" i="5" s="1"/>
  <c r="E334" i="5"/>
  <c r="A334" i="5"/>
  <c r="L333" i="5"/>
  <c r="N333" i="5" s="1"/>
  <c r="E333" i="5"/>
  <c r="A333" i="5"/>
  <c r="L332" i="5"/>
  <c r="N332" i="5" s="1"/>
  <c r="E332" i="5"/>
  <c r="A332" i="5"/>
  <c r="L331" i="5"/>
  <c r="N331" i="5" s="1"/>
  <c r="E331" i="5"/>
  <c r="A331" i="5"/>
  <c r="F69" i="1"/>
  <c r="F70" i="1"/>
  <c r="F71" i="1"/>
  <c r="H71" i="1" s="1"/>
  <c r="F72" i="1"/>
  <c r="H72" i="1" s="1"/>
  <c r="F73" i="1"/>
  <c r="F68" i="1"/>
  <c r="A63" i="1"/>
  <c r="A64" i="1"/>
  <c r="A65" i="1"/>
  <c r="A66" i="1"/>
  <c r="A67" i="1"/>
  <c r="A68" i="1"/>
  <c r="A69" i="1"/>
  <c r="A70" i="1"/>
  <c r="A71" i="1"/>
  <c r="A72" i="1"/>
  <c r="A73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H68" i="1"/>
  <c r="H69" i="1"/>
  <c r="H70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F62" i="1"/>
  <c r="F63" i="1"/>
  <c r="F64" i="1"/>
  <c r="F65" i="1"/>
  <c r="F66" i="1"/>
  <c r="L343" i="5" l="1"/>
  <c r="N343" i="5"/>
  <c r="E341" i="5" s="1"/>
  <c r="E343" i="5" l="1"/>
  <c r="I348" i="5" s="1"/>
  <c r="I352" i="5"/>
  <c r="A62" i="1"/>
  <c r="K255" i="5"/>
  <c r="E58" i="6" l="1"/>
  <c r="H62" i="1" l="1"/>
  <c r="H63" i="1"/>
  <c r="H64" i="1"/>
  <c r="H65" i="1"/>
  <c r="H66" i="1"/>
  <c r="H67" i="1"/>
  <c r="F279" i="5"/>
  <c r="F277" i="5"/>
  <c r="E279" i="5"/>
  <c r="F278" i="5"/>
  <c r="E278" i="5"/>
  <c r="E277" i="5"/>
  <c r="F276" i="5"/>
  <c r="I281" i="5"/>
  <c r="E275" i="5"/>
  <c r="E281" i="5" l="1"/>
  <c r="F281" i="5"/>
  <c r="L304" i="5"/>
  <c r="N304" i="5" s="1"/>
  <c r="L305" i="5"/>
  <c r="N305" i="5" s="1"/>
  <c r="L306" i="5"/>
  <c r="N306" i="5" s="1"/>
  <c r="L307" i="5"/>
  <c r="N307" i="5" s="1"/>
  <c r="L308" i="5"/>
  <c r="K312" i="5"/>
  <c r="L303" i="5"/>
  <c r="L302" i="5"/>
  <c r="N302" i="5" s="1"/>
  <c r="L301" i="5"/>
  <c r="N301" i="5" s="1"/>
  <c r="L300" i="5"/>
  <c r="E300" i="5"/>
  <c r="L299" i="5"/>
  <c r="N299" i="5" s="1"/>
  <c r="E299" i="5"/>
  <c r="L298" i="5"/>
  <c r="N298" i="5" s="1"/>
  <c r="E298" i="5"/>
  <c r="L297" i="5"/>
  <c r="N297" i="5" s="1"/>
  <c r="E297" i="5"/>
  <c r="L296" i="5"/>
  <c r="N296" i="5"/>
  <c r="E296" i="5"/>
  <c r="L295" i="5"/>
  <c r="N295" i="5" s="1"/>
  <c r="E295" i="5"/>
  <c r="L294" i="5"/>
  <c r="N294" i="5"/>
  <c r="E294" i="5"/>
  <c r="L293" i="5"/>
  <c r="N293" i="5"/>
  <c r="E293" i="5"/>
  <c r="L292" i="5"/>
  <c r="N292" i="5"/>
  <c r="E292" i="5"/>
  <c r="E291" i="5"/>
  <c r="N308" i="5" l="1"/>
  <c r="L312" i="5"/>
  <c r="N300" i="5"/>
  <c r="N303" i="5"/>
  <c r="L291" i="5"/>
  <c r="F270" i="5"/>
  <c r="F265" i="5"/>
  <c r="E270" i="5"/>
  <c r="F269" i="5"/>
  <c r="F268" i="5"/>
  <c r="F267" i="5"/>
  <c r="E267" i="5"/>
  <c r="F266" i="5"/>
  <c r="E266" i="5"/>
  <c r="E263" i="5"/>
  <c r="K252" i="5"/>
  <c r="L251" i="5"/>
  <c r="J251" i="5"/>
  <c r="J248" i="5"/>
  <c r="J249" i="5"/>
  <c r="J250" i="5"/>
  <c r="J252" i="5"/>
  <c r="J253" i="5"/>
  <c r="J244" i="5"/>
  <c r="J245" i="5"/>
  <c r="J246" i="5"/>
  <c r="J247" i="5"/>
  <c r="J254" i="5"/>
  <c r="J255" i="5"/>
  <c r="J243" i="5"/>
  <c r="N291" i="5" l="1"/>
  <c r="N312" i="5" s="1"/>
  <c r="E301" i="5" s="1"/>
  <c r="E312" i="5" s="1"/>
  <c r="N251" i="5"/>
  <c r="E272" i="5"/>
  <c r="F272" i="5"/>
  <c r="G53" i="6"/>
  <c r="H53" i="6" s="1"/>
  <c r="G51" i="6"/>
  <c r="H51" i="6" s="1"/>
  <c r="G49" i="6"/>
  <c r="H49" i="6" s="1"/>
  <c r="G48" i="6"/>
  <c r="H48" i="6" s="1"/>
  <c r="G47" i="6"/>
  <c r="H47" i="6" s="1"/>
  <c r="G56" i="6"/>
  <c r="H56" i="6" s="1"/>
  <c r="G55" i="6"/>
  <c r="H55" i="6" s="1"/>
  <c r="G54" i="6"/>
  <c r="H54" i="6" s="1"/>
  <c r="G52" i="6"/>
  <c r="H52" i="6" s="1"/>
  <c r="G50" i="6"/>
  <c r="E314" i="5" l="1"/>
  <c r="I318" i="5"/>
  <c r="I324" i="5" s="1"/>
  <c r="G58" i="6"/>
  <c r="H50" i="6"/>
  <c r="H58" i="6" s="1"/>
  <c r="F57" i="1"/>
  <c r="F58" i="1"/>
  <c r="H58" i="1" s="1"/>
  <c r="F59" i="1"/>
  <c r="H59" i="1" s="1"/>
  <c r="F60" i="1"/>
  <c r="H60" i="1" s="1"/>
  <c r="F61" i="1"/>
  <c r="F56" i="1"/>
  <c r="A54" i="1"/>
  <c r="A55" i="1"/>
  <c r="A56" i="1"/>
  <c r="A57" i="1"/>
  <c r="A58" i="1"/>
  <c r="A59" i="1"/>
  <c r="A60" i="1"/>
  <c r="A61" i="1"/>
  <c r="H57" i="1"/>
  <c r="H56" i="1"/>
  <c r="A244" i="5"/>
  <c r="A245" i="5"/>
  <c r="A246" i="5"/>
  <c r="A247" i="5"/>
  <c r="A248" i="5"/>
  <c r="A249" i="5"/>
  <c r="A250" i="5"/>
  <c r="A251" i="5"/>
  <c r="A252" i="5"/>
  <c r="A253" i="5"/>
  <c r="A243" i="5"/>
  <c r="N256" i="5"/>
  <c r="L256" i="5"/>
  <c r="L255" i="5"/>
  <c r="N255" i="5" s="1"/>
  <c r="L254" i="5"/>
  <c r="N254" i="5" s="1"/>
  <c r="L253" i="5"/>
  <c r="N253" i="5" s="1"/>
  <c r="E252" i="5"/>
  <c r="L252" i="5"/>
  <c r="N252" i="5" s="1"/>
  <c r="E251" i="5"/>
  <c r="L250" i="5"/>
  <c r="N250" i="5" s="1"/>
  <c r="E250" i="5"/>
  <c r="L249" i="5"/>
  <c r="N249" i="5" s="1"/>
  <c r="E249" i="5"/>
  <c r="L248" i="5"/>
  <c r="N248" i="5" s="1"/>
  <c r="E248" i="5"/>
  <c r="L247" i="5"/>
  <c r="N247" i="5" s="1"/>
  <c r="E247" i="5"/>
  <c r="L246" i="5"/>
  <c r="N246" i="5" s="1"/>
  <c r="E246" i="5"/>
  <c r="L245" i="5"/>
  <c r="N245" i="5" s="1"/>
  <c r="E245" i="5"/>
  <c r="L244" i="5"/>
  <c r="N244" i="5" s="1"/>
  <c r="E244" i="5"/>
  <c r="L243" i="5"/>
  <c r="N243" i="5" s="1"/>
  <c r="E243" i="5"/>
  <c r="L258" i="5" l="1"/>
  <c r="N258" i="5"/>
  <c r="E253" i="5" s="1"/>
  <c r="E258" i="5" s="1"/>
  <c r="K258" i="5"/>
  <c r="H55" i="1"/>
  <c r="H54" i="1"/>
  <c r="H53" i="1"/>
  <c r="H52" i="1"/>
  <c r="H51" i="1"/>
  <c r="H50" i="1"/>
  <c r="I264" i="5" l="1"/>
  <c r="I272" i="5" s="1"/>
  <c r="E260" i="5"/>
  <c r="G34" i="6" l="1"/>
  <c r="H34" i="6"/>
  <c r="G31" i="6"/>
  <c r="H31" i="6" s="1"/>
  <c r="G32" i="6"/>
  <c r="H32" i="6" s="1"/>
  <c r="G33" i="6"/>
  <c r="H33" i="6" s="1"/>
  <c r="G30" i="6"/>
  <c r="H30" i="6" s="1"/>
  <c r="G29" i="6"/>
  <c r="H29" i="6" s="1"/>
  <c r="G28" i="6"/>
  <c r="H28" i="6" s="1"/>
  <c r="G27" i="6"/>
  <c r="H27" i="6" s="1"/>
  <c r="G26" i="6"/>
  <c r="H26" i="6" s="1"/>
  <c r="G25" i="6"/>
  <c r="H25" i="6" s="1"/>
  <c r="G24" i="6"/>
  <c r="G36" i="6" l="1"/>
  <c r="H24" i="6"/>
  <c r="H36" i="6" s="1"/>
  <c r="H39" i="1"/>
  <c r="H38" i="1"/>
  <c r="H37" i="1"/>
  <c r="H36" i="1"/>
  <c r="F234" i="5" l="1"/>
  <c r="F232" i="5" l="1"/>
  <c r="A211" i="5" l="1"/>
  <c r="A212" i="5"/>
  <c r="A213" i="5"/>
  <c r="A214" i="5"/>
  <c r="A215" i="5"/>
  <c r="A216" i="5"/>
  <c r="A217" i="5"/>
  <c r="A218" i="5"/>
  <c r="E234" i="5"/>
  <c r="F233" i="5"/>
  <c r="F231" i="5"/>
  <c r="E231" i="5"/>
  <c r="F230" i="5"/>
  <c r="E230" i="5"/>
  <c r="F228" i="5"/>
  <c r="E227" i="5"/>
  <c r="F236" i="5" l="1"/>
  <c r="E236" i="5"/>
  <c r="G13" i="6"/>
  <c r="H13" i="6" s="1"/>
  <c r="G4" i="6" l="1"/>
  <c r="H4" i="6" s="1"/>
  <c r="G5" i="6"/>
  <c r="H5" i="6" s="1"/>
  <c r="G6" i="6"/>
  <c r="H6" i="6" s="1"/>
  <c r="G7" i="6"/>
  <c r="H7" i="6" s="1"/>
  <c r="G8" i="6"/>
  <c r="H8" i="6" s="1"/>
  <c r="G9" i="6"/>
  <c r="H9" i="6" s="1"/>
  <c r="G10" i="6"/>
  <c r="H10" i="6" s="1"/>
  <c r="G11" i="6"/>
  <c r="H11" i="6" s="1"/>
  <c r="G12" i="6"/>
  <c r="H12" i="6" s="1"/>
  <c r="G15" i="6" l="1"/>
  <c r="H15" i="6"/>
  <c r="N220" i="5"/>
  <c r="K218" i="5"/>
  <c r="N209" i="5"/>
  <c r="N210" i="5"/>
  <c r="N208" i="5"/>
  <c r="J212" i="5"/>
  <c r="J213" i="5"/>
  <c r="J214" i="5"/>
  <c r="J215" i="5"/>
  <c r="J216" i="5"/>
  <c r="J217" i="5"/>
  <c r="J218" i="5"/>
  <c r="N219" i="5"/>
  <c r="L218" i="5"/>
  <c r="L217" i="5"/>
  <c r="L216" i="5"/>
  <c r="L215" i="5"/>
  <c r="L214" i="5"/>
  <c r="L213" i="5"/>
  <c r="L212" i="5"/>
  <c r="L211" i="5"/>
  <c r="J211" i="5"/>
  <c r="L219" i="5"/>
  <c r="L220" i="5"/>
  <c r="L210" i="5"/>
  <c r="L209" i="5"/>
  <c r="L208" i="5"/>
  <c r="A209" i="5"/>
  <c r="A210" i="5"/>
  <c r="A208" i="5"/>
  <c r="A47" i="1"/>
  <c r="H47" i="1"/>
  <c r="A48" i="1"/>
  <c r="H48" i="1"/>
  <c r="A49" i="1"/>
  <c r="H49" i="1"/>
  <c r="A50" i="1"/>
  <c r="A51" i="1"/>
  <c r="A52" i="1"/>
  <c r="A53" i="1"/>
  <c r="H61" i="1"/>
  <c r="N218" i="5" l="1"/>
  <c r="N211" i="5"/>
  <c r="N215" i="5"/>
  <c r="N214" i="5"/>
  <c r="N217" i="5"/>
  <c r="N213" i="5"/>
  <c r="N216" i="5"/>
  <c r="N212" i="5"/>
  <c r="A36" i="1"/>
  <c r="A37" i="1"/>
  <c r="A38" i="1"/>
  <c r="A39" i="1"/>
  <c r="A40" i="1"/>
  <c r="A41" i="1"/>
  <c r="A42" i="1"/>
  <c r="A43" i="1"/>
  <c r="A44" i="1"/>
  <c r="A45" i="1"/>
  <c r="A46" i="1"/>
  <c r="H43" i="1"/>
  <c r="H42" i="1"/>
  <c r="H41" i="1"/>
  <c r="H40" i="1"/>
  <c r="H35" i="1"/>
  <c r="H34" i="1"/>
  <c r="H33" i="1"/>
  <c r="F181" i="5" l="1"/>
  <c r="E166" i="5"/>
  <c r="E165" i="5"/>
  <c r="E164" i="5"/>
  <c r="A165" i="5"/>
  <c r="A166" i="5"/>
  <c r="A167" i="5"/>
  <c r="I194" i="5"/>
  <c r="F196" i="5"/>
  <c r="F191" i="5"/>
  <c r="E197" i="5" l="1"/>
  <c r="F195" i="5"/>
  <c r="E195" i="5"/>
  <c r="F194" i="5"/>
  <c r="E194" i="5"/>
  <c r="E189" i="5"/>
  <c r="A154" i="5"/>
  <c r="A155" i="5"/>
  <c r="A156" i="5"/>
  <c r="A157" i="5"/>
  <c r="A158" i="5"/>
  <c r="A159" i="5"/>
  <c r="A160" i="5"/>
  <c r="A161" i="5"/>
  <c r="A162" i="5"/>
  <c r="A163" i="5"/>
  <c r="A164" i="5"/>
  <c r="A153" i="5"/>
  <c r="K171" i="5"/>
  <c r="J171" i="5"/>
  <c r="J170" i="5"/>
  <c r="J169" i="5"/>
  <c r="J168" i="5"/>
  <c r="J167" i="5"/>
  <c r="J166" i="5"/>
  <c r="J165" i="5"/>
  <c r="J164" i="5"/>
  <c r="F199" i="5" l="1"/>
  <c r="L165" i="5"/>
  <c r="N165" i="5" s="1"/>
  <c r="L166" i="5"/>
  <c r="N166" i="5" s="1"/>
  <c r="L167" i="5"/>
  <c r="N167" i="5" s="1"/>
  <c r="L168" i="5"/>
  <c r="N168" i="5" s="1"/>
  <c r="L169" i="5"/>
  <c r="N169" i="5" s="1"/>
  <c r="L170" i="5"/>
  <c r="N170" i="5" s="1"/>
  <c r="L171" i="5"/>
  <c r="N171" i="5" s="1"/>
  <c r="H32" i="1"/>
  <c r="H44" i="1"/>
  <c r="H45" i="1"/>
  <c r="H46" i="1"/>
  <c r="A32" i="1"/>
  <c r="A33" i="1"/>
  <c r="A34" i="1"/>
  <c r="A35" i="1"/>
  <c r="D157" i="5" l="1"/>
  <c r="L164" i="5"/>
  <c r="N164" i="5" s="1"/>
  <c r="E217" i="5"/>
  <c r="E216" i="5"/>
  <c r="E215" i="5"/>
  <c r="K222" i="5"/>
  <c r="E214" i="5"/>
  <c r="E213" i="5"/>
  <c r="E212" i="5"/>
  <c r="E211" i="5"/>
  <c r="E210" i="5"/>
  <c r="E209" i="5"/>
  <c r="E208" i="5"/>
  <c r="K159" i="5"/>
  <c r="L159" i="5" s="1"/>
  <c r="L163" i="5"/>
  <c r="J163" i="5"/>
  <c r="L162" i="5"/>
  <c r="J162" i="5"/>
  <c r="N162" i="5" s="1"/>
  <c r="L161" i="5"/>
  <c r="J161" i="5"/>
  <c r="L160" i="5"/>
  <c r="J160" i="5"/>
  <c r="N160" i="5" s="1"/>
  <c r="J159" i="5"/>
  <c r="N161" i="5" l="1"/>
  <c r="N163" i="5"/>
  <c r="N159" i="5"/>
  <c r="L222" i="5"/>
  <c r="N222" i="5"/>
  <c r="E218" i="5" s="1"/>
  <c r="E222" i="5" s="1"/>
  <c r="K122" i="5"/>
  <c r="I184" i="5"/>
  <c r="E182" i="5"/>
  <c r="E181" i="5"/>
  <c r="F180" i="5"/>
  <c r="E180" i="5"/>
  <c r="E178" i="5"/>
  <c r="E224" i="5" l="1"/>
  <c r="I229" i="5"/>
  <c r="I236" i="5" s="1"/>
  <c r="E184" i="5"/>
  <c r="F184" i="5"/>
  <c r="H31" i="1"/>
  <c r="H30" i="1"/>
  <c r="H29" i="1"/>
  <c r="H28" i="1"/>
  <c r="H27" i="1"/>
  <c r="H26" i="1"/>
  <c r="H25" i="1"/>
  <c r="H24" i="1"/>
  <c r="I186" i="5" l="1"/>
  <c r="E190" i="5"/>
  <c r="E199" i="5" s="1"/>
  <c r="I147" i="5"/>
  <c r="E145" i="5"/>
  <c r="F144" i="5"/>
  <c r="E144" i="5"/>
  <c r="F143" i="5"/>
  <c r="E143" i="5"/>
  <c r="F142" i="5"/>
  <c r="E142" i="5"/>
  <c r="E140" i="5"/>
  <c r="E147" i="5" l="1"/>
  <c r="D112" i="5"/>
  <c r="J115" i="5"/>
  <c r="J116" i="5"/>
  <c r="J117" i="5"/>
  <c r="J118" i="5"/>
  <c r="L118" i="5"/>
  <c r="J119" i="5"/>
  <c r="L119" i="5"/>
  <c r="J120" i="5"/>
  <c r="N120" i="5" s="1"/>
  <c r="L120" i="5"/>
  <c r="J121" i="5"/>
  <c r="L121" i="5"/>
  <c r="J122" i="5"/>
  <c r="L122" i="5"/>
  <c r="L117" i="5"/>
  <c r="L158" i="5"/>
  <c r="J158" i="5"/>
  <c r="L157" i="5"/>
  <c r="J157" i="5"/>
  <c r="L156" i="5"/>
  <c r="J156" i="5"/>
  <c r="N156" i="5" s="1"/>
  <c r="L155" i="5"/>
  <c r="J155" i="5"/>
  <c r="L154" i="5"/>
  <c r="J154" i="5"/>
  <c r="L153" i="5"/>
  <c r="J153" i="5"/>
  <c r="L116" i="5"/>
  <c r="L115" i="5"/>
  <c r="J113" i="5"/>
  <c r="J114" i="5"/>
  <c r="J112" i="5"/>
  <c r="C108" i="5"/>
  <c r="K111" i="5"/>
  <c r="L114" i="5"/>
  <c r="L113" i="5"/>
  <c r="L112" i="5"/>
  <c r="K173" i="5"/>
  <c r="E163" i="5"/>
  <c r="E162" i="5"/>
  <c r="E161" i="5"/>
  <c r="D160" i="5"/>
  <c r="E160" i="5" s="1"/>
  <c r="E159" i="5"/>
  <c r="E158" i="5"/>
  <c r="E157" i="5"/>
  <c r="E156" i="5"/>
  <c r="E155" i="5"/>
  <c r="E154" i="5"/>
  <c r="E153" i="5"/>
  <c r="D115" i="5"/>
  <c r="F132" i="5"/>
  <c r="N154" i="5" l="1"/>
  <c r="N158" i="5"/>
  <c r="N155" i="5"/>
  <c r="N157" i="5"/>
  <c r="N153" i="5"/>
  <c r="N121" i="5"/>
  <c r="N119" i="5"/>
  <c r="N114" i="5"/>
  <c r="N112" i="5"/>
  <c r="N122" i="5"/>
  <c r="N118" i="5"/>
  <c r="N113" i="5"/>
  <c r="N117" i="5"/>
  <c r="N116" i="5"/>
  <c r="N115" i="5"/>
  <c r="L173" i="5"/>
  <c r="N173" i="5" l="1"/>
  <c r="F100" i="5"/>
  <c r="E167" i="5" l="1"/>
  <c r="E173" i="5" s="1"/>
  <c r="F130" i="5"/>
  <c r="E135" i="5"/>
  <c r="F134" i="5"/>
  <c r="E134" i="5"/>
  <c r="F133" i="5"/>
  <c r="E133" i="5"/>
  <c r="E132" i="5"/>
  <c r="E129" i="5"/>
  <c r="I192" i="5" l="1"/>
  <c r="E175" i="5"/>
  <c r="E137" i="5"/>
  <c r="L31" i="2"/>
  <c r="K31" i="2"/>
  <c r="E95" i="5" l="1"/>
  <c r="I98" i="5"/>
  <c r="I100" i="5" s="1"/>
  <c r="E97" i="5"/>
  <c r="A59" i="5" l="1"/>
  <c r="A60" i="5"/>
  <c r="A61" i="5"/>
  <c r="A62" i="5"/>
  <c r="A63" i="5"/>
  <c r="A64" i="5"/>
  <c r="A65" i="5"/>
  <c r="A66" i="5"/>
  <c r="A67" i="5"/>
  <c r="A68" i="5"/>
  <c r="A69" i="5"/>
  <c r="A70" i="5"/>
  <c r="A58" i="5"/>
  <c r="E98" i="5"/>
  <c r="E96" i="5"/>
  <c r="E93" i="5"/>
  <c r="E100" i="5" l="1"/>
  <c r="F87" i="5" l="1"/>
  <c r="A27" i="1" l="1"/>
  <c r="A26" i="1"/>
  <c r="H23" i="1"/>
  <c r="A23" i="1"/>
  <c r="H22" i="1"/>
  <c r="A22" i="1"/>
  <c r="H21" i="1"/>
  <c r="A21" i="1"/>
  <c r="H20" i="1"/>
  <c r="A20" i="1"/>
  <c r="A31" i="1"/>
  <c r="A30" i="1"/>
  <c r="A29" i="1"/>
  <c r="A28" i="1"/>
  <c r="E87" i="5" l="1"/>
  <c r="E88" i="5"/>
  <c r="E86" i="5"/>
  <c r="E25" i="5"/>
  <c r="L111" i="5"/>
  <c r="J111" i="5"/>
  <c r="L110" i="5"/>
  <c r="J110" i="5"/>
  <c r="L109" i="5"/>
  <c r="J109" i="5"/>
  <c r="L108" i="5"/>
  <c r="J108" i="5"/>
  <c r="K70" i="5"/>
  <c r="L70" i="5" s="1"/>
  <c r="J70" i="5"/>
  <c r="L69" i="5"/>
  <c r="J69" i="5"/>
  <c r="K68" i="5"/>
  <c r="L68" i="5" s="1"/>
  <c r="J68" i="5"/>
  <c r="L67" i="5"/>
  <c r="J67" i="5"/>
  <c r="L66" i="5"/>
  <c r="J66" i="5"/>
  <c r="L65" i="5"/>
  <c r="J65" i="5"/>
  <c r="L64" i="5"/>
  <c r="J64" i="5"/>
  <c r="K63" i="5"/>
  <c r="C58" i="5"/>
  <c r="N108" i="5" l="1"/>
  <c r="N110" i="5"/>
  <c r="N109" i="5"/>
  <c r="N111" i="5"/>
  <c r="N64" i="5"/>
  <c r="N65" i="5"/>
  <c r="N67" i="5"/>
  <c r="N69" i="5"/>
  <c r="E90" i="5"/>
  <c r="N70" i="5"/>
  <c r="N66" i="5"/>
  <c r="N68" i="5"/>
  <c r="J25" i="5"/>
  <c r="J26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9" i="5"/>
  <c r="J60" i="5"/>
  <c r="J61" i="5"/>
  <c r="J62" i="5"/>
  <c r="J63" i="5"/>
  <c r="J58" i="5"/>
  <c r="J35" i="5"/>
  <c r="J24" i="5"/>
  <c r="J5" i="5"/>
  <c r="N5" i="5" s="1"/>
  <c r="J6" i="5"/>
  <c r="N6" i="5" s="1"/>
  <c r="J7" i="5"/>
  <c r="N7" i="5" s="1"/>
  <c r="J8" i="5"/>
  <c r="N8" i="5" s="1"/>
  <c r="J9" i="5"/>
  <c r="N9" i="5" s="1"/>
  <c r="J10" i="5"/>
  <c r="N10" i="5" s="1"/>
  <c r="J11" i="5"/>
  <c r="N11" i="5" s="1"/>
  <c r="J12" i="5"/>
  <c r="N12" i="5" s="1"/>
  <c r="J13" i="5"/>
  <c r="N13" i="5" s="1"/>
  <c r="J14" i="5"/>
  <c r="N14" i="5" s="1"/>
  <c r="J15" i="5"/>
  <c r="N15" i="5" s="1"/>
  <c r="J4" i="5"/>
  <c r="N4" i="5" s="1"/>
  <c r="K17" i="5"/>
  <c r="L9" i="5"/>
  <c r="L8" i="5"/>
  <c r="L7" i="5"/>
  <c r="L6" i="5"/>
  <c r="L5" i="5"/>
  <c r="L4" i="5"/>
  <c r="L17" i="5" l="1"/>
  <c r="N17" i="5" l="1"/>
  <c r="A109" i="5" l="1"/>
  <c r="A110" i="5"/>
  <c r="A111" i="5"/>
  <c r="A112" i="5"/>
  <c r="A113" i="5"/>
  <c r="A114" i="5"/>
  <c r="A115" i="5"/>
  <c r="A116" i="5"/>
  <c r="A117" i="5"/>
  <c r="A118" i="5"/>
  <c r="A119" i="5"/>
  <c r="A108" i="5"/>
  <c r="A36" i="5"/>
  <c r="A37" i="5"/>
  <c r="A38" i="5"/>
  <c r="A39" i="5"/>
  <c r="A40" i="5"/>
  <c r="A41" i="5"/>
  <c r="A42" i="5"/>
  <c r="A43" i="5"/>
  <c r="A44" i="5"/>
  <c r="A45" i="5"/>
  <c r="A46" i="5"/>
  <c r="A35" i="5"/>
  <c r="K124" i="5"/>
  <c r="K58" i="5"/>
  <c r="K73" i="5" s="1"/>
  <c r="L49" i="5"/>
  <c r="N49" i="5" s="1"/>
  <c r="L48" i="5"/>
  <c r="N48" i="5" s="1"/>
  <c r="L47" i="5"/>
  <c r="N47" i="5" s="1"/>
  <c r="L46" i="5"/>
  <c r="N46" i="5" s="1"/>
  <c r="L45" i="5"/>
  <c r="N45" i="5" s="1"/>
  <c r="E118" i="5" l="1"/>
  <c r="E117" i="5"/>
  <c r="E116" i="5"/>
  <c r="E115" i="5"/>
  <c r="E114" i="5"/>
  <c r="E113" i="5"/>
  <c r="E112" i="5"/>
  <c r="E111" i="5"/>
  <c r="E110" i="5"/>
  <c r="E109" i="5"/>
  <c r="E108" i="5"/>
  <c r="L40" i="5"/>
  <c r="N40" i="5" s="1"/>
  <c r="L39" i="5"/>
  <c r="N39" i="5" s="1"/>
  <c r="L38" i="5"/>
  <c r="N38" i="5" s="1"/>
  <c r="L37" i="5"/>
  <c r="N37" i="5" s="1"/>
  <c r="L36" i="5"/>
  <c r="N36" i="5" s="1"/>
  <c r="L35" i="5"/>
  <c r="N35" i="5" s="1"/>
  <c r="L41" i="5"/>
  <c r="N41" i="5" s="1"/>
  <c r="L42" i="5"/>
  <c r="N42" i="5" s="1"/>
  <c r="L43" i="5"/>
  <c r="N43" i="5" s="1"/>
  <c r="L44" i="5"/>
  <c r="N44" i="5" s="1"/>
  <c r="L26" i="5"/>
  <c r="N26" i="5" s="1"/>
  <c r="L25" i="5"/>
  <c r="N25" i="5" s="1"/>
  <c r="K24" i="5"/>
  <c r="L24" i="5" s="1"/>
  <c r="N24" i="5" s="1"/>
  <c r="L58" i="5"/>
  <c r="E68" i="5"/>
  <c r="E67" i="5"/>
  <c r="E66" i="5"/>
  <c r="D65" i="5"/>
  <c r="E65" i="5" s="1"/>
  <c r="E64" i="5"/>
  <c r="L63" i="5"/>
  <c r="N63" i="5" s="1"/>
  <c r="E63" i="5"/>
  <c r="L62" i="5"/>
  <c r="N62" i="5" s="1"/>
  <c r="E62" i="5"/>
  <c r="L61" i="5"/>
  <c r="N61" i="5" s="1"/>
  <c r="E61" i="5"/>
  <c r="L60" i="5"/>
  <c r="N60" i="5" s="1"/>
  <c r="E60" i="5"/>
  <c r="L59" i="5"/>
  <c r="N59" i="5" s="1"/>
  <c r="E59" i="5"/>
  <c r="E58" i="5"/>
  <c r="K51" i="5"/>
  <c r="A25" i="5"/>
  <c r="A26" i="5"/>
  <c r="A24" i="5"/>
  <c r="K28" i="5" l="1"/>
  <c r="N58" i="5"/>
  <c r="N73" i="5" s="1"/>
  <c r="L73" i="5"/>
  <c r="L28" i="5"/>
  <c r="C24" i="5" s="1"/>
  <c r="E24" i="5" s="1"/>
  <c r="L51" i="5"/>
  <c r="A6" i="5"/>
  <c r="A7" i="5"/>
  <c r="A8" i="5"/>
  <c r="A9" i="5"/>
  <c r="A10" i="5"/>
  <c r="A11" i="5"/>
  <c r="A12" i="5"/>
  <c r="A13" i="5"/>
  <c r="A14" i="5"/>
  <c r="A15" i="5"/>
  <c r="E44" i="5"/>
  <c r="E13" i="5"/>
  <c r="E14" i="5"/>
  <c r="E15" i="5"/>
  <c r="C35" i="5"/>
  <c r="E35" i="5" s="1"/>
  <c r="E45" i="5"/>
  <c r="E43" i="5"/>
  <c r="D42" i="5"/>
  <c r="E42" i="5" s="1"/>
  <c r="E41" i="5"/>
  <c r="E40" i="5"/>
  <c r="E39" i="5"/>
  <c r="E38" i="5"/>
  <c r="E37" i="5"/>
  <c r="E36" i="5"/>
  <c r="D12" i="5"/>
  <c r="E12" i="5" s="1"/>
  <c r="E11" i="5"/>
  <c r="E10" i="5"/>
  <c r="E9" i="5"/>
  <c r="E8" i="5"/>
  <c r="E7" i="5"/>
  <c r="E6" i="5"/>
  <c r="E5" i="5"/>
  <c r="A5" i="5"/>
  <c r="E4" i="5"/>
  <c r="A4" i="5"/>
  <c r="N124" i="5" l="1"/>
  <c r="L124" i="5"/>
  <c r="N28" i="5"/>
  <c r="E69" i="5"/>
  <c r="E73" i="5" s="1"/>
  <c r="N51" i="5"/>
  <c r="E46" i="5" s="1"/>
  <c r="E51" i="5" s="1"/>
  <c r="E17" i="5"/>
  <c r="E119" i="5" l="1"/>
  <c r="E124" i="5" s="1"/>
  <c r="E19" i="5"/>
  <c r="E78" i="5"/>
  <c r="E53" i="5"/>
  <c r="E80" i="5"/>
  <c r="E75" i="5"/>
  <c r="E81" i="5"/>
  <c r="E26" i="5"/>
  <c r="E28" i="5" s="1"/>
  <c r="H17" i="1"/>
  <c r="H16" i="1"/>
  <c r="H15" i="1"/>
  <c r="H14" i="1"/>
  <c r="H13" i="1"/>
  <c r="H12" i="1"/>
  <c r="E126" i="5" l="1"/>
  <c r="E30" i="5"/>
  <c r="E79" i="5"/>
  <c r="E83" i="5" s="1"/>
  <c r="I84" i="5" s="1"/>
  <c r="F41" i="2"/>
  <c r="E40" i="2"/>
  <c r="E39" i="2"/>
  <c r="E38" i="2"/>
  <c r="E37" i="2"/>
  <c r="N30" i="2"/>
  <c r="J29" i="2"/>
  <c r="N29" i="2" s="1"/>
  <c r="J28" i="2"/>
  <c r="N28" i="2" s="1"/>
  <c r="J27" i="2"/>
  <c r="N27" i="2" s="1"/>
  <c r="J26" i="2"/>
  <c r="N26" i="2" s="1"/>
  <c r="E26" i="2"/>
  <c r="J25" i="2"/>
  <c r="N25" i="2" s="1"/>
  <c r="D25" i="2"/>
  <c r="E25" i="2" s="1"/>
  <c r="A25" i="2"/>
  <c r="J24" i="2"/>
  <c r="N24" i="2" s="1"/>
  <c r="E24" i="2"/>
  <c r="A24" i="2"/>
  <c r="J23" i="2"/>
  <c r="N23" i="2" s="1"/>
  <c r="E23" i="2"/>
  <c r="A23" i="2"/>
  <c r="J22" i="2"/>
  <c r="N22" i="2" s="1"/>
  <c r="E22" i="2"/>
  <c r="A22" i="2"/>
  <c r="J21" i="2"/>
  <c r="N21" i="2" s="1"/>
  <c r="E21" i="2"/>
  <c r="A21" i="2"/>
  <c r="J20" i="2"/>
  <c r="N20" i="2" s="1"/>
  <c r="E20" i="2"/>
  <c r="A20" i="2"/>
  <c r="J19" i="2"/>
  <c r="N19" i="2" s="1"/>
  <c r="E19" i="2"/>
  <c r="A19" i="2"/>
  <c r="J18" i="2"/>
  <c r="N18" i="2" s="1"/>
  <c r="C18" i="2"/>
  <c r="E18" i="2" s="1"/>
  <c r="A18" i="2"/>
  <c r="F15" i="2"/>
  <c r="C15" i="2"/>
  <c r="E11" i="2"/>
  <c r="E10" i="2"/>
  <c r="F9" i="2"/>
  <c r="C36" i="2" s="1"/>
  <c r="E36" i="2" s="1"/>
  <c r="C9" i="2"/>
  <c r="E5" i="2"/>
  <c r="E9" i="2" s="1"/>
  <c r="K91" i="1"/>
  <c r="F91" i="1"/>
  <c r="H89" i="1"/>
  <c r="H19" i="1"/>
  <c r="A19" i="1"/>
  <c r="H18" i="1"/>
  <c r="A18" i="1"/>
  <c r="H11" i="1"/>
  <c r="A11" i="1"/>
  <c r="H10" i="1"/>
  <c r="A10" i="1"/>
  <c r="H9" i="1"/>
  <c r="A9" i="1"/>
  <c r="H8" i="1"/>
  <c r="A8" i="1"/>
  <c r="H7" i="1"/>
  <c r="A7" i="1"/>
  <c r="H6" i="1"/>
  <c r="A6" i="1"/>
  <c r="H5" i="1"/>
  <c r="A5" i="1"/>
  <c r="H4" i="1"/>
  <c r="A4" i="1"/>
  <c r="F88" i="5" l="1"/>
  <c r="I88" i="5" s="1"/>
  <c r="E15" i="2"/>
  <c r="E41" i="2"/>
  <c r="F43" i="2" s="1"/>
  <c r="H91" i="1"/>
  <c r="N31" i="2"/>
  <c r="E28" i="2" s="1"/>
  <c r="C27" i="2"/>
  <c r="E27" i="2" s="1"/>
  <c r="F90" i="5" l="1"/>
  <c r="I90" i="5"/>
  <c r="E31" i="2"/>
  <c r="E33" i="2" s="1"/>
  <c r="I137" i="5" l="1"/>
  <c r="F137" i="5" l="1"/>
  <c r="F147" i="5"/>
  <c r="I199" i="5"/>
</calcChain>
</file>

<file path=xl/sharedStrings.xml><?xml version="1.0" encoding="utf-8"?>
<sst xmlns="http://schemas.openxmlformats.org/spreadsheetml/2006/main" count="1013" uniqueCount="332">
  <si>
    <t>THEO DÕI HÀNG XUẤT TRUNG QUỐC</t>
  </si>
  <si>
    <t>STT</t>
  </si>
  <si>
    <t>NGÀY XUẤT</t>
  </si>
  <si>
    <t>THÔNG TIN TÀU</t>
  </si>
  <si>
    <t>THÔNG TIN HÀNG</t>
  </si>
  <si>
    <t>NGÀY TÀU ĐẾN</t>
  </si>
  <si>
    <t>THANH TOÁN</t>
  </si>
  <si>
    <t>TÊN TÀU</t>
  </si>
  <si>
    <t>SỐ CONT</t>
  </si>
  <si>
    <t>SỐ SEAL</t>
  </si>
  <si>
    <t>SỐ LƯỢNG</t>
  </si>
  <si>
    <t>ĐƠN GIÁ</t>
  </si>
  <si>
    <t>THÀNH TIỀN</t>
  </si>
  <si>
    <t>NGÀY TT</t>
  </si>
  <si>
    <t>SỐ TIỀN</t>
  </si>
  <si>
    <t>BOMAR HANBURG V.1606 N</t>
  </si>
  <si>
    <t>TCLU1061797</t>
  </si>
  <si>
    <t>DFOU6114545</t>
  </si>
  <si>
    <t>DELOS WAVE V.1607N</t>
  </si>
  <si>
    <t>TRIU8795930</t>
  </si>
  <si>
    <t>TGHU9974981</t>
  </si>
  <si>
    <t>PHILIPPOS - MICHALIS/21N</t>
  </si>
  <si>
    <t>ZCSU5973547</t>
  </si>
  <si>
    <t>ZCSU5131045</t>
  </si>
  <si>
    <t>TỔNG CỘNG</t>
  </si>
  <si>
    <t>CHI PHÍ XUAÁT HAØNG - CAÙ CÔM - SHOUSHAN (Cont 1,2,3,4 - 05&amp;12/08/16)</t>
  </si>
  <si>
    <t>NỘI DUNG</t>
  </si>
  <si>
    <t>THÀNH TIỀN USD</t>
  </si>
  <si>
    <t>TỜ KHAI (lần 1): 05/08/16</t>
  </si>
  <si>
    <t>Cá cơm khô</t>
  </si>
  <si>
    <t>THANH TOÁN:</t>
  </si>
  <si>
    <t>14/09/16 Chuyển NH</t>
  </si>
  <si>
    <t>TỔNG</t>
  </si>
  <si>
    <t>TỜ KHAI (lần 2): 12/08/16</t>
  </si>
  <si>
    <t>Phí lưu kho:</t>
  </si>
  <si>
    <t>Ngày nhập</t>
  </si>
  <si>
    <t>Ngày xuất</t>
  </si>
  <si>
    <t>Số ngày LK</t>
  </si>
  <si>
    <t>SL</t>
  </si>
  <si>
    <t>ĐƠN GIÁ tấn/ngày</t>
  </si>
  <si>
    <t>Tiền Code AL</t>
  </si>
  <si>
    <t>Cá cơm</t>
  </si>
  <si>
    <t>Phí kiểm hàng (kiểm nghiệm Nafi)</t>
  </si>
  <si>
    <t>Phí chiếu xạ, hàng mẫu</t>
  </si>
  <si>
    <t>Phí cấp Health &amp; CO</t>
  </si>
  <si>
    <t>Tiền tàu (container : 680USD)</t>
  </si>
  <si>
    <t>Phí Chứng từ (Bill,THC,Seal)</t>
  </si>
  <si>
    <t>Phí xe kéo cont nội địa (nâng hạ)</t>
  </si>
  <si>
    <t>Phí chuyển Bill Surrender</t>
  </si>
  <si>
    <t>Phí gửi bộ chứng từ qua Trung Quốc</t>
  </si>
  <si>
    <t>Phí bốc xếp</t>
  </si>
  <si>
    <t>Phi lưu kho</t>
  </si>
  <si>
    <t>Phí chuyển tiền ngân hàng 14/09/16</t>
  </si>
  <si>
    <t>TỔNG CỘNG CHI PHÍ</t>
  </si>
  <si>
    <t>VNĐ/Kg =</t>
  </si>
  <si>
    <t>TIỀN (USD)</t>
  </si>
  <si>
    <t>TỶ GIÁ</t>
  </si>
  <si>
    <t>CHUYỀN KHOẢN</t>
  </si>
  <si>
    <t>Tiền hàng</t>
  </si>
  <si>
    <t>Bùi Thị Diện</t>
  </si>
  <si>
    <t>Nguyễn Đình Nguyên</t>
  </si>
  <si>
    <t>Hồ Thiên Trang</t>
  </si>
  <si>
    <t>TỔNG CỘNG:</t>
  </si>
  <si>
    <t>CÒN LẠI CHI PHÍ:</t>
  </si>
  <si>
    <t>ZGLV143938</t>
  </si>
  <si>
    <t>ZGLV141257</t>
  </si>
  <si>
    <t>SITC GUANGDONG V.1619N</t>
  </si>
  <si>
    <t>SEGU9328936</t>
  </si>
  <si>
    <t>SEGU9359310</t>
  </si>
  <si>
    <t>SITB507533</t>
  </si>
  <si>
    <t>SITB507572</t>
  </si>
  <si>
    <t>IRENES RESPECT V.1609N</t>
  </si>
  <si>
    <t>TEMU9320269</t>
  </si>
  <si>
    <t>SZLU9682820</t>
  </si>
  <si>
    <t>CBHU2825846</t>
  </si>
  <si>
    <t>SXRU1634108</t>
  </si>
  <si>
    <t>ZCSU5968828</t>
  </si>
  <si>
    <t>ZCSU5826783</t>
  </si>
  <si>
    <t>A-174340</t>
  </si>
  <si>
    <t>A-174266</t>
  </si>
  <si>
    <t>Tiền tàu (container : 750USD)</t>
  </si>
  <si>
    <t>Phí xe kéo cont nâng hạ (Bình Thuận)</t>
  </si>
  <si>
    <t>CHI PHÍ XUAÁT HAØNG - CAÙ CÔM - SHOUSHAN (Cont 5,6 - 19/10/16)</t>
  </si>
  <si>
    <t>CHI PHÍ XUAÁT HAØNG - CAÙ CÔM - SHOUSHAN (Cont 7,8,9,10,11,12 - 31/10/16 &amp; 04/11/16)</t>
  </si>
  <si>
    <t>Dán ticker, xếp lên cont</t>
  </si>
  <si>
    <t>Bình Thuận</t>
  </si>
  <si>
    <t>Toàn Phát</t>
  </si>
  <si>
    <t>GHI CHÚ</t>
  </si>
  <si>
    <t>SỐ THÙNG</t>
  </si>
  <si>
    <t>94C-00277</t>
  </si>
  <si>
    <t>69L-6793</t>
  </si>
  <si>
    <t>69C-02647</t>
  </si>
  <si>
    <t>69C-02782</t>
  </si>
  <si>
    <t>69C-00752</t>
  </si>
  <si>
    <t>51C-75246</t>
  </si>
  <si>
    <t>69C-02297</t>
  </si>
  <si>
    <t>69C-00957</t>
  </si>
  <si>
    <t>69L-6765</t>
  </si>
  <si>
    <t>69C-01442</t>
  </si>
  <si>
    <t>69C-01528</t>
  </si>
  <si>
    <t>67C-01213</t>
  </si>
  <si>
    <t>60C-27648</t>
  </si>
  <si>
    <t>CHI PHÍ XUAÁT HAØNG - CAÙ CÔM - SHOUSHAN (Cont đi xe - 31/10/16)</t>
  </si>
  <si>
    <t>69C-00897</t>
  </si>
  <si>
    <t>36C-12732</t>
  </si>
  <si>
    <t>67L-4549</t>
  </si>
  <si>
    <t>69C-01066</t>
  </si>
  <si>
    <t>69C-6793</t>
  </si>
  <si>
    <t>DIỄN GIẢI</t>
  </si>
  <si>
    <t>51C-70788</t>
  </si>
  <si>
    <t>Kho Toàn Phát (10T)</t>
  </si>
  <si>
    <t>ĐG tấn/ngày</t>
  </si>
  <si>
    <t>Phí xe kéo cont nâng hạ (Toàn Phát)</t>
  </si>
  <si>
    <t>An Lạc</t>
  </si>
  <si>
    <t>CHI PHÍ XUAÁT HAØNG - CAÙ CÔM - SHOUSHAN (Cont 13,14,15,16 - 08,10&amp;11/11/16)</t>
  </si>
  <si>
    <t>Phơi lại kiểm Nafi (13T)</t>
  </si>
  <si>
    <t>Kiểm Nafi</t>
  </si>
  <si>
    <t>Tiền hàng 11/11/16</t>
  </si>
  <si>
    <t>Chi phí xuất hàng  (Cont 5,6 - 19/10/16)</t>
  </si>
  <si>
    <t>Chi phí xuất hàng (Cont đi xe - 31/10/16)</t>
  </si>
  <si>
    <t>Chi phí xuất hàng (Cont 7,8,9,10,11,12 - 31/10/16 &amp; 04/11/16)</t>
  </si>
  <si>
    <t>Chi phí xuất hàng (Cont 13,14,15,16 - 08,10&amp;11/11/16)</t>
  </si>
  <si>
    <t>PHÍ CHUYỂN TIỀN</t>
  </si>
  <si>
    <t>Trả lại (04/11/16)</t>
  </si>
  <si>
    <t>69C-02742</t>
  </si>
  <si>
    <t>51C-60420</t>
  </si>
  <si>
    <t>64C-03511</t>
  </si>
  <si>
    <t>xếp lên cont, mặt bằng</t>
  </si>
  <si>
    <t>Phí báo có tiền về ngân hàng</t>
  </si>
  <si>
    <t>69C-02564</t>
  </si>
  <si>
    <t>64C-02737</t>
  </si>
  <si>
    <t>64C-01518</t>
  </si>
  <si>
    <t>64C-02411</t>
  </si>
  <si>
    <t>Trả lại</t>
  </si>
  <si>
    <t>Tiền hàng 15/11/16</t>
  </si>
  <si>
    <t>Phí rút tiền, chuyển khoản</t>
  </si>
  <si>
    <t>Nguyễn Văn Quốc</t>
  </si>
  <si>
    <t>CXRU1370962</t>
  </si>
  <si>
    <t>TTNU8197846</t>
  </si>
  <si>
    <t>TRTU8199653</t>
  </si>
  <si>
    <t>JXLU5823167</t>
  </si>
  <si>
    <t>ZGL-V149756</t>
  </si>
  <si>
    <t>ZGL-V149757</t>
  </si>
  <si>
    <t>CXRU1486417</t>
  </si>
  <si>
    <t>TCLU1062134</t>
  </si>
  <si>
    <t>DELOS WAVE V.1610N</t>
  </si>
  <si>
    <t>Tiền hàng 22/11/16</t>
  </si>
  <si>
    <t>DNTN Hải Sản Kim Châu</t>
  </si>
  <si>
    <t>Phí tính dư lần trước 15/11/16</t>
  </si>
  <si>
    <t>60C-07761</t>
  </si>
  <si>
    <t>51C-09189</t>
  </si>
  <si>
    <t>60C-27791</t>
  </si>
  <si>
    <t>CHI PHÍ XUAÁT HAØNG - CAÙ CÔM - SHOUSHAN (Cont 17,18,19,20,21,22,23,24 - 16,17,24&amp;25/11/16)</t>
  </si>
  <si>
    <t>Xuất (A.Mạnh)</t>
  </si>
  <si>
    <t>Thái Tuyết Xương</t>
  </si>
  <si>
    <t>Nguyễn Văn Minh Trí</t>
  </si>
  <si>
    <t>Tiền hàng 25/11/16</t>
  </si>
  <si>
    <t>DNTN THỦY ĐỒNG</t>
  </si>
  <si>
    <t>DNTN THỦY SẢN PHƯƠNG MAI</t>
  </si>
  <si>
    <t>BOMAR HAMBURG V.1610N</t>
  </si>
  <si>
    <t>CXRU1491157</t>
  </si>
  <si>
    <t>SZLU9220415</t>
  </si>
  <si>
    <t>CXRU1367969</t>
  </si>
  <si>
    <t>TRIU8696562</t>
  </si>
  <si>
    <t>AA414494</t>
  </si>
  <si>
    <t>AA414410</t>
  </si>
  <si>
    <t>AA414474</t>
  </si>
  <si>
    <t>AA414471</t>
  </si>
  <si>
    <t>An Lạc (LAGI)</t>
  </si>
  <si>
    <t>SAO PAULO V.07/N</t>
  </si>
  <si>
    <t>NORTHERN VIVACITY V.16011N</t>
  </si>
  <si>
    <t>PHILIPPOS - MICHALIS V.22/N</t>
  </si>
  <si>
    <t>PHILIPPOS - MICHALIS V.23/N</t>
  </si>
  <si>
    <t>ZMOU8810620</t>
  </si>
  <si>
    <t>ZMOU8817076</t>
  </si>
  <si>
    <t>ZCSU5827521</t>
  </si>
  <si>
    <t>ZCSU5831291</t>
  </si>
  <si>
    <t>A-153346</t>
  </si>
  <si>
    <t>A-153388</t>
  </si>
  <si>
    <t>A-153334</t>
  </si>
  <si>
    <t>A-153304</t>
  </si>
  <si>
    <t>Tiền hàng 29/11/16</t>
  </si>
  <si>
    <t>86C-02015</t>
  </si>
  <si>
    <t>60C-01696</t>
  </si>
  <si>
    <t>15C-21999</t>
  </si>
  <si>
    <t>64C-02612</t>
  </si>
  <si>
    <t>51C-04055</t>
  </si>
  <si>
    <t>67C-03070</t>
  </si>
  <si>
    <t>69C-01569</t>
  </si>
  <si>
    <t>69C-012165</t>
  </si>
  <si>
    <t xml:space="preserve">Còn lại: </t>
  </si>
  <si>
    <t>69C-02715</t>
  </si>
  <si>
    <t>34C-07657</t>
  </si>
  <si>
    <t>34C-01862</t>
  </si>
  <si>
    <t>17C-07132</t>
  </si>
  <si>
    <t>CHI PHÍ XUAÁT HAØNG - CAÙ CÔM - SHOUSHAN (Cont 25-&gt;28 &amp; 29-&gt;32 - 28 /11 &amp; 02/12/16)</t>
  </si>
  <si>
    <t>Tiền hàng 07/12/16</t>
  </si>
  <si>
    <t>Chi phí xuất hàng (Cont 25-&gt;32)</t>
  </si>
  <si>
    <t>Ứng trước chi phí xuất hàng</t>
  </si>
  <si>
    <t>Tiền hàng 29/11/16 còn lại</t>
  </si>
  <si>
    <t>1T Khô cá chỉ A</t>
  </si>
  <si>
    <t>1T Khô cá chỉ B</t>
  </si>
  <si>
    <t>1T Khô cá ngân A</t>
  </si>
  <si>
    <t>CHI PHÍ XUAÁT HAØNG - CAÙ CÔM - SHOUSHAN (Cont 33-&gt;46  - 7,9&amp;12/12/16)</t>
  </si>
  <si>
    <t>51C-54739</t>
  </si>
  <si>
    <t>51C-79632</t>
  </si>
  <si>
    <t>Kho Toàn Phát (3T-cơm trắng)</t>
  </si>
  <si>
    <t>57L-6009</t>
  </si>
  <si>
    <t>8 Lộc (P.Quốc)</t>
  </si>
  <si>
    <t>XUẤT BỔ SUNG HÓA ĐƠN T11/2016</t>
  </si>
  <si>
    <t>NGÀY HĐ</t>
  </si>
  <si>
    <t>SỐ HĐ</t>
  </si>
  <si>
    <t>NỘI DUNG HĐ</t>
  </si>
  <si>
    <t>TIỀN VAT</t>
  </si>
  <si>
    <t>0000102</t>
  </si>
  <si>
    <t>0000103</t>
  </si>
  <si>
    <t>0000107</t>
  </si>
  <si>
    <t>0000108</t>
  </si>
  <si>
    <t>0000583</t>
  </si>
  <si>
    <t>0000584</t>
  </si>
  <si>
    <t>0000585</t>
  </si>
  <si>
    <t>0000113</t>
  </si>
  <si>
    <t>0000586</t>
  </si>
  <si>
    <t>Thùng carton (50x29,5x19)</t>
  </si>
  <si>
    <t>Thùng carton (50x29,5x19)
Lô hàng ngày 3/11/16</t>
  </si>
  <si>
    <t>Thùng carton (50x29,5x19)
Lô hàng ngày 4/11/16</t>
  </si>
  <si>
    <t>Tên TK: LÊ KIM NGỌC THẢO</t>
  </si>
  <si>
    <t>Số TK: 0501 000 152 179</t>
  </si>
  <si>
    <t>NH Vietcombank - CN Vĩnh Lộc</t>
  </si>
  <si>
    <t>0000563</t>
  </si>
  <si>
    <t>Tiền hàng 13/12/16</t>
  </si>
  <si>
    <t>Chi phí xuất hàng (Cont 33-&gt;46)</t>
  </si>
  <si>
    <t>Trần Cẩm Thi</t>
  </si>
  <si>
    <t>LONG BEACH TRADER V.005E</t>
  </si>
  <si>
    <t>YMLU5294410</t>
  </si>
  <si>
    <t>YMLL856462</t>
  </si>
  <si>
    <t>YMLU5287387</t>
  </si>
  <si>
    <t>YMLL856463</t>
  </si>
  <si>
    <t>YMLU5317007</t>
  </si>
  <si>
    <t>YMLL856461</t>
  </si>
  <si>
    <t>YMLU5282981</t>
  </si>
  <si>
    <t>YMLL856750</t>
  </si>
  <si>
    <t>NORTHERN VIVACITY V.16012N</t>
  </si>
  <si>
    <t>CCLU8591405</t>
  </si>
  <si>
    <t>CCLU8604420</t>
  </si>
  <si>
    <t>CXRU1372034</t>
  </si>
  <si>
    <t>CXRU1595737</t>
  </si>
  <si>
    <t>CCLU8547721</t>
  </si>
  <si>
    <t>CCLU8600929</t>
  </si>
  <si>
    <t>SZLU9681741</t>
  </si>
  <si>
    <t>CBHU2831710</t>
  </si>
  <si>
    <t>TEMU9126037</t>
  </si>
  <si>
    <t>TCLU1118188</t>
  </si>
  <si>
    <t>JXLU5839374</t>
  </si>
  <si>
    <t>ZCSU5860290</t>
  </si>
  <si>
    <t>ZCSU5171135</t>
  </si>
  <si>
    <t>ZCSU5850223</t>
  </si>
  <si>
    <t>BOX ENDEAVOUR V.19/N</t>
  </si>
  <si>
    <t>ZGL-V110986</t>
  </si>
  <si>
    <t>ZGL-V110983</t>
  </si>
  <si>
    <t>ZGL-V110956</t>
  </si>
  <si>
    <t>ZGL-V110987</t>
  </si>
  <si>
    <t>XUẤT BỔ SUNG HÓA ĐƠN 01/12/16  -&gt;  12/12/16</t>
  </si>
  <si>
    <t>0000111</t>
  </si>
  <si>
    <t>0000116</t>
  </si>
  <si>
    <t>0000112</t>
  </si>
  <si>
    <t>0000596</t>
  </si>
  <si>
    <t>0000595</t>
  </si>
  <si>
    <t>0000115</t>
  </si>
  <si>
    <t>0000120</t>
  </si>
  <si>
    <t>0000121</t>
  </si>
  <si>
    <t>0000122</t>
  </si>
  <si>
    <t>0000123</t>
  </si>
  <si>
    <t>0000601</t>
  </si>
  <si>
    <t>TIỀN VAT (10%)</t>
  </si>
  <si>
    <t>CXRU1501002</t>
  </si>
  <si>
    <t>TEMU9263981</t>
  </si>
  <si>
    <t>DFOU6104845</t>
  </si>
  <si>
    <t>CBHU2827659</t>
  </si>
  <si>
    <t>CXRU1032559</t>
  </si>
  <si>
    <t>SZLU9659809</t>
  </si>
  <si>
    <t>DELOS WAVE V.1611N</t>
  </si>
  <si>
    <t>CHI PHÍ XUAÁT HAØNG - CAÙ CÔM - SHOUSHAN (Cont 47-&gt;58  - 16&amp;19/12/16)</t>
  </si>
  <si>
    <t>Chi phí xuất hàng (Cont 47-&gt;58)</t>
  </si>
  <si>
    <t>Đỗ Bé Sáu</t>
  </si>
  <si>
    <t>Lê Thị Thuận</t>
  </si>
  <si>
    <t>61C-13678</t>
  </si>
  <si>
    <t>84L-2389</t>
  </si>
  <si>
    <t>69C-02165</t>
  </si>
  <si>
    <t>79C-04882</t>
  </si>
  <si>
    <t>69C-01465</t>
  </si>
  <si>
    <t>67C-01825</t>
  </si>
  <si>
    <t>69C-6765</t>
  </si>
  <si>
    <t>64C-02713</t>
  </si>
  <si>
    <t>Tiền hàng 21/12/16</t>
  </si>
  <si>
    <t>PHILIPPOS-MICHALIS V.24/N</t>
  </si>
  <si>
    <t>ZCSU5852735</t>
  </si>
  <si>
    <t>ZCSU5877986</t>
  </si>
  <si>
    <t>ZCSU5113885</t>
  </si>
  <si>
    <t>JXLU5106192</t>
  </si>
  <si>
    <t>JXLU5844391</t>
  </si>
  <si>
    <t>ZCSU5833191</t>
  </si>
  <si>
    <t>ZGL-V112731</t>
  </si>
  <si>
    <t>ZGL-V112735</t>
  </si>
  <si>
    <t>ZGL-V112739</t>
  </si>
  <si>
    <t>ZGL-V112736</t>
  </si>
  <si>
    <t>ZGL-V112758</t>
  </si>
  <si>
    <t>ZGL-V112754</t>
  </si>
  <si>
    <t>Bên An Lạc còn giữ tiền tạm ứng ngày 7/12/16 : 500.000.000</t>
  </si>
  <si>
    <t>0000127</t>
  </si>
  <si>
    <t>0000128</t>
  </si>
  <si>
    <t>0000132</t>
  </si>
  <si>
    <t>0000133</t>
  </si>
  <si>
    <t>0000134</t>
  </si>
  <si>
    <t>0000602</t>
  </si>
  <si>
    <t>0000603</t>
  </si>
  <si>
    <t>0000604</t>
  </si>
  <si>
    <t>0000605</t>
  </si>
  <si>
    <t>0000606</t>
  </si>
  <si>
    <t>XUẤT BỔ SUNG HÓA ĐƠN 16&amp;19/12/16 (CONT 47-&gt;58)</t>
  </si>
  <si>
    <t>84l-2389</t>
  </si>
  <si>
    <t>CHI PHÍ XUAÁT HAØNG - CAÙ CÔM - SHOUSHAN (Cont 59-&gt;70  - 23&amp;27/12/16)</t>
  </si>
  <si>
    <t>94C-01551</t>
  </si>
  <si>
    <t>77C-12332</t>
  </si>
  <si>
    <t>79N-1908</t>
  </si>
  <si>
    <t>60C-30253</t>
  </si>
  <si>
    <t>69C-01125</t>
  </si>
  <si>
    <t>86C-07082</t>
  </si>
  <si>
    <t>Tiền hàng 26/12/16</t>
  </si>
  <si>
    <t>Chi phí xuất hàng (Cont 59-&gt;70)</t>
  </si>
  <si>
    <t>Khai Huy</t>
  </si>
  <si>
    <t>CHI PHÍ XUAÁT HAØNG - CAÙ CÔM - SHOUSHAN (Cont 71&amp;72  - 29/12/16)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</si>
</sst>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_-* #,##0.00_-;\-* #,##0.00_-;_-* &quot;-&quot;??_-;_-@_-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  <numFmt numFmtId="172" formatCode="_(* #,##0.0_);_(* \(#,##0.0\);_(* &quot;-&quot;??_);_(@_)"/>
    <numFmt numFmtId="173" formatCode="_(* #,##0.000_);_(* \(#,##0.000\);_(* &quot;-&quot;??_);_(@_)"/>
  </numFmts>
  <fonts count="3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sz val="9"/>
      <name val="VNI-Times"/>
    </font>
    <font>
      <sz val="10"/>
      <name val="VNI-Times"/>
    </font>
    <font>
      <sz val="12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4"/>
      <name val="VNI-Times"/>
    </font>
    <font>
      <sz val="13"/>
      <name val="Times New Roman"/>
      <family val="1"/>
    </font>
    <font>
      <b/>
      <sz val="13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sz val="13"/>
      <color theme="0"/>
      <name val="Times New Roman"/>
      <family val="1"/>
    </font>
    <font>
      <sz val="10.5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9"/>
      <name val="Times New Roman"/>
      <family val="1"/>
    </font>
    <font>
      <sz val="10"/>
      <color rgb="FF222222"/>
      <name val="Times New Roman"/>
      <family val="1"/>
    </font>
    <font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9">
    <xf numFmtId="0" fontId="0" fillId="0" borderId="0"/>
    <xf numFmtId="43" fontId="6" fillId="0" borderId="0" applyFont="0" applyFill="0" applyBorder="0" applyAlignment="0" applyProtection="0"/>
    <xf numFmtId="3" fontId="7" fillId="2" borderId="2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" fillId="2" borderId="2">
      <alignment horizontal="centerContinuous" vertical="center" wrapText="1"/>
    </xf>
    <xf numFmtId="3" fontId="7" fillId="2" borderId="2">
      <alignment horizontal="center" vertical="center" wrapText="1"/>
    </xf>
    <xf numFmtId="2" fontId="6" fillId="0" borderId="0" applyFont="0" applyFill="0" applyBorder="0" applyAlignment="0" applyProtection="0"/>
    <xf numFmtId="0" fontId="11" fillId="0" borderId="10" applyNumberFormat="0" applyAlignment="0" applyProtection="0">
      <alignment horizontal="left" vertical="center"/>
    </xf>
    <xf numFmtId="0" fontId="11" fillId="0" borderId="8">
      <alignment horizontal="left" vertical="center"/>
    </xf>
    <xf numFmtId="3" fontId="7" fillId="0" borderId="11"/>
    <xf numFmtId="3" fontId="12" fillId="0" borderId="12"/>
    <xf numFmtId="3" fontId="7" fillId="0" borderId="2">
      <alignment horizontal="center" vertical="center" wrapText="1"/>
    </xf>
    <xf numFmtId="3" fontId="7" fillId="0" borderId="2">
      <alignment horizontal="centerContinuous" vertical="center"/>
    </xf>
    <xf numFmtId="165" fontId="13" fillId="0" borderId="13"/>
    <xf numFmtId="0" fontId="8" fillId="0" borderId="0"/>
    <xf numFmtId="0" fontId="9" fillId="0" borderId="0"/>
    <xf numFmtId="0" fontId="2" fillId="0" borderId="0"/>
    <xf numFmtId="0" fontId="6" fillId="0" borderId="0"/>
    <xf numFmtId="0" fontId="9" fillId="0" borderId="0"/>
    <xf numFmtId="0" fontId="14" fillId="0" borderId="0">
      <alignment horizontal="centerContinuous"/>
    </xf>
    <xf numFmtId="40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10" fontId="6" fillId="0" borderId="0" applyFont="0" applyFill="0" applyBorder="0" applyAlignment="0" applyProtection="0"/>
    <xf numFmtId="0" fontId="16" fillId="0" borderId="0"/>
    <xf numFmtId="168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0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0" fontId="18" fillId="0" borderId="0"/>
    <xf numFmtId="0" fontId="1" fillId="0" borderId="0"/>
  </cellStyleXfs>
  <cellXfs count="258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164" fontId="4" fillId="0" borderId="3" xfId="1" applyNumberFormat="1" applyFont="1" applyBorder="1" applyAlignment="1">
      <alignment horizontal="center" vertical="center"/>
    </xf>
    <xf numFmtId="43" fontId="4" fillId="0" borderId="3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4" fillId="0" borderId="5" xfId="1" applyNumberFormat="1" applyFont="1" applyBorder="1" applyAlignment="1">
      <alignment horizontal="center" vertical="center"/>
    </xf>
    <xf numFmtId="43" fontId="4" fillId="0" borderId="5" xfId="1" applyFont="1" applyBorder="1" applyAlignment="1">
      <alignment horizontal="center" vertical="center"/>
    </xf>
    <xf numFmtId="0" fontId="19" fillId="0" borderId="0" xfId="22" applyFont="1" applyAlignment="1">
      <alignment vertical="center"/>
    </xf>
    <xf numFmtId="0" fontId="19" fillId="0" borderId="0" xfId="22" applyFont="1" applyAlignment="1">
      <alignment horizontal="center" vertical="center"/>
    </xf>
    <xf numFmtId="0" fontId="20" fillId="0" borderId="0" xfId="22" applyFont="1" applyAlignment="1">
      <alignment horizontal="center" vertical="center"/>
    </xf>
    <xf numFmtId="0" fontId="21" fillId="0" borderId="0" xfId="22" applyFont="1" applyAlignment="1">
      <alignment vertical="center"/>
    </xf>
    <xf numFmtId="0" fontId="20" fillId="0" borderId="0" xfId="22" applyFont="1" applyAlignment="1">
      <alignment vertical="center"/>
    </xf>
    <xf numFmtId="172" fontId="20" fillId="0" borderId="0" xfId="4" applyNumberFormat="1" applyFont="1" applyAlignment="1">
      <alignment vertical="center"/>
    </xf>
    <xf numFmtId="164" fontId="20" fillId="0" borderId="0" xfId="4" applyNumberFormat="1" applyFont="1" applyAlignment="1">
      <alignment vertical="center"/>
    </xf>
    <xf numFmtId="0" fontId="21" fillId="0" borderId="0" xfId="22" applyFont="1" applyAlignment="1">
      <alignment horizontal="center" vertical="center"/>
    </xf>
    <xf numFmtId="0" fontId="22" fillId="0" borderId="0" xfId="25" applyFont="1" applyAlignment="1">
      <alignment horizontal="center" vertical="center" wrapText="1"/>
    </xf>
    <xf numFmtId="0" fontId="22" fillId="0" borderId="2" xfId="25" applyFont="1" applyBorder="1" applyAlignment="1">
      <alignment horizontal="center" vertical="center" wrapText="1"/>
    </xf>
    <xf numFmtId="172" fontId="22" fillId="0" borderId="2" xfId="3" applyNumberFormat="1" applyFont="1" applyBorder="1" applyAlignment="1">
      <alignment horizontal="center" vertical="center" wrapText="1"/>
    </xf>
    <xf numFmtId="164" fontId="22" fillId="0" borderId="2" xfId="3" applyNumberFormat="1" applyFont="1" applyBorder="1" applyAlignment="1">
      <alignment horizontal="center" vertical="center" wrapText="1"/>
    </xf>
    <xf numFmtId="0" fontId="23" fillId="0" borderId="0" xfId="25" applyFont="1" applyAlignment="1">
      <alignment horizontal="center" vertical="center" wrapText="1"/>
    </xf>
    <xf numFmtId="0" fontId="23" fillId="0" borderId="0" xfId="25" applyFont="1" applyAlignment="1">
      <alignment vertical="center"/>
    </xf>
    <xf numFmtId="0" fontId="22" fillId="0" borderId="4" xfId="25" applyFont="1" applyBorder="1" applyAlignment="1">
      <alignment vertical="center"/>
    </xf>
    <xf numFmtId="172" fontId="23" fillId="0" borderId="4" xfId="3" applyNumberFormat="1" applyFont="1" applyBorder="1" applyAlignment="1">
      <alignment vertical="center"/>
    </xf>
    <xf numFmtId="43" fontId="23" fillId="0" borderId="4" xfId="3" applyFont="1" applyBorder="1" applyAlignment="1">
      <alignment vertical="center"/>
    </xf>
    <xf numFmtId="43" fontId="23" fillId="0" borderId="4" xfId="3" applyNumberFormat="1" applyFont="1" applyBorder="1" applyAlignment="1">
      <alignment vertical="center"/>
    </xf>
    <xf numFmtId="164" fontId="23" fillId="0" borderId="4" xfId="25" applyNumberFormat="1" applyFont="1" applyBorder="1" applyAlignment="1">
      <alignment vertical="center"/>
    </xf>
    <xf numFmtId="0" fontId="23" fillId="0" borderId="6" xfId="25" applyFont="1" applyBorder="1" applyAlignment="1">
      <alignment vertical="center"/>
    </xf>
    <xf numFmtId="172" fontId="23" fillId="0" borderId="6" xfId="3" applyNumberFormat="1" applyFont="1" applyBorder="1" applyAlignment="1">
      <alignment vertical="center"/>
    </xf>
    <xf numFmtId="43" fontId="23" fillId="0" borderId="6" xfId="3" applyFont="1" applyBorder="1" applyAlignment="1">
      <alignment vertical="center"/>
    </xf>
    <xf numFmtId="43" fontId="23" fillId="0" borderId="6" xfId="3" applyNumberFormat="1" applyFont="1" applyBorder="1" applyAlignment="1">
      <alignment vertical="center"/>
    </xf>
    <xf numFmtId="164" fontId="23" fillId="0" borderId="6" xfId="25" applyNumberFormat="1" applyFont="1" applyBorder="1" applyAlignment="1">
      <alignment vertical="center"/>
    </xf>
    <xf numFmtId="0" fontId="22" fillId="0" borderId="0" xfId="25" applyFont="1" applyAlignment="1">
      <alignment vertical="center"/>
    </xf>
    <xf numFmtId="0" fontId="22" fillId="0" borderId="6" xfId="25" applyFont="1" applyBorder="1" applyAlignment="1">
      <alignment vertical="center"/>
    </xf>
    <xf numFmtId="172" fontId="22" fillId="0" borderId="6" xfId="3" applyNumberFormat="1" applyFont="1" applyBorder="1" applyAlignment="1">
      <alignment vertical="center"/>
    </xf>
    <xf numFmtId="43" fontId="22" fillId="0" borderId="6" xfId="3" applyFont="1" applyBorder="1" applyAlignment="1">
      <alignment vertical="center"/>
    </xf>
    <xf numFmtId="43" fontId="22" fillId="0" borderId="6" xfId="3" applyNumberFormat="1" applyFont="1" applyBorder="1" applyAlignment="1">
      <alignment vertical="center"/>
    </xf>
    <xf numFmtId="164" fontId="22" fillId="0" borderId="6" xfId="25" applyNumberFormat="1" applyFont="1" applyBorder="1" applyAlignment="1">
      <alignment vertical="center"/>
    </xf>
    <xf numFmtId="43" fontId="23" fillId="0" borderId="6" xfId="1" applyFont="1" applyBorder="1" applyAlignment="1">
      <alignment vertical="center"/>
    </xf>
    <xf numFmtId="0" fontId="22" fillId="0" borderId="2" xfId="25" applyFont="1" applyBorder="1" applyAlignment="1">
      <alignment vertical="center"/>
    </xf>
    <xf numFmtId="172" fontId="22" fillId="0" borderId="2" xfId="3" applyNumberFormat="1" applyFont="1" applyBorder="1" applyAlignment="1">
      <alignment vertical="center"/>
    </xf>
    <xf numFmtId="43" fontId="23" fillId="0" borderId="0" xfId="1" applyFont="1" applyAlignment="1">
      <alignment vertical="center"/>
    </xf>
    <xf numFmtId="0" fontId="23" fillId="0" borderId="14" xfId="25" applyFont="1" applyBorder="1" applyAlignment="1">
      <alignment vertical="center"/>
    </xf>
    <xf numFmtId="172" fontId="23" fillId="0" borderId="14" xfId="3" applyNumberFormat="1" applyFont="1" applyBorder="1" applyAlignment="1">
      <alignment vertical="center"/>
    </xf>
    <xf numFmtId="43" fontId="23" fillId="0" borderId="14" xfId="3" applyFont="1" applyBorder="1" applyAlignment="1">
      <alignment vertical="center"/>
    </xf>
    <xf numFmtId="43" fontId="23" fillId="0" borderId="14" xfId="3" applyNumberFormat="1" applyFont="1" applyBorder="1" applyAlignment="1">
      <alignment vertical="center"/>
    </xf>
    <xf numFmtId="164" fontId="23" fillId="0" borderId="14" xfId="3" applyNumberFormat="1" applyFont="1" applyBorder="1" applyAlignment="1">
      <alignment vertical="center"/>
    </xf>
    <xf numFmtId="0" fontId="22" fillId="0" borderId="0" xfId="25" applyFont="1" applyBorder="1" applyAlignment="1">
      <alignment vertical="center"/>
    </xf>
    <xf numFmtId="172" fontId="22" fillId="0" borderId="0" xfId="3" applyNumberFormat="1" applyFont="1" applyAlignment="1">
      <alignment vertical="center"/>
    </xf>
    <xf numFmtId="172" fontId="22" fillId="0" borderId="15" xfId="3" applyNumberFormat="1" applyFont="1" applyBorder="1" applyAlignment="1">
      <alignment vertical="center"/>
    </xf>
    <xf numFmtId="43" fontId="22" fillId="0" borderId="0" xfId="3" applyNumberFormat="1" applyFont="1" applyBorder="1" applyAlignment="1">
      <alignment vertical="center"/>
    </xf>
    <xf numFmtId="43" fontId="22" fillId="0" borderId="0" xfId="1" applyFont="1" applyBorder="1" applyAlignment="1">
      <alignment vertical="center"/>
    </xf>
    <xf numFmtId="0" fontId="21" fillId="0" borderId="0" xfId="22" applyFont="1" applyAlignment="1">
      <alignment horizontal="left" vertical="center"/>
    </xf>
    <xf numFmtId="172" fontId="21" fillId="0" borderId="2" xfId="4" applyNumberFormat="1" applyFont="1" applyBorder="1" applyAlignment="1">
      <alignment horizontal="center" vertical="center" wrapText="1"/>
    </xf>
    <xf numFmtId="0" fontId="21" fillId="0" borderId="2" xfId="22" applyFont="1" applyBorder="1" applyAlignment="1">
      <alignment horizontal="center" vertical="center" wrapText="1"/>
    </xf>
    <xf numFmtId="0" fontId="21" fillId="0" borderId="2" xfId="22" applyFont="1" applyBorder="1" applyAlignment="1">
      <alignment horizontal="center" vertical="center"/>
    </xf>
    <xf numFmtId="164" fontId="21" fillId="0" borderId="2" xfId="4" applyNumberFormat="1" applyFont="1" applyBorder="1" applyAlignment="1">
      <alignment horizontal="center" vertical="center" wrapText="1"/>
    </xf>
    <xf numFmtId="0" fontId="23" fillId="0" borderId="13" xfId="22" applyFont="1" applyBorder="1" applyAlignment="1">
      <alignment horizontal="center" vertical="center"/>
    </xf>
    <xf numFmtId="0" fontId="23" fillId="0" borderId="13" xfId="22" applyFont="1" applyBorder="1" applyAlignment="1">
      <alignment vertical="center"/>
    </xf>
    <xf numFmtId="172" fontId="23" fillId="0" borderId="13" xfId="4" applyNumberFormat="1" applyFont="1" applyBorder="1" applyAlignment="1">
      <alignment vertical="center"/>
    </xf>
    <xf numFmtId="164" fontId="23" fillId="0" borderId="13" xfId="4" applyNumberFormat="1" applyFont="1" applyBorder="1" applyAlignment="1">
      <alignment vertical="center"/>
    </xf>
    <xf numFmtId="14" fontId="23" fillId="0" borderId="3" xfId="22" applyNumberFormat="1" applyFont="1" applyBorder="1" applyAlignment="1">
      <alignment horizontal="center" vertical="center"/>
    </xf>
    <xf numFmtId="0" fontId="23" fillId="0" borderId="3" xfId="22" applyFont="1" applyBorder="1" applyAlignment="1">
      <alignment horizontal="left" vertical="center"/>
    </xf>
    <xf numFmtId="0" fontId="23" fillId="0" borderId="3" xfId="22" applyFont="1" applyBorder="1" applyAlignment="1">
      <alignment horizontal="center" vertical="center"/>
    </xf>
    <xf numFmtId="173" fontId="23" fillId="0" borderId="3" xfId="4" applyNumberFormat="1" applyFont="1" applyBorder="1" applyAlignment="1">
      <alignment horizontal="center" vertical="center"/>
    </xf>
    <xf numFmtId="164" fontId="23" fillId="0" borderId="3" xfId="4" applyNumberFormat="1" applyFont="1" applyBorder="1" applyAlignment="1">
      <alignment horizontal="center" vertical="center"/>
    </xf>
    <xf numFmtId="43" fontId="20" fillId="0" borderId="0" xfId="22" applyNumberFormat="1" applyFont="1" applyAlignment="1">
      <alignment vertical="center"/>
    </xf>
    <xf numFmtId="0" fontId="23" fillId="0" borderId="4" xfId="22" applyFont="1" applyBorder="1" applyAlignment="1">
      <alignment horizontal="center" vertical="center"/>
    </xf>
    <xf numFmtId="0" fontId="23" fillId="0" borderId="4" xfId="22" applyFont="1" applyBorder="1" applyAlignment="1">
      <alignment vertical="center"/>
    </xf>
    <xf numFmtId="172" fontId="23" fillId="0" borderId="4" xfId="4" applyNumberFormat="1" applyFont="1" applyBorder="1" applyAlignment="1">
      <alignment vertical="center"/>
    </xf>
    <xf numFmtId="164" fontId="23" fillId="0" borderId="4" xfId="4" applyNumberFormat="1" applyFont="1" applyBorder="1" applyAlignment="1">
      <alignment vertical="center"/>
    </xf>
    <xf numFmtId="14" fontId="23" fillId="0" borderId="4" xfId="22" applyNumberFormat="1" applyFont="1" applyBorder="1" applyAlignment="1">
      <alignment horizontal="center" vertical="center"/>
    </xf>
    <xf numFmtId="173" fontId="23" fillId="0" borderId="4" xfId="4" applyNumberFormat="1" applyFont="1" applyBorder="1" applyAlignment="1">
      <alignment horizontal="center" vertical="center"/>
    </xf>
    <xf numFmtId="14" fontId="23" fillId="0" borderId="14" xfId="22" applyNumberFormat="1" applyFont="1" applyBorder="1" applyAlignment="1">
      <alignment horizontal="center" vertical="center"/>
    </xf>
    <xf numFmtId="0" fontId="23" fillId="0" borderId="14" xfId="22" applyFont="1" applyBorder="1" applyAlignment="1">
      <alignment horizontal="center" vertical="center"/>
    </xf>
    <xf numFmtId="172" fontId="23" fillId="0" borderId="14" xfId="4" applyNumberFormat="1" applyFont="1" applyBorder="1" applyAlignment="1">
      <alignment horizontal="center" vertical="center"/>
    </xf>
    <xf numFmtId="164" fontId="23" fillId="0" borderId="14" xfId="4" applyNumberFormat="1" applyFont="1" applyBorder="1" applyAlignment="1">
      <alignment horizontal="center" vertical="center"/>
    </xf>
    <xf numFmtId="0" fontId="22" fillId="0" borderId="2" xfId="22" applyFont="1" applyBorder="1" applyAlignment="1">
      <alignment vertical="center"/>
    </xf>
    <xf numFmtId="172" fontId="22" fillId="0" borderId="2" xfId="4" applyNumberFormat="1" applyFont="1" applyBorder="1" applyAlignment="1">
      <alignment vertical="center"/>
    </xf>
    <xf numFmtId="164" fontId="22" fillId="0" borderId="2" xfId="4" applyNumberFormat="1" applyFont="1" applyBorder="1" applyAlignment="1">
      <alignment vertical="center"/>
    </xf>
    <xf numFmtId="0" fontId="22" fillId="0" borderId="2" xfId="22" applyFont="1" applyBorder="1" applyAlignment="1">
      <alignment horizontal="center" vertical="center"/>
    </xf>
    <xf numFmtId="164" fontId="22" fillId="0" borderId="2" xfId="4" applyNumberFormat="1" applyFont="1" applyBorder="1" applyAlignment="1">
      <alignment horizontal="center" vertical="center"/>
    </xf>
    <xf numFmtId="43" fontId="20" fillId="0" borderId="0" xfId="22" applyNumberFormat="1" applyFont="1" applyAlignment="1">
      <alignment horizontal="center" vertical="center"/>
    </xf>
    <xf numFmtId="164" fontId="24" fillId="0" borderId="0" xfId="1" applyNumberFormat="1" applyFont="1" applyAlignment="1">
      <alignment horizontal="center" vertical="center"/>
    </xf>
    <xf numFmtId="43" fontId="4" fillId="0" borderId="0" xfId="22" applyNumberFormat="1" applyFont="1" applyAlignment="1">
      <alignment horizontal="center" vertical="center"/>
    </xf>
    <xf numFmtId="0" fontId="23" fillId="0" borderId="14" xfId="22" applyFont="1" applyBorder="1" applyAlignment="1">
      <alignment vertical="center"/>
    </xf>
    <xf numFmtId="172" fontId="23" fillId="0" borderId="14" xfId="4" applyNumberFormat="1" applyFont="1" applyBorder="1" applyAlignment="1">
      <alignment vertical="center"/>
    </xf>
    <xf numFmtId="164" fontId="23" fillId="0" borderId="14" xfId="4" applyNumberFormat="1" applyFont="1" applyBorder="1" applyAlignment="1">
      <alignment vertical="center"/>
    </xf>
    <xf numFmtId="164" fontId="21" fillId="0" borderId="0" xfId="4" applyNumberFormat="1" applyFont="1" applyAlignment="1">
      <alignment vertical="center"/>
    </xf>
    <xf numFmtId="164" fontId="21" fillId="0" borderId="0" xfId="22" applyNumberFormat="1" applyFont="1" applyAlignment="1">
      <alignment vertical="center"/>
    </xf>
    <xf numFmtId="0" fontId="21" fillId="0" borderId="2" xfId="22" applyFont="1" applyBorder="1" applyAlignment="1">
      <alignment vertical="center" wrapText="1"/>
    </xf>
    <xf numFmtId="164" fontId="21" fillId="0" borderId="2" xfId="4" applyNumberFormat="1" applyFont="1" applyBorder="1" applyAlignment="1">
      <alignment vertical="center" wrapText="1"/>
    </xf>
    <xf numFmtId="0" fontId="21" fillId="0" borderId="0" xfId="22" applyFont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172" fontId="22" fillId="0" borderId="0" xfId="3" applyNumberFormat="1" applyFont="1" applyBorder="1" applyAlignment="1">
      <alignment vertical="center"/>
    </xf>
    <xf numFmtId="0" fontId="19" fillId="0" borderId="0" xfId="22" applyFont="1" applyAlignment="1">
      <alignment vertical="center" wrapText="1"/>
    </xf>
    <xf numFmtId="164" fontId="23" fillId="0" borderId="4" xfId="1" applyNumberFormat="1" applyFont="1" applyBorder="1" applyAlignment="1">
      <alignment horizontal="center" vertical="center"/>
    </xf>
    <xf numFmtId="164" fontId="22" fillId="0" borderId="2" xfId="1" applyNumberFormat="1" applyFont="1" applyBorder="1" applyAlignment="1">
      <alignment horizontal="center" vertical="center"/>
    </xf>
    <xf numFmtId="0" fontId="21" fillId="0" borderId="0" xfId="22" applyFont="1" applyAlignment="1">
      <alignment horizontal="center" vertical="center" wrapText="1"/>
    </xf>
    <xf numFmtId="0" fontId="22" fillId="0" borderId="0" xfId="25" applyFont="1" applyAlignment="1">
      <alignment horizontal="center" vertical="center"/>
    </xf>
    <xf numFmtId="164" fontId="23" fillId="0" borderId="3" xfId="1" applyNumberFormat="1" applyFont="1" applyBorder="1" applyAlignment="1">
      <alignment horizontal="center" vertical="center"/>
    </xf>
    <xf numFmtId="164" fontId="23" fillId="0" borderId="14" xfId="1" applyNumberFormat="1" applyFont="1" applyBorder="1" applyAlignment="1">
      <alignment horizontal="center" vertical="center"/>
    </xf>
    <xf numFmtId="164" fontId="22" fillId="0" borderId="0" xfId="1" applyNumberFormat="1" applyFont="1" applyAlignment="1">
      <alignment vertical="center"/>
    </xf>
    <xf numFmtId="164" fontId="21" fillId="0" borderId="2" xfId="1" applyNumberFormat="1" applyFont="1" applyBorder="1" applyAlignment="1">
      <alignment horizontal="center" vertical="center" wrapText="1"/>
    </xf>
    <xf numFmtId="164" fontId="23" fillId="0" borderId="13" xfId="1" applyNumberFormat="1" applyFont="1" applyBorder="1" applyAlignment="1">
      <alignment vertical="center"/>
    </xf>
    <xf numFmtId="164" fontId="23" fillId="0" borderId="4" xfId="1" applyNumberFormat="1" applyFont="1" applyBorder="1" applyAlignment="1">
      <alignment vertical="center"/>
    </xf>
    <xf numFmtId="164" fontId="22" fillId="0" borderId="2" xfId="1" applyNumberFormat="1" applyFont="1" applyBorder="1" applyAlignment="1">
      <alignment vertical="center"/>
    </xf>
    <xf numFmtId="164" fontId="20" fillId="0" borderId="0" xfId="1" applyNumberFormat="1" applyFont="1" applyAlignment="1">
      <alignment vertical="center"/>
    </xf>
    <xf numFmtId="43" fontId="22" fillId="0" borderId="0" xfId="3" applyNumberFormat="1" applyFont="1" applyBorder="1" applyAlignment="1">
      <alignment horizontal="center" vertical="center"/>
    </xf>
    <xf numFmtId="164" fontId="23" fillId="0" borderId="13" xfId="4" applyNumberFormat="1" applyFont="1" applyBorder="1" applyAlignment="1">
      <alignment horizontal="center" vertical="center"/>
    </xf>
    <xf numFmtId="164" fontId="23" fillId="0" borderId="4" xfId="4" applyNumberFormat="1" applyFont="1" applyBorder="1" applyAlignment="1">
      <alignment horizontal="center" vertical="center"/>
    </xf>
    <xf numFmtId="164" fontId="20" fillId="0" borderId="0" xfId="4" applyNumberFormat="1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22" fillId="0" borderId="2" xfId="22" applyFont="1" applyBorder="1" applyAlignment="1">
      <alignment horizontal="center" vertical="center" wrapText="1"/>
    </xf>
    <xf numFmtId="172" fontId="22" fillId="0" borderId="2" xfId="4" applyNumberFormat="1" applyFont="1" applyBorder="1" applyAlignment="1">
      <alignment horizontal="center" vertical="center" wrapText="1"/>
    </xf>
    <xf numFmtId="164" fontId="22" fillId="0" borderId="2" xfId="4" applyNumberFormat="1" applyFont="1" applyBorder="1" applyAlignment="1">
      <alignment horizontal="center" vertical="center" wrapText="1"/>
    </xf>
    <xf numFmtId="0" fontId="23" fillId="0" borderId="0" xfId="22" applyFont="1" applyAlignment="1">
      <alignment vertical="center"/>
    </xf>
    <xf numFmtId="0" fontId="23" fillId="0" borderId="0" xfId="22" applyFont="1" applyAlignment="1">
      <alignment horizontal="center" vertical="center"/>
    </xf>
    <xf numFmtId="0" fontId="22" fillId="0" borderId="0" xfId="22" applyFont="1" applyBorder="1" applyAlignment="1">
      <alignment vertical="center"/>
    </xf>
    <xf numFmtId="172" fontId="22" fillId="0" borderId="0" xfId="4" applyNumberFormat="1" applyFont="1" applyBorder="1" applyAlignment="1">
      <alignment vertical="center"/>
    </xf>
    <xf numFmtId="164" fontId="22" fillId="0" borderId="0" xfId="4" applyNumberFormat="1" applyFont="1" applyBorder="1" applyAlignment="1">
      <alignment vertical="center"/>
    </xf>
    <xf numFmtId="0" fontId="23" fillId="0" borderId="6" xfId="22" applyFont="1" applyBorder="1" applyAlignment="1">
      <alignment horizontal="center" vertical="center"/>
    </xf>
    <xf numFmtId="164" fontId="23" fillId="0" borderId="6" xfId="4" applyNumberFormat="1" applyFont="1" applyBorder="1" applyAlignment="1">
      <alignment vertical="center"/>
    </xf>
    <xf numFmtId="164" fontId="23" fillId="0" borderId="3" xfId="4" applyNumberFormat="1" applyFont="1" applyBorder="1" applyAlignment="1">
      <alignment vertical="center"/>
    </xf>
    <xf numFmtId="0" fontId="23" fillId="0" borderId="6" xfId="22" applyFont="1" applyBorder="1" applyAlignment="1">
      <alignment vertical="center"/>
    </xf>
    <xf numFmtId="172" fontId="23" fillId="0" borderId="6" xfId="4" applyNumberFormat="1" applyFont="1" applyBorder="1" applyAlignment="1">
      <alignment vertical="center"/>
    </xf>
    <xf numFmtId="164" fontId="23" fillId="0" borderId="0" xfId="22" applyNumberFormat="1" applyFont="1" applyAlignment="1">
      <alignment horizontal="center" vertical="center"/>
    </xf>
    <xf numFmtId="0" fontId="22" fillId="0" borderId="2" xfId="22" applyFont="1" applyBorder="1" applyAlignment="1">
      <alignment horizontal="center" vertical="center" wrapText="1"/>
    </xf>
    <xf numFmtId="164" fontId="25" fillId="0" borderId="0" xfId="22" applyNumberFormat="1" applyFont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43" fontId="4" fillId="0" borderId="3" xfId="1" applyFont="1" applyBorder="1" applyAlignment="1">
      <alignment horizontal="center" vertical="center"/>
    </xf>
    <xf numFmtId="0" fontId="22" fillId="0" borderId="2" xfId="22" applyFont="1" applyBorder="1" applyAlignment="1">
      <alignment horizontal="center" vertical="center" wrapText="1"/>
    </xf>
    <xf numFmtId="173" fontId="22" fillId="0" borderId="2" xfId="1" applyNumberFormat="1" applyFont="1" applyBorder="1" applyAlignment="1">
      <alignment horizontal="center" vertical="center"/>
    </xf>
    <xf numFmtId="164" fontId="20" fillId="0" borderId="0" xfId="22" applyNumberFormat="1" applyFont="1" applyAlignment="1">
      <alignment horizontal="center" vertical="center"/>
    </xf>
    <xf numFmtId="0" fontId="22" fillId="0" borderId="2" xfId="22" applyFont="1" applyBorder="1" applyAlignment="1">
      <alignment horizontal="center" vertical="center" wrapText="1"/>
    </xf>
    <xf numFmtId="0" fontId="26" fillId="0" borderId="4" xfId="0" applyFont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43" fontId="4" fillId="0" borderId="3" xfId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43" fontId="4" fillId="0" borderId="4" xfId="1" applyFont="1" applyBorder="1" applyAlignment="1">
      <alignment horizontal="center" vertical="center"/>
    </xf>
    <xf numFmtId="0" fontId="22" fillId="0" borderId="2" xfId="22" applyFont="1" applyBorder="1" applyAlignment="1">
      <alignment horizontal="center" vertical="center" wrapText="1"/>
    </xf>
    <xf numFmtId="164" fontId="4" fillId="0" borderId="4" xfId="1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vertical="center"/>
    </xf>
    <xf numFmtId="43" fontId="4" fillId="0" borderId="4" xfId="1" applyFont="1" applyBorder="1" applyAlignment="1">
      <alignment vertical="center"/>
    </xf>
    <xf numFmtId="43" fontId="4" fillId="0" borderId="4" xfId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22" fillId="0" borderId="2" xfId="22" applyFont="1" applyBorder="1" applyAlignment="1">
      <alignment horizontal="center" vertical="center" wrapText="1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1" fillId="0" borderId="0" xfId="1" applyNumberFormat="1" applyFont="1" applyAlignment="1">
      <alignment vertical="center"/>
    </xf>
    <xf numFmtId="164" fontId="21" fillId="0" borderId="0" xfId="4" applyNumberFormat="1" applyFont="1" applyAlignment="1">
      <alignment horizontal="center" vertical="center"/>
    </xf>
    <xf numFmtId="164" fontId="21" fillId="0" borderId="0" xfId="22" applyNumberFormat="1" applyFont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43" fontId="4" fillId="0" borderId="3" xfId="1" applyFont="1" applyBorder="1" applyAlignment="1">
      <alignment horizontal="center" vertical="center"/>
    </xf>
    <xf numFmtId="43" fontId="4" fillId="0" borderId="4" xfId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43" fontId="4" fillId="0" borderId="4" xfId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0" fontId="22" fillId="0" borderId="2" xfId="22" applyFont="1" applyBorder="1" applyAlignment="1">
      <alignment horizontal="center" vertical="center" wrapText="1"/>
    </xf>
    <xf numFmtId="0" fontId="23" fillId="0" borderId="3" xfId="22" applyFont="1" applyBorder="1" applyAlignment="1">
      <alignment horizontal="center" vertical="center" wrapText="1"/>
    </xf>
    <xf numFmtId="164" fontId="28" fillId="0" borderId="3" xfId="1" applyNumberFormat="1" applyFont="1" applyBorder="1" applyAlignment="1">
      <alignment horizontal="left" vertical="center"/>
    </xf>
    <xf numFmtId="164" fontId="28" fillId="0" borderId="4" xfId="1" applyNumberFormat="1" applyFont="1" applyBorder="1" applyAlignment="1">
      <alignment horizontal="left" vertical="center"/>
    </xf>
    <xf numFmtId="164" fontId="28" fillId="0" borderId="6" xfId="1" applyNumberFormat="1" applyFon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7" fillId="0" borderId="2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8" fillId="0" borderId="3" xfId="0" applyFont="1" applyBorder="1" applyAlignment="1">
      <alignment horizontal="center" vertical="center"/>
    </xf>
    <xf numFmtId="0" fontId="28" fillId="0" borderId="3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8" fillId="0" borderId="4" xfId="0" applyFont="1" applyBorder="1" applyAlignment="1">
      <alignment horizontal="left" vertical="center"/>
    </xf>
    <xf numFmtId="0" fontId="28" fillId="0" borderId="6" xfId="0" applyFont="1" applyBorder="1" applyAlignment="1">
      <alignment horizontal="center" vertical="center"/>
    </xf>
    <xf numFmtId="0" fontId="28" fillId="0" borderId="6" xfId="0" applyFont="1" applyBorder="1" applyAlignment="1">
      <alignment horizontal="left" vertical="center"/>
    </xf>
    <xf numFmtId="0" fontId="28" fillId="0" borderId="0" xfId="0" applyFont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3" xfId="0" quotePrefix="1" applyFont="1" applyBorder="1" applyAlignment="1">
      <alignment horizontal="left" vertical="center"/>
    </xf>
    <xf numFmtId="164" fontId="5" fillId="0" borderId="2" xfId="1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8" fillId="0" borderId="4" xfId="0" quotePrefix="1" applyFont="1" applyBorder="1" applyAlignment="1">
      <alignment horizontal="left" vertical="center"/>
    </xf>
    <xf numFmtId="164" fontId="28" fillId="0" borderId="0" xfId="0" applyNumberFormat="1" applyFont="1" applyAlignment="1">
      <alignment horizontal="left" vertical="center"/>
    </xf>
    <xf numFmtId="0" fontId="28" fillId="0" borderId="3" xfId="0" applyFont="1" applyBorder="1" applyAlignment="1">
      <alignment horizontal="left" vertical="center" wrapText="1"/>
    </xf>
    <xf numFmtId="164" fontId="22" fillId="0" borderId="0" xfId="4" applyNumberFormat="1" applyFont="1" applyBorder="1" applyAlignment="1">
      <alignment horizontal="center" vertical="center"/>
    </xf>
    <xf numFmtId="43" fontId="4" fillId="0" borderId="3" xfId="1" applyFont="1" applyBorder="1" applyAlignment="1">
      <alignment horizontal="center" vertical="center"/>
    </xf>
    <xf numFmtId="43" fontId="4" fillId="0" borderId="4" xfId="1" applyFont="1" applyBorder="1" applyAlignment="1">
      <alignment horizontal="center" vertical="center"/>
    </xf>
    <xf numFmtId="164" fontId="29" fillId="0" borderId="2" xfId="1" applyNumberFormat="1" applyFont="1" applyBorder="1" applyAlignment="1">
      <alignment vertical="center"/>
    </xf>
    <xf numFmtId="43" fontId="29" fillId="0" borderId="2" xfId="1" applyFont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29" fillId="0" borderId="0" xfId="0" applyFont="1" applyAlignment="1">
      <alignment vertical="center"/>
    </xf>
    <xf numFmtId="43" fontId="4" fillId="0" borderId="4" xfId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43" fontId="4" fillId="0" borderId="4" xfId="1" applyFont="1" applyBorder="1" applyAlignment="1">
      <alignment horizontal="center" vertical="center"/>
    </xf>
    <xf numFmtId="0" fontId="22" fillId="0" borderId="2" xfId="22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/>
    </xf>
    <xf numFmtId="43" fontId="4" fillId="0" borderId="3" xfId="1" applyFont="1" applyBorder="1" applyAlignment="1">
      <alignment horizontal="center" vertical="center"/>
    </xf>
    <xf numFmtId="0" fontId="22" fillId="0" borderId="2" xfId="22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/>
    </xf>
    <xf numFmtId="43" fontId="4" fillId="0" borderId="4" xfId="1" applyFont="1" applyBorder="1" applyAlignment="1">
      <alignment horizontal="center" vertical="center"/>
    </xf>
    <xf numFmtId="0" fontId="22" fillId="0" borderId="0" xfId="22" applyFont="1" applyBorder="1" applyAlignment="1">
      <alignment vertical="center"/>
    </xf>
    <xf numFmtId="43" fontId="4" fillId="0" borderId="3" xfId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43" fontId="4" fillId="0" borderId="4" xfId="1" applyFont="1" applyBorder="1" applyAlignment="1">
      <alignment horizontal="center" vertical="center"/>
    </xf>
    <xf numFmtId="0" fontId="22" fillId="0" borderId="2" xfId="22" applyFont="1" applyBorder="1" applyAlignment="1">
      <alignment horizontal="center" vertical="center" wrapText="1"/>
    </xf>
    <xf numFmtId="164" fontId="31" fillId="0" borderId="0" xfId="1" applyNumberFormat="1" applyFont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43" fontId="4" fillId="0" borderId="4" xfId="1" applyFont="1" applyBorder="1" applyAlignment="1">
      <alignment horizontal="center" vertical="center"/>
    </xf>
    <xf numFmtId="0" fontId="22" fillId="0" borderId="2" xfId="22" applyFont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43" fontId="4" fillId="0" borderId="6" xfId="1" applyFont="1" applyBorder="1" applyAlignment="1">
      <alignment horizontal="center" vertical="center"/>
    </xf>
    <xf numFmtId="43" fontId="4" fillId="0" borderId="5" xfId="1" applyFont="1" applyBorder="1" applyAlignment="1">
      <alignment horizontal="center" vertical="center"/>
    </xf>
    <xf numFmtId="43" fontId="4" fillId="0" borderId="3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43" fontId="4" fillId="0" borderId="4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9" fillId="0" borderId="0" xfId="22" applyFont="1" applyAlignment="1">
      <alignment horizontal="center" vertical="center" wrapText="1"/>
    </xf>
    <xf numFmtId="164" fontId="22" fillId="0" borderId="7" xfId="4" applyNumberFormat="1" applyFont="1" applyBorder="1" applyAlignment="1">
      <alignment horizontal="center" vertical="center" wrapText="1"/>
    </xf>
    <xf numFmtId="164" fontId="22" fillId="0" borderId="8" xfId="4" applyNumberFormat="1" applyFont="1" applyBorder="1" applyAlignment="1">
      <alignment horizontal="center" vertical="center" wrapText="1"/>
    </xf>
    <xf numFmtId="164" fontId="22" fillId="0" borderId="9" xfId="4" applyNumberFormat="1" applyFont="1" applyBorder="1" applyAlignment="1">
      <alignment horizontal="center" vertical="center" wrapText="1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2" fillId="0" borderId="7" xfId="4" applyNumberFormat="1" applyFont="1" applyBorder="1" applyAlignment="1">
      <alignment horizontal="center" vertical="center"/>
    </xf>
    <xf numFmtId="164" fontId="22" fillId="0" borderId="8" xfId="4" applyNumberFormat="1" applyFont="1" applyBorder="1" applyAlignment="1">
      <alignment horizontal="center" vertical="center"/>
    </xf>
    <xf numFmtId="164" fontId="22" fillId="0" borderId="9" xfId="4" applyNumberFormat="1" applyFont="1" applyBorder="1" applyAlignment="1">
      <alignment horizontal="center" vertical="center"/>
    </xf>
    <xf numFmtId="0" fontId="22" fillId="0" borderId="2" xfId="22" applyFont="1" applyBorder="1" applyAlignment="1">
      <alignment horizontal="center" vertical="center" wrapText="1"/>
    </xf>
    <xf numFmtId="0" fontId="23" fillId="0" borderId="3" xfId="22" applyFont="1" applyBorder="1" applyAlignment="1">
      <alignment horizontal="left" vertical="center"/>
    </xf>
    <xf numFmtId="0" fontId="23" fillId="0" borderId="4" xfId="22" applyFont="1" applyBorder="1" applyAlignment="1">
      <alignment horizontal="left" vertical="center"/>
    </xf>
    <xf numFmtId="0" fontId="23" fillId="0" borderId="14" xfId="22" applyFont="1" applyBorder="1" applyAlignment="1">
      <alignment horizontal="left" vertical="center"/>
    </xf>
    <xf numFmtId="0" fontId="23" fillId="0" borderId="2" xfId="22" applyFont="1" applyBorder="1" applyAlignment="1">
      <alignment horizontal="left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24" xfId="4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9">
    <cellStyle name="cg" xfId="2"/>
    <cellStyle name="Comma" xfId="1" builtinId="3"/>
    <cellStyle name="Comma 2" xfId="3"/>
    <cellStyle name="Comma 3" xfId="4"/>
    <cellStyle name="Comma 4" xfId="5"/>
    <cellStyle name="Comma 5" xfId="6"/>
    <cellStyle name="Comma 6" xfId="7"/>
    <cellStyle name="Comma0" xfId="8"/>
    <cellStyle name="Currency0" xfId="9"/>
    <cellStyle name="Date" xfId="10"/>
    <cellStyle name="f1" xfId="11"/>
    <cellStyle name="f2" xfId="12"/>
    <cellStyle name="Fixed" xfId="13"/>
    <cellStyle name="Header1" xfId="14"/>
    <cellStyle name="Header2" xfId="15"/>
    <cellStyle name="k0" xfId="16"/>
    <cellStyle name="k1" xfId="17"/>
    <cellStyle name="k2" xfId="18"/>
    <cellStyle name="k3" xfId="19"/>
    <cellStyle name="moi" xfId="20"/>
    <cellStyle name="Normal" xfId="0" builtinId="0"/>
    <cellStyle name="Normal 2" xfId="21"/>
    <cellStyle name="Normal 3" xfId="22"/>
    <cellStyle name="Normal 4" xfId="23"/>
    <cellStyle name="Normal 4 2" xfId="38"/>
    <cellStyle name="Normal 5" xfId="24"/>
    <cellStyle name="Normal_CHI PHI HANG CHÚ NGUYÊN" xfId="25"/>
    <cellStyle name="TD1" xfId="26"/>
    <cellStyle name="똿뗦먛귟 [0.00]_PRODUCT DETAIL Q1" xfId="27"/>
    <cellStyle name="똿뗦먛귟_PRODUCT DETAIL Q1" xfId="28"/>
    <cellStyle name="믅됞 [0.00]_PRODUCT DETAIL Q1" xfId="29"/>
    <cellStyle name="믅됞_PRODUCT DETAIL Q1" xfId="30"/>
    <cellStyle name="백분율_HOBONG" xfId="31"/>
    <cellStyle name="뷭?_BOOKSHIP" xfId="32"/>
    <cellStyle name="콤마 [0]_1202" xfId="33"/>
    <cellStyle name="콤마_1202" xfId="34"/>
    <cellStyle name="통화 [0]_1202" xfId="35"/>
    <cellStyle name="통화_1202" xfId="36"/>
    <cellStyle name="표준_(정보부문)월별인원계획" xf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91"/>
  <sheetViews>
    <sheetView workbookViewId="0">
      <pane ySplit="3" topLeftCell="A35" activePane="bottomLeft" state="frozen"/>
      <selection pane="bottomLeft" activeCell="K42" sqref="K42:K45"/>
    </sheetView>
  </sheetViews>
  <sheetFormatPr defaultColWidth="10.7109375" defaultRowHeight="18" customHeight="1"/>
  <cols>
    <col min="1" max="1" width="4.7109375" style="1" customWidth="1"/>
    <col min="2" max="2" width="9.7109375" style="1" customWidth="1"/>
    <col min="3" max="3" width="28.7109375" style="1" customWidth="1"/>
    <col min="4" max="4" width="13.85546875" style="1" customWidth="1"/>
    <col min="5" max="5" width="12.7109375" style="1" customWidth="1"/>
    <col min="6" max="6" width="9" style="1" customWidth="1"/>
    <col min="7" max="7" width="6.85546875" style="1" customWidth="1"/>
    <col min="8" max="8" width="11.85546875" style="1" customWidth="1"/>
    <col min="9" max="9" width="8.7109375" style="1" customWidth="1"/>
    <col min="10" max="10" width="9.5703125" style="1" customWidth="1"/>
    <col min="11" max="11" width="11" style="1" customWidth="1"/>
    <col min="12" max="12" width="12" style="1" customWidth="1"/>
    <col min="13" max="16384" width="10.7109375" style="1"/>
  </cols>
  <sheetData>
    <row r="1" spans="1:12" ht="27" customHeight="1">
      <c r="A1" s="234" t="s">
        <v>0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</row>
    <row r="2" spans="1:12" s="2" customFormat="1" ht="19.5" customHeight="1">
      <c r="A2" s="228" t="s">
        <v>1</v>
      </c>
      <c r="B2" s="228" t="s">
        <v>2</v>
      </c>
      <c r="C2" s="235" t="s">
        <v>3</v>
      </c>
      <c r="D2" s="235"/>
      <c r="E2" s="235"/>
      <c r="F2" s="235" t="s">
        <v>4</v>
      </c>
      <c r="G2" s="235"/>
      <c r="H2" s="235"/>
      <c r="I2" s="228" t="s">
        <v>5</v>
      </c>
      <c r="J2" s="235" t="s">
        <v>6</v>
      </c>
      <c r="K2" s="235"/>
      <c r="L2" s="228" t="s">
        <v>87</v>
      </c>
    </row>
    <row r="3" spans="1:12" s="5" customFormat="1" ht="27" customHeight="1">
      <c r="A3" s="228"/>
      <c r="B3" s="228" t="s">
        <v>2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228"/>
      <c r="J3" s="4" t="s">
        <v>13</v>
      </c>
      <c r="K3" s="122" t="s">
        <v>14</v>
      </c>
      <c r="L3" s="228"/>
    </row>
    <row r="4" spans="1:12" s="10" customFormat="1" ht="18" customHeight="1">
      <c r="A4" s="6">
        <f>IF(B4&lt;&gt;"",ROW()-3,"")</f>
        <v>1</v>
      </c>
      <c r="B4" s="7">
        <v>42589</v>
      </c>
      <c r="C4" s="6" t="s">
        <v>15</v>
      </c>
      <c r="D4" s="6" t="s">
        <v>16</v>
      </c>
      <c r="E4" s="6">
        <v>3290158</v>
      </c>
      <c r="F4" s="8">
        <v>26000</v>
      </c>
      <c r="G4" s="9">
        <v>2.85</v>
      </c>
      <c r="H4" s="9">
        <f>F4*G4</f>
        <v>74100</v>
      </c>
      <c r="I4" s="7">
        <v>42595</v>
      </c>
      <c r="J4" s="224">
        <v>42626</v>
      </c>
      <c r="K4" s="227">
        <v>148188</v>
      </c>
      <c r="L4" s="6" t="s">
        <v>113</v>
      </c>
    </row>
    <row r="5" spans="1:12" s="10" customFormat="1" ht="18" customHeight="1">
      <c r="A5" s="6">
        <f t="shared" ref="A5:A23" si="0">IF(B5&lt;&gt;"",ROW()-3,"")</f>
        <v>2</v>
      </c>
      <c r="B5" s="7">
        <v>42589</v>
      </c>
      <c r="C5" s="6" t="s">
        <v>15</v>
      </c>
      <c r="D5" s="11" t="s">
        <v>17</v>
      </c>
      <c r="E5" s="11">
        <v>3290198</v>
      </c>
      <c r="F5" s="8">
        <v>26000</v>
      </c>
      <c r="G5" s="9">
        <v>2.85</v>
      </c>
      <c r="H5" s="9">
        <f t="shared" ref="H5:H89" si="1">F5*G5</f>
        <v>74100</v>
      </c>
      <c r="I5" s="12">
        <v>42595</v>
      </c>
      <c r="J5" s="232"/>
      <c r="K5" s="233"/>
      <c r="L5" s="6" t="s">
        <v>113</v>
      </c>
    </row>
    <row r="6" spans="1:12" s="10" customFormat="1" ht="18" customHeight="1">
      <c r="A6" s="6">
        <f t="shared" si="0"/>
        <v>3</v>
      </c>
      <c r="B6" s="12">
        <v>42596</v>
      </c>
      <c r="C6" s="11" t="s">
        <v>18</v>
      </c>
      <c r="D6" s="11" t="s">
        <v>19</v>
      </c>
      <c r="E6" s="11">
        <v>3751842</v>
      </c>
      <c r="F6" s="8">
        <v>26000</v>
      </c>
      <c r="G6" s="9">
        <v>2.85</v>
      </c>
      <c r="H6" s="9">
        <f t="shared" si="1"/>
        <v>74100</v>
      </c>
      <c r="I6" s="12">
        <v>42604</v>
      </c>
      <c r="J6" s="232">
        <v>42633</v>
      </c>
      <c r="K6" s="233">
        <v>148188</v>
      </c>
      <c r="L6" s="6" t="s">
        <v>113</v>
      </c>
    </row>
    <row r="7" spans="1:12" s="10" customFormat="1" ht="18" customHeight="1">
      <c r="A7" s="6">
        <f t="shared" si="0"/>
        <v>4</v>
      </c>
      <c r="B7" s="12">
        <v>42596</v>
      </c>
      <c r="C7" s="11" t="s">
        <v>18</v>
      </c>
      <c r="D7" s="11" t="s">
        <v>20</v>
      </c>
      <c r="E7" s="11">
        <v>3755190</v>
      </c>
      <c r="F7" s="8">
        <v>26000</v>
      </c>
      <c r="G7" s="9">
        <v>2.85</v>
      </c>
      <c r="H7" s="9">
        <f t="shared" si="1"/>
        <v>74100</v>
      </c>
      <c r="I7" s="12">
        <v>42604</v>
      </c>
      <c r="J7" s="232"/>
      <c r="K7" s="233"/>
      <c r="L7" s="6" t="s">
        <v>113</v>
      </c>
    </row>
    <row r="8" spans="1:12" s="10" customFormat="1" ht="18" customHeight="1">
      <c r="A8" s="6">
        <f t="shared" si="0"/>
        <v>5</v>
      </c>
      <c r="B8" s="12">
        <v>42662</v>
      </c>
      <c r="C8" s="11" t="s">
        <v>21</v>
      </c>
      <c r="D8" s="11" t="s">
        <v>22</v>
      </c>
      <c r="E8" s="11" t="s">
        <v>64</v>
      </c>
      <c r="F8" s="8">
        <v>26000</v>
      </c>
      <c r="G8" s="9">
        <v>2.8</v>
      </c>
      <c r="H8" s="9">
        <f t="shared" si="1"/>
        <v>72800</v>
      </c>
      <c r="I8" s="12">
        <v>42670</v>
      </c>
      <c r="J8" s="232">
        <v>42685</v>
      </c>
      <c r="K8" s="233">
        <v>145588</v>
      </c>
      <c r="L8" s="6" t="s">
        <v>85</v>
      </c>
    </row>
    <row r="9" spans="1:12" s="10" customFormat="1" ht="18" customHeight="1">
      <c r="A9" s="6">
        <f t="shared" si="0"/>
        <v>6</v>
      </c>
      <c r="B9" s="12">
        <v>42662</v>
      </c>
      <c r="C9" s="11" t="s">
        <v>21</v>
      </c>
      <c r="D9" s="11" t="s">
        <v>23</v>
      </c>
      <c r="E9" s="11" t="s">
        <v>65</v>
      </c>
      <c r="F9" s="8">
        <v>26000</v>
      </c>
      <c r="G9" s="9">
        <v>2.8</v>
      </c>
      <c r="H9" s="9">
        <f t="shared" si="1"/>
        <v>72800</v>
      </c>
      <c r="I9" s="12">
        <v>42670</v>
      </c>
      <c r="J9" s="232"/>
      <c r="K9" s="233"/>
      <c r="L9" s="6" t="s">
        <v>86</v>
      </c>
    </row>
    <row r="10" spans="1:12" s="10" customFormat="1" ht="18" customHeight="1">
      <c r="A10" s="6">
        <f t="shared" si="0"/>
        <v>7</v>
      </c>
      <c r="B10" s="12">
        <v>42675</v>
      </c>
      <c r="C10" s="11" t="s">
        <v>66</v>
      </c>
      <c r="D10" s="11" t="s">
        <v>67</v>
      </c>
      <c r="E10" s="11" t="s">
        <v>69</v>
      </c>
      <c r="F10" s="8">
        <v>26000</v>
      </c>
      <c r="G10" s="9">
        <v>2.8</v>
      </c>
      <c r="H10" s="9">
        <f t="shared" si="1"/>
        <v>72800</v>
      </c>
      <c r="I10" s="12"/>
      <c r="J10" s="224">
        <v>42689</v>
      </c>
      <c r="K10" s="233">
        <v>145588</v>
      </c>
      <c r="L10" s="6" t="s">
        <v>113</v>
      </c>
    </row>
    <row r="11" spans="1:12" s="10" customFormat="1" ht="18" customHeight="1">
      <c r="A11" s="6">
        <f t="shared" si="0"/>
        <v>8</v>
      </c>
      <c r="B11" s="12">
        <v>42675</v>
      </c>
      <c r="C11" s="11" t="s">
        <v>66</v>
      </c>
      <c r="D11" s="11" t="s">
        <v>68</v>
      </c>
      <c r="E11" s="11" t="s">
        <v>70</v>
      </c>
      <c r="F11" s="8">
        <v>26000</v>
      </c>
      <c r="G11" s="9">
        <v>2.8</v>
      </c>
      <c r="H11" s="9">
        <f t="shared" si="1"/>
        <v>72800</v>
      </c>
      <c r="I11" s="12"/>
      <c r="J11" s="232"/>
      <c r="K11" s="233"/>
      <c r="L11" s="6" t="s">
        <v>86</v>
      </c>
    </row>
    <row r="12" spans="1:12" s="10" customFormat="1" ht="18" customHeight="1">
      <c r="A12" s="6">
        <v>9</v>
      </c>
      <c r="B12" s="12">
        <v>42678</v>
      </c>
      <c r="C12" s="11" t="s">
        <v>71</v>
      </c>
      <c r="D12" s="10" t="s">
        <v>72</v>
      </c>
      <c r="E12" s="11">
        <v>3679964</v>
      </c>
      <c r="F12" s="8">
        <v>26000</v>
      </c>
      <c r="G12" s="9">
        <v>2.8</v>
      </c>
      <c r="H12" s="9">
        <f t="shared" ref="H12:H13" si="2">F12*G12</f>
        <v>72800</v>
      </c>
      <c r="I12" s="12"/>
      <c r="J12" s="222">
        <v>42696</v>
      </c>
      <c r="K12" s="225">
        <v>291188</v>
      </c>
      <c r="L12" s="6" t="s">
        <v>113</v>
      </c>
    </row>
    <row r="13" spans="1:12" s="10" customFormat="1" ht="18" customHeight="1">
      <c r="A13" s="6">
        <v>10</v>
      </c>
      <c r="B13" s="12">
        <v>42678</v>
      </c>
      <c r="C13" s="11" t="s">
        <v>71</v>
      </c>
      <c r="D13" s="11" t="s">
        <v>73</v>
      </c>
      <c r="E13" s="11">
        <v>3679968</v>
      </c>
      <c r="F13" s="8">
        <v>26000</v>
      </c>
      <c r="G13" s="9">
        <v>2.8</v>
      </c>
      <c r="H13" s="9">
        <f t="shared" si="2"/>
        <v>72800</v>
      </c>
      <c r="I13" s="12"/>
      <c r="J13" s="223"/>
      <c r="K13" s="226"/>
      <c r="L13" s="6" t="s">
        <v>113</v>
      </c>
    </row>
    <row r="14" spans="1:12" s="10" customFormat="1" ht="18" customHeight="1">
      <c r="A14" s="6">
        <v>11</v>
      </c>
      <c r="B14" s="12">
        <v>42678</v>
      </c>
      <c r="C14" s="11" t="s">
        <v>71</v>
      </c>
      <c r="D14" s="103" t="s">
        <v>74</v>
      </c>
      <c r="E14" s="11">
        <v>3679957</v>
      </c>
      <c r="F14" s="8">
        <v>26000</v>
      </c>
      <c r="G14" s="9">
        <v>2.8</v>
      </c>
      <c r="H14" s="9">
        <f t="shared" ref="H14:H15" si="3">F14*G14</f>
        <v>72800</v>
      </c>
      <c r="I14" s="12"/>
      <c r="J14" s="223"/>
      <c r="K14" s="226"/>
      <c r="L14" s="6" t="s">
        <v>86</v>
      </c>
    </row>
    <row r="15" spans="1:12" s="10" customFormat="1" ht="18" customHeight="1">
      <c r="A15" s="6">
        <v>12</v>
      </c>
      <c r="B15" s="12">
        <v>42678</v>
      </c>
      <c r="C15" s="11" t="s">
        <v>71</v>
      </c>
      <c r="D15" s="11" t="s">
        <v>75</v>
      </c>
      <c r="E15" s="11">
        <v>3679951</v>
      </c>
      <c r="F15" s="8">
        <v>26000</v>
      </c>
      <c r="G15" s="9">
        <v>2.8</v>
      </c>
      <c r="H15" s="9">
        <f t="shared" si="3"/>
        <v>72800</v>
      </c>
      <c r="I15" s="12"/>
      <c r="J15" s="224"/>
      <c r="K15" s="227"/>
      <c r="L15" s="6" t="s">
        <v>86</v>
      </c>
    </row>
    <row r="16" spans="1:12" s="10" customFormat="1" ht="18" customHeight="1">
      <c r="A16" s="6">
        <v>13</v>
      </c>
      <c r="B16" s="12">
        <v>42682</v>
      </c>
      <c r="C16" s="11" t="s">
        <v>171</v>
      </c>
      <c r="D16" s="11" t="s">
        <v>76</v>
      </c>
      <c r="E16" s="11" t="s">
        <v>78</v>
      </c>
      <c r="F16" s="8">
        <v>26000</v>
      </c>
      <c r="G16" s="9">
        <v>2.8</v>
      </c>
      <c r="H16" s="9">
        <f t="shared" ref="H16:H17" si="4">F16*G16</f>
        <v>72800</v>
      </c>
      <c r="I16" s="12"/>
      <c r="J16" s="224">
        <v>42699</v>
      </c>
      <c r="K16" s="233">
        <v>145588</v>
      </c>
      <c r="L16" s="6" t="s">
        <v>113</v>
      </c>
    </row>
    <row r="17" spans="1:12" s="10" customFormat="1" ht="18" customHeight="1">
      <c r="A17" s="6">
        <v>14</v>
      </c>
      <c r="B17" s="12">
        <v>42682</v>
      </c>
      <c r="C17" s="11" t="s">
        <v>171</v>
      </c>
      <c r="D17" s="11" t="s">
        <v>77</v>
      </c>
      <c r="E17" s="11" t="s">
        <v>79</v>
      </c>
      <c r="F17" s="8">
        <v>26000</v>
      </c>
      <c r="G17" s="9">
        <v>2.8</v>
      </c>
      <c r="H17" s="9">
        <f t="shared" si="4"/>
        <v>72800</v>
      </c>
      <c r="I17" s="12"/>
      <c r="J17" s="232"/>
      <c r="K17" s="233"/>
      <c r="L17" s="6" t="s">
        <v>113</v>
      </c>
    </row>
    <row r="18" spans="1:12" s="10" customFormat="1" ht="18" customHeight="1">
      <c r="A18" s="6">
        <f t="shared" si="0"/>
        <v>15</v>
      </c>
      <c r="B18" s="12">
        <v>42684</v>
      </c>
      <c r="C18" s="11" t="s">
        <v>170</v>
      </c>
      <c r="D18" s="11" t="s">
        <v>137</v>
      </c>
      <c r="E18" s="11">
        <v>3756229</v>
      </c>
      <c r="F18" s="8">
        <v>26000</v>
      </c>
      <c r="G18" s="9">
        <v>2.8</v>
      </c>
      <c r="H18" s="9">
        <f t="shared" si="1"/>
        <v>72800</v>
      </c>
      <c r="I18" s="12"/>
      <c r="J18" s="224">
        <v>42702</v>
      </c>
      <c r="K18" s="233">
        <v>145588</v>
      </c>
      <c r="L18" s="6" t="s">
        <v>113</v>
      </c>
    </row>
    <row r="19" spans="1:12" s="10" customFormat="1" ht="18" customHeight="1">
      <c r="A19" s="6">
        <f t="shared" si="0"/>
        <v>16</v>
      </c>
      <c r="B19" s="12">
        <v>42685</v>
      </c>
      <c r="C19" s="11" t="s">
        <v>170</v>
      </c>
      <c r="D19" s="11" t="s">
        <v>138</v>
      </c>
      <c r="E19" s="11">
        <v>3756225</v>
      </c>
      <c r="F19" s="8">
        <v>26000</v>
      </c>
      <c r="G19" s="9">
        <v>2.8</v>
      </c>
      <c r="H19" s="9">
        <f t="shared" si="1"/>
        <v>72800</v>
      </c>
      <c r="I19" s="12"/>
      <c r="J19" s="232"/>
      <c r="K19" s="233"/>
      <c r="L19" s="6" t="s">
        <v>113</v>
      </c>
    </row>
    <row r="20" spans="1:12" s="10" customFormat="1" ht="18" customHeight="1">
      <c r="A20" s="6">
        <f t="shared" si="0"/>
        <v>17</v>
      </c>
      <c r="B20" s="12">
        <v>42690</v>
      </c>
      <c r="C20" s="11" t="s">
        <v>169</v>
      </c>
      <c r="D20" s="11" t="s">
        <v>139</v>
      </c>
      <c r="E20" s="11" t="s">
        <v>141</v>
      </c>
      <c r="F20" s="8">
        <v>26000</v>
      </c>
      <c r="G20" s="140">
        <v>2.8</v>
      </c>
      <c r="H20" s="9">
        <f t="shared" si="1"/>
        <v>72800</v>
      </c>
      <c r="I20" s="12"/>
      <c r="J20" s="222">
        <v>42709</v>
      </c>
      <c r="K20" s="225">
        <v>291188</v>
      </c>
      <c r="L20" s="6" t="s">
        <v>113</v>
      </c>
    </row>
    <row r="21" spans="1:12" s="10" customFormat="1" ht="18" customHeight="1">
      <c r="A21" s="6">
        <f t="shared" si="0"/>
        <v>18</v>
      </c>
      <c r="B21" s="139">
        <v>42690</v>
      </c>
      <c r="C21" s="11" t="s">
        <v>169</v>
      </c>
      <c r="D21" s="11" t="s">
        <v>140</v>
      </c>
      <c r="E21" s="11" t="s">
        <v>142</v>
      </c>
      <c r="F21" s="8">
        <v>26000</v>
      </c>
      <c r="G21" s="140">
        <v>2.8</v>
      </c>
      <c r="H21" s="9">
        <f t="shared" si="1"/>
        <v>72800</v>
      </c>
      <c r="I21" s="12"/>
      <c r="J21" s="223"/>
      <c r="K21" s="226"/>
      <c r="L21" s="6" t="s">
        <v>113</v>
      </c>
    </row>
    <row r="22" spans="1:12" s="10" customFormat="1" ht="18" customHeight="1">
      <c r="A22" s="6">
        <f t="shared" si="0"/>
        <v>19</v>
      </c>
      <c r="B22" s="139">
        <v>42691</v>
      </c>
      <c r="C22" s="11" t="s">
        <v>145</v>
      </c>
      <c r="D22" s="11" t="s">
        <v>143</v>
      </c>
      <c r="E22" s="11">
        <v>3756238</v>
      </c>
      <c r="F22" s="8">
        <v>26000</v>
      </c>
      <c r="G22" s="140">
        <v>2.8</v>
      </c>
      <c r="H22" s="9">
        <f t="shared" si="1"/>
        <v>72800</v>
      </c>
      <c r="I22" s="12"/>
      <c r="J22" s="223"/>
      <c r="K22" s="226"/>
      <c r="L22" s="6" t="s">
        <v>113</v>
      </c>
    </row>
    <row r="23" spans="1:12" s="10" customFormat="1" ht="18" customHeight="1">
      <c r="A23" s="6">
        <f t="shared" si="0"/>
        <v>20</v>
      </c>
      <c r="B23" s="139">
        <v>42691</v>
      </c>
      <c r="C23" s="11" t="s">
        <v>145</v>
      </c>
      <c r="D23" s="11" t="s">
        <v>144</v>
      </c>
      <c r="E23" s="11">
        <v>3743082</v>
      </c>
      <c r="F23" s="8">
        <v>26000</v>
      </c>
      <c r="G23" s="140">
        <v>2.8</v>
      </c>
      <c r="H23" s="9">
        <f t="shared" si="1"/>
        <v>72800</v>
      </c>
      <c r="I23" s="12"/>
      <c r="J23" s="224"/>
      <c r="K23" s="227"/>
      <c r="L23" s="6" t="s">
        <v>113</v>
      </c>
    </row>
    <row r="24" spans="1:12" s="10" customFormat="1" ht="18" customHeight="1">
      <c r="A24" s="6">
        <v>21</v>
      </c>
      <c r="B24" s="12">
        <v>42699</v>
      </c>
      <c r="C24" s="11" t="s">
        <v>159</v>
      </c>
      <c r="D24" s="11" t="s">
        <v>160</v>
      </c>
      <c r="E24" s="11" t="s">
        <v>164</v>
      </c>
      <c r="F24" s="8">
        <v>26000</v>
      </c>
      <c r="G24" s="147">
        <v>2.8</v>
      </c>
      <c r="H24" s="147">
        <f t="shared" ref="H24:H27" si="5">F24*G24</f>
        <v>72800</v>
      </c>
      <c r="I24" s="12"/>
      <c r="J24" s="222">
        <v>42716</v>
      </c>
      <c r="K24" s="225">
        <v>291188</v>
      </c>
      <c r="L24" s="6" t="s">
        <v>168</v>
      </c>
    </row>
    <row r="25" spans="1:12" s="10" customFormat="1" ht="18" customHeight="1">
      <c r="A25" s="6">
        <v>22</v>
      </c>
      <c r="B25" s="146">
        <v>42699</v>
      </c>
      <c r="C25" s="11" t="s">
        <v>159</v>
      </c>
      <c r="D25" s="11" t="s">
        <v>161</v>
      </c>
      <c r="E25" s="11" t="s">
        <v>165</v>
      </c>
      <c r="F25" s="8">
        <v>26000</v>
      </c>
      <c r="G25" s="147">
        <v>2.8</v>
      </c>
      <c r="H25" s="147">
        <f t="shared" si="5"/>
        <v>72800</v>
      </c>
      <c r="I25" s="12"/>
      <c r="J25" s="223"/>
      <c r="K25" s="226"/>
      <c r="L25" s="6" t="s">
        <v>168</v>
      </c>
    </row>
    <row r="26" spans="1:12" s="10" customFormat="1" ht="18" customHeight="1">
      <c r="A26" s="6">
        <f t="shared" ref="A26:A27" si="6">IF(B26&lt;&gt;"",ROW()-3,"")</f>
        <v>23</v>
      </c>
      <c r="B26" s="146">
        <v>42699</v>
      </c>
      <c r="C26" s="11" t="s">
        <v>159</v>
      </c>
      <c r="D26" s="11" t="s">
        <v>162</v>
      </c>
      <c r="E26" s="11" t="s">
        <v>166</v>
      </c>
      <c r="F26" s="8">
        <v>26000</v>
      </c>
      <c r="G26" s="147">
        <v>2.8</v>
      </c>
      <c r="H26" s="147">
        <f t="shared" si="5"/>
        <v>72800</v>
      </c>
      <c r="I26" s="12"/>
      <c r="J26" s="223"/>
      <c r="K26" s="226"/>
      <c r="L26" s="6" t="s">
        <v>113</v>
      </c>
    </row>
    <row r="27" spans="1:12" s="10" customFormat="1" ht="18" customHeight="1">
      <c r="A27" s="6">
        <f t="shared" si="6"/>
        <v>24</v>
      </c>
      <c r="B27" s="146">
        <v>42699</v>
      </c>
      <c r="C27" s="11" t="s">
        <v>159</v>
      </c>
      <c r="D27" s="11" t="s">
        <v>163</v>
      </c>
      <c r="E27" s="11" t="s">
        <v>167</v>
      </c>
      <c r="F27" s="8">
        <v>26000</v>
      </c>
      <c r="G27" s="147">
        <v>2.8</v>
      </c>
      <c r="H27" s="147">
        <f t="shared" si="5"/>
        <v>72800</v>
      </c>
      <c r="I27" s="12"/>
      <c r="J27" s="224"/>
      <c r="K27" s="227"/>
      <c r="L27" s="6" t="s">
        <v>113</v>
      </c>
    </row>
    <row r="28" spans="1:12" s="10" customFormat="1" ht="18" customHeight="1">
      <c r="A28" s="6">
        <f t="shared" ref="A28:A46" si="7">IF(B28&lt;&gt;"",ROW()-3,"")</f>
        <v>25</v>
      </c>
      <c r="B28" s="12">
        <v>42702</v>
      </c>
      <c r="C28" s="11" t="s">
        <v>172</v>
      </c>
      <c r="D28" s="11" t="s">
        <v>173</v>
      </c>
      <c r="E28" s="11" t="s">
        <v>177</v>
      </c>
      <c r="F28" s="8">
        <v>26000</v>
      </c>
      <c r="G28" s="147">
        <v>2.8</v>
      </c>
      <c r="H28" s="147">
        <f t="shared" ref="H28:H31" si="8">F28*G28</f>
        <v>72800</v>
      </c>
      <c r="I28" s="12"/>
      <c r="J28" s="222">
        <v>42723</v>
      </c>
      <c r="K28" s="225">
        <v>291083</v>
      </c>
      <c r="L28" s="6" t="s">
        <v>168</v>
      </c>
    </row>
    <row r="29" spans="1:12" s="10" customFormat="1" ht="18" customHeight="1">
      <c r="A29" s="6">
        <f t="shared" si="7"/>
        <v>26</v>
      </c>
      <c r="B29" s="146">
        <v>42702</v>
      </c>
      <c r="C29" s="11" t="s">
        <v>172</v>
      </c>
      <c r="D29" s="11" t="s">
        <v>174</v>
      </c>
      <c r="E29" s="11" t="s">
        <v>178</v>
      </c>
      <c r="F29" s="8">
        <v>26000</v>
      </c>
      <c r="G29" s="147">
        <v>2.8</v>
      </c>
      <c r="H29" s="147">
        <f t="shared" si="8"/>
        <v>72800</v>
      </c>
      <c r="I29" s="12"/>
      <c r="J29" s="223"/>
      <c r="K29" s="226"/>
      <c r="L29" s="6" t="s">
        <v>113</v>
      </c>
    </row>
    <row r="30" spans="1:12" s="10" customFormat="1" ht="18" customHeight="1">
      <c r="A30" s="6">
        <f t="shared" si="7"/>
        <v>27</v>
      </c>
      <c r="B30" s="146">
        <v>42702</v>
      </c>
      <c r="C30" s="11" t="s">
        <v>172</v>
      </c>
      <c r="D30" s="11" t="s">
        <v>175</v>
      </c>
      <c r="E30" s="11" t="s">
        <v>179</v>
      </c>
      <c r="F30" s="8">
        <v>26000</v>
      </c>
      <c r="G30" s="147">
        <v>2.8</v>
      </c>
      <c r="H30" s="147">
        <f t="shared" si="8"/>
        <v>72800</v>
      </c>
      <c r="I30" s="12"/>
      <c r="J30" s="223"/>
      <c r="K30" s="226"/>
      <c r="L30" s="6" t="s">
        <v>86</v>
      </c>
    </row>
    <row r="31" spans="1:12" s="10" customFormat="1" ht="18" customHeight="1">
      <c r="A31" s="6">
        <f t="shared" si="7"/>
        <v>28</v>
      </c>
      <c r="B31" s="146">
        <v>42702</v>
      </c>
      <c r="C31" s="11" t="s">
        <v>172</v>
      </c>
      <c r="D31" s="11" t="s">
        <v>176</v>
      </c>
      <c r="E31" s="11" t="s">
        <v>180</v>
      </c>
      <c r="F31" s="8">
        <v>26000</v>
      </c>
      <c r="G31" s="147">
        <v>2.8</v>
      </c>
      <c r="H31" s="147">
        <f t="shared" si="8"/>
        <v>72800</v>
      </c>
      <c r="I31" s="12"/>
      <c r="J31" s="224"/>
      <c r="K31" s="227"/>
      <c r="L31" s="6" t="s">
        <v>86</v>
      </c>
    </row>
    <row r="32" spans="1:12" s="10" customFormat="1" ht="18" customHeight="1">
      <c r="A32" s="6">
        <f t="shared" si="7"/>
        <v>29</v>
      </c>
      <c r="B32" s="12">
        <v>42706</v>
      </c>
      <c r="C32" s="11" t="s">
        <v>233</v>
      </c>
      <c r="D32" s="103" t="s">
        <v>234</v>
      </c>
      <c r="E32" s="11" t="s">
        <v>235</v>
      </c>
      <c r="F32" s="8">
        <v>26000</v>
      </c>
      <c r="G32" s="207">
        <v>2.8</v>
      </c>
      <c r="H32" s="154">
        <f>F32*G32</f>
        <v>72800</v>
      </c>
      <c r="I32" s="148"/>
      <c r="J32" s="222">
        <v>42725</v>
      </c>
      <c r="K32" s="225">
        <v>281723</v>
      </c>
      <c r="L32" s="6" t="s">
        <v>168</v>
      </c>
    </row>
    <row r="33" spans="1:12" s="10" customFormat="1" ht="18" customHeight="1">
      <c r="A33" s="6">
        <f t="shared" si="7"/>
        <v>30</v>
      </c>
      <c r="B33" s="155">
        <v>42706</v>
      </c>
      <c r="C33" s="11" t="s">
        <v>233</v>
      </c>
      <c r="D33" s="11" t="s">
        <v>236</v>
      </c>
      <c r="E33" s="11" t="s">
        <v>237</v>
      </c>
      <c r="F33" s="8">
        <v>26000</v>
      </c>
      <c r="G33" s="164">
        <v>2.68</v>
      </c>
      <c r="H33" s="165">
        <f>F33*G33</f>
        <v>69680</v>
      </c>
      <c r="I33" s="148"/>
      <c r="J33" s="223"/>
      <c r="K33" s="226"/>
      <c r="L33" s="6" t="s">
        <v>168</v>
      </c>
    </row>
    <row r="34" spans="1:12" s="10" customFormat="1" ht="18" customHeight="1">
      <c r="A34" s="6">
        <f t="shared" si="7"/>
        <v>31</v>
      </c>
      <c r="B34" s="155">
        <v>42706</v>
      </c>
      <c r="C34" s="11" t="s">
        <v>233</v>
      </c>
      <c r="D34" s="11" t="s">
        <v>238</v>
      </c>
      <c r="E34" s="11" t="s">
        <v>239</v>
      </c>
      <c r="F34" s="8">
        <v>26000</v>
      </c>
      <c r="G34" s="164">
        <v>2.68</v>
      </c>
      <c r="H34" s="165">
        <f>F34*G34</f>
        <v>69680</v>
      </c>
      <c r="I34" s="148"/>
      <c r="J34" s="223"/>
      <c r="K34" s="226"/>
      <c r="L34" s="6" t="s">
        <v>168</v>
      </c>
    </row>
    <row r="35" spans="1:12" s="10" customFormat="1" ht="18" customHeight="1">
      <c r="A35" s="6">
        <f t="shared" si="7"/>
        <v>32</v>
      </c>
      <c r="B35" s="155">
        <v>42706</v>
      </c>
      <c r="C35" s="11" t="s">
        <v>233</v>
      </c>
      <c r="D35" s="11" t="s">
        <v>240</v>
      </c>
      <c r="E35" s="11" t="s">
        <v>241</v>
      </c>
      <c r="F35" s="8">
        <v>26000</v>
      </c>
      <c r="G35" s="164">
        <v>2.68</v>
      </c>
      <c r="H35" s="165">
        <f>F35*G35</f>
        <v>69680</v>
      </c>
      <c r="I35" s="148"/>
      <c r="J35" s="224"/>
      <c r="K35" s="227"/>
      <c r="L35" s="6" t="s">
        <v>113</v>
      </c>
    </row>
    <row r="36" spans="1:12" s="10" customFormat="1" ht="18" customHeight="1">
      <c r="A36" s="6">
        <f t="shared" si="7"/>
        <v>33</v>
      </c>
      <c r="B36" s="148">
        <v>42711</v>
      </c>
      <c r="C36" s="11" t="s">
        <v>242</v>
      </c>
      <c r="D36" s="11" t="s">
        <v>243</v>
      </c>
      <c r="E36" s="11">
        <v>4852784</v>
      </c>
      <c r="F36" s="8">
        <v>26351</v>
      </c>
      <c r="G36" s="195">
        <v>2.68</v>
      </c>
      <c r="H36" s="196">
        <f t="shared" ref="H36:H39" si="9">F36*G36</f>
        <v>70620.680000000008</v>
      </c>
      <c r="I36" s="148"/>
      <c r="J36" s="222">
        <v>42728</v>
      </c>
      <c r="K36" s="225">
        <v>282365.71999999997</v>
      </c>
      <c r="L36" s="6" t="s">
        <v>168</v>
      </c>
    </row>
    <row r="37" spans="1:12" s="10" customFormat="1" ht="18" customHeight="1">
      <c r="A37" s="6">
        <f t="shared" si="7"/>
        <v>34</v>
      </c>
      <c r="B37" s="163">
        <v>42711</v>
      </c>
      <c r="C37" s="11" t="s">
        <v>242</v>
      </c>
      <c r="D37" s="11" t="s">
        <v>244</v>
      </c>
      <c r="E37" s="11">
        <v>4852733</v>
      </c>
      <c r="F37" s="8">
        <v>26351</v>
      </c>
      <c r="G37" s="195">
        <v>2.68</v>
      </c>
      <c r="H37" s="196">
        <f t="shared" si="9"/>
        <v>70620.680000000008</v>
      </c>
      <c r="I37" s="163"/>
      <c r="J37" s="223"/>
      <c r="K37" s="226"/>
      <c r="L37" s="6" t="s">
        <v>168</v>
      </c>
    </row>
    <row r="38" spans="1:12" s="10" customFormat="1" ht="18" customHeight="1">
      <c r="A38" s="6">
        <f t="shared" si="7"/>
        <v>35</v>
      </c>
      <c r="B38" s="163">
        <v>42711</v>
      </c>
      <c r="C38" s="11" t="s">
        <v>242</v>
      </c>
      <c r="D38" s="11" t="s">
        <v>245</v>
      </c>
      <c r="E38" s="11">
        <v>4852701</v>
      </c>
      <c r="F38" s="8">
        <v>26351</v>
      </c>
      <c r="G38" s="195">
        <v>2.68</v>
      </c>
      <c r="H38" s="196">
        <f t="shared" si="9"/>
        <v>70620.680000000008</v>
      </c>
      <c r="I38" s="163"/>
      <c r="J38" s="223"/>
      <c r="K38" s="226"/>
      <c r="L38" s="6" t="s">
        <v>168</v>
      </c>
    </row>
    <row r="39" spans="1:12" s="10" customFormat="1" ht="18" customHeight="1">
      <c r="A39" s="6">
        <f t="shared" si="7"/>
        <v>36</v>
      </c>
      <c r="B39" s="163">
        <v>42711</v>
      </c>
      <c r="C39" s="11" t="s">
        <v>242</v>
      </c>
      <c r="D39" s="11" t="s">
        <v>246</v>
      </c>
      <c r="E39" s="11">
        <v>4852777</v>
      </c>
      <c r="F39" s="8">
        <v>26351</v>
      </c>
      <c r="G39" s="195">
        <v>2.68</v>
      </c>
      <c r="H39" s="196">
        <f t="shared" si="9"/>
        <v>70620.680000000008</v>
      </c>
      <c r="I39" s="163"/>
      <c r="J39" s="224"/>
      <c r="K39" s="227"/>
      <c r="L39" s="6" t="s">
        <v>113</v>
      </c>
    </row>
    <row r="40" spans="1:12" s="10" customFormat="1" ht="18" customHeight="1">
      <c r="A40" s="6">
        <f t="shared" si="7"/>
        <v>37</v>
      </c>
      <c r="B40" s="163">
        <v>42713</v>
      </c>
      <c r="C40" s="11" t="s">
        <v>242</v>
      </c>
      <c r="D40" s="11" t="s">
        <v>247</v>
      </c>
      <c r="E40" s="11">
        <v>4865726</v>
      </c>
      <c r="F40" s="8">
        <v>26351</v>
      </c>
      <c r="G40" s="164">
        <v>2.68</v>
      </c>
      <c r="H40" s="165">
        <f t="shared" ref="H40:H43" si="10">F40*G40</f>
        <v>70620.680000000008</v>
      </c>
      <c r="I40" s="218"/>
      <c r="J40" s="152"/>
      <c r="K40" s="153"/>
      <c r="L40" s="11" t="s">
        <v>113</v>
      </c>
    </row>
    <row r="41" spans="1:12" s="10" customFormat="1" ht="18" customHeight="1">
      <c r="A41" s="6">
        <f t="shared" si="7"/>
        <v>38</v>
      </c>
      <c r="B41" s="163">
        <v>42713</v>
      </c>
      <c r="C41" s="11" t="s">
        <v>242</v>
      </c>
      <c r="D41" s="11" t="s">
        <v>248</v>
      </c>
      <c r="E41" s="11">
        <v>4852764</v>
      </c>
      <c r="F41" s="151">
        <v>26000</v>
      </c>
      <c r="G41" s="165">
        <v>2.83</v>
      </c>
      <c r="H41" s="165">
        <f t="shared" si="10"/>
        <v>73580</v>
      </c>
      <c r="I41" s="218"/>
      <c r="J41" s="152"/>
      <c r="K41" s="153"/>
      <c r="L41" s="11" t="s">
        <v>86</v>
      </c>
    </row>
    <row r="42" spans="1:12" s="10" customFormat="1" ht="18" customHeight="1">
      <c r="A42" s="6">
        <f t="shared" si="7"/>
        <v>39</v>
      </c>
      <c r="B42" s="163">
        <v>42713</v>
      </c>
      <c r="C42" s="11" t="s">
        <v>242</v>
      </c>
      <c r="D42" s="11" t="s">
        <v>249</v>
      </c>
      <c r="E42" s="11">
        <v>4849737</v>
      </c>
      <c r="F42" s="151">
        <v>26000</v>
      </c>
      <c r="G42" s="165">
        <v>2.83</v>
      </c>
      <c r="H42" s="165">
        <f t="shared" si="10"/>
        <v>73580</v>
      </c>
      <c r="I42" s="218"/>
      <c r="J42" s="222">
        <v>42733</v>
      </c>
      <c r="K42" s="225">
        <v>294308</v>
      </c>
      <c r="L42" s="11" t="s">
        <v>86</v>
      </c>
    </row>
    <row r="43" spans="1:12" s="10" customFormat="1" ht="18" customHeight="1">
      <c r="A43" s="6">
        <f t="shared" si="7"/>
        <v>40</v>
      </c>
      <c r="B43" s="163">
        <v>42713</v>
      </c>
      <c r="C43" s="11" t="s">
        <v>242</v>
      </c>
      <c r="D43" s="11" t="s">
        <v>250</v>
      </c>
      <c r="E43" s="11">
        <v>4852756</v>
      </c>
      <c r="F43" s="151">
        <v>26000</v>
      </c>
      <c r="G43" s="165">
        <v>2.83</v>
      </c>
      <c r="H43" s="165">
        <f t="shared" si="10"/>
        <v>73580</v>
      </c>
      <c r="I43" s="218"/>
      <c r="J43" s="223"/>
      <c r="K43" s="226"/>
      <c r="L43" s="11" t="s">
        <v>86</v>
      </c>
    </row>
    <row r="44" spans="1:12" s="10" customFormat="1" ht="18" customHeight="1">
      <c r="A44" s="6">
        <f t="shared" si="7"/>
        <v>41</v>
      </c>
      <c r="B44" s="163">
        <v>42713</v>
      </c>
      <c r="C44" s="11" t="s">
        <v>242</v>
      </c>
      <c r="D44" s="11" t="s">
        <v>251</v>
      </c>
      <c r="E44" s="11">
        <v>4852789</v>
      </c>
      <c r="F44" s="151">
        <v>26000</v>
      </c>
      <c r="G44" s="165">
        <v>2.83</v>
      </c>
      <c r="H44" s="154">
        <f t="shared" si="1"/>
        <v>73580</v>
      </c>
      <c r="I44" s="218"/>
      <c r="J44" s="223"/>
      <c r="K44" s="226"/>
      <c r="L44" s="11" t="s">
        <v>86</v>
      </c>
    </row>
    <row r="45" spans="1:12" s="10" customFormat="1" ht="18" customHeight="1">
      <c r="A45" s="6">
        <f t="shared" si="7"/>
        <v>42</v>
      </c>
      <c r="B45" s="163">
        <v>42713</v>
      </c>
      <c r="C45" s="11" t="s">
        <v>242</v>
      </c>
      <c r="D45" s="11" t="s">
        <v>252</v>
      </c>
      <c r="E45" s="11">
        <v>4862786</v>
      </c>
      <c r="F45" s="151">
        <v>26000</v>
      </c>
      <c r="G45" s="165">
        <v>2.83</v>
      </c>
      <c r="H45" s="154">
        <f t="shared" si="1"/>
        <v>73580</v>
      </c>
      <c r="I45" s="218"/>
      <c r="J45" s="224"/>
      <c r="K45" s="227"/>
      <c r="L45" s="11" t="s">
        <v>86</v>
      </c>
    </row>
    <row r="46" spans="1:12" s="10" customFormat="1" ht="18" customHeight="1">
      <c r="A46" s="6">
        <f t="shared" si="7"/>
        <v>43</v>
      </c>
      <c r="B46" s="148">
        <v>42716</v>
      </c>
      <c r="C46" s="11" t="s">
        <v>257</v>
      </c>
      <c r="D46" s="11" t="s">
        <v>253</v>
      </c>
      <c r="E46" s="11" t="s">
        <v>258</v>
      </c>
      <c r="F46" s="151">
        <v>26000</v>
      </c>
      <c r="G46" s="167">
        <v>2.83</v>
      </c>
      <c r="H46" s="154">
        <f t="shared" si="1"/>
        <v>73580</v>
      </c>
      <c r="I46" s="148"/>
      <c r="J46" s="222"/>
      <c r="K46" s="225"/>
      <c r="L46" s="6" t="s">
        <v>168</v>
      </c>
    </row>
    <row r="47" spans="1:12" s="10" customFormat="1" ht="18" customHeight="1">
      <c r="A47" s="6">
        <f t="shared" ref="A47:A89" si="11">IF(B47&lt;&gt;"",ROW()-3,"")</f>
        <v>44</v>
      </c>
      <c r="B47" s="166">
        <v>42716</v>
      </c>
      <c r="C47" s="11" t="s">
        <v>257</v>
      </c>
      <c r="D47" s="11" t="s">
        <v>254</v>
      </c>
      <c r="E47" s="11" t="s">
        <v>259</v>
      </c>
      <c r="F47" s="151">
        <v>26000</v>
      </c>
      <c r="G47" s="167">
        <v>2.83</v>
      </c>
      <c r="H47" s="167">
        <f t="shared" ref="H47:H88" si="12">F47*G47</f>
        <v>73580</v>
      </c>
      <c r="I47" s="166"/>
      <c r="J47" s="223"/>
      <c r="K47" s="226"/>
      <c r="L47" s="6" t="s">
        <v>168</v>
      </c>
    </row>
    <row r="48" spans="1:12" s="10" customFormat="1" ht="18" customHeight="1">
      <c r="A48" s="6">
        <f t="shared" si="11"/>
        <v>45</v>
      </c>
      <c r="B48" s="166">
        <v>42716</v>
      </c>
      <c r="C48" s="11" t="s">
        <v>257</v>
      </c>
      <c r="D48" s="11" t="s">
        <v>255</v>
      </c>
      <c r="E48" s="11" t="s">
        <v>260</v>
      </c>
      <c r="F48" s="151">
        <v>26000</v>
      </c>
      <c r="G48" s="167">
        <v>2.83</v>
      </c>
      <c r="H48" s="167">
        <f t="shared" si="12"/>
        <v>73580</v>
      </c>
      <c r="I48" s="166"/>
      <c r="J48" s="223"/>
      <c r="K48" s="226"/>
      <c r="L48" s="6" t="s">
        <v>86</v>
      </c>
    </row>
    <row r="49" spans="1:12" s="10" customFormat="1" ht="18" customHeight="1">
      <c r="A49" s="6">
        <f t="shared" si="11"/>
        <v>46</v>
      </c>
      <c r="B49" s="166">
        <v>42716</v>
      </c>
      <c r="C49" s="11" t="s">
        <v>257</v>
      </c>
      <c r="D49" s="11" t="s">
        <v>256</v>
      </c>
      <c r="E49" s="11" t="s">
        <v>261</v>
      </c>
      <c r="F49" s="151">
        <v>26000</v>
      </c>
      <c r="G49" s="167">
        <v>2.83</v>
      </c>
      <c r="H49" s="167">
        <f t="shared" si="12"/>
        <v>73580</v>
      </c>
      <c r="I49" s="166"/>
      <c r="J49" s="224"/>
      <c r="K49" s="227"/>
      <c r="L49" s="6" t="s">
        <v>86</v>
      </c>
    </row>
    <row r="50" spans="1:12" s="10" customFormat="1" ht="18" customHeight="1">
      <c r="A50" s="6">
        <f t="shared" si="11"/>
        <v>47</v>
      </c>
      <c r="B50" s="166">
        <v>42720</v>
      </c>
      <c r="C50" s="11" t="s">
        <v>281</v>
      </c>
      <c r="D50" s="206" t="s">
        <v>275</v>
      </c>
      <c r="E50" s="206">
        <v>4844165</v>
      </c>
      <c r="F50" s="151">
        <v>26000</v>
      </c>
      <c r="G50" s="201">
        <v>2.83</v>
      </c>
      <c r="H50" s="201">
        <f t="shared" ref="H50:H60" si="13">F50*G50</f>
        <v>73580</v>
      </c>
      <c r="I50" s="166"/>
      <c r="J50" s="222"/>
      <c r="K50" s="225"/>
      <c r="L50" s="6" t="s">
        <v>113</v>
      </c>
    </row>
    <row r="51" spans="1:12" s="10" customFormat="1" ht="18" customHeight="1">
      <c r="A51" s="6">
        <f t="shared" si="11"/>
        <v>48</v>
      </c>
      <c r="B51" s="202">
        <v>42720</v>
      </c>
      <c r="C51" s="11" t="s">
        <v>281</v>
      </c>
      <c r="D51" s="206" t="s">
        <v>276</v>
      </c>
      <c r="E51" s="206">
        <v>4844162</v>
      </c>
      <c r="F51" s="151">
        <v>26000</v>
      </c>
      <c r="G51" s="201">
        <v>2.83</v>
      </c>
      <c r="H51" s="201">
        <f t="shared" si="13"/>
        <v>73580</v>
      </c>
      <c r="I51" s="166"/>
      <c r="J51" s="223"/>
      <c r="K51" s="226"/>
      <c r="L51" s="6" t="s">
        <v>86</v>
      </c>
    </row>
    <row r="52" spans="1:12" s="10" customFormat="1" ht="18" customHeight="1">
      <c r="A52" s="6">
        <f t="shared" si="11"/>
        <v>49</v>
      </c>
      <c r="B52" s="202">
        <v>42720</v>
      </c>
      <c r="C52" s="11" t="s">
        <v>281</v>
      </c>
      <c r="D52" s="11" t="s">
        <v>277</v>
      </c>
      <c r="E52" s="206">
        <v>4844167</v>
      </c>
      <c r="F52" s="151">
        <v>26000</v>
      </c>
      <c r="G52" s="201">
        <v>2.83</v>
      </c>
      <c r="H52" s="201">
        <f t="shared" si="13"/>
        <v>73580</v>
      </c>
      <c r="I52" s="166"/>
      <c r="J52" s="223"/>
      <c r="K52" s="226"/>
      <c r="L52" s="6" t="s">
        <v>86</v>
      </c>
    </row>
    <row r="53" spans="1:12" s="10" customFormat="1" ht="18" customHeight="1">
      <c r="A53" s="6">
        <f t="shared" si="11"/>
        <v>50</v>
      </c>
      <c r="B53" s="202">
        <v>42720</v>
      </c>
      <c r="C53" s="11" t="s">
        <v>281</v>
      </c>
      <c r="D53" s="206" t="s">
        <v>278</v>
      </c>
      <c r="E53" s="206">
        <v>4855088</v>
      </c>
      <c r="F53" s="151">
        <v>26000</v>
      </c>
      <c r="G53" s="201">
        <v>2.83</v>
      </c>
      <c r="H53" s="201">
        <f t="shared" si="13"/>
        <v>73580</v>
      </c>
      <c r="I53" s="166"/>
      <c r="J53" s="223"/>
      <c r="K53" s="226"/>
      <c r="L53" s="6" t="s">
        <v>86</v>
      </c>
    </row>
    <row r="54" spans="1:12" s="10" customFormat="1" ht="18" customHeight="1">
      <c r="A54" s="6">
        <f t="shared" si="11"/>
        <v>51</v>
      </c>
      <c r="B54" s="202">
        <v>42720</v>
      </c>
      <c r="C54" s="11" t="s">
        <v>281</v>
      </c>
      <c r="D54" s="206" t="s">
        <v>279</v>
      </c>
      <c r="E54" s="206">
        <v>4844166</v>
      </c>
      <c r="F54" s="151">
        <v>26000</v>
      </c>
      <c r="G54" s="201">
        <v>2.83</v>
      </c>
      <c r="H54" s="201">
        <f t="shared" si="13"/>
        <v>73580</v>
      </c>
      <c r="I54" s="166"/>
      <c r="J54" s="223"/>
      <c r="K54" s="226"/>
      <c r="L54" s="6" t="s">
        <v>113</v>
      </c>
    </row>
    <row r="55" spans="1:12" s="10" customFormat="1" ht="18" customHeight="1">
      <c r="A55" s="6">
        <f t="shared" si="11"/>
        <v>52</v>
      </c>
      <c r="B55" s="202">
        <v>42720</v>
      </c>
      <c r="C55" s="11" t="s">
        <v>281</v>
      </c>
      <c r="D55" s="206" t="s">
        <v>280</v>
      </c>
      <c r="E55" s="206">
        <v>4844102</v>
      </c>
      <c r="F55" s="151">
        <v>26000</v>
      </c>
      <c r="G55" s="201">
        <v>2.83</v>
      </c>
      <c r="H55" s="201">
        <f t="shared" si="13"/>
        <v>73580</v>
      </c>
      <c r="I55" s="166"/>
      <c r="J55" s="224"/>
      <c r="K55" s="227"/>
      <c r="L55" s="6" t="s">
        <v>86</v>
      </c>
    </row>
    <row r="56" spans="1:12" s="10" customFormat="1" ht="18" customHeight="1">
      <c r="A56" s="6">
        <f t="shared" si="11"/>
        <v>53</v>
      </c>
      <c r="B56" s="203">
        <v>42723</v>
      </c>
      <c r="C56" s="11" t="s">
        <v>295</v>
      </c>
      <c r="D56" s="11" t="s">
        <v>296</v>
      </c>
      <c r="E56" s="11" t="s">
        <v>302</v>
      </c>
      <c r="F56" s="151">
        <f>2030*13</f>
        <v>26390</v>
      </c>
      <c r="G56" s="204">
        <v>2.83</v>
      </c>
      <c r="H56" s="204">
        <f t="shared" si="13"/>
        <v>74683.7</v>
      </c>
      <c r="I56" s="203"/>
      <c r="J56" s="222"/>
      <c r="K56" s="225"/>
      <c r="L56" s="6" t="s">
        <v>86</v>
      </c>
    </row>
    <row r="57" spans="1:12" s="10" customFormat="1" ht="18" customHeight="1">
      <c r="A57" s="6">
        <f t="shared" si="11"/>
        <v>54</v>
      </c>
      <c r="B57" s="203">
        <v>42723</v>
      </c>
      <c r="C57" s="11" t="s">
        <v>295</v>
      </c>
      <c r="D57" s="11" t="s">
        <v>297</v>
      </c>
      <c r="E57" s="11" t="s">
        <v>303</v>
      </c>
      <c r="F57" s="151">
        <f t="shared" ref="F57:F75" si="14">2030*13</f>
        <v>26390</v>
      </c>
      <c r="G57" s="204">
        <v>2.83</v>
      </c>
      <c r="H57" s="204">
        <f t="shared" si="13"/>
        <v>74683.7</v>
      </c>
      <c r="I57" s="203"/>
      <c r="J57" s="223"/>
      <c r="K57" s="226"/>
      <c r="L57" s="6" t="s">
        <v>86</v>
      </c>
    </row>
    <row r="58" spans="1:12" s="10" customFormat="1" ht="18" customHeight="1">
      <c r="A58" s="6">
        <f t="shared" si="11"/>
        <v>55</v>
      </c>
      <c r="B58" s="203">
        <v>42723</v>
      </c>
      <c r="C58" s="11" t="s">
        <v>295</v>
      </c>
      <c r="D58" s="11" t="s">
        <v>298</v>
      </c>
      <c r="E58" s="11" t="s">
        <v>304</v>
      </c>
      <c r="F58" s="151">
        <f t="shared" si="14"/>
        <v>26390</v>
      </c>
      <c r="G58" s="204">
        <v>2.83</v>
      </c>
      <c r="H58" s="204">
        <f t="shared" si="13"/>
        <v>74683.7</v>
      </c>
      <c r="I58" s="203"/>
      <c r="J58" s="223"/>
      <c r="K58" s="226"/>
      <c r="L58" s="6" t="s">
        <v>113</v>
      </c>
    </row>
    <row r="59" spans="1:12" s="10" customFormat="1" ht="18" customHeight="1">
      <c r="A59" s="6">
        <f t="shared" si="11"/>
        <v>56</v>
      </c>
      <c r="B59" s="203">
        <v>42723</v>
      </c>
      <c r="C59" s="11" t="s">
        <v>295</v>
      </c>
      <c r="D59" s="11" t="s">
        <v>299</v>
      </c>
      <c r="E59" s="11" t="s">
        <v>305</v>
      </c>
      <c r="F59" s="151">
        <f t="shared" si="14"/>
        <v>26390</v>
      </c>
      <c r="G59" s="204">
        <v>2.83</v>
      </c>
      <c r="H59" s="204">
        <f t="shared" si="13"/>
        <v>74683.7</v>
      </c>
      <c r="I59" s="203"/>
      <c r="J59" s="223"/>
      <c r="K59" s="226"/>
      <c r="L59" s="6" t="s">
        <v>86</v>
      </c>
    </row>
    <row r="60" spans="1:12" s="10" customFormat="1" ht="18" customHeight="1">
      <c r="A60" s="6">
        <f t="shared" si="11"/>
        <v>57</v>
      </c>
      <c r="B60" s="203">
        <v>42723</v>
      </c>
      <c r="C60" s="11" t="s">
        <v>295</v>
      </c>
      <c r="D60" s="11" t="s">
        <v>300</v>
      </c>
      <c r="E60" s="11" t="s">
        <v>306</v>
      </c>
      <c r="F60" s="151">
        <f t="shared" si="14"/>
        <v>26390</v>
      </c>
      <c r="G60" s="204">
        <v>2.83</v>
      </c>
      <c r="H60" s="204">
        <f t="shared" si="13"/>
        <v>74683.7</v>
      </c>
      <c r="I60" s="203"/>
      <c r="J60" s="223"/>
      <c r="K60" s="226"/>
      <c r="L60" s="6" t="s">
        <v>113</v>
      </c>
    </row>
    <row r="61" spans="1:12" s="10" customFormat="1" ht="18" customHeight="1">
      <c r="A61" s="6">
        <f t="shared" si="11"/>
        <v>58</v>
      </c>
      <c r="B61" s="203">
        <v>42723</v>
      </c>
      <c r="C61" s="11" t="s">
        <v>295</v>
      </c>
      <c r="D61" s="11" t="s">
        <v>301</v>
      </c>
      <c r="E61" s="11" t="s">
        <v>307</v>
      </c>
      <c r="F61" s="151">
        <f t="shared" si="14"/>
        <v>26390</v>
      </c>
      <c r="G61" s="204">
        <v>2.83</v>
      </c>
      <c r="H61" s="167">
        <f t="shared" si="12"/>
        <v>74683.7</v>
      </c>
      <c r="I61" s="166"/>
      <c r="J61" s="224"/>
      <c r="K61" s="227"/>
      <c r="L61" s="6" t="s">
        <v>86</v>
      </c>
    </row>
    <row r="62" spans="1:12" s="10" customFormat="1" ht="18" customHeight="1">
      <c r="A62" s="6">
        <f t="shared" si="11"/>
        <v>59</v>
      </c>
      <c r="B62" s="209">
        <v>42726</v>
      </c>
      <c r="C62" s="11"/>
      <c r="D62" s="11"/>
      <c r="E62" s="11"/>
      <c r="F62" s="151">
        <f t="shared" si="14"/>
        <v>26390</v>
      </c>
      <c r="G62" s="215">
        <v>2.83</v>
      </c>
      <c r="H62" s="210">
        <f t="shared" si="12"/>
        <v>74683.7</v>
      </c>
      <c r="I62" s="209"/>
      <c r="J62" s="222"/>
      <c r="K62" s="225"/>
      <c r="L62" s="6" t="s">
        <v>113</v>
      </c>
    </row>
    <row r="63" spans="1:12" s="10" customFormat="1" ht="18" customHeight="1">
      <c r="A63" s="6">
        <f t="shared" si="11"/>
        <v>60</v>
      </c>
      <c r="B63" s="214">
        <v>42726</v>
      </c>
      <c r="C63" s="11"/>
      <c r="D63" s="11"/>
      <c r="E63" s="11"/>
      <c r="F63" s="151">
        <f t="shared" si="14"/>
        <v>26390</v>
      </c>
      <c r="G63" s="215">
        <v>2.83</v>
      </c>
      <c r="H63" s="210">
        <f t="shared" si="12"/>
        <v>74683.7</v>
      </c>
      <c r="I63" s="209"/>
      <c r="J63" s="223"/>
      <c r="K63" s="226"/>
      <c r="L63" s="6" t="s">
        <v>113</v>
      </c>
    </row>
    <row r="64" spans="1:12" s="10" customFormat="1" ht="18" customHeight="1">
      <c r="A64" s="6">
        <f t="shared" si="11"/>
        <v>61</v>
      </c>
      <c r="B64" s="214">
        <v>42727</v>
      </c>
      <c r="C64" s="11"/>
      <c r="D64" s="11"/>
      <c r="E64" s="11"/>
      <c r="F64" s="151">
        <f t="shared" si="14"/>
        <v>26390</v>
      </c>
      <c r="G64" s="215">
        <v>2.83</v>
      </c>
      <c r="H64" s="210">
        <f t="shared" si="12"/>
        <v>74683.7</v>
      </c>
      <c r="I64" s="209"/>
      <c r="J64" s="223"/>
      <c r="K64" s="226"/>
      <c r="L64" s="6" t="s">
        <v>113</v>
      </c>
    </row>
    <row r="65" spans="1:12" s="10" customFormat="1" ht="18" customHeight="1">
      <c r="A65" s="6">
        <f t="shared" si="11"/>
        <v>62</v>
      </c>
      <c r="B65" s="214">
        <v>42727</v>
      </c>
      <c r="C65" s="11"/>
      <c r="D65" s="11"/>
      <c r="E65" s="11"/>
      <c r="F65" s="151">
        <f t="shared" si="14"/>
        <v>26390</v>
      </c>
      <c r="G65" s="215">
        <v>2.83</v>
      </c>
      <c r="H65" s="210">
        <f t="shared" si="12"/>
        <v>74683.7</v>
      </c>
      <c r="I65" s="209"/>
      <c r="J65" s="223"/>
      <c r="K65" s="226"/>
      <c r="L65" s="6" t="s">
        <v>113</v>
      </c>
    </row>
    <row r="66" spans="1:12" s="10" customFormat="1" ht="18" customHeight="1">
      <c r="A66" s="6">
        <f t="shared" si="11"/>
        <v>63</v>
      </c>
      <c r="B66" s="214">
        <v>42727</v>
      </c>
      <c r="C66" s="11"/>
      <c r="D66" s="11"/>
      <c r="E66" s="11"/>
      <c r="F66" s="151">
        <f t="shared" si="14"/>
        <v>26390</v>
      </c>
      <c r="G66" s="215">
        <v>2.83</v>
      </c>
      <c r="H66" s="210">
        <f t="shared" si="12"/>
        <v>74683.7</v>
      </c>
      <c r="I66" s="209"/>
      <c r="J66" s="223"/>
      <c r="K66" s="226"/>
      <c r="L66" s="6" t="s">
        <v>86</v>
      </c>
    </row>
    <row r="67" spans="1:12" s="10" customFormat="1" ht="18" customHeight="1">
      <c r="A67" s="6">
        <f t="shared" si="11"/>
        <v>64</v>
      </c>
      <c r="B67" s="214">
        <v>42727</v>
      </c>
      <c r="C67" s="11"/>
      <c r="D67" s="11"/>
      <c r="E67" s="11"/>
      <c r="F67" s="151">
        <v>27146</v>
      </c>
      <c r="G67" s="215">
        <v>2.83</v>
      </c>
      <c r="H67" s="210">
        <f t="shared" si="12"/>
        <v>76823.180000000008</v>
      </c>
      <c r="I67" s="209"/>
      <c r="J67" s="224"/>
      <c r="K67" s="227"/>
      <c r="L67" s="6" t="s">
        <v>86</v>
      </c>
    </row>
    <row r="68" spans="1:12" s="10" customFormat="1" ht="18" customHeight="1">
      <c r="A68" s="6">
        <f t="shared" si="11"/>
        <v>65</v>
      </c>
      <c r="B68" s="214">
        <v>42730</v>
      </c>
      <c r="C68" s="11"/>
      <c r="D68" s="11"/>
      <c r="E68" s="11"/>
      <c r="F68" s="151">
        <f t="shared" si="14"/>
        <v>26390</v>
      </c>
      <c r="G68" s="215">
        <v>2.83</v>
      </c>
      <c r="H68" s="215">
        <f t="shared" si="12"/>
        <v>74683.7</v>
      </c>
      <c r="I68" s="214"/>
      <c r="J68" s="222"/>
      <c r="K68" s="225"/>
      <c r="L68" s="6" t="s">
        <v>113</v>
      </c>
    </row>
    <row r="69" spans="1:12" s="10" customFormat="1" ht="18" customHeight="1">
      <c r="A69" s="6">
        <f t="shared" si="11"/>
        <v>66</v>
      </c>
      <c r="B69" s="214">
        <v>42730</v>
      </c>
      <c r="C69" s="11"/>
      <c r="D69" s="11"/>
      <c r="E69" s="11"/>
      <c r="F69" s="151">
        <f t="shared" si="14"/>
        <v>26390</v>
      </c>
      <c r="G69" s="215">
        <v>2.83</v>
      </c>
      <c r="H69" s="215">
        <f t="shared" si="12"/>
        <v>74683.7</v>
      </c>
      <c r="I69" s="214"/>
      <c r="J69" s="223"/>
      <c r="K69" s="226"/>
      <c r="L69" s="6" t="s">
        <v>113</v>
      </c>
    </row>
    <row r="70" spans="1:12" s="10" customFormat="1" ht="18" customHeight="1">
      <c r="A70" s="6">
        <f t="shared" si="11"/>
        <v>67</v>
      </c>
      <c r="B70" s="214">
        <v>42731</v>
      </c>
      <c r="C70" s="11"/>
      <c r="D70" s="11"/>
      <c r="E70" s="11"/>
      <c r="F70" s="151">
        <f t="shared" si="14"/>
        <v>26390</v>
      </c>
      <c r="G70" s="215">
        <v>2.83</v>
      </c>
      <c r="H70" s="215">
        <f t="shared" si="12"/>
        <v>74683.7</v>
      </c>
      <c r="I70" s="214"/>
      <c r="J70" s="223"/>
      <c r="K70" s="226"/>
      <c r="L70" s="6" t="s">
        <v>113</v>
      </c>
    </row>
    <row r="71" spans="1:12" s="10" customFormat="1" ht="18" customHeight="1">
      <c r="A71" s="6">
        <f t="shared" si="11"/>
        <v>68</v>
      </c>
      <c r="B71" s="214">
        <v>42730</v>
      </c>
      <c r="C71" s="11"/>
      <c r="D71" s="11"/>
      <c r="E71" s="11"/>
      <c r="F71" s="151">
        <f t="shared" si="14"/>
        <v>26390</v>
      </c>
      <c r="G71" s="215">
        <v>2.83</v>
      </c>
      <c r="H71" s="215">
        <f t="shared" si="12"/>
        <v>74683.7</v>
      </c>
      <c r="I71" s="214"/>
      <c r="J71" s="223"/>
      <c r="K71" s="226"/>
      <c r="L71" s="6" t="s">
        <v>86</v>
      </c>
    </row>
    <row r="72" spans="1:12" s="10" customFormat="1" ht="18" customHeight="1">
      <c r="A72" s="6">
        <f t="shared" si="11"/>
        <v>69</v>
      </c>
      <c r="B72" s="214">
        <v>42730</v>
      </c>
      <c r="C72" s="11"/>
      <c r="D72" s="11"/>
      <c r="E72" s="11"/>
      <c r="F72" s="151">
        <f t="shared" si="14"/>
        <v>26390</v>
      </c>
      <c r="G72" s="215">
        <v>2.83</v>
      </c>
      <c r="H72" s="215">
        <f t="shared" si="12"/>
        <v>74683.7</v>
      </c>
      <c r="I72" s="214"/>
      <c r="J72" s="223"/>
      <c r="K72" s="226"/>
      <c r="L72" s="6" t="s">
        <v>86</v>
      </c>
    </row>
    <row r="73" spans="1:12" s="10" customFormat="1" ht="18" customHeight="1">
      <c r="A73" s="6">
        <f t="shared" si="11"/>
        <v>70</v>
      </c>
      <c r="B73" s="214">
        <v>42731</v>
      </c>
      <c r="C73" s="11"/>
      <c r="D73" s="11"/>
      <c r="E73" s="11"/>
      <c r="F73" s="151">
        <f t="shared" si="14"/>
        <v>26390</v>
      </c>
      <c r="G73" s="215">
        <v>2.83</v>
      </c>
      <c r="H73" s="215">
        <f t="shared" si="12"/>
        <v>74683.7</v>
      </c>
      <c r="I73" s="214"/>
      <c r="J73" s="224"/>
      <c r="K73" s="227"/>
      <c r="L73" s="6" t="s">
        <v>86</v>
      </c>
    </row>
    <row r="74" spans="1:12" s="10" customFormat="1" ht="18" customHeight="1">
      <c r="A74" s="6">
        <f t="shared" si="11"/>
        <v>71</v>
      </c>
      <c r="B74" s="214">
        <v>42733</v>
      </c>
      <c r="C74" s="11"/>
      <c r="D74" s="11"/>
      <c r="E74" s="11"/>
      <c r="F74" s="151">
        <f t="shared" si="14"/>
        <v>26390</v>
      </c>
      <c r="G74" s="220">
        <v>2.83</v>
      </c>
      <c r="H74" s="215">
        <f t="shared" si="12"/>
        <v>74683.7</v>
      </c>
      <c r="I74" s="214"/>
      <c r="J74" s="213"/>
      <c r="K74" s="212"/>
      <c r="L74" s="6"/>
    </row>
    <row r="75" spans="1:12" s="10" customFormat="1" ht="18" customHeight="1">
      <c r="A75" s="6">
        <f t="shared" si="11"/>
        <v>72</v>
      </c>
      <c r="B75" s="219">
        <v>42733</v>
      </c>
      <c r="C75" s="11"/>
      <c r="D75" s="11"/>
      <c r="E75" s="11"/>
      <c r="F75" s="151">
        <f t="shared" si="14"/>
        <v>26390</v>
      </c>
      <c r="G75" s="220">
        <v>2.83</v>
      </c>
      <c r="H75" s="215">
        <f t="shared" si="12"/>
        <v>74683.7</v>
      </c>
      <c r="I75" s="214"/>
      <c r="J75" s="213"/>
      <c r="K75" s="212"/>
      <c r="L75" s="6"/>
    </row>
    <row r="76" spans="1:12" s="10" customFormat="1" ht="18" customHeight="1">
      <c r="A76" s="6" t="str">
        <f t="shared" si="11"/>
        <v/>
      </c>
      <c r="B76" s="214"/>
      <c r="C76" s="11"/>
      <c r="D76" s="11"/>
      <c r="E76" s="11"/>
      <c r="F76" s="151"/>
      <c r="G76" s="215"/>
      <c r="H76" s="215">
        <f t="shared" si="12"/>
        <v>0</v>
      </c>
      <c r="I76" s="214"/>
      <c r="J76" s="213"/>
      <c r="K76" s="212"/>
      <c r="L76" s="6"/>
    </row>
    <row r="77" spans="1:12" s="10" customFormat="1" ht="18" customHeight="1">
      <c r="A77" s="6" t="str">
        <f t="shared" si="11"/>
        <v/>
      </c>
      <c r="B77" s="214"/>
      <c r="C77" s="11"/>
      <c r="D77" s="11"/>
      <c r="E77" s="11"/>
      <c r="F77" s="151"/>
      <c r="G77" s="215"/>
      <c r="H77" s="215">
        <f t="shared" si="12"/>
        <v>0</v>
      </c>
      <c r="I77" s="214"/>
      <c r="J77" s="213"/>
      <c r="K77" s="212"/>
      <c r="L77" s="6"/>
    </row>
    <row r="78" spans="1:12" s="10" customFormat="1" ht="18" customHeight="1">
      <c r="A78" s="6" t="str">
        <f t="shared" si="11"/>
        <v/>
      </c>
      <c r="B78" s="214"/>
      <c r="C78" s="11"/>
      <c r="D78" s="11"/>
      <c r="E78" s="11"/>
      <c r="F78" s="151"/>
      <c r="G78" s="215"/>
      <c r="H78" s="215">
        <f t="shared" si="12"/>
        <v>0</v>
      </c>
      <c r="I78" s="214"/>
      <c r="J78" s="213"/>
      <c r="K78" s="212"/>
      <c r="L78" s="6"/>
    </row>
    <row r="79" spans="1:12" s="10" customFormat="1" ht="18" customHeight="1">
      <c r="A79" s="6" t="str">
        <f t="shared" si="11"/>
        <v/>
      </c>
      <c r="B79" s="214"/>
      <c r="C79" s="11"/>
      <c r="D79" s="11"/>
      <c r="E79" s="11"/>
      <c r="F79" s="151"/>
      <c r="G79" s="215"/>
      <c r="H79" s="215">
        <f t="shared" si="12"/>
        <v>0</v>
      </c>
      <c r="I79" s="214"/>
      <c r="J79" s="213"/>
      <c r="K79" s="212"/>
      <c r="L79" s="6"/>
    </row>
    <row r="80" spans="1:12" s="10" customFormat="1" ht="18" customHeight="1">
      <c r="A80" s="6" t="str">
        <f t="shared" si="11"/>
        <v/>
      </c>
      <c r="B80" s="214"/>
      <c r="C80" s="11"/>
      <c r="D80" s="11"/>
      <c r="E80" s="11"/>
      <c r="F80" s="151"/>
      <c r="G80" s="215"/>
      <c r="H80" s="215">
        <f t="shared" si="12"/>
        <v>0</v>
      </c>
      <c r="I80" s="214"/>
      <c r="J80" s="213"/>
      <c r="K80" s="212"/>
      <c r="L80" s="6"/>
    </row>
    <row r="81" spans="1:12" s="10" customFormat="1" ht="18" customHeight="1">
      <c r="A81" s="6" t="str">
        <f t="shared" si="11"/>
        <v/>
      </c>
      <c r="B81" s="214"/>
      <c r="C81" s="11"/>
      <c r="D81" s="11"/>
      <c r="E81" s="11"/>
      <c r="F81" s="151"/>
      <c r="G81" s="215"/>
      <c r="H81" s="215">
        <f t="shared" si="12"/>
        <v>0</v>
      </c>
      <c r="I81" s="214"/>
      <c r="J81" s="213"/>
      <c r="K81" s="212"/>
      <c r="L81" s="6"/>
    </row>
    <row r="82" spans="1:12" s="10" customFormat="1" ht="18" customHeight="1">
      <c r="A82" s="6" t="str">
        <f t="shared" si="11"/>
        <v/>
      </c>
      <c r="B82" s="214"/>
      <c r="C82" s="11"/>
      <c r="D82" s="11"/>
      <c r="E82" s="11"/>
      <c r="F82" s="151"/>
      <c r="G82" s="215"/>
      <c r="H82" s="215">
        <f t="shared" si="12"/>
        <v>0</v>
      </c>
      <c r="I82" s="214"/>
      <c r="J82" s="213"/>
      <c r="K82" s="212"/>
      <c r="L82" s="6"/>
    </row>
    <row r="83" spans="1:12" s="10" customFormat="1" ht="18" customHeight="1">
      <c r="A83" s="6" t="str">
        <f t="shared" si="11"/>
        <v/>
      </c>
      <c r="B83" s="214"/>
      <c r="C83" s="11"/>
      <c r="D83" s="11"/>
      <c r="E83" s="11"/>
      <c r="F83" s="151"/>
      <c r="G83" s="215"/>
      <c r="H83" s="215">
        <f t="shared" si="12"/>
        <v>0</v>
      </c>
      <c r="I83" s="214"/>
      <c r="J83" s="213"/>
      <c r="K83" s="212"/>
      <c r="L83" s="6"/>
    </row>
    <row r="84" spans="1:12" s="10" customFormat="1" ht="18" customHeight="1">
      <c r="A84" s="6" t="str">
        <f t="shared" si="11"/>
        <v/>
      </c>
      <c r="B84" s="214"/>
      <c r="C84" s="11"/>
      <c r="D84" s="11"/>
      <c r="E84" s="11"/>
      <c r="F84" s="151"/>
      <c r="G84" s="215"/>
      <c r="H84" s="215">
        <f t="shared" si="12"/>
        <v>0</v>
      </c>
      <c r="I84" s="214"/>
      <c r="J84" s="213"/>
      <c r="K84" s="212"/>
      <c r="L84" s="6"/>
    </row>
    <row r="85" spans="1:12" s="10" customFormat="1" ht="18" customHeight="1">
      <c r="A85" s="6" t="str">
        <f t="shared" si="11"/>
        <v/>
      </c>
      <c r="B85" s="214"/>
      <c r="C85" s="11"/>
      <c r="D85" s="11"/>
      <c r="E85" s="11"/>
      <c r="F85" s="151"/>
      <c r="G85" s="215"/>
      <c r="H85" s="215">
        <f t="shared" si="12"/>
        <v>0</v>
      </c>
      <c r="I85" s="214"/>
      <c r="J85" s="213"/>
      <c r="K85" s="212"/>
      <c r="L85" s="6"/>
    </row>
    <row r="86" spans="1:12" s="10" customFormat="1" ht="18" customHeight="1">
      <c r="A86" s="6" t="str">
        <f t="shared" si="11"/>
        <v/>
      </c>
      <c r="B86" s="166"/>
      <c r="C86" s="11"/>
      <c r="D86" s="11"/>
      <c r="E86" s="11"/>
      <c r="F86" s="151"/>
      <c r="G86" s="167"/>
      <c r="H86" s="215">
        <f t="shared" si="12"/>
        <v>0</v>
      </c>
      <c r="I86" s="166"/>
      <c r="J86" s="152"/>
      <c r="K86" s="153"/>
      <c r="L86" s="11"/>
    </row>
    <row r="87" spans="1:12" s="10" customFormat="1" ht="18" customHeight="1">
      <c r="A87" s="6" t="str">
        <f t="shared" si="11"/>
        <v/>
      </c>
      <c r="B87" s="166"/>
      <c r="C87" s="11"/>
      <c r="D87" s="11"/>
      <c r="E87" s="11"/>
      <c r="F87" s="151"/>
      <c r="G87" s="167"/>
      <c r="H87" s="215">
        <f t="shared" si="12"/>
        <v>0</v>
      </c>
      <c r="I87" s="166"/>
      <c r="J87" s="152"/>
      <c r="K87" s="153"/>
      <c r="L87" s="11"/>
    </row>
    <row r="88" spans="1:12" s="10" customFormat="1" ht="18" customHeight="1">
      <c r="A88" s="6" t="str">
        <f t="shared" si="11"/>
        <v/>
      </c>
      <c r="B88" s="166"/>
      <c r="C88" s="11"/>
      <c r="D88" s="11"/>
      <c r="E88" s="11"/>
      <c r="F88" s="151"/>
      <c r="G88" s="167"/>
      <c r="H88" s="215">
        <f t="shared" si="12"/>
        <v>0</v>
      </c>
      <c r="I88" s="166"/>
      <c r="J88" s="152"/>
      <c r="K88" s="153"/>
      <c r="L88" s="11"/>
    </row>
    <row r="89" spans="1:12" s="10" customFormat="1" ht="18" customHeight="1">
      <c r="A89" s="6" t="str">
        <f t="shared" si="11"/>
        <v/>
      </c>
      <c r="B89" s="12"/>
      <c r="C89" s="11"/>
      <c r="D89" s="11"/>
      <c r="E89" s="11"/>
      <c r="F89" s="151"/>
      <c r="G89" s="149"/>
      <c r="H89" s="149">
        <f t="shared" si="1"/>
        <v>0</v>
      </c>
      <c r="I89" s="148"/>
      <c r="J89" s="152"/>
      <c r="K89" s="153"/>
      <c r="L89" s="11"/>
    </row>
    <row r="90" spans="1:12" s="10" customFormat="1" ht="9" customHeight="1">
      <c r="A90" s="13"/>
      <c r="B90" s="14"/>
      <c r="C90" s="15"/>
      <c r="D90" s="15"/>
      <c r="E90" s="15"/>
      <c r="F90" s="16"/>
      <c r="G90" s="17"/>
      <c r="H90" s="17"/>
      <c r="I90" s="14"/>
      <c r="J90" s="12"/>
      <c r="K90" s="9"/>
      <c r="L90" s="13"/>
    </row>
    <row r="91" spans="1:12" s="200" customFormat="1" ht="18" customHeight="1">
      <c r="A91" s="229" t="s">
        <v>24</v>
      </c>
      <c r="B91" s="230"/>
      <c r="C91" s="230"/>
      <c r="D91" s="230"/>
      <c r="E91" s="231"/>
      <c r="F91" s="197">
        <f t="shared" ref="F91" si="15">SUM(F4:F90)</f>
        <v>1882311</v>
      </c>
      <c r="G91" s="198"/>
      <c r="H91" s="198">
        <f>SUM(H4:H90)</f>
        <v>5278056.8800000036</v>
      </c>
      <c r="I91" s="199"/>
      <c r="J91" s="199"/>
      <c r="K91" s="198">
        <f>SUM(K4:K90)</f>
        <v>2901771.7199999997</v>
      </c>
      <c r="L91" s="198"/>
    </row>
  </sheetData>
  <mergeCells count="45">
    <mergeCell ref="J18:J19"/>
    <mergeCell ref="K18:K19"/>
    <mergeCell ref="J20:J23"/>
    <mergeCell ref="J12:J15"/>
    <mergeCell ref="K12:K15"/>
    <mergeCell ref="K20:K23"/>
    <mergeCell ref="A1:K1"/>
    <mergeCell ref="A2:A3"/>
    <mergeCell ref="B2:B3"/>
    <mergeCell ref="C2:E2"/>
    <mergeCell ref="F2:H2"/>
    <mergeCell ref="I2:I3"/>
    <mergeCell ref="J2:K2"/>
    <mergeCell ref="L2:L3"/>
    <mergeCell ref="A91:E91"/>
    <mergeCell ref="J4:J5"/>
    <mergeCell ref="J6:J7"/>
    <mergeCell ref="J8:J9"/>
    <mergeCell ref="K4:K5"/>
    <mergeCell ref="K6:K7"/>
    <mergeCell ref="K8:K9"/>
    <mergeCell ref="K10:K11"/>
    <mergeCell ref="J50:J55"/>
    <mergeCell ref="K50:K55"/>
    <mergeCell ref="J56:J61"/>
    <mergeCell ref="K56:K61"/>
    <mergeCell ref="K16:K17"/>
    <mergeCell ref="J10:J11"/>
    <mergeCell ref="J16:J17"/>
    <mergeCell ref="J24:J27"/>
    <mergeCell ref="K24:K27"/>
    <mergeCell ref="J32:J35"/>
    <mergeCell ref="K32:K35"/>
    <mergeCell ref="J28:J31"/>
    <mergeCell ref="K28:K31"/>
    <mergeCell ref="J62:J67"/>
    <mergeCell ref="K62:K67"/>
    <mergeCell ref="J68:J73"/>
    <mergeCell ref="K68:K73"/>
    <mergeCell ref="J36:J39"/>
    <mergeCell ref="K36:K39"/>
    <mergeCell ref="K46:K49"/>
    <mergeCell ref="J46:J49"/>
    <mergeCell ref="J42:J45"/>
    <mergeCell ref="K42:K45"/>
  </mergeCells>
  <pageMargins left="0.16" right="0.16" top="0.26" bottom="0.16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1"/>
  </sheetPr>
  <dimension ref="A1:O43"/>
  <sheetViews>
    <sheetView topLeftCell="A22" workbookViewId="0">
      <selection activeCell="B34" sqref="B34"/>
    </sheetView>
  </sheetViews>
  <sheetFormatPr defaultColWidth="9.140625" defaultRowHeight="16.5"/>
  <cols>
    <col min="1" max="1" width="5.5703125" style="22" customWidth="1"/>
    <col min="2" max="2" width="34.140625" style="22" customWidth="1"/>
    <col min="3" max="3" width="12.5703125" style="23" customWidth="1"/>
    <col min="4" max="4" width="13.28515625" style="24" bestFit="1" customWidth="1"/>
    <col min="5" max="5" width="17.42578125" style="24" customWidth="1"/>
    <col min="6" max="6" width="15.85546875" style="22" customWidth="1"/>
    <col min="7" max="7" width="14.5703125" style="20" bestFit="1" customWidth="1"/>
    <col min="8" max="8" width="10.42578125" style="20" customWidth="1"/>
    <col min="9" max="9" width="16.5703125" style="20" customWidth="1"/>
    <col min="10" max="11" width="11.5703125" style="20" customWidth="1"/>
    <col min="12" max="12" width="10" style="20" customWidth="1"/>
    <col min="13" max="13" width="12.85546875" style="20" customWidth="1"/>
    <col min="14" max="14" width="13.28515625" style="20" customWidth="1"/>
    <col min="15" max="16384" width="9.140625" style="22"/>
  </cols>
  <sheetData>
    <row r="1" spans="1:11" ht="47.25" customHeight="1">
      <c r="A1" s="236" t="s">
        <v>25</v>
      </c>
      <c r="B1" s="236"/>
      <c r="C1" s="236"/>
      <c r="D1" s="236"/>
      <c r="E1" s="236"/>
      <c r="F1" s="18"/>
      <c r="G1" s="19"/>
      <c r="H1" s="19"/>
    </row>
    <row r="2" spans="1:11" ht="18.75" customHeight="1">
      <c r="A2" s="21"/>
      <c r="G2" s="22"/>
      <c r="H2" s="25"/>
    </row>
    <row r="3" spans="1:11" s="30" customFormat="1" ht="39.75" customHeight="1">
      <c r="A3" s="26"/>
      <c r="B3" s="27" t="s">
        <v>26</v>
      </c>
      <c r="C3" s="28" t="s">
        <v>10</v>
      </c>
      <c r="D3" s="29" t="s">
        <v>11</v>
      </c>
      <c r="E3" s="29" t="s">
        <v>27</v>
      </c>
      <c r="F3" s="29" t="s">
        <v>6</v>
      </c>
    </row>
    <row r="4" spans="1:11" s="31" customFormat="1" ht="17.25" customHeight="1">
      <c r="B4" s="32" t="s">
        <v>28</v>
      </c>
      <c r="C4" s="33"/>
      <c r="D4" s="34"/>
      <c r="E4" s="35"/>
      <c r="F4" s="36"/>
    </row>
    <row r="5" spans="1:11" s="31" customFormat="1" ht="17.25" customHeight="1">
      <c r="B5" s="37" t="s">
        <v>29</v>
      </c>
      <c r="C5" s="38">
        <v>52000</v>
      </c>
      <c r="D5" s="39">
        <v>2.85</v>
      </c>
      <c r="E5" s="40">
        <f>C5*D5</f>
        <v>148200</v>
      </c>
      <c r="F5" s="41"/>
    </row>
    <row r="6" spans="1:11" s="42" customFormat="1" ht="17.25" customHeight="1">
      <c r="B6" s="43" t="s">
        <v>30</v>
      </c>
      <c r="C6" s="44"/>
      <c r="D6" s="45"/>
      <c r="E6" s="46"/>
      <c r="F6" s="47"/>
    </row>
    <row r="7" spans="1:11" s="31" customFormat="1" ht="17.25" customHeight="1">
      <c r="B7" s="37" t="s">
        <v>31</v>
      </c>
      <c r="C7" s="38"/>
      <c r="D7" s="39"/>
      <c r="E7" s="40"/>
      <c r="F7" s="48">
        <v>148188</v>
      </c>
    </row>
    <row r="8" spans="1:11" s="31" customFormat="1" ht="17.25" customHeight="1">
      <c r="B8" s="37"/>
      <c r="C8" s="38"/>
      <c r="D8" s="39"/>
      <c r="E8" s="40"/>
      <c r="F8" s="41"/>
    </row>
    <row r="9" spans="1:11" s="42" customFormat="1" ht="17.25" customHeight="1">
      <c r="B9" s="49" t="s">
        <v>32</v>
      </c>
      <c r="C9" s="50">
        <f>SUM(C4:C8)</f>
        <v>52000</v>
      </c>
      <c r="D9" s="50"/>
      <c r="E9" s="50">
        <f t="shared" ref="E9:F9" si="0">SUM(E4:E8)</f>
        <v>148200</v>
      </c>
      <c r="F9" s="50">
        <f t="shared" si="0"/>
        <v>148188</v>
      </c>
    </row>
    <row r="10" spans="1:11" s="31" customFormat="1" ht="17.25" customHeight="1">
      <c r="B10" s="32" t="s">
        <v>33</v>
      </c>
      <c r="C10" s="38"/>
      <c r="D10" s="39"/>
      <c r="E10" s="40">
        <f t="shared" ref="E10:E11" si="1">C10*D10</f>
        <v>0</v>
      </c>
      <c r="F10" s="41"/>
      <c r="I10" s="51"/>
      <c r="J10" s="51"/>
      <c r="K10" s="51"/>
    </row>
    <row r="11" spans="1:11" s="31" customFormat="1" ht="17.25" customHeight="1">
      <c r="B11" s="37" t="s">
        <v>29</v>
      </c>
      <c r="C11" s="38">
        <v>52000</v>
      </c>
      <c r="D11" s="39">
        <v>2.85</v>
      </c>
      <c r="E11" s="40">
        <f t="shared" si="1"/>
        <v>148200</v>
      </c>
      <c r="F11" s="41"/>
    </row>
    <row r="12" spans="1:11" s="42" customFormat="1" ht="17.25" customHeight="1">
      <c r="B12" s="43" t="s">
        <v>30</v>
      </c>
      <c r="C12" s="44"/>
      <c r="D12" s="45"/>
      <c r="E12" s="46"/>
      <c r="F12" s="47"/>
    </row>
    <row r="13" spans="1:11" s="31" customFormat="1" ht="17.25" customHeight="1">
      <c r="B13" s="37"/>
      <c r="C13" s="38"/>
      <c r="D13" s="39"/>
      <c r="E13" s="40"/>
      <c r="F13" s="41"/>
    </row>
    <row r="14" spans="1:11" s="31" customFormat="1" ht="17.25" customHeight="1">
      <c r="B14" s="52"/>
      <c r="C14" s="53"/>
      <c r="D14" s="54"/>
      <c r="E14" s="55"/>
      <c r="F14" s="56"/>
    </row>
    <row r="15" spans="1:11" s="42" customFormat="1" ht="17.25" customHeight="1">
      <c r="B15" s="49" t="s">
        <v>32</v>
      </c>
      <c r="C15" s="50">
        <f>SUM(C10:C14)</f>
        <v>52000</v>
      </c>
      <c r="D15" s="50"/>
      <c r="E15" s="50">
        <f t="shared" ref="E15:F15" si="2">SUM(E10:E14)</f>
        <v>148200</v>
      </c>
      <c r="F15" s="50">
        <f t="shared" si="2"/>
        <v>0</v>
      </c>
    </row>
    <row r="16" spans="1:11" s="42" customFormat="1" ht="17.25" customHeight="1">
      <c r="B16" s="57"/>
      <c r="C16" s="58"/>
      <c r="D16" s="59"/>
      <c r="E16" s="60"/>
      <c r="F16" s="61"/>
      <c r="G16" s="62" t="s">
        <v>34</v>
      </c>
    </row>
    <row r="17" spans="1:15" s="102" customFormat="1" ht="36.75" customHeight="1">
      <c r="A17" s="100" t="s">
        <v>1</v>
      </c>
      <c r="B17" s="100" t="s">
        <v>26</v>
      </c>
      <c r="C17" s="63" t="s">
        <v>10</v>
      </c>
      <c r="D17" s="101" t="s">
        <v>11</v>
      </c>
      <c r="E17" s="101" t="s">
        <v>12</v>
      </c>
      <c r="G17" s="64" t="s">
        <v>35</v>
      </c>
      <c r="H17" s="64" t="s">
        <v>36</v>
      </c>
      <c r="I17" s="64" t="s">
        <v>26</v>
      </c>
      <c r="J17" s="64" t="s">
        <v>37</v>
      </c>
      <c r="K17" s="64" t="s">
        <v>88</v>
      </c>
      <c r="L17" s="63" t="s">
        <v>38</v>
      </c>
      <c r="M17" s="66" t="s">
        <v>39</v>
      </c>
      <c r="N17" s="66" t="s">
        <v>12</v>
      </c>
    </row>
    <row r="18" spans="1:15" ht="17.25" customHeight="1">
      <c r="A18" s="67">
        <f>ROW()-3</f>
        <v>15</v>
      </c>
      <c r="B18" s="68" t="s">
        <v>40</v>
      </c>
      <c r="C18" s="69">
        <f>52000*2</f>
        <v>104000</v>
      </c>
      <c r="D18" s="70">
        <v>300</v>
      </c>
      <c r="E18" s="70">
        <f t="shared" ref="E18:E25" si="3">C18*D18</f>
        <v>31200000</v>
      </c>
      <c r="G18" s="71">
        <v>42574</v>
      </c>
      <c r="H18" s="71">
        <v>42586</v>
      </c>
      <c r="I18" s="72" t="s">
        <v>41</v>
      </c>
      <c r="J18" s="73">
        <f>H18-G18+1</f>
        <v>13</v>
      </c>
      <c r="K18" s="110">
        <v>239</v>
      </c>
      <c r="L18" s="74">
        <v>3.1070000000000002</v>
      </c>
      <c r="M18" s="75">
        <v>18000</v>
      </c>
      <c r="N18" s="75">
        <f>M18*L18*J18</f>
        <v>727038.00000000012</v>
      </c>
      <c r="O18" s="76"/>
    </row>
    <row r="19" spans="1:15" ht="17.25" customHeight="1">
      <c r="A19" s="77">
        <f t="shared" ref="A19:A25" si="4">ROW()-3</f>
        <v>16</v>
      </c>
      <c r="B19" s="78" t="s">
        <v>42</v>
      </c>
      <c r="C19" s="79">
        <v>4</v>
      </c>
      <c r="D19" s="80">
        <v>2000000</v>
      </c>
      <c r="E19" s="80">
        <f t="shared" si="3"/>
        <v>8000000</v>
      </c>
      <c r="G19" s="81">
        <v>42575</v>
      </c>
      <c r="H19" s="81">
        <v>42586</v>
      </c>
      <c r="I19" s="72" t="s">
        <v>41</v>
      </c>
      <c r="J19" s="73">
        <f t="shared" ref="J19:J29" si="5">H19-G19+1</f>
        <v>12</v>
      </c>
      <c r="K19" s="110">
        <v>1761</v>
      </c>
      <c r="L19" s="82">
        <v>22.893000000000001</v>
      </c>
      <c r="M19" s="75">
        <v>18000</v>
      </c>
      <c r="N19" s="75">
        <f t="shared" ref="N19:N29" si="6">M19*L19*J19</f>
        <v>4944888</v>
      </c>
      <c r="O19" s="76"/>
    </row>
    <row r="20" spans="1:15" ht="17.25" customHeight="1">
      <c r="A20" s="77">
        <f t="shared" si="4"/>
        <v>17</v>
      </c>
      <c r="B20" s="78" t="s">
        <v>43</v>
      </c>
      <c r="C20" s="79">
        <v>4</v>
      </c>
      <c r="D20" s="80">
        <v>2000000</v>
      </c>
      <c r="E20" s="80">
        <f t="shared" si="3"/>
        <v>8000000</v>
      </c>
      <c r="G20" s="81">
        <v>42575</v>
      </c>
      <c r="H20" s="81">
        <v>42587</v>
      </c>
      <c r="I20" s="72" t="s">
        <v>41</v>
      </c>
      <c r="J20" s="73">
        <f t="shared" si="5"/>
        <v>13</v>
      </c>
      <c r="K20" s="110">
        <v>176</v>
      </c>
      <c r="L20" s="82">
        <v>2.2879999999999998</v>
      </c>
      <c r="M20" s="75">
        <v>18000</v>
      </c>
      <c r="N20" s="75">
        <f t="shared" si="6"/>
        <v>535392</v>
      </c>
      <c r="O20" s="76"/>
    </row>
    <row r="21" spans="1:15" ht="17.25" customHeight="1">
      <c r="A21" s="77">
        <f t="shared" si="4"/>
        <v>18</v>
      </c>
      <c r="B21" s="78" t="s">
        <v>44</v>
      </c>
      <c r="C21" s="79">
        <v>4</v>
      </c>
      <c r="D21" s="80">
        <v>600000</v>
      </c>
      <c r="E21" s="80">
        <f t="shared" si="3"/>
        <v>2400000</v>
      </c>
      <c r="G21" s="81">
        <v>42576</v>
      </c>
      <c r="H21" s="81">
        <v>42587</v>
      </c>
      <c r="I21" s="72" t="s">
        <v>41</v>
      </c>
      <c r="J21" s="73">
        <f t="shared" si="5"/>
        <v>12</v>
      </c>
      <c r="K21" s="110">
        <v>590</v>
      </c>
      <c r="L21" s="82">
        <v>7.67</v>
      </c>
      <c r="M21" s="75">
        <v>18000</v>
      </c>
      <c r="N21" s="75">
        <f t="shared" si="6"/>
        <v>1656720</v>
      </c>
      <c r="O21" s="76"/>
    </row>
    <row r="22" spans="1:15" ht="17.25" customHeight="1">
      <c r="A22" s="77">
        <f t="shared" si="4"/>
        <v>19</v>
      </c>
      <c r="B22" s="78" t="s">
        <v>45</v>
      </c>
      <c r="C22" s="79">
        <v>4</v>
      </c>
      <c r="D22" s="80">
        <v>15306800</v>
      </c>
      <c r="E22" s="80">
        <f>C22*D22</f>
        <v>61227200</v>
      </c>
      <c r="G22" s="81">
        <v>42577</v>
      </c>
      <c r="H22" s="81">
        <v>42587</v>
      </c>
      <c r="I22" s="72" t="s">
        <v>41</v>
      </c>
      <c r="J22" s="73">
        <f t="shared" si="5"/>
        <v>11</v>
      </c>
      <c r="K22" s="110">
        <v>1234</v>
      </c>
      <c r="L22" s="82">
        <v>16.042000000000002</v>
      </c>
      <c r="M22" s="75">
        <v>18000</v>
      </c>
      <c r="N22" s="75">
        <f t="shared" si="6"/>
        <v>3176316</v>
      </c>
      <c r="O22" s="76"/>
    </row>
    <row r="23" spans="1:15" ht="17.25" customHeight="1">
      <c r="A23" s="77">
        <f t="shared" si="4"/>
        <v>20</v>
      </c>
      <c r="B23" s="78" t="s">
        <v>46</v>
      </c>
      <c r="C23" s="79">
        <v>4</v>
      </c>
      <c r="D23" s="80">
        <v>7378778</v>
      </c>
      <c r="E23" s="80">
        <f t="shared" si="3"/>
        <v>29515112</v>
      </c>
      <c r="G23" s="81">
        <v>42577</v>
      </c>
      <c r="H23" s="81">
        <v>42593</v>
      </c>
      <c r="I23" s="72" t="s">
        <v>41</v>
      </c>
      <c r="J23" s="73">
        <f t="shared" si="5"/>
        <v>17</v>
      </c>
      <c r="K23" s="110">
        <v>138</v>
      </c>
      <c r="L23" s="82">
        <v>1.794</v>
      </c>
      <c r="M23" s="75">
        <v>18000</v>
      </c>
      <c r="N23" s="75">
        <f t="shared" si="6"/>
        <v>548964</v>
      </c>
      <c r="O23" s="76"/>
    </row>
    <row r="24" spans="1:15" ht="17.25" customHeight="1">
      <c r="A24" s="77">
        <f t="shared" si="4"/>
        <v>21</v>
      </c>
      <c r="B24" s="78" t="s">
        <v>47</v>
      </c>
      <c r="C24" s="79">
        <v>4</v>
      </c>
      <c r="D24" s="80">
        <v>5600000</v>
      </c>
      <c r="E24" s="80">
        <f t="shared" si="3"/>
        <v>22400000</v>
      </c>
      <c r="G24" s="81">
        <v>42578</v>
      </c>
      <c r="H24" s="81">
        <v>42593</v>
      </c>
      <c r="I24" s="72" t="s">
        <v>41</v>
      </c>
      <c r="J24" s="73">
        <f t="shared" si="5"/>
        <v>16</v>
      </c>
      <c r="K24" s="110">
        <v>1723</v>
      </c>
      <c r="L24" s="82">
        <v>22.399000000000001</v>
      </c>
      <c r="M24" s="75">
        <v>18000</v>
      </c>
      <c r="N24" s="75">
        <f t="shared" si="6"/>
        <v>6450912</v>
      </c>
      <c r="O24" s="76"/>
    </row>
    <row r="25" spans="1:15" ht="16.5" customHeight="1">
      <c r="A25" s="77">
        <f t="shared" si="4"/>
        <v>22</v>
      </c>
      <c r="B25" s="78" t="s">
        <v>48</v>
      </c>
      <c r="C25" s="79">
        <v>4</v>
      </c>
      <c r="D25" s="80">
        <f>88*22500</f>
        <v>1980000</v>
      </c>
      <c r="E25" s="80">
        <f t="shared" si="3"/>
        <v>7920000</v>
      </c>
      <c r="G25" s="81">
        <v>42579</v>
      </c>
      <c r="H25" s="81">
        <v>42593</v>
      </c>
      <c r="I25" s="72" t="s">
        <v>41</v>
      </c>
      <c r="J25" s="73">
        <f t="shared" si="5"/>
        <v>15</v>
      </c>
      <c r="K25" s="110">
        <v>139</v>
      </c>
      <c r="L25" s="82">
        <v>1.8069999999999999</v>
      </c>
      <c r="M25" s="75">
        <v>18000</v>
      </c>
      <c r="N25" s="75">
        <f t="shared" si="6"/>
        <v>487890</v>
      </c>
      <c r="O25" s="76"/>
    </row>
    <row r="26" spans="1:15" ht="16.5" customHeight="1">
      <c r="A26" s="77">
        <v>9</v>
      </c>
      <c r="B26" s="78" t="s">
        <v>49</v>
      </c>
      <c r="C26" s="79">
        <v>2</v>
      </c>
      <c r="D26" s="80">
        <v>1350000</v>
      </c>
      <c r="E26" s="80">
        <f>C26*D26</f>
        <v>2700000</v>
      </c>
      <c r="G26" s="81">
        <v>42579</v>
      </c>
      <c r="H26" s="81">
        <v>42594</v>
      </c>
      <c r="I26" s="72" t="s">
        <v>41</v>
      </c>
      <c r="J26" s="73">
        <f t="shared" si="5"/>
        <v>16</v>
      </c>
      <c r="K26" s="110">
        <v>911</v>
      </c>
      <c r="L26" s="82">
        <v>11.843</v>
      </c>
      <c r="M26" s="75">
        <v>18000</v>
      </c>
      <c r="N26" s="75">
        <f t="shared" si="6"/>
        <v>3410784</v>
      </c>
      <c r="O26" s="76"/>
    </row>
    <row r="27" spans="1:15" ht="17.25" customHeight="1">
      <c r="A27" s="77">
        <v>10</v>
      </c>
      <c r="B27" s="78" t="s">
        <v>50</v>
      </c>
      <c r="C27" s="79">
        <f>C18</f>
        <v>104000</v>
      </c>
      <c r="D27" s="80">
        <v>50</v>
      </c>
      <c r="E27" s="80">
        <f>C27*D27</f>
        <v>5200000</v>
      </c>
      <c r="G27" s="81">
        <v>42590</v>
      </c>
      <c r="H27" s="81">
        <v>42594</v>
      </c>
      <c r="I27" s="72" t="s">
        <v>41</v>
      </c>
      <c r="J27" s="73">
        <f>H27-G27+1</f>
        <v>5</v>
      </c>
      <c r="K27" s="110">
        <v>580</v>
      </c>
      <c r="L27" s="82">
        <v>7.54</v>
      </c>
      <c r="M27" s="75">
        <v>18000</v>
      </c>
      <c r="N27" s="75">
        <f>M27*L27*J27</f>
        <v>678600</v>
      </c>
      <c r="O27" s="76"/>
    </row>
    <row r="28" spans="1:15" ht="17.25" customHeight="1">
      <c r="A28" s="77">
        <v>11</v>
      </c>
      <c r="B28" s="78" t="s">
        <v>51</v>
      </c>
      <c r="C28" s="79"/>
      <c r="D28" s="80"/>
      <c r="E28" s="80">
        <f>N31</f>
        <v>22818510</v>
      </c>
      <c r="G28" s="81">
        <v>42593</v>
      </c>
      <c r="H28" s="81">
        <v>42594</v>
      </c>
      <c r="I28" s="72" t="s">
        <v>41</v>
      </c>
      <c r="J28" s="73">
        <f>H28-G28+1</f>
        <v>2</v>
      </c>
      <c r="K28" s="110">
        <v>350</v>
      </c>
      <c r="L28" s="82">
        <v>4.55</v>
      </c>
      <c r="M28" s="75">
        <v>18000</v>
      </c>
      <c r="N28" s="75">
        <f>M28*L28*J28</f>
        <v>163800</v>
      </c>
      <c r="O28" s="76"/>
    </row>
    <row r="29" spans="1:15" s="21" customFormat="1" ht="17.25" customHeight="1">
      <c r="A29" s="77">
        <v>12</v>
      </c>
      <c r="B29" s="78" t="s">
        <v>52</v>
      </c>
      <c r="C29" s="79"/>
      <c r="D29" s="80"/>
      <c r="E29" s="80">
        <v>1000000</v>
      </c>
      <c r="F29" s="22"/>
      <c r="G29" s="81">
        <v>42594</v>
      </c>
      <c r="H29" s="81">
        <v>42594</v>
      </c>
      <c r="I29" s="72" t="s">
        <v>41</v>
      </c>
      <c r="J29" s="73">
        <f t="shared" si="5"/>
        <v>1</v>
      </c>
      <c r="K29" s="110">
        <v>159</v>
      </c>
      <c r="L29" s="82">
        <v>2.0670000000000002</v>
      </c>
      <c r="M29" s="75">
        <v>18000</v>
      </c>
      <c r="N29" s="75">
        <f t="shared" si="6"/>
        <v>37206</v>
      </c>
      <c r="O29" s="76"/>
    </row>
    <row r="30" spans="1:15" ht="11.25" customHeight="1">
      <c r="A30" s="77"/>
      <c r="B30" s="78"/>
      <c r="C30" s="79"/>
      <c r="D30" s="80"/>
      <c r="E30" s="80"/>
      <c r="G30" s="83"/>
      <c r="H30" s="83"/>
      <c r="I30" s="84"/>
      <c r="J30" s="84"/>
      <c r="K30" s="111"/>
      <c r="L30" s="85"/>
      <c r="M30" s="86"/>
      <c r="N30" s="86">
        <f t="shared" ref="N30" si="7">L30*M30</f>
        <v>0</v>
      </c>
    </row>
    <row r="31" spans="1:15" ht="18.75" customHeight="1">
      <c r="A31" s="87"/>
      <c r="B31" s="87" t="s">
        <v>53</v>
      </c>
      <c r="C31" s="88"/>
      <c r="D31" s="89"/>
      <c r="E31" s="89">
        <f>SUM(E18:E30)</f>
        <v>202380822</v>
      </c>
      <c r="F31" s="21"/>
      <c r="G31" s="90"/>
      <c r="H31" s="90"/>
      <c r="I31" s="90" t="s">
        <v>53</v>
      </c>
      <c r="J31" s="90"/>
      <c r="K31" s="107">
        <f>SUM(K18:K30)</f>
        <v>8000</v>
      </c>
      <c r="L31" s="142">
        <f>SUM(L18:L30)</f>
        <v>104</v>
      </c>
      <c r="M31" s="91"/>
      <c r="N31" s="91">
        <f>SUM(N18:N30)</f>
        <v>22818510</v>
      </c>
    </row>
    <row r="32" spans="1:15" ht="18.75" customHeight="1"/>
    <row r="33" spans="1:11" s="20" customFormat="1">
      <c r="A33" s="22"/>
      <c r="B33" s="22"/>
      <c r="C33" s="23"/>
      <c r="D33" s="24" t="s">
        <v>54</v>
      </c>
      <c r="E33" s="24">
        <f>E31/C18</f>
        <v>1945.9694423076924</v>
      </c>
      <c r="F33" s="22"/>
    </row>
    <row r="35" spans="1:11" ht="33">
      <c r="A35" s="65" t="s">
        <v>1</v>
      </c>
      <c r="B35" s="64" t="s">
        <v>26</v>
      </c>
      <c r="C35" s="63" t="s">
        <v>55</v>
      </c>
      <c r="D35" s="66" t="s">
        <v>56</v>
      </c>
      <c r="E35" s="66" t="s">
        <v>12</v>
      </c>
      <c r="F35" s="66" t="s">
        <v>57</v>
      </c>
    </row>
    <row r="36" spans="1:11">
      <c r="A36" s="77">
        <v>1</v>
      </c>
      <c r="B36" s="78" t="s">
        <v>58</v>
      </c>
      <c r="C36" s="79">
        <f>F9</f>
        <v>148188</v>
      </c>
      <c r="D36" s="80">
        <v>22260</v>
      </c>
      <c r="E36" s="80">
        <f t="shared" ref="E36:E37" si="8">C36*D36</f>
        <v>3298664880</v>
      </c>
      <c r="F36" s="80"/>
    </row>
    <row r="37" spans="1:11">
      <c r="A37" s="77">
        <v>2</v>
      </c>
      <c r="B37" s="78" t="s">
        <v>59</v>
      </c>
      <c r="C37" s="79"/>
      <c r="D37" s="80"/>
      <c r="E37" s="80">
        <f t="shared" si="8"/>
        <v>0</v>
      </c>
      <c r="F37" s="80">
        <v>1416959000</v>
      </c>
      <c r="G37" s="92"/>
      <c r="H37" s="93"/>
      <c r="I37" s="92"/>
      <c r="J37" s="94"/>
      <c r="K37" s="94"/>
    </row>
    <row r="38" spans="1:11">
      <c r="A38" s="77">
        <v>3</v>
      </c>
      <c r="B38" s="78" t="s">
        <v>60</v>
      </c>
      <c r="C38" s="79"/>
      <c r="D38" s="80"/>
      <c r="E38" s="80">
        <f>C38*D38</f>
        <v>0</v>
      </c>
      <c r="F38" s="80">
        <v>1421958000</v>
      </c>
      <c r="G38" s="92"/>
      <c r="H38" s="93"/>
      <c r="I38" s="92"/>
      <c r="J38" s="94"/>
      <c r="K38" s="94"/>
    </row>
    <row r="39" spans="1:11">
      <c r="A39" s="77">
        <v>5</v>
      </c>
      <c r="B39" s="78" t="s">
        <v>61</v>
      </c>
      <c r="C39" s="79"/>
      <c r="D39" s="80"/>
      <c r="E39" s="80">
        <f>C39*D39</f>
        <v>0</v>
      </c>
      <c r="F39" s="80">
        <v>257367058</v>
      </c>
      <c r="G39" s="92"/>
      <c r="H39" s="93"/>
      <c r="I39" s="92"/>
      <c r="J39" s="94"/>
      <c r="K39" s="94"/>
    </row>
    <row r="40" spans="1:11">
      <c r="A40" s="84"/>
      <c r="B40" s="95"/>
      <c r="C40" s="96"/>
      <c r="D40" s="97"/>
      <c r="E40" s="97">
        <f>N41</f>
        <v>0</v>
      </c>
      <c r="F40" s="97"/>
    </row>
    <row r="41" spans="1:11">
      <c r="A41" s="87"/>
      <c r="B41" s="87" t="s">
        <v>62</v>
      </c>
      <c r="C41" s="88"/>
      <c r="D41" s="89"/>
      <c r="E41" s="89">
        <f>SUM(E36:E40)</f>
        <v>3298664880</v>
      </c>
      <c r="F41" s="89">
        <f>SUM(F36:F40)</f>
        <v>3096284058</v>
      </c>
    </row>
    <row r="43" spans="1:11">
      <c r="D43" s="98" t="s">
        <v>63</v>
      </c>
      <c r="F43" s="99">
        <f>E41-F41</f>
        <v>202380822</v>
      </c>
    </row>
  </sheetData>
  <mergeCells count="1">
    <mergeCell ref="A1:E1"/>
  </mergeCells>
  <pageMargins left="0.51" right="0.25" top="0.19" bottom="0.25" header="0" footer="0"/>
  <pageSetup paperSize="9" scale="9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1"/>
  </sheetPr>
  <dimension ref="A1:O382"/>
  <sheetViews>
    <sheetView tabSelected="1" topLeftCell="A334" workbookViewId="0">
      <selection activeCell="F349" sqref="F349:I349"/>
    </sheetView>
  </sheetViews>
  <sheetFormatPr defaultRowHeight="16.5"/>
  <cols>
    <col min="1" max="1" width="5.5703125" style="22" customWidth="1"/>
    <col min="2" max="2" width="33.28515625" style="22" customWidth="1"/>
    <col min="3" max="3" width="10.28515625" style="117" customWidth="1"/>
    <col min="4" max="4" width="12.42578125" style="24" customWidth="1"/>
    <col min="5" max="5" width="15.7109375" style="121" customWidth="1"/>
    <col min="6" max="6" width="2" style="22" customWidth="1"/>
    <col min="7" max="8" width="9.7109375" style="20" customWidth="1"/>
    <col min="9" max="9" width="22.140625" style="20" customWidth="1"/>
    <col min="10" max="10" width="9" style="20" customWidth="1"/>
    <col min="11" max="12" width="9.85546875" style="20" customWidth="1"/>
    <col min="13" max="13" width="11.140625" style="20" customWidth="1"/>
    <col min="14" max="14" width="13.28515625" style="20" customWidth="1"/>
    <col min="15" max="16384" width="9.140625" style="22"/>
  </cols>
  <sheetData>
    <row r="1" spans="1:15" ht="43.5" customHeight="1">
      <c r="A1" s="236" t="s">
        <v>82</v>
      </c>
      <c r="B1" s="236"/>
      <c r="C1" s="236"/>
      <c r="D1" s="236"/>
      <c r="E1" s="236"/>
      <c r="F1" s="105"/>
      <c r="G1" s="19"/>
      <c r="H1" s="19"/>
    </row>
    <row r="2" spans="1:15" s="42" customFormat="1" ht="17.25" customHeight="1">
      <c r="B2" s="57"/>
      <c r="C2" s="112"/>
      <c r="D2" s="104"/>
      <c r="E2" s="118"/>
      <c r="F2" s="61"/>
      <c r="G2" s="62" t="s">
        <v>34</v>
      </c>
      <c r="I2" s="109"/>
    </row>
    <row r="3" spans="1:15" s="108" customFormat="1" ht="36.75" customHeight="1">
      <c r="A3" s="64" t="s">
        <v>1</v>
      </c>
      <c r="B3" s="64" t="s">
        <v>26</v>
      </c>
      <c r="C3" s="113" t="s">
        <v>10</v>
      </c>
      <c r="D3" s="66" t="s">
        <v>11</v>
      </c>
      <c r="E3" s="66" t="s">
        <v>12</v>
      </c>
      <c r="G3" s="64" t="s">
        <v>35</v>
      </c>
      <c r="H3" s="64" t="s">
        <v>36</v>
      </c>
      <c r="I3" s="64" t="s">
        <v>108</v>
      </c>
      <c r="J3" s="64" t="s">
        <v>37</v>
      </c>
      <c r="K3" s="64" t="s">
        <v>88</v>
      </c>
      <c r="L3" s="63" t="s">
        <v>38</v>
      </c>
      <c r="M3" s="66" t="s">
        <v>111</v>
      </c>
      <c r="N3" s="66" t="s">
        <v>12</v>
      </c>
    </row>
    <row r="4" spans="1:15" ht="20.25" customHeight="1">
      <c r="A4" s="67">
        <f>ROW()-3</f>
        <v>1</v>
      </c>
      <c r="B4" s="68" t="s">
        <v>40</v>
      </c>
      <c r="C4" s="114">
        <v>52000</v>
      </c>
      <c r="D4" s="70">
        <v>300</v>
      </c>
      <c r="E4" s="119">
        <f t="shared" ref="E4:E15" si="0">C4*D4</f>
        <v>15600000</v>
      </c>
      <c r="G4" s="81">
        <v>42594</v>
      </c>
      <c r="H4" s="81"/>
      <c r="I4" s="73" t="s">
        <v>109</v>
      </c>
      <c r="J4" s="73" t="str">
        <f>IF(H4&lt;&gt;"",H4-G4+1,"")</f>
        <v/>
      </c>
      <c r="K4" s="73">
        <v>20</v>
      </c>
      <c r="L4" s="106">
        <f t="shared" ref="L4:L9" si="1">K4*13</f>
        <v>260</v>
      </c>
      <c r="M4" s="75"/>
      <c r="N4" s="75" t="str">
        <f>IF(J4&lt;&gt;"",M4*L4*J4/1000,"")</f>
        <v/>
      </c>
      <c r="O4" s="76"/>
    </row>
    <row r="5" spans="1:15" ht="20.25" customHeight="1">
      <c r="A5" s="77">
        <f t="shared" ref="A5:A15" si="2">ROW()-3</f>
        <v>2</v>
      </c>
      <c r="B5" s="78" t="s">
        <v>42</v>
      </c>
      <c r="C5" s="115">
        <v>2</v>
      </c>
      <c r="D5" s="80">
        <v>2000000</v>
      </c>
      <c r="E5" s="120">
        <f t="shared" si="0"/>
        <v>4000000</v>
      </c>
      <c r="G5" s="81">
        <v>42594</v>
      </c>
      <c r="H5" s="81"/>
      <c r="I5" s="73" t="s">
        <v>110</v>
      </c>
      <c r="J5" s="73" t="str">
        <f t="shared" ref="J5:J15" si="3">IF(H5&lt;&gt;"",H5-G5+1,"")</f>
        <v/>
      </c>
      <c r="K5" s="73">
        <v>8</v>
      </c>
      <c r="L5" s="106">
        <f t="shared" si="1"/>
        <v>104</v>
      </c>
      <c r="M5" s="75"/>
      <c r="N5" s="75" t="str">
        <f t="shared" ref="N5:N15" si="4">IF(J5&lt;&gt;"",M5*L5*J5/1000,"")</f>
        <v/>
      </c>
      <c r="O5" s="76"/>
    </row>
    <row r="6" spans="1:15" ht="20.25" customHeight="1">
      <c r="A6" s="77">
        <f t="shared" si="2"/>
        <v>3</v>
      </c>
      <c r="B6" s="78" t="s">
        <v>43</v>
      </c>
      <c r="C6" s="115">
        <v>2</v>
      </c>
      <c r="D6" s="80">
        <v>2000000</v>
      </c>
      <c r="E6" s="120">
        <f t="shared" si="0"/>
        <v>4000000</v>
      </c>
      <c r="G6" s="81"/>
      <c r="H6" s="81"/>
      <c r="I6" s="73" t="s">
        <v>116</v>
      </c>
      <c r="J6" s="73" t="str">
        <f t="shared" si="3"/>
        <v/>
      </c>
      <c r="K6" s="73">
        <v>-8</v>
      </c>
      <c r="L6" s="106">
        <f t="shared" si="1"/>
        <v>-104</v>
      </c>
      <c r="M6" s="75"/>
      <c r="N6" s="75" t="str">
        <f t="shared" si="4"/>
        <v/>
      </c>
      <c r="O6" s="76"/>
    </row>
    <row r="7" spans="1:15" ht="20.25" customHeight="1">
      <c r="A7" s="77">
        <f t="shared" si="2"/>
        <v>4</v>
      </c>
      <c r="B7" s="78" t="s">
        <v>44</v>
      </c>
      <c r="C7" s="115">
        <v>2</v>
      </c>
      <c r="D7" s="80">
        <v>600000</v>
      </c>
      <c r="E7" s="120">
        <f t="shared" si="0"/>
        <v>1200000</v>
      </c>
      <c r="G7" s="81">
        <v>42710</v>
      </c>
      <c r="H7" s="81"/>
      <c r="I7" s="172" t="s">
        <v>206</v>
      </c>
      <c r="J7" s="73" t="str">
        <f t="shared" si="3"/>
        <v/>
      </c>
      <c r="K7" s="73">
        <v>3</v>
      </c>
      <c r="L7" s="106">
        <f t="shared" si="1"/>
        <v>39</v>
      </c>
      <c r="M7" s="75"/>
      <c r="N7" s="75" t="str">
        <f t="shared" si="4"/>
        <v/>
      </c>
      <c r="O7" s="76"/>
    </row>
    <row r="8" spans="1:15" ht="20.25" customHeight="1">
      <c r="A8" s="77">
        <f t="shared" si="2"/>
        <v>5</v>
      </c>
      <c r="B8" s="78" t="s">
        <v>80</v>
      </c>
      <c r="C8" s="115">
        <v>2</v>
      </c>
      <c r="D8" s="80">
        <v>16725000</v>
      </c>
      <c r="E8" s="120">
        <f>C8*D8</f>
        <v>33450000</v>
      </c>
      <c r="G8" s="81"/>
      <c r="H8" s="81"/>
      <c r="I8" s="73"/>
      <c r="J8" s="73" t="str">
        <f t="shared" si="3"/>
        <v/>
      </c>
      <c r="K8" s="73"/>
      <c r="L8" s="106">
        <f t="shared" si="1"/>
        <v>0</v>
      </c>
      <c r="M8" s="75"/>
      <c r="N8" s="75" t="str">
        <f t="shared" si="4"/>
        <v/>
      </c>
      <c r="O8" s="76"/>
    </row>
    <row r="9" spans="1:15" ht="20.25" customHeight="1">
      <c r="A9" s="77">
        <f t="shared" si="2"/>
        <v>6</v>
      </c>
      <c r="B9" s="78" t="s">
        <v>46</v>
      </c>
      <c r="C9" s="115">
        <v>2</v>
      </c>
      <c r="D9" s="80">
        <v>7378778</v>
      </c>
      <c r="E9" s="120">
        <f t="shared" si="0"/>
        <v>14757556</v>
      </c>
      <c r="G9" s="81"/>
      <c r="H9" s="81"/>
      <c r="I9" s="73"/>
      <c r="J9" s="73" t="str">
        <f t="shared" si="3"/>
        <v/>
      </c>
      <c r="K9" s="73"/>
      <c r="L9" s="106">
        <f t="shared" si="1"/>
        <v>0</v>
      </c>
      <c r="M9" s="75"/>
      <c r="N9" s="75" t="str">
        <f t="shared" si="4"/>
        <v/>
      </c>
      <c r="O9" s="76"/>
    </row>
    <row r="10" spans="1:15" ht="20.25" customHeight="1">
      <c r="A10" s="77">
        <f t="shared" si="2"/>
        <v>7</v>
      </c>
      <c r="B10" s="78" t="s">
        <v>81</v>
      </c>
      <c r="C10" s="115">
        <v>1</v>
      </c>
      <c r="D10" s="80">
        <v>13466740</v>
      </c>
      <c r="E10" s="120">
        <f t="shared" si="0"/>
        <v>13466740</v>
      </c>
      <c r="G10" s="81"/>
      <c r="H10" s="81"/>
      <c r="I10" s="73"/>
      <c r="J10" s="73" t="str">
        <f t="shared" si="3"/>
        <v/>
      </c>
      <c r="K10" s="73"/>
      <c r="L10" s="106"/>
      <c r="M10" s="75"/>
      <c r="N10" s="75" t="str">
        <f t="shared" si="4"/>
        <v/>
      </c>
      <c r="O10" s="76"/>
    </row>
    <row r="11" spans="1:15" ht="20.25" customHeight="1">
      <c r="A11" s="77">
        <f t="shared" si="2"/>
        <v>8</v>
      </c>
      <c r="B11" s="78" t="s">
        <v>112</v>
      </c>
      <c r="C11" s="115">
        <v>1</v>
      </c>
      <c r="D11" s="80">
        <v>5600000</v>
      </c>
      <c r="E11" s="120">
        <f t="shared" si="0"/>
        <v>5600000</v>
      </c>
      <c r="G11" s="81"/>
      <c r="H11" s="81"/>
      <c r="I11" s="73"/>
      <c r="J11" s="73" t="str">
        <f t="shared" si="3"/>
        <v/>
      </c>
      <c r="K11" s="73"/>
      <c r="L11" s="106"/>
      <c r="M11" s="75"/>
      <c r="N11" s="75" t="str">
        <f t="shared" si="4"/>
        <v/>
      </c>
      <c r="O11" s="76"/>
    </row>
    <row r="12" spans="1:15" ht="20.25" customHeight="1">
      <c r="A12" s="77">
        <f t="shared" si="2"/>
        <v>9</v>
      </c>
      <c r="B12" s="78" t="s">
        <v>48</v>
      </c>
      <c r="C12" s="115">
        <v>2</v>
      </c>
      <c r="D12" s="80">
        <f>88*22500</f>
        <v>1980000</v>
      </c>
      <c r="E12" s="120">
        <f t="shared" si="0"/>
        <v>3960000</v>
      </c>
      <c r="G12" s="81"/>
      <c r="H12" s="81"/>
      <c r="I12" s="73"/>
      <c r="J12" s="73" t="str">
        <f t="shared" si="3"/>
        <v/>
      </c>
      <c r="K12" s="73"/>
      <c r="L12" s="106"/>
      <c r="M12" s="75"/>
      <c r="N12" s="75" t="str">
        <f t="shared" si="4"/>
        <v/>
      </c>
      <c r="O12" s="76"/>
    </row>
    <row r="13" spans="1:15" ht="20.25" customHeight="1">
      <c r="A13" s="77">
        <f t="shared" si="2"/>
        <v>10</v>
      </c>
      <c r="B13" s="78" t="s">
        <v>49</v>
      </c>
      <c r="C13" s="115">
        <v>2</v>
      </c>
      <c r="D13" s="80">
        <v>1350000</v>
      </c>
      <c r="E13" s="120">
        <f t="shared" si="0"/>
        <v>2700000</v>
      </c>
      <c r="G13" s="81"/>
      <c r="H13" s="81"/>
      <c r="I13" s="73"/>
      <c r="J13" s="73" t="str">
        <f t="shared" si="3"/>
        <v/>
      </c>
      <c r="K13" s="73"/>
      <c r="L13" s="106"/>
      <c r="M13" s="75"/>
      <c r="N13" s="75" t="str">
        <f t="shared" si="4"/>
        <v/>
      </c>
      <c r="O13" s="76"/>
    </row>
    <row r="14" spans="1:15" ht="20.25" customHeight="1">
      <c r="A14" s="77">
        <f t="shared" si="2"/>
        <v>11</v>
      </c>
      <c r="B14" s="78" t="s">
        <v>84</v>
      </c>
      <c r="C14" s="115">
        <v>2</v>
      </c>
      <c r="D14" s="80">
        <v>2500000</v>
      </c>
      <c r="E14" s="120">
        <f t="shared" si="0"/>
        <v>5000000</v>
      </c>
      <c r="G14" s="81"/>
      <c r="H14" s="81"/>
      <c r="I14" s="73"/>
      <c r="J14" s="73" t="str">
        <f t="shared" si="3"/>
        <v/>
      </c>
      <c r="K14" s="73"/>
      <c r="L14" s="106"/>
      <c r="M14" s="75"/>
      <c r="N14" s="75" t="str">
        <f t="shared" si="4"/>
        <v/>
      </c>
      <c r="O14" s="76"/>
    </row>
    <row r="15" spans="1:15" ht="20.25" customHeight="1">
      <c r="A15" s="77">
        <f t="shared" si="2"/>
        <v>12</v>
      </c>
      <c r="B15" s="78" t="s">
        <v>50</v>
      </c>
      <c r="C15" s="115">
        <v>52</v>
      </c>
      <c r="D15" s="80">
        <v>50000</v>
      </c>
      <c r="E15" s="120">
        <f t="shared" si="0"/>
        <v>2600000</v>
      </c>
      <c r="G15" s="81"/>
      <c r="H15" s="81"/>
      <c r="I15" s="73"/>
      <c r="J15" s="73" t="str">
        <f t="shared" si="3"/>
        <v/>
      </c>
      <c r="K15" s="73"/>
      <c r="L15" s="106"/>
      <c r="M15" s="75"/>
      <c r="N15" s="75" t="str">
        <f t="shared" si="4"/>
        <v/>
      </c>
      <c r="O15" s="76"/>
    </row>
    <row r="16" spans="1:15" ht="8.25" customHeight="1">
      <c r="A16" s="77"/>
      <c r="B16" s="78"/>
      <c r="C16" s="115"/>
      <c r="D16" s="80"/>
      <c r="E16" s="120"/>
      <c r="G16" s="81"/>
      <c r="H16" s="81"/>
      <c r="I16" s="73"/>
      <c r="J16" s="73"/>
      <c r="K16" s="73"/>
      <c r="L16" s="106"/>
      <c r="M16" s="75"/>
      <c r="N16" s="75"/>
    </row>
    <row r="17" spans="1:15" ht="20.25" customHeight="1">
      <c r="A17" s="87"/>
      <c r="B17" s="87" t="s">
        <v>53</v>
      </c>
      <c r="C17" s="116"/>
      <c r="D17" s="89"/>
      <c r="E17" s="91">
        <f>SUM(E4:E16)</f>
        <v>106334296</v>
      </c>
      <c r="F17" s="21"/>
      <c r="G17" s="90"/>
      <c r="H17" s="90"/>
      <c r="I17" s="90" t="s">
        <v>53</v>
      </c>
      <c r="J17" s="90"/>
      <c r="K17" s="107">
        <f>SUM(K4:K16)</f>
        <v>23</v>
      </c>
      <c r="L17" s="107">
        <f t="shared" ref="L17" si="5">SUM(L4:L16)</f>
        <v>299</v>
      </c>
      <c r="M17" s="107"/>
      <c r="N17" s="91">
        <f>SUM(N4:N16)</f>
        <v>0</v>
      </c>
    </row>
    <row r="18" spans="1:15" ht="9" customHeight="1">
      <c r="G18" s="22"/>
      <c r="H18" s="22"/>
      <c r="J18" s="22"/>
      <c r="K18" s="22"/>
      <c r="L18" s="22"/>
      <c r="M18" s="22"/>
      <c r="N18" s="22"/>
    </row>
    <row r="19" spans="1:15" s="20" customFormat="1">
      <c r="A19" s="22"/>
      <c r="B19" s="22"/>
      <c r="C19" s="117"/>
      <c r="D19" s="24" t="s">
        <v>54</v>
      </c>
      <c r="E19" s="121">
        <f>E17/C4</f>
        <v>2044.8903076923077</v>
      </c>
      <c r="F19" s="22"/>
      <c r="G19" s="22"/>
      <c r="H19" s="22"/>
      <c r="J19" s="22"/>
      <c r="K19" s="22"/>
      <c r="L19" s="22"/>
      <c r="M19" s="22"/>
      <c r="N19" s="22"/>
    </row>
    <row r="21" spans="1:15" ht="43.5" customHeight="1">
      <c r="A21" s="236" t="s">
        <v>102</v>
      </c>
      <c r="B21" s="236"/>
      <c r="C21" s="236"/>
      <c r="D21" s="236"/>
      <c r="E21" s="236"/>
      <c r="F21" s="105"/>
      <c r="G21" s="19"/>
      <c r="H21" s="19"/>
    </row>
    <row r="22" spans="1:15" s="42" customFormat="1" ht="17.25" customHeight="1">
      <c r="B22" s="57"/>
      <c r="C22" s="112"/>
      <c r="D22" s="104"/>
      <c r="E22" s="118"/>
      <c r="F22" s="61"/>
      <c r="G22" s="62" t="s">
        <v>34</v>
      </c>
      <c r="I22" s="109"/>
    </row>
    <row r="23" spans="1:15" s="102" customFormat="1" ht="36.75" customHeight="1">
      <c r="A23" s="100" t="s">
        <v>1</v>
      </c>
      <c r="B23" s="100" t="s">
        <v>26</v>
      </c>
      <c r="C23" s="113" t="s">
        <v>10</v>
      </c>
      <c r="D23" s="101" t="s">
        <v>11</v>
      </c>
      <c r="E23" s="66" t="s">
        <v>12</v>
      </c>
      <c r="G23" s="64" t="s">
        <v>35</v>
      </c>
      <c r="H23" s="64" t="s">
        <v>36</v>
      </c>
      <c r="I23" s="64" t="s">
        <v>108</v>
      </c>
      <c r="J23" s="64" t="s">
        <v>37</v>
      </c>
      <c r="K23" s="64" t="s">
        <v>88</v>
      </c>
      <c r="L23" s="63" t="s">
        <v>38</v>
      </c>
      <c r="M23" s="66" t="s">
        <v>111</v>
      </c>
      <c r="N23" s="66" t="s">
        <v>12</v>
      </c>
    </row>
    <row r="24" spans="1:15" ht="19.5" customHeight="1">
      <c r="A24" s="77">
        <f>ROW()-23</f>
        <v>1</v>
      </c>
      <c r="B24" s="78" t="s">
        <v>50</v>
      </c>
      <c r="C24" s="115">
        <f>L28</f>
        <v>26260</v>
      </c>
      <c r="D24" s="80">
        <v>50</v>
      </c>
      <c r="E24" s="120">
        <f t="shared" ref="E24" si="6">C24*D24</f>
        <v>1313000</v>
      </c>
      <c r="G24" s="81">
        <v>42672</v>
      </c>
      <c r="H24" s="81">
        <v>42674</v>
      </c>
      <c r="I24" s="73" t="s">
        <v>92</v>
      </c>
      <c r="J24" s="73">
        <f>IF(H24&lt;&gt;"",H24-G24+1,"")</f>
        <v>3</v>
      </c>
      <c r="K24" s="73">
        <f>443-8</f>
        <v>435</v>
      </c>
      <c r="L24" s="106">
        <f t="shared" ref="L24:L26" si="7">K24*13</f>
        <v>5655</v>
      </c>
      <c r="M24" s="75">
        <v>20000</v>
      </c>
      <c r="N24" s="75">
        <f>IF(J24&lt;&gt;"",M24*L24*J24/1000,"")</f>
        <v>339300</v>
      </c>
      <c r="O24" s="76"/>
    </row>
    <row r="25" spans="1:15" ht="19.5" customHeight="1">
      <c r="A25" s="77">
        <f t="shared" ref="A25:A26" si="8">ROW()-23</f>
        <v>2</v>
      </c>
      <c r="B25" s="78" t="s">
        <v>127</v>
      </c>
      <c r="C25" s="115">
        <v>1</v>
      </c>
      <c r="D25" s="80">
        <v>2500000</v>
      </c>
      <c r="E25" s="120">
        <f t="shared" ref="E25" si="9">C25*D25</f>
        <v>2500000</v>
      </c>
      <c r="G25" s="81">
        <v>42672</v>
      </c>
      <c r="H25" s="81">
        <v>42674</v>
      </c>
      <c r="I25" s="73" t="s">
        <v>93</v>
      </c>
      <c r="J25" s="73">
        <f t="shared" ref="J25:J26" si="10">IF(H25&lt;&gt;"",H25-G25+1,"")</f>
        <v>3</v>
      </c>
      <c r="K25" s="73">
        <v>426</v>
      </c>
      <c r="L25" s="106">
        <f t="shared" si="7"/>
        <v>5538</v>
      </c>
      <c r="M25" s="75">
        <v>20000</v>
      </c>
      <c r="N25" s="75">
        <f t="shared" ref="N25:N26" si="11">IF(J25&lt;&gt;"",M25*L25*J25/1000,"")</f>
        <v>332280</v>
      </c>
      <c r="O25" s="76"/>
    </row>
    <row r="26" spans="1:15" ht="19.5" customHeight="1">
      <c r="A26" s="77">
        <f t="shared" si="8"/>
        <v>3</v>
      </c>
      <c r="B26" s="78" t="s">
        <v>51</v>
      </c>
      <c r="C26" s="115"/>
      <c r="D26" s="80"/>
      <c r="E26" s="120">
        <f>N28</f>
        <v>1274260</v>
      </c>
      <c r="G26" s="81">
        <v>42673</v>
      </c>
      <c r="H26" s="81">
        <v>42674</v>
      </c>
      <c r="I26" s="73" t="s">
        <v>94</v>
      </c>
      <c r="J26" s="73">
        <f t="shared" si="10"/>
        <v>2</v>
      </c>
      <c r="K26" s="73">
        <v>1159</v>
      </c>
      <c r="L26" s="106">
        <f t="shared" si="7"/>
        <v>15067</v>
      </c>
      <c r="M26" s="75">
        <v>20000</v>
      </c>
      <c r="N26" s="75">
        <f t="shared" si="11"/>
        <v>602680</v>
      </c>
      <c r="O26" s="76"/>
    </row>
    <row r="27" spans="1:15" ht="9.75" customHeight="1">
      <c r="A27" s="77"/>
      <c r="B27" s="78"/>
      <c r="C27" s="115"/>
      <c r="D27" s="80"/>
      <c r="E27" s="120"/>
      <c r="G27" s="83"/>
      <c r="H27" s="83"/>
      <c r="I27" s="84"/>
      <c r="J27" s="84"/>
      <c r="K27" s="84"/>
      <c r="L27" s="85"/>
      <c r="M27" s="86"/>
      <c r="N27" s="86"/>
    </row>
    <row r="28" spans="1:15" ht="19.5" customHeight="1">
      <c r="A28" s="87"/>
      <c r="B28" s="87" t="s">
        <v>53</v>
      </c>
      <c r="C28" s="116"/>
      <c r="D28" s="89"/>
      <c r="E28" s="91">
        <f>SUM(E24:E27)</f>
        <v>5087260</v>
      </c>
      <c r="F28" s="21"/>
      <c r="G28" s="90"/>
      <c r="H28" s="90"/>
      <c r="I28" s="90" t="s">
        <v>53</v>
      </c>
      <c r="J28" s="90"/>
      <c r="K28" s="107">
        <f>SUM(K24:K27)</f>
        <v>2020</v>
      </c>
      <c r="L28" s="107">
        <f>SUM(L24:L27)</f>
        <v>26260</v>
      </c>
      <c r="M28" s="91"/>
      <c r="N28" s="91">
        <f>SUM(N24:N27)</f>
        <v>1274260</v>
      </c>
    </row>
    <row r="29" spans="1:15" ht="8.25" customHeight="1"/>
    <row r="30" spans="1:15" s="20" customFormat="1">
      <c r="A30" s="22"/>
      <c r="B30" s="22"/>
      <c r="C30" s="117"/>
      <c r="D30" s="24" t="s">
        <v>54</v>
      </c>
      <c r="E30" s="121">
        <f>E28/C24</f>
        <v>193.72658035034272</v>
      </c>
      <c r="F30" s="22"/>
    </row>
    <row r="31" spans="1:15" ht="26.25" customHeight="1"/>
    <row r="32" spans="1:15" ht="43.5" customHeight="1">
      <c r="A32" s="236" t="s">
        <v>83</v>
      </c>
      <c r="B32" s="236"/>
      <c r="C32" s="236"/>
      <c r="D32" s="236"/>
      <c r="E32" s="236"/>
      <c r="F32" s="105"/>
      <c r="G32" s="19"/>
      <c r="H32" s="19"/>
    </row>
    <row r="33" spans="1:15" s="42" customFormat="1" ht="17.25" customHeight="1">
      <c r="B33" s="57"/>
      <c r="C33" s="112"/>
      <c r="D33" s="104"/>
      <c r="E33" s="118"/>
      <c r="F33" s="61"/>
      <c r="G33" s="62" t="s">
        <v>34</v>
      </c>
      <c r="I33" s="109"/>
    </row>
    <row r="34" spans="1:15" s="102" customFormat="1" ht="36.75" customHeight="1">
      <c r="A34" s="100" t="s">
        <v>1</v>
      </c>
      <c r="B34" s="100" t="s">
        <v>26</v>
      </c>
      <c r="C34" s="113" t="s">
        <v>10</v>
      </c>
      <c r="D34" s="101" t="s">
        <v>11</v>
      </c>
      <c r="E34" s="66" t="s">
        <v>12</v>
      </c>
      <c r="G34" s="64" t="s">
        <v>35</v>
      </c>
      <c r="H34" s="64" t="s">
        <v>36</v>
      </c>
      <c r="I34" s="64" t="s">
        <v>108</v>
      </c>
      <c r="J34" s="64" t="s">
        <v>37</v>
      </c>
      <c r="K34" s="64" t="s">
        <v>88</v>
      </c>
      <c r="L34" s="63" t="s">
        <v>38</v>
      </c>
      <c r="M34" s="66" t="s">
        <v>111</v>
      </c>
      <c r="N34" s="66" t="s">
        <v>12</v>
      </c>
    </row>
    <row r="35" spans="1:15" ht="18.75" customHeight="1">
      <c r="A35" s="77">
        <f>ROW()-34</f>
        <v>1</v>
      </c>
      <c r="B35" s="68" t="s">
        <v>40</v>
      </c>
      <c r="C35" s="114">
        <f>26000*6</f>
        <v>156000</v>
      </c>
      <c r="D35" s="70">
        <v>300</v>
      </c>
      <c r="E35" s="119">
        <f t="shared" ref="E35:E38" si="12">C35*D35</f>
        <v>46800000</v>
      </c>
      <c r="G35" s="81">
        <v>42668</v>
      </c>
      <c r="H35" s="81">
        <v>42673</v>
      </c>
      <c r="I35" s="73" t="s">
        <v>89</v>
      </c>
      <c r="J35" s="73">
        <f>IF(H35&lt;&gt;"",H35-G35+1,"")</f>
        <v>6</v>
      </c>
      <c r="K35" s="73">
        <v>220</v>
      </c>
      <c r="L35" s="106">
        <f>K35*13</f>
        <v>2860</v>
      </c>
      <c r="M35" s="75">
        <v>20000</v>
      </c>
      <c r="N35" s="75">
        <f>IF(J35&lt;&gt;"",M35*L35*J35/1000,"")</f>
        <v>343200</v>
      </c>
      <c r="O35" s="76"/>
    </row>
    <row r="36" spans="1:15" ht="18.75" customHeight="1">
      <c r="A36" s="77">
        <f t="shared" ref="A36:A46" si="13">ROW()-34</f>
        <v>2</v>
      </c>
      <c r="B36" s="78" t="s">
        <v>42</v>
      </c>
      <c r="C36" s="115">
        <v>6</v>
      </c>
      <c r="D36" s="80">
        <v>2000000</v>
      </c>
      <c r="E36" s="120">
        <f t="shared" si="12"/>
        <v>12000000</v>
      </c>
      <c r="G36" s="81">
        <v>42670</v>
      </c>
      <c r="H36" s="81">
        <v>42673</v>
      </c>
      <c r="I36" s="73" t="s">
        <v>89</v>
      </c>
      <c r="J36" s="73">
        <f t="shared" ref="J36:J49" si="14">IF(H36&lt;&gt;"",H36-G36+1,"")</f>
        <v>4</v>
      </c>
      <c r="K36" s="73">
        <v>419</v>
      </c>
      <c r="L36" s="106">
        <f t="shared" ref="L36:L40" si="15">K36*13</f>
        <v>5447</v>
      </c>
      <c r="M36" s="75">
        <v>20000</v>
      </c>
      <c r="N36" s="75">
        <f t="shared" ref="N36:N49" si="16">IF(J36&lt;&gt;"",M36*L36*J36/1000,"")</f>
        <v>435760</v>
      </c>
      <c r="O36" s="76"/>
    </row>
    <row r="37" spans="1:15" ht="18.75" customHeight="1">
      <c r="A37" s="77">
        <f t="shared" si="13"/>
        <v>3</v>
      </c>
      <c r="B37" s="78" t="s">
        <v>43</v>
      </c>
      <c r="C37" s="115">
        <v>6</v>
      </c>
      <c r="D37" s="80">
        <v>2000000</v>
      </c>
      <c r="E37" s="120">
        <f t="shared" si="12"/>
        <v>12000000</v>
      </c>
      <c r="G37" s="81">
        <v>42671</v>
      </c>
      <c r="H37" s="81">
        <v>42673</v>
      </c>
      <c r="I37" s="73" t="s">
        <v>90</v>
      </c>
      <c r="J37" s="73">
        <f t="shared" si="14"/>
        <v>3</v>
      </c>
      <c r="K37" s="73">
        <v>445</v>
      </c>
      <c r="L37" s="106">
        <f t="shared" si="15"/>
        <v>5785</v>
      </c>
      <c r="M37" s="75">
        <v>20000</v>
      </c>
      <c r="N37" s="75">
        <f t="shared" si="16"/>
        <v>347100</v>
      </c>
      <c r="O37" s="76"/>
    </row>
    <row r="38" spans="1:15" ht="18.75" customHeight="1">
      <c r="A38" s="77">
        <f t="shared" si="13"/>
        <v>4</v>
      </c>
      <c r="B38" s="78" t="s">
        <v>44</v>
      </c>
      <c r="C38" s="115">
        <v>6</v>
      </c>
      <c r="D38" s="80">
        <v>600000</v>
      </c>
      <c r="E38" s="120">
        <f t="shared" si="12"/>
        <v>3600000</v>
      </c>
      <c r="G38" s="81">
        <v>42672</v>
      </c>
      <c r="H38" s="81">
        <v>42673</v>
      </c>
      <c r="I38" s="73" t="s">
        <v>91</v>
      </c>
      <c r="J38" s="73">
        <f t="shared" si="14"/>
        <v>2</v>
      </c>
      <c r="K38" s="73">
        <v>398</v>
      </c>
      <c r="L38" s="106">
        <f t="shared" si="15"/>
        <v>5174</v>
      </c>
      <c r="M38" s="75">
        <v>20000</v>
      </c>
      <c r="N38" s="75">
        <f t="shared" si="16"/>
        <v>206960</v>
      </c>
      <c r="O38" s="76"/>
    </row>
    <row r="39" spans="1:15" ht="18.75" customHeight="1">
      <c r="A39" s="77">
        <f t="shared" si="13"/>
        <v>5</v>
      </c>
      <c r="B39" s="78" t="s">
        <v>80</v>
      </c>
      <c r="C39" s="115">
        <v>6</v>
      </c>
      <c r="D39" s="80">
        <v>16725000</v>
      </c>
      <c r="E39" s="120">
        <f>C39*D39</f>
        <v>100350000</v>
      </c>
      <c r="G39" s="81">
        <v>42672</v>
      </c>
      <c r="H39" s="81">
        <v>42673</v>
      </c>
      <c r="I39" s="73" t="s">
        <v>89</v>
      </c>
      <c r="J39" s="73">
        <f t="shared" si="14"/>
        <v>2</v>
      </c>
      <c r="K39" s="73">
        <v>510</v>
      </c>
      <c r="L39" s="106">
        <f t="shared" si="15"/>
        <v>6630</v>
      </c>
      <c r="M39" s="75">
        <v>20000</v>
      </c>
      <c r="N39" s="75">
        <f t="shared" si="16"/>
        <v>265200</v>
      </c>
      <c r="O39" s="76"/>
    </row>
    <row r="40" spans="1:15" ht="18.75" customHeight="1">
      <c r="A40" s="77">
        <f t="shared" si="13"/>
        <v>6</v>
      </c>
      <c r="B40" s="78" t="s">
        <v>46</v>
      </c>
      <c r="C40" s="115">
        <v>6</v>
      </c>
      <c r="D40" s="80">
        <v>7378778</v>
      </c>
      <c r="E40" s="120">
        <f t="shared" ref="E40:E42" si="17">C40*D40</f>
        <v>44272668</v>
      </c>
      <c r="G40" s="81">
        <v>42672</v>
      </c>
      <c r="H40" s="81">
        <v>42673</v>
      </c>
      <c r="I40" s="73" t="s">
        <v>92</v>
      </c>
      <c r="J40" s="73">
        <f t="shared" si="14"/>
        <v>2</v>
      </c>
      <c r="K40" s="73">
        <v>8</v>
      </c>
      <c r="L40" s="106">
        <f t="shared" si="15"/>
        <v>104</v>
      </c>
      <c r="M40" s="75">
        <v>20000</v>
      </c>
      <c r="N40" s="75">
        <f t="shared" si="16"/>
        <v>4160</v>
      </c>
      <c r="O40" s="76"/>
    </row>
    <row r="41" spans="1:15" ht="18.75" customHeight="1">
      <c r="A41" s="77">
        <f t="shared" si="13"/>
        <v>7</v>
      </c>
      <c r="B41" s="78" t="s">
        <v>47</v>
      </c>
      <c r="C41" s="115">
        <v>6</v>
      </c>
      <c r="D41" s="80">
        <v>5600000</v>
      </c>
      <c r="E41" s="120">
        <f t="shared" si="17"/>
        <v>33600000</v>
      </c>
      <c r="G41" s="81">
        <v>42673</v>
      </c>
      <c r="H41" s="81">
        <v>42677</v>
      </c>
      <c r="I41" s="73" t="s">
        <v>94</v>
      </c>
      <c r="J41" s="73">
        <f t="shared" si="14"/>
        <v>5</v>
      </c>
      <c r="K41" s="73">
        <v>841</v>
      </c>
      <c r="L41" s="106">
        <f t="shared" ref="L41:L49" si="18">K41*13</f>
        <v>10933</v>
      </c>
      <c r="M41" s="75">
        <v>20000</v>
      </c>
      <c r="N41" s="75">
        <f t="shared" si="16"/>
        <v>1093300</v>
      </c>
      <c r="O41" s="76"/>
    </row>
    <row r="42" spans="1:15" ht="18.75" customHeight="1">
      <c r="A42" s="77">
        <f t="shared" si="13"/>
        <v>8</v>
      </c>
      <c r="B42" s="78" t="s">
        <v>48</v>
      </c>
      <c r="C42" s="115">
        <v>6</v>
      </c>
      <c r="D42" s="80">
        <f>88*22500</f>
        <v>1980000</v>
      </c>
      <c r="E42" s="120">
        <f t="shared" si="17"/>
        <v>11880000</v>
      </c>
      <c r="G42" s="81">
        <v>42674</v>
      </c>
      <c r="H42" s="81">
        <v>42677</v>
      </c>
      <c r="I42" s="73" t="s">
        <v>93</v>
      </c>
      <c r="J42" s="73">
        <f t="shared" si="14"/>
        <v>4</v>
      </c>
      <c r="K42" s="73">
        <v>385</v>
      </c>
      <c r="L42" s="106">
        <f t="shared" si="18"/>
        <v>5005</v>
      </c>
      <c r="M42" s="75">
        <v>20000</v>
      </c>
      <c r="N42" s="75">
        <f t="shared" si="16"/>
        <v>400400</v>
      </c>
      <c r="O42" s="76"/>
    </row>
    <row r="43" spans="1:15" ht="18.75" customHeight="1">
      <c r="A43" s="77">
        <f t="shared" si="13"/>
        <v>9</v>
      </c>
      <c r="B43" s="78" t="s">
        <v>49</v>
      </c>
      <c r="C43" s="115">
        <v>6</v>
      </c>
      <c r="D43" s="80">
        <v>1350000</v>
      </c>
      <c r="E43" s="120">
        <f>C43*D43</f>
        <v>8100000</v>
      </c>
      <c r="G43" s="81">
        <v>42674</v>
      </c>
      <c r="H43" s="81">
        <v>42677</v>
      </c>
      <c r="I43" s="73" t="s">
        <v>106</v>
      </c>
      <c r="J43" s="73">
        <f t="shared" si="14"/>
        <v>4</v>
      </c>
      <c r="K43" s="73">
        <v>370</v>
      </c>
      <c r="L43" s="106">
        <f t="shared" si="18"/>
        <v>4810</v>
      </c>
      <c r="M43" s="75">
        <v>20000</v>
      </c>
      <c r="N43" s="75">
        <f t="shared" si="16"/>
        <v>384800</v>
      </c>
      <c r="O43" s="76"/>
    </row>
    <row r="44" spans="1:15" ht="18.75" customHeight="1">
      <c r="A44" s="77">
        <f t="shared" si="13"/>
        <v>10</v>
      </c>
      <c r="B44" s="78" t="s">
        <v>84</v>
      </c>
      <c r="C44" s="115">
        <v>6</v>
      </c>
      <c r="D44" s="80">
        <v>2500000</v>
      </c>
      <c r="E44" s="120">
        <f t="shared" ref="E44" si="19">C44*D44</f>
        <v>15000000</v>
      </c>
      <c r="G44" s="81">
        <v>42674</v>
      </c>
      <c r="H44" s="81">
        <v>42677</v>
      </c>
      <c r="I44" s="73" t="s">
        <v>107</v>
      </c>
      <c r="J44" s="73">
        <f t="shared" si="14"/>
        <v>4</v>
      </c>
      <c r="K44" s="73">
        <v>445</v>
      </c>
      <c r="L44" s="106">
        <f t="shared" si="18"/>
        <v>5785</v>
      </c>
      <c r="M44" s="75">
        <v>20000</v>
      </c>
      <c r="N44" s="75">
        <f t="shared" si="16"/>
        <v>462800</v>
      </c>
      <c r="O44" s="76"/>
    </row>
    <row r="45" spans="1:15" ht="18.75" customHeight="1">
      <c r="A45" s="77">
        <f t="shared" si="13"/>
        <v>11</v>
      </c>
      <c r="B45" s="78" t="s">
        <v>50</v>
      </c>
      <c r="C45" s="115">
        <v>156</v>
      </c>
      <c r="D45" s="80">
        <v>50000</v>
      </c>
      <c r="E45" s="120">
        <f>C45*D45</f>
        <v>7800000</v>
      </c>
      <c r="G45" s="81">
        <v>42675</v>
      </c>
      <c r="H45" s="81">
        <v>42677</v>
      </c>
      <c r="I45" s="73" t="s">
        <v>95</v>
      </c>
      <c r="J45" s="73">
        <f t="shared" si="14"/>
        <v>3</v>
      </c>
      <c r="K45" s="73">
        <v>612</v>
      </c>
      <c r="L45" s="106">
        <f t="shared" si="18"/>
        <v>7956</v>
      </c>
      <c r="M45" s="75">
        <v>20000</v>
      </c>
      <c r="N45" s="75">
        <f t="shared" si="16"/>
        <v>477360</v>
      </c>
      <c r="O45" s="76"/>
    </row>
    <row r="46" spans="1:15" ht="18.75" customHeight="1">
      <c r="A46" s="77">
        <f t="shared" si="13"/>
        <v>12</v>
      </c>
      <c r="B46" s="78" t="s">
        <v>51</v>
      </c>
      <c r="C46" s="115"/>
      <c r="D46" s="80"/>
      <c r="E46" s="120">
        <f>N51</f>
        <v>4771260</v>
      </c>
      <c r="G46" s="81">
        <v>42677</v>
      </c>
      <c r="H46" s="81">
        <v>42677</v>
      </c>
      <c r="I46" s="73" t="s">
        <v>96</v>
      </c>
      <c r="J46" s="73">
        <f t="shared" si="14"/>
        <v>1</v>
      </c>
      <c r="K46" s="73">
        <v>370</v>
      </c>
      <c r="L46" s="106">
        <f t="shared" si="18"/>
        <v>4810</v>
      </c>
      <c r="M46" s="75">
        <v>20000</v>
      </c>
      <c r="N46" s="75">
        <f t="shared" si="16"/>
        <v>96200</v>
      </c>
      <c r="O46" s="76"/>
    </row>
    <row r="47" spans="1:15" ht="18.75" customHeight="1">
      <c r="A47" s="77"/>
      <c r="B47" s="78"/>
      <c r="C47" s="115"/>
      <c r="D47" s="80"/>
      <c r="E47" s="120"/>
      <c r="G47" s="81">
        <v>42677</v>
      </c>
      <c r="H47" s="81">
        <v>42677</v>
      </c>
      <c r="I47" s="73" t="s">
        <v>97</v>
      </c>
      <c r="J47" s="73">
        <f t="shared" si="14"/>
        <v>1</v>
      </c>
      <c r="K47" s="73">
        <v>442</v>
      </c>
      <c r="L47" s="106">
        <f t="shared" si="18"/>
        <v>5746</v>
      </c>
      <c r="M47" s="75">
        <v>20000</v>
      </c>
      <c r="N47" s="75">
        <f t="shared" si="16"/>
        <v>114920</v>
      </c>
      <c r="O47" s="76"/>
    </row>
    <row r="48" spans="1:15" ht="18.75" customHeight="1">
      <c r="A48" s="77"/>
      <c r="B48" s="78"/>
      <c r="C48" s="115"/>
      <c r="D48" s="80"/>
      <c r="E48" s="120"/>
      <c r="G48" s="81">
        <v>42677</v>
      </c>
      <c r="H48" s="81">
        <v>42677</v>
      </c>
      <c r="I48" s="73" t="s">
        <v>98</v>
      </c>
      <c r="J48" s="73">
        <f t="shared" si="14"/>
        <v>1</v>
      </c>
      <c r="K48" s="73">
        <v>384</v>
      </c>
      <c r="L48" s="106">
        <f t="shared" si="18"/>
        <v>4992</v>
      </c>
      <c r="M48" s="75">
        <v>20000</v>
      </c>
      <c r="N48" s="75">
        <f t="shared" si="16"/>
        <v>99840</v>
      </c>
      <c r="O48" s="76"/>
    </row>
    <row r="49" spans="1:15" ht="18.75" customHeight="1">
      <c r="A49" s="77"/>
      <c r="B49" s="78"/>
      <c r="C49" s="115"/>
      <c r="D49" s="80"/>
      <c r="E49" s="120"/>
      <c r="G49" s="81">
        <v>42677</v>
      </c>
      <c r="H49" s="81">
        <v>42677</v>
      </c>
      <c r="I49" s="73" t="s">
        <v>94</v>
      </c>
      <c r="J49" s="73">
        <f t="shared" si="14"/>
        <v>1</v>
      </c>
      <c r="K49" s="73">
        <v>151</v>
      </c>
      <c r="L49" s="106">
        <f t="shared" si="18"/>
        <v>1963</v>
      </c>
      <c r="M49" s="75">
        <v>20000</v>
      </c>
      <c r="N49" s="75">
        <f t="shared" si="16"/>
        <v>39260</v>
      </c>
      <c r="O49" s="76"/>
    </row>
    <row r="50" spans="1:15" ht="11.25" customHeight="1">
      <c r="A50" s="77"/>
      <c r="B50" s="78"/>
      <c r="C50" s="115"/>
      <c r="D50" s="80"/>
      <c r="E50" s="120"/>
      <c r="G50" s="83"/>
      <c r="H50" s="83"/>
      <c r="I50" s="84"/>
      <c r="J50" s="84"/>
      <c r="K50" s="84"/>
      <c r="L50" s="85"/>
      <c r="M50" s="86"/>
      <c r="N50" s="86"/>
    </row>
    <row r="51" spans="1:15" ht="20.25" customHeight="1">
      <c r="A51" s="87"/>
      <c r="B51" s="87" t="s">
        <v>53</v>
      </c>
      <c r="C51" s="116"/>
      <c r="D51" s="89"/>
      <c r="E51" s="91">
        <f>SUM(E35:E50)</f>
        <v>300173928</v>
      </c>
      <c r="F51" s="21"/>
      <c r="G51" s="90"/>
      <c r="H51" s="90"/>
      <c r="I51" s="90" t="s">
        <v>53</v>
      </c>
      <c r="J51" s="90"/>
      <c r="K51" s="107">
        <f>SUM(K35:K50)</f>
        <v>6000</v>
      </c>
      <c r="L51" s="107">
        <f t="shared" ref="L51" si="20">SUM(L35:L50)</f>
        <v>78000</v>
      </c>
      <c r="M51" s="107"/>
      <c r="N51" s="91">
        <f>SUM(N35:N50)</f>
        <v>4771260</v>
      </c>
    </row>
    <row r="52" spans="1:15" ht="6" customHeight="1"/>
    <row r="53" spans="1:15" s="20" customFormat="1">
      <c r="A53" s="22"/>
      <c r="B53" s="22"/>
      <c r="C53" s="117"/>
      <c r="D53" s="24" t="s">
        <v>54</v>
      </c>
      <c r="E53" s="121">
        <f>E51/C35</f>
        <v>1924.1918461538462</v>
      </c>
      <c r="F53" s="22"/>
    </row>
    <row r="55" spans="1:15" ht="43.5" customHeight="1">
      <c r="A55" s="236" t="s">
        <v>114</v>
      </c>
      <c r="B55" s="236"/>
      <c r="C55" s="236"/>
      <c r="D55" s="236"/>
      <c r="E55" s="236"/>
      <c r="F55" s="105"/>
      <c r="G55" s="19"/>
      <c r="H55" s="19"/>
    </row>
    <row r="56" spans="1:15" s="42" customFormat="1" ht="17.25" customHeight="1">
      <c r="B56" s="57"/>
      <c r="C56" s="112"/>
      <c r="D56" s="104"/>
      <c r="E56" s="118"/>
      <c r="F56" s="61"/>
      <c r="G56" s="62" t="s">
        <v>34</v>
      </c>
      <c r="I56" s="109"/>
    </row>
    <row r="57" spans="1:15" s="102" customFormat="1" ht="36.75" customHeight="1">
      <c r="A57" s="100" t="s">
        <v>1</v>
      </c>
      <c r="B57" s="100" t="s">
        <v>26</v>
      </c>
      <c r="C57" s="113" t="s">
        <v>10</v>
      </c>
      <c r="D57" s="101" t="s">
        <v>11</v>
      </c>
      <c r="E57" s="66" t="s">
        <v>12</v>
      </c>
      <c r="G57" s="64" t="s">
        <v>35</v>
      </c>
      <c r="H57" s="64" t="s">
        <v>36</v>
      </c>
      <c r="I57" s="64" t="s">
        <v>108</v>
      </c>
      <c r="J57" s="64" t="s">
        <v>37</v>
      </c>
      <c r="K57" s="64" t="s">
        <v>88</v>
      </c>
      <c r="L57" s="63" t="s">
        <v>38</v>
      </c>
      <c r="M57" s="66" t="s">
        <v>111</v>
      </c>
      <c r="N57" s="66" t="s">
        <v>12</v>
      </c>
    </row>
    <row r="58" spans="1:15" ht="18.75" customHeight="1">
      <c r="A58" s="77">
        <f>ROW()-57</f>
        <v>1</v>
      </c>
      <c r="B58" s="68" t="s">
        <v>40</v>
      </c>
      <c r="C58" s="114">
        <f>52000*2</f>
        <v>104000</v>
      </c>
      <c r="D58" s="70">
        <v>300</v>
      </c>
      <c r="E58" s="119">
        <f t="shared" ref="E58:E61" si="21">C58*D58</f>
        <v>31200000</v>
      </c>
      <c r="G58" s="81">
        <v>42677</v>
      </c>
      <c r="H58" s="81">
        <v>42682</v>
      </c>
      <c r="I58" s="73" t="s">
        <v>94</v>
      </c>
      <c r="J58" s="73">
        <f>IF(H58&lt;&gt;"",H58-G58+1,"")</f>
        <v>6</v>
      </c>
      <c r="K58" s="73">
        <f>2000-151</f>
        <v>1849</v>
      </c>
      <c r="L58" s="106">
        <f t="shared" ref="L58:L70" si="22">K58*13</f>
        <v>24037</v>
      </c>
      <c r="M58" s="75">
        <v>20000</v>
      </c>
      <c r="N58" s="75">
        <f>IF(J58&lt;&gt;"",M58*L58*J58/1000,"")</f>
        <v>2884440</v>
      </c>
      <c r="O58" s="76"/>
    </row>
    <row r="59" spans="1:15" ht="18.75" customHeight="1">
      <c r="A59" s="77">
        <f t="shared" ref="A59:A70" si="23">ROW()-57</f>
        <v>2</v>
      </c>
      <c r="B59" s="78" t="s">
        <v>42</v>
      </c>
      <c r="C59" s="115">
        <v>4</v>
      </c>
      <c r="D59" s="80">
        <v>2000000</v>
      </c>
      <c r="E59" s="120">
        <f t="shared" si="21"/>
        <v>8000000</v>
      </c>
      <c r="G59" s="81">
        <v>42678</v>
      </c>
      <c r="H59" s="81">
        <v>42682</v>
      </c>
      <c r="I59" s="73" t="s">
        <v>93</v>
      </c>
      <c r="J59" s="73">
        <f t="shared" ref="J59:J70" si="24">IF(H59&lt;&gt;"",H59-G59+1,"")</f>
        <v>5</v>
      </c>
      <c r="K59" s="73">
        <v>430</v>
      </c>
      <c r="L59" s="106">
        <f t="shared" si="22"/>
        <v>5590</v>
      </c>
      <c r="M59" s="75">
        <v>20000</v>
      </c>
      <c r="N59" s="75">
        <f t="shared" ref="N59:N70" si="25">IF(J59&lt;&gt;"",M59*L59*J59/1000,"")</f>
        <v>559000</v>
      </c>
      <c r="O59" s="76"/>
    </row>
    <row r="60" spans="1:15" ht="18.75" customHeight="1">
      <c r="A60" s="77">
        <f t="shared" si="23"/>
        <v>3</v>
      </c>
      <c r="B60" s="78" t="s">
        <v>43</v>
      </c>
      <c r="C60" s="115">
        <v>4</v>
      </c>
      <c r="D60" s="80">
        <v>2000000</v>
      </c>
      <c r="E60" s="120">
        <f t="shared" si="21"/>
        <v>8000000</v>
      </c>
      <c r="G60" s="81">
        <v>42679</v>
      </c>
      <c r="H60" s="81">
        <v>42682</v>
      </c>
      <c r="I60" s="73" t="s">
        <v>96</v>
      </c>
      <c r="J60" s="73">
        <f t="shared" si="24"/>
        <v>4</v>
      </c>
      <c r="K60" s="73">
        <v>370</v>
      </c>
      <c r="L60" s="106">
        <f t="shared" si="22"/>
        <v>4810</v>
      </c>
      <c r="M60" s="75">
        <v>20000</v>
      </c>
      <c r="N60" s="75">
        <f t="shared" si="25"/>
        <v>384800</v>
      </c>
      <c r="O60" s="76"/>
    </row>
    <row r="61" spans="1:15" ht="18.75" customHeight="1">
      <c r="A61" s="77">
        <f t="shared" si="23"/>
        <v>4</v>
      </c>
      <c r="B61" s="78" t="s">
        <v>44</v>
      </c>
      <c r="C61" s="115">
        <v>4</v>
      </c>
      <c r="D61" s="80">
        <v>600000</v>
      </c>
      <c r="E61" s="120">
        <f t="shared" si="21"/>
        <v>2400000</v>
      </c>
      <c r="G61" s="81">
        <v>42679</v>
      </c>
      <c r="H61" s="81">
        <v>42682</v>
      </c>
      <c r="I61" s="73" t="s">
        <v>99</v>
      </c>
      <c r="J61" s="73">
        <f t="shared" si="24"/>
        <v>4</v>
      </c>
      <c r="K61" s="73">
        <v>445</v>
      </c>
      <c r="L61" s="106">
        <f t="shared" si="22"/>
        <v>5785</v>
      </c>
      <c r="M61" s="75">
        <v>20000</v>
      </c>
      <c r="N61" s="75">
        <f t="shared" si="25"/>
        <v>462800</v>
      </c>
      <c r="O61" s="76"/>
    </row>
    <row r="62" spans="1:15" ht="18.75" customHeight="1">
      <c r="A62" s="77">
        <f t="shared" si="23"/>
        <v>5</v>
      </c>
      <c r="B62" s="78" t="s">
        <v>80</v>
      </c>
      <c r="C62" s="115">
        <v>4</v>
      </c>
      <c r="D62" s="80">
        <v>16725000</v>
      </c>
      <c r="E62" s="120">
        <f>C62*D62</f>
        <v>66900000</v>
      </c>
      <c r="G62" s="81">
        <v>42679</v>
      </c>
      <c r="H62" s="81">
        <v>42682</v>
      </c>
      <c r="I62" s="73" t="s">
        <v>100</v>
      </c>
      <c r="J62" s="73">
        <f t="shared" si="24"/>
        <v>4</v>
      </c>
      <c r="K62" s="73">
        <v>541</v>
      </c>
      <c r="L62" s="106">
        <f t="shared" si="22"/>
        <v>7033</v>
      </c>
      <c r="M62" s="75">
        <v>20000</v>
      </c>
      <c r="N62" s="75">
        <f t="shared" si="25"/>
        <v>562640</v>
      </c>
      <c r="O62" s="76"/>
    </row>
    <row r="63" spans="1:15" ht="18.75" customHeight="1">
      <c r="A63" s="77">
        <f t="shared" si="23"/>
        <v>6</v>
      </c>
      <c r="B63" s="78" t="s">
        <v>46</v>
      </c>
      <c r="C63" s="115">
        <v>4</v>
      </c>
      <c r="D63" s="80">
        <v>7378778</v>
      </c>
      <c r="E63" s="120">
        <f t="shared" ref="E63:E65" si="26">C63*D63</f>
        <v>29515112</v>
      </c>
      <c r="G63" s="81">
        <v>42679</v>
      </c>
      <c r="H63" s="81">
        <v>42682</v>
      </c>
      <c r="I63" s="73" t="s">
        <v>91</v>
      </c>
      <c r="J63" s="73">
        <f t="shared" si="24"/>
        <v>4</v>
      </c>
      <c r="K63" s="73">
        <f>520-155</f>
        <v>365</v>
      </c>
      <c r="L63" s="106">
        <f t="shared" si="22"/>
        <v>4745</v>
      </c>
      <c r="M63" s="75">
        <v>20000</v>
      </c>
      <c r="N63" s="75">
        <f t="shared" si="25"/>
        <v>379600</v>
      </c>
      <c r="O63" s="76"/>
    </row>
    <row r="64" spans="1:15" ht="18.75" customHeight="1">
      <c r="A64" s="77">
        <f t="shared" si="23"/>
        <v>7</v>
      </c>
      <c r="B64" s="78" t="s">
        <v>47</v>
      </c>
      <c r="C64" s="115">
        <v>4</v>
      </c>
      <c r="D64" s="80">
        <v>5600000</v>
      </c>
      <c r="E64" s="120">
        <f t="shared" si="26"/>
        <v>22400000</v>
      </c>
      <c r="G64" s="81">
        <v>42679</v>
      </c>
      <c r="H64" s="81">
        <v>42684</v>
      </c>
      <c r="I64" s="73" t="s">
        <v>101</v>
      </c>
      <c r="J64" s="73">
        <f t="shared" si="24"/>
        <v>6</v>
      </c>
      <c r="K64" s="73">
        <v>2000</v>
      </c>
      <c r="L64" s="106">
        <f t="shared" si="22"/>
        <v>26000</v>
      </c>
      <c r="M64" s="75">
        <v>20000</v>
      </c>
      <c r="N64" s="75">
        <f t="shared" si="25"/>
        <v>3120000</v>
      </c>
      <c r="O64" s="76"/>
    </row>
    <row r="65" spans="1:15" ht="18.75" customHeight="1">
      <c r="A65" s="77">
        <f t="shared" si="23"/>
        <v>8</v>
      </c>
      <c r="B65" s="78" t="s">
        <v>48</v>
      </c>
      <c r="C65" s="115">
        <v>4</v>
      </c>
      <c r="D65" s="80">
        <f>88*22500</f>
        <v>1980000</v>
      </c>
      <c r="E65" s="120">
        <f t="shared" si="26"/>
        <v>7920000</v>
      </c>
      <c r="G65" s="81">
        <v>42679</v>
      </c>
      <c r="H65" s="81">
        <v>42685</v>
      </c>
      <c r="I65" s="73" t="s">
        <v>91</v>
      </c>
      <c r="J65" s="73">
        <f t="shared" si="24"/>
        <v>7</v>
      </c>
      <c r="K65" s="73">
        <v>155</v>
      </c>
      <c r="L65" s="106">
        <f t="shared" si="22"/>
        <v>2015</v>
      </c>
      <c r="M65" s="75">
        <v>20000</v>
      </c>
      <c r="N65" s="75">
        <f t="shared" si="25"/>
        <v>282100</v>
      </c>
      <c r="O65" s="76"/>
    </row>
    <row r="66" spans="1:15" ht="18.75" customHeight="1">
      <c r="A66" s="77">
        <f t="shared" si="23"/>
        <v>9</v>
      </c>
      <c r="B66" s="78" t="s">
        <v>49</v>
      </c>
      <c r="C66" s="115">
        <v>4</v>
      </c>
      <c r="D66" s="80">
        <v>1350000</v>
      </c>
      <c r="E66" s="120">
        <f>C66*D66</f>
        <v>5400000</v>
      </c>
      <c r="G66" s="81">
        <v>42679</v>
      </c>
      <c r="H66" s="81">
        <v>42685</v>
      </c>
      <c r="I66" s="73" t="s">
        <v>95</v>
      </c>
      <c r="J66" s="73">
        <f t="shared" si="24"/>
        <v>7</v>
      </c>
      <c r="K66" s="73">
        <v>507</v>
      </c>
      <c r="L66" s="106">
        <f t="shared" si="22"/>
        <v>6591</v>
      </c>
      <c r="M66" s="75">
        <v>20000</v>
      </c>
      <c r="N66" s="75">
        <f t="shared" si="25"/>
        <v>922740</v>
      </c>
      <c r="O66" s="76"/>
    </row>
    <row r="67" spans="1:15" ht="18.75" customHeight="1">
      <c r="A67" s="77">
        <f t="shared" si="23"/>
        <v>10</v>
      </c>
      <c r="B67" s="78" t="s">
        <v>84</v>
      </c>
      <c r="C67" s="115">
        <v>4</v>
      </c>
      <c r="D67" s="80">
        <v>2500000</v>
      </c>
      <c r="E67" s="120">
        <f t="shared" ref="E67" si="27">C67*D67</f>
        <v>10000000</v>
      </c>
      <c r="G67" s="81">
        <v>42680</v>
      </c>
      <c r="H67" s="81">
        <v>42685</v>
      </c>
      <c r="I67" s="73" t="s">
        <v>103</v>
      </c>
      <c r="J67" s="73">
        <f t="shared" si="24"/>
        <v>6</v>
      </c>
      <c r="K67" s="73">
        <v>300</v>
      </c>
      <c r="L67" s="106">
        <f t="shared" si="22"/>
        <v>3900</v>
      </c>
      <c r="M67" s="75">
        <v>20000</v>
      </c>
      <c r="N67" s="75">
        <f t="shared" si="25"/>
        <v>468000</v>
      </c>
      <c r="O67" s="76"/>
    </row>
    <row r="68" spans="1:15" ht="18.75" customHeight="1">
      <c r="A68" s="77">
        <f t="shared" si="23"/>
        <v>11</v>
      </c>
      <c r="B68" s="78" t="s">
        <v>50</v>
      </c>
      <c r="C68" s="115">
        <v>104</v>
      </c>
      <c r="D68" s="80">
        <v>50000</v>
      </c>
      <c r="E68" s="120">
        <f>C68*D68</f>
        <v>5200000</v>
      </c>
      <c r="G68" s="81">
        <v>42680</v>
      </c>
      <c r="H68" s="81">
        <v>42685</v>
      </c>
      <c r="I68" s="73" t="s">
        <v>89</v>
      </c>
      <c r="J68" s="73">
        <f t="shared" si="24"/>
        <v>6</v>
      </c>
      <c r="K68" s="73">
        <f>332-13</f>
        <v>319</v>
      </c>
      <c r="L68" s="106">
        <f t="shared" si="22"/>
        <v>4147</v>
      </c>
      <c r="M68" s="75">
        <v>20000</v>
      </c>
      <c r="N68" s="75">
        <f t="shared" si="25"/>
        <v>497640</v>
      </c>
      <c r="O68" s="76"/>
    </row>
    <row r="69" spans="1:15" ht="18.75" customHeight="1">
      <c r="A69" s="77">
        <f t="shared" si="23"/>
        <v>12</v>
      </c>
      <c r="B69" s="78" t="s">
        <v>51</v>
      </c>
      <c r="C69" s="115"/>
      <c r="D69" s="80"/>
      <c r="E69" s="120">
        <f>N73</f>
        <v>11458460</v>
      </c>
      <c r="G69" s="81">
        <v>42681</v>
      </c>
      <c r="H69" s="81">
        <v>42685</v>
      </c>
      <c r="I69" s="73" t="s">
        <v>115</v>
      </c>
      <c r="J69" s="73">
        <f t="shared" si="24"/>
        <v>5</v>
      </c>
      <c r="K69" s="73">
        <v>11</v>
      </c>
      <c r="L69" s="106">
        <f t="shared" si="22"/>
        <v>143</v>
      </c>
      <c r="M69" s="75">
        <v>20000</v>
      </c>
      <c r="N69" s="75">
        <f t="shared" si="25"/>
        <v>14300</v>
      </c>
      <c r="O69" s="76"/>
    </row>
    <row r="70" spans="1:15" ht="18.75" customHeight="1">
      <c r="A70" s="77">
        <f t="shared" si="23"/>
        <v>13</v>
      </c>
      <c r="B70" s="78" t="s">
        <v>128</v>
      </c>
      <c r="C70" s="115"/>
      <c r="D70" s="80"/>
      <c r="E70" s="120">
        <v>1791144</v>
      </c>
      <c r="G70" s="81">
        <v>42681</v>
      </c>
      <c r="H70" s="81">
        <v>42685</v>
      </c>
      <c r="I70" s="73" t="s">
        <v>104</v>
      </c>
      <c r="J70" s="73">
        <f t="shared" si="24"/>
        <v>5</v>
      </c>
      <c r="K70" s="73">
        <f>2000-1292</f>
        <v>708</v>
      </c>
      <c r="L70" s="106">
        <f t="shared" si="22"/>
        <v>9204</v>
      </c>
      <c r="M70" s="75">
        <v>20000</v>
      </c>
      <c r="N70" s="75">
        <f t="shared" si="25"/>
        <v>920400</v>
      </c>
      <c r="O70" s="76"/>
    </row>
    <row r="71" spans="1:15" ht="18.75" customHeight="1">
      <c r="A71" s="77"/>
      <c r="B71" s="78"/>
      <c r="C71" s="115"/>
      <c r="D71" s="80"/>
      <c r="E71" s="120"/>
      <c r="G71" s="81"/>
      <c r="H71" s="81"/>
      <c r="I71" s="73"/>
      <c r="J71" s="73"/>
      <c r="K71" s="73"/>
      <c r="L71" s="106"/>
      <c r="M71" s="75"/>
      <c r="N71" s="75"/>
      <c r="O71" s="76"/>
    </row>
    <row r="72" spans="1:15" ht="8.25" customHeight="1">
      <c r="A72" s="77"/>
      <c r="B72" s="78"/>
      <c r="C72" s="115"/>
      <c r="D72" s="80"/>
      <c r="E72" s="120"/>
      <c r="G72" s="81"/>
      <c r="H72" s="81"/>
      <c r="I72" s="73"/>
      <c r="J72" s="73"/>
      <c r="K72" s="73"/>
      <c r="L72" s="106"/>
      <c r="M72" s="75"/>
      <c r="N72" s="75"/>
    </row>
    <row r="73" spans="1:15" ht="18.75" customHeight="1">
      <c r="A73" s="87"/>
      <c r="B73" s="87" t="s">
        <v>53</v>
      </c>
      <c r="C73" s="116"/>
      <c r="D73" s="89"/>
      <c r="E73" s="91">
        <f>SUM(E58:E72)</f>
        <v>210184716</v>
      </c>
      <c r="F73" s="21"/>
      <c r="G73" s="90"/>
      <c r="H73" s="90"/>
      <c r="I73" s="90" t="s">
        <v>53</v>
      </c>
      <c r="J73" s="90"/>
      <c r="K73" s="107">
        <f>SUM(K58:K72)</f>
        <v>8000</v>
      </c>
      <c r="L73" s="107">
        <f>SUM(L58:L72)</f>
        <v>104000</v>
      </c>
      <c r="M73" s="107"/>
      <c r="N73" s="91">
        <f>SUM(N58:N72)</f>
        <v>11458460</v>
      </c>
    </row>
    <row r="74" spans="1:15" ht="5.25" customHeight="1"/>
    <row r="75" spans="1:15" s="20" customFormat="1">
      <c r="A75" s="22"/>
      <c r="B75" s="22"/>
      <c r="C75" s="117"/>
      <c r="D75" s="24" t="s">
        <v>54</v>
      </c>
      <c r="E75" s="121">
        <f>E73/C58</f>
        <v>2021.0068846153847</v>
      </c>
      <c r="F75" s="22"/>
    </row>
    <row r="77" spans="1:15" s="126" customFormat="1" ht="25.5" customHeight="1">
      <c r="A77" s="90" t="s">
        <v>1</v>
      </c>
      <c r="B77" s="249" t="s">
        <v>26</v>
      </c>
      <c r="C77" s="249"/>
      <c r="D77" s="249"/>
      <c r="E77" s="125" t="s">
        <v>12</v>
      </c>
      <c r="G77" s="127"/>
      <c r="H77" s="127"/>
      <c r="I77" s="127"/>
      <c r="J77" s="127"/>
      <c r="K77" s="127"/>
      <c r="L77" s="127"/>
      <c r="M77" s="127"/>
      <c r="N77" s="127"/>
    </row>
    <row r="78" spans="1:15" s="126" customFormat="1" ht="16.5" customHeight="1">
      <c r="A78" s="73">
        <v>1</v>
      </c>
      <c r="B78" s="250" t="s">
        <v>118</v>
      </c>
      <c r="C78" s="250"/>
      <c r="D78" s="250"/>
      <c r="E78" s="133">
        <f>E17</f>
        <v>106334296</v>
      </c>
      <c r="G78" s="127"/>
      <c r="H78" s="127"/>
      <c r="I78" s="127"/>
      <c r="J78" s="127"/>
      <c r="K78" s="127"/>
      <c r="L78" s="127"/>
      <c r="M78" s="127"/>
      <c r="N78" s="127"/>
    </row>
    <row r="79" spans="1:15" s="126" customFormat="1" ht="16.5" customHeight="1">
      <c r="A79" s="77">
        <v>2</v>
      </c>
      <c r="B79" s="251" t="s">
        <v>119</v>
      </c>
      <c r="C79" s="251"/>
      <c r="D79" s="251"/>
      <c r="E79" s="80">
        <f>E28</f>
        <v>5087260</v>
      </c>
      <c r="G79" s="127"/>
      <c r="H79" s="127"/>
      <c r="I79" s="127"/>
      <c r="J79" s="127"/>
      <c r="K79" s="127"/>
      <c r="L79" s="127"/>
      <c r="M79" s="127"/>
      <c r="N79" s="127"/>
    </row>
    <row r="80" spans="1:15" s="126" customFormat="1" ht="16.5" customHeight="1">
      <c r="A80" s="77">
        <v>3</v>
      </c>
      <c r="B80" s="251" t="s">
        <v>120</v>
      </c>
      <c r="C80" s="251"/>
      <c r="D80" s="251"/>
      <c r="E80" s="80">
        <f>E51</f>
        <v>300173928</v>
      </c>
      <c r="G80" s="127"/>
      <c r="H80" s="127"/>
      <c r="I80" s="127"/>
      <c r="J80" s="127"/>
      <c r="K80" s="127"/>
      <c r="L80" s="127"/>
      <c r="M80" s="127"/>
      <c r="N80" s="127"/>
    </row>
    <row r="81" spans="1:14" s="126" customFormat="1" ht="16.5" customHeight="1">
      <c r="A81" s="77">
        <v>4</v>
      </c>
      <c r="B81" s="251" t="s">
        <v>121</v>
      </c>
      <c r="C81" s="251"/>
      <c r="D81" s="251"/>
      <c r="E81" s="80">
        <f>E73</f>
        <v>210184716</v>
      </c>
      <c r="G81" s="127"/>
      <c r="H81" s="127"/>
      <c r="I81" s="127"/>
      <c r="J81" s="127"/>
      <c r="K81" s="127"/>
      <c r="L81" s="127"/>
      <c r="M81" s="127"/>
      <c r="N81" s="127"/>
    </row>
    <row r="82" spans="1:14" s="126" customFormat="1" ht="10.5" customHeight="1">
      <c r="A82" s="84"/>
      <c r="B82" s="252"/>
      <c r="C82" s="252"/>
      <c r="D82" s="252"/>
      <c r="E82" s="97"/>
      <c r="G82" s="127"/>
      <c r="H82" s="127"/>
      <c r="I82" s="127"/>
      <c r="J82" s="127"/>
      <c r="K82" s="127"/>
      <c r="L82" s="127"/>
      <c r="M82" s="127"/>
      <c r="N82" s="127"/>
    </row>
    <row r="83" spans="1:14" s="126" customFormat="1" ht="16.5" customHeight="1">
      <c r="A83" s="87"/>
      <c r="B83" s="253" t="s">
        <v>62</v>
      </c>
      <c r="C83" s="253"/>
      <c r="D83" s="253"/>
      <c r="E83" s="89">
        <f>SUM(E78:E82)</f>
        <v>621780200</v>
      </c>
      <c r="G83" s="127"/>
      <c r="H83" s="127"/>
      <c r="I83" s="136"/>
      <c r="J83" s="127"/>
      <c r="K83" s="127"/>
      <c r="L83" s="127"/>
      <c r="M83" s="127"/>
      <c r="N83" s="127"/>
    </row>
    <row r="84" spans="1:14">
      <c r="I84" s="138">
        <f>E90-E83-F87-I87</f>
        <v>535921987.46000004</v>
      </c>
    </row>
    <row r="85" spans="1:14" ht="31.5" customHeight="1">
      <c r="A85" s="90" t="s">
        <v>1</v>
      </c>
      <c r="B85" s="123" t="s">
        <v>26</v>
      </c>
      <c r="C85" s="124" t="s">
        <v>55</v>
      </c>
      <c r="D85" s="125" t="s">
        <v>56</v>
      </c>
      <c r="E85" s="125" t="s">
        <v>12</v>
      </c>
      <c r="F85" s="237" t="s">
        <v>122</v>
      </c>
      <c r="G85" s="238"/>
      <c r="H85" s="239"/>
      <c r="I85" s="125" t="s">
        <v>57</v>
      </c>
    </row>
    <row r="86" spans="1:14">
      <c r="A86" s="77">
        <v>1</v>
      </c>
      <c r="B86" s="78" t="s">
        <v>117</v>
      </c>
      <c r="C86" s="80">
        <v>145588</v>
      </c>
      <c r="D86" s="80">
        <v>22285</v>
      </c>
      <c r="E86" s="80">
        <f>C86*D86</f>
        <v>3244428580</v>
      </c>
      <c r="F86" s="240"/>
      <c r="G86" s="241"/>
      <c r="H86" s="242"/>
      <c r="I86" s="80"/>
    </row>
    <row r="87" spans="1:14">
      <c r="A87" s="77">
        <v>2</v>
      </c>
      <c r="B87" s="78" t="s">
        <v>60</v>
      </c>
      <c r="C87" s="79"/>
      <c r="D87" s="80"/>
      <c r="E87" s="80">
        <f t="shared" ref="E87" si="28">C87*D87</f>
        <v>0</v>
      </c>
      <c r="F87" s="240">
        <f>I87*0.033%</f>
        <v>688392.54</v>
      </c>
      <c r="G87" s="241"/>
      <c r="H87" s="242"/>
      <c r="I87" s="80">
        <v>2086038000</v>
      </c>
    </row>
    <row r="88" spans="1:14">
      <c r="A88" s="77">
        <v>3</v>
      </c>
      <c r="B88" s="78" t="s">
        <v>61</v>
      </c>
      <c r="C88" s="79"/>
      <c r="D88" s="80"/>
      <c r="E88" s="80">
        <f>C88*D88</f>
        <v>0</v>
      </c>
      <c r="F88" s="240">
        <f>I84*0.033%</f>
        <v>176854.25586180002</v>
      </c>
      <c r="G88" s="241"/>
      <c r="H88" s="242"/>
      <c r="I88" s="80">
        <f>I84-F88</f>
        <v>535745133.20413822</v>
      </c>
    </row>
    <row r="89" spans="1:14" ht="6" customHeight="1">
      <c r="A89" s="131"/>
      <c r="B89" s="134"/>
      <c r="C89" s="135"/>
      <c r="D89" s="132"/>
      <c r="E89" s="132"/>
      <c r="F89" s="243"/>
      <c r="G89" s="244"/>
      <c r="H89" s="245"/>
      <c r="I89" s="132"/>
    </row>
    <row r="90" spans="1:14">
      <c r="A90" s="87"/>
      <c r="B90" s="87" t="s">
        <v>62</v>
      </c>
      <c r="C90" s="88"/>
      <c r="D90" s="89"/>
      <c r="E90" s="89">
        <f>SUM(E86:E89)</f>
        <v>3244428580</v>
      </c>
      <c r="F90" s="246">
        <f>SUM(F86:H89)</f>
        <v>865246.79586180008</v>
      </c>
      <c r="G90" s="247"/>
      <c r="H90" s="248"/>
      <c r="I90" s="89">
        <f>SUM(I86:I89)</f>
        <v>2621783133.2041383</v>
      </c>
    </row>
    <row r="91" spans="1:14">
      <c r="A91" s="128"/>
      <c r="B91" s="128"/>
      <c r="C91" s="129"/>
      <c r="D91" s="130"/>
      <c r="E91" s="130"/>
    </row>
    <row r="92" spans="1:14" ht="31.5" customHeight="1">
      <c r="A92" s="90" t="s">
        <v>1</v>
      </c>
      <c r="B92" s="137" t="s">
        <v>26</v>
      </c>
      <c r="C92" s="124" t="s">
        <v>55</v>
      </c>
      <c r="D92" s="125" t="s">
        <v>56</v>
      </c>
      <c r="E92" s="125" t="s">
        <v>12</v>
      </c>
      <c r="F92" s="237" t="s">
        <v>122</v>
      </c>
      <c r="G92" s="238"/>
      <c r="H92" s="239"/>
      <c r="I92" s="125" t="s">
        <v>57</v>
      </c>
    </row>
    <row r="93" spans="1:14">
      <c r="A93" s="77">
        <v>1</v>
      </c>
      <c r="B93" s="78" t="s">
        <v>134</v>
      </c>
      <c r="C93" s="80">
        <v>145588</v>
      </c>
      <c r="D93" s="80">
        <v>22290</v>
      </c>
      <c r="E93" s="80">
        <f>C93*D93</f>
        <v>3245156520</v>
      </c>
      <c r="F93" s="254"/>
      <c r="G93" s="255"/>
      <c r="H93" s="256"/>
      <c r="I93" s="80"/>
    </row>
    <row r="94" spans="1:14">
      <c r="A94" s="77">
        <v>2</v>
      </c>
      <c r="B94" s="78" t="s">
        <v>128</v>
      </c>
      <c r="C94" s="80"/>
      <c r="D94" s="80"/>
      <c r="E94" s="80"/>
      <c r="F94" s="240">
        <v>1791144</v>
      </c>
      <c r="G94" s="241"/>
      <c r="H94" s="242"/>
      <c r="I94" s="80"/>
    </row>
    <row r="95" spans="1:14">
      <c r="A95" s="77">
        <v>3</v>
      </c>
      <c r="B95" s="78" t="s">
        <v>135</v>
      </c>
      <c r="C95" s="80"/>
      <c r="D95" s="80"/>
      <c r="E95" s="80">
        <f t="shared" ref="E95" si="29">C95*D95</f>
        <v>0</v>
      </c>
      <c r="F95" s="240"/>
      <c r="G95" s="241"/>
      <c r="H95" s="242"/>
      <c r="I95" s="80"/>
    </row>
    <row r="96" spans="1:14">
      <c r="A96" s="77">
        <v>4</v>
      </c>
      <c r="B96" s="78" t="s">
        <v>60</v>
      </c>
      <c r="C96" s="79"/>
      <c r="D96" s="80"/>
      <c r="E96" s="80">
        <f t="shared" ref="E96:E97" si="30">C96*D96</f>
        <v>0</v>
      </c>
      <c r="F96" s="240">
        <v>357930</v>
      </c>
      <c r="G96" s="241"/>
      <c r="H96" s="242"/>
      <c r="I96" s="80">
        <v>1084637000</v>
      </c>
    </row>
    <row r="97" spans="1:15">
      <c r="A97" s="77">
        <v>5</v>
      </c>
      <c r="B97" s="78" t="s">
        <v>136</v>
      </c>
      <c r="C97" s="79"/>
      <c r="D97" s="80"/>
      <c r="E97" s="80">
        <f t="shared" si="30"/>
        <v>0</v>
      </c>
      <c r="F97" s="240">
        <v>480480</v>
      </c>
      <c r="G97" s="241"/>
      <c r="H97" s="242"/>
      <c r="I97" s="80">
        <v>1456000000</v>
      </c>
    </row>
    <row r="98" spans="1:15">
      <c r="A98" s="77">
        <v>6</v>
      </c>
      <c r="B98" s="78" t="s">
        <v>61</v>
      </c>
      <c r="C98" s="79"/>
      <c r="D98" s="80"/>
      <c r="E98" s="80">
        <f>C98*D98</f>
        <v>0</v>
      </c>
      <c r="F98" s="240">
        <v>231033</v>
      </c>
      <c r="G98" s="241"/>
      <c r="H98" s="242"/>
      <c r="I98" s="80">
        <f>I101-F98</f>
        <v>699867789</v>
      </c>
    </row>
    <row r="99" spans="1:15" ht="6" customHeight="1">
      <c r="A99" s="131"/>
      <c r="B99" s="134"/>
      <c r="C99" s="135"/>
      <c r="D99" s="132"/>
      <c r="E99" s="132"/>
      <c r="F99" s="243"/>
      <c r="G99" s="244"/>
      <c r="H99" s="245"/>
      <c r="I99" s="132"/>
    </row>
    <row r="100" spans="1:15">
      <c r="A100" s="87"/>
      <c r="B100" s="87" t="s">
        <v>62</v>
      </c>
      <c r="C100" s="88"/>
      <c r="D100" s="89"/>
      <c r="E100" s="89">
        <f>SUM(E93:E99)</f>
        <v>3245156520</v>
      </c>
      <c r="F100" s="246">
        <f>SUM(F93:H99)</f>
        <v>2860587</v>
      </c>
      <c r="G100" s="247"/>
      <c r="H100" s="248"/>
      <c r="I100" s="89">
        <f>SUM(I93:I99)</f>
        <v>3240504789</v>
      </c>
    </row>
    <row r="101" spans="1:15">
      <c r="A101" s="128"/>
      <c r="B101" s="128"/>
      <c r="C101" s="129"/>
      <c r="D101" s="130"/>
      <c r="E101" s="130"/>
      <c r="I101" s="138">
        <v>700098822</v>
      </c>
    </row>
    <row r="102" spans="1:15">
      <c r="A102" s="128"/>
      <c r="B102" s="128"/>
      <c r="C102" s="129"/>
      <c r="D102" s="130"/>
      <c r="E102" s="130"/>
      <c r="I102" s="143"/>
    </row>
    <row r="103" spans="1:15">
      <c r="A103" s="128"/>
      <c r="B103" s="128"/>
      <c r="C103" s="129"/>
      <c r="D103" s="130"/>
      <c r="E103" s="130"/>
    </row>
    <row r="104" spans="1:15">
      <c r="A104" s="128"/>
      <c r="B104" s="128"/>
      <c r="C104" s="129"/>
      <c r="D104" s="130"/>
      <c r="E104" s="130"/>
    </row>
    <row r="105" spans="1:15" ht="43.5" customHeight="1">
      <c r="A105" s="236" t="s">
        <v>152</v>
      </c>
      <c r="B105" s="236"/>
      <c r="C105" s="236"/>
      <c r="D105" s="236"/>
      <c r="E105" s="236"/>
      <c r="F105" s="105"/>
      <c r="G105" s="19"/>
      <c r="H105" s="19"/>
    </row>
    <row r="106" spans="1:15" s="42" customFormat="1" ht="17.25" customHeight="1">
      <c r="B106" s="57"/>
      <c r="C106" s="112"/>
      <c r="D106" s="104"/>
      <c r="E106" s="118"/>
      <c r="F106" s="61"/>
      <c r="G106" s="62" t="s">
        <v>34</v>
      </c>
      <c r="I106" s="109"/>
    </row>
    <row r="107" spans="1:15" s="102" customFormat="1" ht="36.75" customHeight="1">
      <c r="A107" s="100" t="s">
        <v>1</v>
      </c>
      <c r="B107" s="100" t="s">
        <v>26</v>
      </c>
      <c r="C107" s="113" t="s">
        <v>10</v>
      </c>
      <c r="D107" s="101" t="s">
        <v>11</v>
      </c>
      <c r="E107" s="66" t="s">
        <v>12</v>
      </c>
      <c r="G107" s="64" t="s">
        <v>35</v>
      </c>
      <c r="H107" s="64" t="s">
        <v>36</v>
      </c>
      <c r="I107" s="64" t="s">
        <v>108</v>
      </c>
      <c r="J107" s="64" t="s">
        <v>37</v>
      </c>
      <c r="K107" s="64" t="s">
        <v>88</v>
      </c>
      <c r="L107" s="63" t="s">
        <v>38</v>
      </c>
      <c r="M107" s="66" t="s">
        <v>111</v>
      </c>
      <c r="N107" s="66" t="s">
        <v>12</v>
      </c>
    </row>
    <row r="108" spans="1:15" ht="18.75" customHeight="1">
      <c r="A108" s="77">
        <f>ROW()-77</f>
        <v>31</v>
      </c>
      <c r="B108" s="68" t="s">
        <v>40</v>
      </c>
      <c r="C108" s="114">
        <f>26000*8</f>
        <v>208000</v>
      </c>
      <c r="D108" s="70">
        <v>300</v>
      </c>
      <c r="E108" s="119">
        <f t="shared" ref="E108:E111" si="31">C108*D108</f>
        <v>62400000</v>
      </c>
      <c r="G108" s="81">
        <v>42681</v>
      </c>
      <c r="H108" s="81">
        <v>42690</v>
      </c>
      <c r="I108" s="73" t="s">
        <v>104</v>
      </c>
      <c r="J108" s="73">
        <f t="shared" ref="J108:J111" si="32">IF(H108&lt;&gt;"",H108-G108+1,"")</f>
        <v>10</v>
      </c>
      <c r="K108" s="73">
        <v>1292</v>
      </c>
      <c r="L108" s="106">
        <f t="shared" ref="L108:L111" si="33">K108*13</f>
        <v>16796</v>
      </c>
      <c r="M108" s="75">
        <v>20000</v>
      </c>
      <c r="N108" s="75">
        <f t="shared" ref="N108:N122" si="34">IF(J108&lt;&gt;"",M108*L108*J108/1000,"")</f>
        <v>3359200</v>
      </c>
      <c r="O108" s="76"/>
    </row>
    <row r="109" spans="1:15" ht="18.75" customHeight="1">
      <c r="A109" s="77">
        <f t="shared" ref="A109:A119" si="35">ROW()-77</f>
        <v>32</v>
      </c>
      <c r="B109" s="78" t="s">
        <v>42</v>
      </c>
      <c r="C109" s="115">
        <v>8</v>
      </c>
      <c r="D109" s="80">
        <v>2000000</v>
      </c>
      <c r="E109" s="120">
        <f t="shared" si="31"/>
        <v>16000000</v>
      </c>
      <c r="G109" s="81">
        <v>42682</v>
      </c>
      <c r="H109" s="81">
        <v>42690</v>
      </c>
      <c r="I109" s="73" t="s">
        <v>91</v>
      </c>
      <c r="J109" s="73">
        <f t="shared" si="32"/>
        <v>9</v>
      </c>
      <c r="K109" s="73">
        <v>246</v>
      </c>
      <c r="L109" s="106">
        <f t="shared" si="33"/>
        <v>3198</v>
      </c>
      <c r="M109" s="75">
        <v>20000</v>
      </c>
      <c r="N109" s="75">
        <f t="shared" si="34"/>
        <v>575640</v>
      </c>
      <c r="O109" s="76"/>
    </row>
    <row r="110" spans="1:15" ht="18.75" customHeight="1">
      <c r="A110" s="77">
        <f t="shared" si="35"/>
        <v>33</v>
      </c>
      <c r="B110" s="78" t="s">
        <v>43</v>
      </c>
      <c r="C110" s="115">
        <v>8</v>
      </c>
      <c r="D110" s="80">
        <v>2000000</v>
      </c>
      <c r="E110" s="120">
        <f t="shared" si="31"/>
        <v>16000000</v>
      </c>
      <c r="G110" s="81">
        <v>42682</v>
      </c>
      <c r="H110" s="81">
        <v>42690</v>
      </c>
      <c r="I110" s="73" t="s">
        <v>105</v>
      </c>
      <c r="J110" s="73">
        <f t="shared" si="32"/>
        <v>9</v>
      </c>
      <c r="K110" s="73">
        <v>443</v>
      </c>
      <c r="L110" s="106">
        <f t="shared" si="33"/>
        <v>5759</v>
      </c>
      <c r="M110" s="75">
        <v>20000</v>
      </c>
      <c r="N110" s="75">
        <f t="shared" si="34"/>
        <v>1036620</v>
      </c>
      <c r="O110" s="76"/>
    </row>
    <row r="111" spans="1:15" ht="18.75" customHeight="1">
      <c r="A111" s="77">
        <f t="shared" si="35"/>
        <v>34</v>
      </c>
      <c r="B111" s="78" t="s">
        <v>44</v>
      </c>
      <c r="C111" s="115">
        <v>8</v>
      </c>
      <c r="D111" s="80">
        <v>600000</v>
      </c>
      <c r="E111" s="120">
        <f t="shared" si="31"/>
        <v>4800000</v>
      </c>
      <c r="G111" s="81">
        <v>42683</v>
      </c>
      <c r="H111" s="81">
        <v>42690</v>
      </c>
      <c r="I111" s="73" t="s">
        <v>106</v>
      </c>
      <c r="J111" s="73">
        <f t="shared" si="32"/>
        <v>8</v>
      </c>
      <c r="K111" s="73">
        <f>184-165</f>
        <v>19</v>
      </c>
      <c r="L111" s="106">
        <f t="shared" si="33"/>
        <v>247</v>
      </c>
      <c r="M111" s="75">
        <v>20000</v>
      </c>
      <c r="N111" s="75">
        <f t="shared" si="34"/>
        <v>39520</v>
      </c>
      <c r="O111" s="76"/>
    </row>
    <row r="112" spans="1:15" ht="18.75" customHeight="1">
      <c r="A112" s="77">
        <f t="shared" si="35"/>
        <v>35</v>
      </c>
      <c r="B112" s="78" t="s">
        <v>80</v>
      </c>
      <c r="C112" s="115">
        <v>8</v>
      </c>
      <c r="D112" s="80">
        <f>750*D129</f>
        <v>16860000</v>
      </c>
      <c r="E112" s="120">
        <f>C112*D112</f>
        <v>134880000</v>
      </c>
      <c r="G112" s="81">
        <v>42690</v>
      </c>
      <c r="H112" s="81">
        <v>42690</v>
      </c>
      <c r="I112" s="73" t="s">
        <v>149</v>
      </c>
      <c r="J112" s="73">
        <f>IF(H112&lt;&gt;"",H112-G112,"")</f>
        <v>0</v>
      </c>
      <c r="K112" s="73">
        <v>2000</v>
      </c>
      <c r="L112" s="106">
        <f t="shared" ref="L112:L116" si="36">K112*13</f>
        <v>26000</v>
      </c>
      <c r="M112" s="75">
        <v>20000</v>
      </c>
      <c r="N112" s="75">
        <f t="shared" si="34"/>
        <v>0</v>
      </c>
      <c r="O112" s="76"/>
    </row>
    <row r="113" spans="1:15" ht="18.75" customHeight="1">
      <c r="A113" s="77">
        <f t="shared" si="35"/>
        <v>36</v>
      </c>
      <c r="B113" s="78" t="s">
        <v>46</v>
      </c>
      <c r="C113" s="115">
        <v>8</v>
      </c>
      <c r="D113" s="80">
        <v>7378778</v>
      </c>
      <c r="E113" s="120">
        <f t="shared" ref="E113:E115" si="37">C113*D113</f>
        <v>59030224</v>
      </c>
      <c r="G113" s="81">
        <v>42691</v>
      </c>
      <c r="H113" s="81">
        <v>42691</v>
      </c>
      <c r="I113" s="73" t="s">
        <v>150</v>
      </c>
      <c r="J113" s="73">
        <f t="shared" ref="J113:J117" si="38">IF(H113&lt;&gt;"",H113-G113,"")</f>
        <v>0</v>
      </c>
      <c r="K113" s="73">
        <v>2000</v>
      </c>
      <c r="L113" s="106">
        <f t="shared" si="36"/>
        <v>26000</v>
      </c>
      <c r="M113" s="75">
        <v>20000</v>
      </c>
      <c r="N113" s="75">
        <f t="shared" si="34"/>
        <v>0</v>
      </c>
      <c r="O113" s="76"/>
    </row>
    <row r="114" spans="1:15" ht="18.75" customHeight="1">
      <c r="A114" s="77">
        <f t="shared" si="35"/>
        <v>37</v>
      </c>
      <c r="B114" s="78" t="s">
        <v>47</v>
      </c>
      <c r="C114" s="115">
        <v>8</v>
      </c>
      <c r="D114" s="80">
        <v>5600000</v>
      </c>
      <c r="E114" s="120">
        <f t="shared" si="37"/>
        <v>44800000</v>
      </c>
      <c r="G114" s="81">
        <v>42691</v>
      </c>
      <c r="H114" s="81">
        <v>42691</v>
      </c>
      <c r="I114" s="73" t="s">
        <v>151</v>
      </c>
      <c r="J114" s="73">
        <f t="shared" si="38"/>
        <v>0</v>
      </c>
      <c r="K114" s="73">
        <v>2000</v>
      </c>
      <c r="L114" s="106">
        <f t="shared" si="36"/>
        <v>26000</v>
      </c>
      <c r="M114" s="75">
        <v>20000</v>
      </c>
      <c r="N114" s="75">
        <f t="shared" si="34"/>
        <v>0</v>
      </c>
      <c r="O114" s="76"/>
    </row>
    <row r="115" spans="1:15" ht="18.75" customHeight="1">
      <c r="A115" s="77">
        <f t="shared" si="35"/>
        <v>38</v>
      </c>
      <c r="B115" s="78" t="s">
        <v>48</v>
      </c>
      <c r="C115" s="115">
        <v>8</v>
      </c>
      <c r="D115" s="80">
        <f>88*22500</f>
        <v>1980000</v>
      </c>
      <c r="E115" s="120">
        <f t="shared" si="37"/>
        <v>15840000</v>
      </c>
      <c r="G115" s="81">
        <v>42698</v>
      </c>
      <c r="H115" s="81">
        <v>42698</v>
      </c>
      <c r="I115" s="73" t="s">
        <v>182</v>
      </c>
      <c r="J115" s="73">
        <f t="shared" si="38"/>
        <v>0</v>
      </c>
      <c r="K115" s="73">
        <v>1999</v>
      </c>
      <c r="L115" s="106">
        <f t="shared" si="36"/>
        <v>25987</v>
      </c>
      <c r="M115" s="75">
        <v>20000</v>
      </c>
      <c r="N115" s="75">
        <f t="shared" si="34"/>
        <v>0</v>
      </c>
      <c r="O115" s="76"/>
    </row>
    <row r="116" spans="1:15" ht="18.75" customHeight="1">
      <c r="A116" s="77">
        <f t="shared" si="35"/>
        <v>39</v>
      </c>
      <c r="B116" s="78" t="s">
        <v>49</v>
      </c>
      <c r="C116" s="115">
        <v>8</v>
      </c>
      <c r="D116" s="80">
        <v>1350000</v>
      </c>
      <c r="E116" s="120">
        <f>C116*D116</f>
        <v>10800000</v>
      </c>
      <c r="G116" s="81">
        <v>42698</v>
      </c>
      <c r="H116" s="81">
        <v>42698</v>
      </c>
      <c r="I116" s="73" t="s">
        <v>183</v>
      </c>
      <c r="J116" s="73">
        <f t="shared" si="38"/>
        <v>0</v>
      </c>
      <c r="K116" s="73">
        <v>2000</v>
      </c>
      <c r="L116" s="106">
        <f t="shared" si="36"/>
        <v>26000</v>
      </c>
      <c r="M116" s="75">
        <v>20000</v>
      </c>
      <c r="N116" s="75">
        <f t="shared" si="34"/>
        <v>0</v>
      </c>
      <c r="O116" s="76"/>
    </row>
    <row r="117" spans="1:15" ht="18.75" customHeight="1">
      <c r="A117" s="77">
        <f t="shared" si="35"/>
        <v>40</v>
      </c>
      <c r="B117" s="78" t="s">
        <v>84</v>
      </c>
      <c r="C117" s="115">
        <v>8</v>
      </c>
      <c r="D117" s="80">
        <v>2500000</v>
      </c>
      <c r="E117" s="120">
        <f t="shared" ref="E117" si="39">C117*D117</f>
        <v>20000000</v>
      </c>
      <c r="G117" s="81">
        <v>42702</v>
      </c>
      <c r="H117" s="81">
        <v>42702</v>
      </c>
      <c r="I117" s="73" t="s">
        <v>184</v>
      </c>
      <c r="J117" s="73">
        <f t="shared" si="38"/>
        <v>0</v>
      </c>
      <c r="K117" s="73">
        <v>2000</v>
      </c>
      <c r="L117" s="106">
        <f t="shared" ref="L117" si="40">K117*13</f>
        <v>26000</v>
      </c>
      <c r="M117" s="75">
        <v>20000</v>
      </c>
      <c r="N117" s="75">
        <f t="shared" si="34"/>
        <v>0</v>
      </c>
      <c r="O117" s="76"/>
    </row>
    <row r="118" spans="1:15" ht="18.75" customHeight="1">
      <c r="A118" s="77">
        <f t="shared" si="35"/>
        <v>41</v>
      </c>
      <c r="B118" s="78" t="s">
        <v>50</v>
      </c>
      <c r="C118" s="115">
        <v>208</v>
      </c>
      <c r="D118" s="80">
        <v>50000</v>
      </c>
      <c r="E118" s="120">
        <f>C118*D118</f>
        <v>10400000</v>
      </c>
      <c r="G118" s="81">
        <v>42683</v>
      </c>
      <c r="H118" s="81">
        <v>42699</v>
      </c>
      <c r="I118" s="73" t="s">
        <v>106</v>
      </c>
      <c r="J118" s="73">
        <f t="shared" ref="J118:J122" si="41">IF(H118&lt;&gt;"",H118-G118+1,"")</f>
        <v>17</v>
      </c>
      <c r="K118" s="73">
        <v>165</v>
      </c>
      <c r="L118" s="106">
        <f t="shared" ref="L118:L122" si="42">K118*13</f>
        <v>2145</v>
      </c>
      <c r="M118" s="75">
        <v>20000</v>
      </c>
      <c r="N118" s="75">
        <f t="shared" si="34"/>
        <v>729300</v>
      </c>
      <c r="O118" s="76"/>
    </row>
    <row r="119" spans="1:15" ht="18.75" customHeight="1">
      <c r="A119" s="77">
        <f t="shared" si="35"/>
        <v>42</v>
      </c>
      <c r="B119" s="78" t="s">
        <v>51</v>
      </c>
      <c r="C119" s="115"/>
      <c r="D119" s="80"/>
      <c r="E119" s="120">
        <f>N124</f>
        <v>13548600</v>
      </c>
      <c r="G119" s="81">
        <v>42684</v>
      </c>
      <c r="H119" s="81">
        <v>42699</v>
      </c>
      <c r="I119" s="73" t="s">
        <v>89</v>
      </c>
      <c r="J119" s="73">
        <f t="shared" si="41"/>
        <v>16</v>
      </c>
      <c r="K119" s="73">
        <v>510</v>
      </c>
      <c r="L119" s="106">
        <f t="shared" si="42"/>
        <v>6630</v>
      </c>
      <c r="M119" s="75">
        <v>20000</v>
      </c>
      <c r="N119" s="75">
        <f t="shared" si="34"/>
        <v>2121600</v>
      </c>
      <c r="O119" s="76"/>
    </row>
    <row r="120" spans="1:15" ht="18.75" customHeight="1">
      <c r="A120" s="77"/>
      <c r="B120" s="78"/>
      <c r="C120" s="115"/>
      <c r="D120" s="80"/>
      <c r="E120" s="120"/>
      <c r="G120" s="81"/>
      <c r="H120" s="81"/>
      <c r="I120" s="73" t="s">
        <v>123</v>
      </c>
      <c r="J120" s="73" t="str">
        <f t="shared" si="41"/>
        <v/>
      </c>
      <c r="K120" s="73">
        <v>-41</v>
      </c>
      <c r="L120" s="106">
        <f t="shared" si="42"/>
        <v>-533</v>
      </c>
      <c r="M120" s="75">
        <v>20000</v>
      </c>
      <c r="N120" s="75" t="str">
        <f t="shared" si="34"/>
        <v/>
      </c>
      <c r="O120" s="76"/>
    </row>
    <row r="121" spans="1:15" ht="18.75" customHeight="1">
      <c r="A121" s="77"/>
      <c r="B121" s="78"/>
      <c r="C121" s="115"/>
      <c r="D121" s="80"/>
      <c r="E121" s="120"/>
      <c r="G121" s="81">
        <v>42684</v>
      </c>
      <c r="H121" s="81">
        <v>42699</v>
      </c>
      <c r="I121" s="73" t="s">
        <v>124</v>
      </c>
      <c r="J121" s="73">
        <f t="shared" si="41"/>
        <v>16</v>
      </c>
      <c r="K121" s="73">
        <v>605</v>
      </c>
      <c r="L121" s="106">
        <f t="shared" si="42"/>
        <v>7865</v>
      </c>
      <c r="M121" s="75">
        <v>20000</v>
      </c>
      <c r="N121" s="75">
        <f t="shared" si="34"/>
        <v>2516800</v>
      </c>
      <c r="O121" s="76"/>
    </row>
    <row r="122" spans="1:15" ht="18.75" customHeight="1">
      <c r="A122" s="77"/>
      <c r="B122" s="78"/>
      <c r="C122" s="115"/>
      <c r="D122" s="80"/>
      <c r="E122" s="120"/>
      <c r="G122" s="81">
        <v>42684</v>
      </c>
      <c r="H122" s="81">
        <v>42699</v>
      </c>
      <c r="I122" s="73" t="s">
        <v>125</v>
      </c>
      <c r="J122" s="73">
        <f t="shared" si="41"/>
        <v>16</v>
      </c>
      <c r="K122" s="73">
        <f>800-38</f>
        <v>762</v>
      </c>
      <c r="L122" s="106">
        <f t="shared" si="42"/>
        <v>9906</v>
      </c>
      <c r="M122" s="75">
        <v>20000</v>
      </c>
      <c r="N122" s="75">
        <f t="shared" si="34"/>
        <v>3169920</v>
      </c>
      <c r="O122" s="76"/>
    </row>
    <row r="123" spans="1:15" ht="7.5" customHeight="1">
      <c r="A123" s="77"/>
      <c r="B123" s="78"/>
      <c r="C123" s="115"/>
      <c r="D123" s="80"/>
      <c r="E123" s="120"/>
      <c r="G123" s="83"/>
      <c r="H123" s="83"/>
      <c r="I123" s="84"/>
      <c r="J123" s="84"/>
      <c r="K123" s="84"/>
      <c r="L123" s="85"/>
      <c r="M123" s="86"/>
      <c r="N123" s="86"/>
    </row>
    <row r="124" spans="1:15" ht="18.75" customHeight="1">
      <c r="A124" s="87"/>
      <c r="B124" s="87" t="s">
        <v>53</v>
      </c>
      <c r="C124" s="116"/>
      <c r="D124" s="89"/>
      <c r="E124" s="91">
        <f>SUM(E108:E123)</f>
        <v>408498824</v>
      </c>
      <c r="F124" s="21"/>
      <c r="G124" s="90"/>
      <c r="H124" s="90"/>
      <c r="I124" s="90" t="s">
        <v>53</v>
      </c>
      <c r="J124" s="90"/>
      <c r="K124" s="107">
        <f>SUM(K108:K123)</f>
        <v>16000</v>
      </c>
      <c r="L124" s="107">
        <f>SUM(L108:L123)</f>
        <v>208000</v>
      </c>
      <c r="M124" s="107"/>
      <c r="N124" s="91">
        <f>SUM(N108:N123)</f>
        <v>13548600</v>
      </c>
    </row>
    <row r="125" spans="1:15" ht="7.5" customHeight="1"/>
    <row r="126" spans="1:15" s="20" customFormat="1">
      <c r="A126" s="22"/>
      <c r="B126" s="22"/>
      <c r="C126" s="117"/>
      <c r="D126" s="24" t="s">
        <v>54</v>
      </c>
      <c r="E126" s="121">
        <f>E124/C108</f>
        <v>1963.9366538461538</v>
      </c>
      <c r="F126" s="22"/>
    </row>
    <row r="128" spans="1:15" ht="31.5" customHeight="1">
      <c r="A128" s="90" t="s">
        <v>1</v>
      </c>
      <c r="B128" s="141" t="s">
        <v>26</v>
      </c>
      <c r="C128" s="124" t="s">
        <v>55</v>
      </c>
      <c r="D128" s="125" t="s">
        <v>56</v>
      </c>
      <c r="E128" s="125" t="s">
        <v>12</v>
      </c>
      <c r="F128" s="237" t="s">
        <v>122</v>
      </c>
      <c r="G128" s="238"/>
      <c r="H128" s="239"/>
      <c r="I128" s="125" t="s">
        <v>57</v>
      </c>
    </row>
    <row r="129" spans="1:9">
      <c r="A129" s="77">
        <v>1</v>
      </c>
      <c r="B129" s="78" t="s">
        <v>146</v>
      </c>
      <c r="C129" s="115">
        <v>291188</v>
      </c>
      <c r="D129" s="80">
        <v>22480</v>
      </c>
      <c r="E129" s="80">
        <f>C129*D129</f>
        <v>6545906240</v>
      </c>
      <c r="F129" s="240"/>
      <c r="G129" s="241"/>
      <c r="H129" s="242"/>
      <c r="I129" s="80"/>
    </row>
    <row r="130" spans="1:9">
      <c r="A130" s="77">
        <v>2</v>
      </c>
      <c r="B130" s="78" t="s">
        <v>128</v>
      </c>
      <c r="C130" s="115"/>
      <c r="D130" s="80"/>
      <c r="E130" s="80"/>
      <c r="F130" s="240">
        <f>F94*2</f>
        <v>3582288</v>
      </c>
      <c r="G130" s="241"/>
      <c r="H130" s="242"/>
      <c r="I130" s="80"/>
    </row>
    <row r="131" spans="1:9">
      <c r="A131" s="77">
        <v>3</v>
      </c>
      <c r="B131" s="78" t="s">
        <v>148</v>
      </c>
      <c r="C131" s="80"/>
      <c r="D131" s="80"/>
      <c r="E131" s="80"/>
      <c r="F131" s="240">
        <v>-1791144</v>
      </c>
      <c r="G131" s="241"/>
      <c r="H131" s="242"/>
      <c r="I131" s="80"/>
    </row>
    <row r="132" spans="1:9">
      <c r="A132" s="77">
        <v>4</v>
      </c>
      <c r="B132" s="78" t="s">
        <v>147</v>
      </c>
      <c r="C132" s="80"/>
      <c r="D132" s="80"/>
      <c r="E132" s="80">
        <f t="shared" ref="E132:E134" si="43">C132*D132</f>
        <v>0</v>
      </c>
      <c r="F132" s="240">
        <f>ROUND(I132*0.033%,0)</f>
        <v>1450020</v>
      </c>
      <c r="G132" s="241"/>
      <c r="H132" s="242"/>
      <c r="I132" s="80">
        <v>4394000000</v>
      </c>
    </row>
    <row r="133" spans="1:9">
      <c r="A133" s="77">
        <v>5</v>
      </c>
      <c r="B133" s="78" t="s">
        <v>154</v>
      </c>
      <c r="C133" s="79"/>
      <c r="D133" s="80"/>
      <c r="E133" s="80">
        <f t="shared" si="43"/>
        <v>0</v>
      </c>
      <c r="F133" s="240">
        <f>ROUND(I133*0.033%,0)</f>
        <v>133243</v>
      </c>
      <c r="G133" s="241"/>
      <c r="H133" s="242"/>
      <c r="I133" s="80">
        <v>403767000</v>
      </c>
    </row>
    <row r="134" spans="1:9">
      <c r="A134" s="77">
        <v>6</v>
      </c>
      <c r="B134" s="78" t="s">
        <v>155</v>
      </c>
      <c r="C134" s="79"/>
      <c r="D134" s="80"/>
      <c r="E134" s="80">
        <f t="shared" si="43"/>
        <v>0</v>
      </c>
      <c r="F134" s="240">
        <f t="shared" ref="F134" si="44">ROUND(I134*0.033%,0)</f>
        <v>142501</v>
      </c>
      <c r="G134" s="241"/>
      <c r="H134" s="242"/>
      <c r="I134" s="80">
        <v>431821000</v>
      </c>
    </row>
    <row r="135" spans="1:9">
      <c r="A135" s="77">
        <v>7</v>
      </c>
      <c r="B135" s="78" t="s">
        <v>61</v>
      </c>
      <c r="C135" s="79"/>
      <c r="D135" s="80"/>
      <c r="E135" s="80">
        <f>C135*D135</f>
        <v>0</v>
      </c>
      <c r="F135" s="240">
        <v>298421</v>
      </c>
      <c r="G135" s="241"/>
      <c r="H135" s="242"/>
      <c r="I135" s="80">
        <v>904008247</v>
      </c>
    </row>
    <row r="136" spans="1:9" ht="6" customHeight="1">
      <c r="A136" s="131"/>
      <c r="B136" s="134"/>
      <c r="C136" s="135"/>
      <c r="D136" s="132"/>
      <c r="E136" s="132"/>
      <c r="F136" s="243"/>
      <c r="G136" s="244"/>
      <c r="H136" s="245"/>
      <c r="I136" s="132"/>
    </row>
    <row r="137" spans="1:9">
      <c r="A137" s="87"/>
      <c r="B137" s="87" t="s">
        <v>62</v>
      </c>
      <c r="C137" s="88"/>
      <c r="D137" s="89"/>
      <c r="E137" s="89">
        <f>SUM(E129:E136)</f>
        <v>6545906240</v>
      </c>
      <c r="F137" s="246">
        <f>SUM(F129:H136)</f>
        <v>3815329</v>
      </c>
      <c r="G137" s="247"/>
      <c r="H137" s="248"/>
      <c r="I137" s="89">
        <f>SUM(I129:I136)</f>
        <v>6133596247</v>
      </c>
    </row>
    <row r="139" spans="1:9" ht="31.5" customHeight="1">
      <c r="A139" s="90" t="s">
        <v>1</v>
      </c>
      <c r="B139" s="144" t="s">
        <v>26</v>
      </c>
      <c r="C139" s="124" t="s">
        <v>55</v>
      </c>
      <c r="D139" s="125" t="s">
        <v>56</v>
      </c>
      <c r="E139" s="125" t="s">
        <v>12</v>
      </c>
      <c r="F139" s="237" t="s">
        <v>122</v>
      </c>
      <c r="G139" s="238"/>
      <c r="H139" s="239"/>
      <c r="I139" s="125" t="s">
        <v>57</v>
      </c>
    </row>
    <row r="140" spans="1:9">
      <c r="A140" s="77">
        <v>1</v>
      </c>
      <c r="B140" s="78" t="s">
        <v>156</v>
      </c>
      <c r="C140" s="115">
        <v>145588</v>
      </c>
      <c r="D140" s="80">
        <v>22660</v>
      </c>
      <c r="E140" s="80">
        <f>C140*D140</f>
        <v>3299024080</v>
      </c>
      <c r="F140" s="240"/>
      <c r="G140" s="241"/>
      <c r="H140" s="242"/>
      <c r="I140" s="80"/>
    </row>
    <row r="141" spans="1:9">
      <c r="A141" s="77">
        <v>2</v>
      </c>
      <c r="B141" s="78" t="s">
        <v>128</v>
      </c>
      <c r="C141" s="115"/>
      <c r="D141" s="80"/>
      <c r="E141" s="80"/>
      <c r="F141" s="240">
        <v>1819968</v>
      </c>
      <c r="G141" s="241"/>
      <c r="H141" s="242"/>
      <c r="I141" s="80"/>
    </row>
    <row r="142" spans="1:9">
      <c r="A142" s="77">
        <v>4</v>
      </c>
      <c r="B142" s="145" t="s">
        <v>157</v>
      </c>
      <c r="C142" s="80"/>
      <c r="D142" s="80"/>
      <c r="E142" s="80">
        <f t="shared" ref="E142:E144" si="45">C142*D142</f>
        <v>0</v>
      </c>
      <c r="F142" s="240">
        <f>ROUND(I142*0.033%,0)</f>
        <v>475585</v>
      </c>
      <c r="G142" s="241"/>
      <c r="H142" s="242"/>
      <c r="I142" s="80">
        <v>1441167000</v>
      </c>
    </row>
    <row r="143" spans="1:9">
      <c r="A143" s="77">
        <v>5</v>
      </c>
      <c r="B143" s="145" t="s">
        <v>158</v>
      </c>
      <c r="C143" s="79"/>
      <c r="D143" s="80"/>
      <c r="E143" s="80">
        <f t="shared" si="45"/>
        <v>0</v>
      </c>
      <c r="F143" s="240">
        <f>ROUND(I143*0.033%,0)</f>
        <v>178679</v>
      </c>
      <c r="G143" s="241"/>
      <c r="H143" s="242"/>
      <c r="I143" s="80">
        <v>541450000</v>
      </c>
    </row>
    <row r="144" spans="1:9">
      <c r="A144" s="77">
        <v>6</v>
      </c>
      <c r="B144" s="78" t="s">
        <v>60</v>
      </c>
      <c r="C144" s="79"/>
      <c r="D144" s="80"/>
      <c r="E144" s="80">
        <f t="shared" si="45"/>
        <v>0</v>
      </c>
      <c r="F144" s="240">
        <f t="shared" ref="F144" si="46">ROUND(I144*0.033%,0)</f>
        <v>351889</v>
      </c>
      <c r="G144" s="241"/>
      <c r="H144" s="242"/>
      <c r="I144" s="80">
        <v>1066331000</v>
      </c>
    </row>
    <row r="145" spans="1:15">
      <c r="A145" s="77">
        <v>7</v>
      </c>
      <c r="B145" s="78" t="s">
        <v>61</v>
      </c>
      <c r="C145" s="79"/>
      <c r="D145" s="80"/>
      <c r="E145" s="80">
        <f>C145*D145</f>
        <v>0</v>
      </c>
      <c r="F145" s="240">
        <v>81592</v>
      </c>
      <c r="G145" s="241"/>
      <c r="H145" s="242"/>
      <c r="I145" s="80">
        <v>247168367</v>
      </c>
    </row>
    <row r="146" spans="1:15" ht="6" customHeight="1">
      <c r="A146" s="131"/>
      <c r="B146" s="134"/>
      <c r="C146" s="135"/>
      <c r="D146" s="132"/>
      <c r="E146" s="132"/>
      <c r="F146" s="243"/>
      <c r="G146" s="244"/>
      <c r="H146" s="245"/>
      <c r="I146" s="132"/>
    </row>
    <row r="147" spans="1:15">
      <c r="A147" s="87"/>
      <c r="B147" s="87" t="s">
        <v>62</v>
      </c>
      <c r="C147" s="88"/>
      <c r="D147" s="89"/>
      <c r="E147" s="89">
        <f>SUM(E140:E146)</f>
        <v>3299024080</v>
      </c>
      <c r="F147" s="246">
        <f>SUM(F140:H146)</f>
        <v>2907713</v>
      </c>
      <c r="G147" s="247"/>
      <c r="H147" s="248"/>
      <c r="I147" s="89">
        <f>SUM(I140:I146)</f>
        <v>3296116367</v>
      </c>
    </row>
    <row r="148" spans="1:15" ht="18" customHeight="1">
      <c r="I148" s="143"/>
    </row>
    <row r="149" spans="1:15">
      <c r="I149" s="143"/>
    </row>
    <row r="150" spans="1:15" ht="43.5" customHeight="1">
      <c r="A150" s="236" t="s">
        <v>195</v>
      </c>
      <c r="B150" s="236"/>
      <c r="C150" s="236"/>
      <c r="D150" s="236"/>
      <c r="E150" s="236"/>
      <c r="F150" s="105"/>
      <c r="G150" s="19"/>
      <c r="H150" s="19"/>
    </row>
    <row r="151" spans="1:15" s="42" customFormat="1" ht="17.25" customHeight="1">
      <c r="B151" s="57"/>
      <c r="C151" s="112"/>
      <c r="D151" s="104"/>
      <c r="E151" s="118"/>
      <c r="F151" s="61"/>
      <c r="G151" s="62" t="s">
        <v>34</v>
      </c>
      <c r="I151" s="109"/>
    </row>
    <row r="152" spans="1:15" s="102" customFormat="1" ht="36.75" customHeight="1">
      <c r="A152" s="100" t="s">
        <v>1</v>
      </c>
      <c r="B152" s="100" t="s">
        <v>26</v>
      </c>
      <c r="C152" s="113" t="s">
        <v>10</v>
      </c>
      <c r="D152" s="101" t="s">
        <v>11</v>
      </c>
      <c r="E152" s="66" t="s">
        <v>12</v>
      </c>
      <c r="G152" s="64" t="s">
        <v>35</v>
      </c>
      <c r="H152" s="64" t="s">
        <v>36</v>
      </c>
      <c r="I152" s="64" t="s">
        <v>108</v>
      </c>
      <c r="J152" s="64" t="s">
        <v>37</v>
      </c>
      <c r="K152" s="64" t="s">
        <v>88</v>
      </c>
      <c r="L152" s="63" t="s">
        <v>38</v>
      </c>
      <c r="M152" s="66" t="s">
        <v>111</v>
      </c>
      <c r="N152" s="66" t="s">
        <v>12</v>
      </c>
    </row>
    <row r="153" spans="1:15" ht="18.75" customHeight="1">
      <c r="A153" s="77">
        <f>ROW()-152</f>
        <v>1</v>
      </c>
      <c r="B153" s="68" t="s">
        <v>40</v>
      </c>
      <c r="C153" s="114">
        <v>208000</v>
      </c>
      <c r="D153" s="70">
        <v>300</v>
      </c>
      <c r="E153" s="119">
        <f t="shared" ref="E153:E156" si="47">C153*D153</f>
        <v>62400000</v>
      </c>
      <c r="G153" s="81">
        <v>42684</v>
      </c>
      <c r="H153" s="81">
        <v>42702</v>
      </c>
      <c r="I153" s="73" t="s">
        <v>125</v>
      </c>
      <c r="J153" s="73">
        <f t="shared" ref="J153:J163" si="48">IF(H153&lt;&gt;"",H153-G153+1,"")</f>
        <v>19</v>
      </c>
      <c r="K153" s="73">
        <v>38</v>
      </c>
      <c r="L153" s="106">
        <f t="shared" ref="L153:L164" si="49">K153*13</f>
        <v>494</v>
      </c>
      <c r="M153" s="75">
        <v>20000</v>
      </c>
      <c r="N153" s="75">
        <f t="shared" ref="N153:N164" si="50">IF(J153&lt;&gt;"",M153*L153*J153/1000,"")</f>
        <v>187720</v>
      </c>
      <c r="O153" s="76"/>
    </row>
    <row r="154" spans="1:15" ht="18.75" customHeight="1">
      <c r="A154" s="77">
        <f t="shared" ref="A154:A167" si="51">ROW()-152</f>
        <v>2</v>
      </c>
      <c r="B154" s="78" t="s">
        <v>42</v>
      </c>
      <c r="C154" s="115">
        <v>8</v>
      </c>
      <c r="D154" s="80">
        <v>2000000</v>
      </c>
      <c r="E154" s="120">
        <f t="shared" si="47"/>
        <v>16000000</v>
      </c>
      <c r="G154" s="81">
        <v>42684</v>
      </c>
      <c r="H154" s="81">
        <v>42702</v>
      </c>
      <c r="I154" s="73" t="s">
        <v>126</v>
      </c>
      <c r="J154" s="73">
        <f t="shared" si="48"/>
        <v>19</v>
      </c>
      <c r="K154" s="73">
        <v>400</v>
      </c>
      <c r="L154" s="106">
        <f t="shared" si="49"/>
        <v>5200</v>
      </c>
      <c r="M154" s="75">
        <v>20000</v>
      </c>
      <c r="N154" s="75">
        <f t="shared" si="50"/>
        <v>1976000</v>
      </c>
      <c r="O154" s="76"/>
    </row>
    <row r="155" spans="1:15" ht="18.75" customHeight="1">
      <c r="A155" s="77">
        <f t="shared" si="51"/>
        <v>3</v>
      </c>
      <c r="B155" s="78" t="s">
        <v>43</v>
      </c>
      <c r="C155" s="115">
        <v>8</v>
      </c>
      <c r="D155" s="80">
        <v>2000000</v>
      </c>
      <c r="E155" s="120">
        <f t="shared" si="47"/>
        <v>16000000</v>
      </c>
      <c r="G155" s="81">
        <v>42685</v>
      </c>
      <c r="H155" s="81">
        <v>42702</v>
      </c>
      <c r="I155" s="73" t="s">
        <v>129</v>
      </c>
      <c r="J155" s="73">
        <f t="shared" si="48"/>
        <v>18</v>
      </c>
      <c r="K155" s="73">
        <v>445</v>
      </c>
      <c r="L155" s="106">
        <f t="shared" si="49"/>
        <v>5785</v>
      </c>
      <c r="M155" s="75">
        <v>20000</v>
      </c>
      <c r="N155" s="75">
        <f t="shared" si="50"/>
        <v>2082600</v>
      </c>
      <c r="O155" s="76"/>
    </row>
    <row r="156" spans="1:15" ht="18.75" customHeight="1">
      <c r="A156" s="77">
        <f t="shared" si="51"/>
        <v>4</v>
      </c>
      <c r="B156" s="78" t="s">
        <v>44</v>
      </c>
      <c r="C156" s="115">
        <v>8</v>
      </c>
      <c r="D156" s="80">
        <v>600000</v>
      </c>
      <c r="E156" s="120">
        <f t="shared" si="47"/>
        <v>4800000</v>
      </c>
      <c r="G156" s="81"/>
      <c r="H156" s="81"/>
      <c r="I156" s="73" t="s">
        <v>133</v>
      </c>
      <c r="J156" s="73" t="str">
        <f t="shared" si="48"/>
        <v/>
      </c>
      <c r="K156" s="73">
        <v>-11</v>
      </c>
      <c r="L156" s="106">
        <f t="shared" si="49"/>
        <v>-143</v>
      </c>
      <c r="M156" s="75"/>
      <c r="N156" s="75" t="str">
        <f t="shared" si="50"/>
        <v/>
      </c>
      <c r="O156" s="76"/>
    </row>
    <row r="157" spans="1:15" ht="18.75" customHeight="1">
      <c r="A157" s="77">
        <f t="shared" si="51"/>
        <v>5</v>
      </c>
      <c r="B157" s="78" t="s">
        <v>80</v>
      </c>
      <c r="C157" s="115">
        <v>8</v>
      </c>
      <c r="D157" s="80">
        <f>750*22600</f>
        <v>16950000</v>
      </c>
      <c r="E157" s="120">
        <f>C157*D157</f>
        <v>135600000</v>
      </c>
      <c r="G157" s="81">
        <v>42685</v>
      </c>
      <c r="H157" s="81">
        <v>42702</v>
      </c>
      <c r="I157" s="73" t="s">
        <v>92</v>
      </c>
      <c r="J157" s="73">
        <f t="shared" si="48"/>
        <v>18</v>
      </c>
      <c r="K157" s="73">
        <v>505</v>
      </c>
      <c r="L157" s="106">
        <f t="shared" si="49"/>
        <v>6565</v>
      </c>
      <c r="M157" s="75">
        <v>20000</v>
      </c>
      <c r="N157" s="75">
        <f t="shared" si="50"/>
        <v>2363400</v>
      </c>
      <c r="O157" s="76"/>
    </row>
    <row r="158" spans="1:15" ht="18.75" customHeight="1">
      <c r="A158" s="77">
        <f t="shared" si="51"/>
        <v>6</v>
      </c>
      <c r="B158" s="78" t="s">
        <v>46</v>
      </c>
      <c r="C158" s="115">
        <v>8</v>
      </c>
      <c r="D158" s="80">
        <v>7378778</v>
      </c>
      <c r="E158" s="120">
        <f t="shared" ref="E158:E160" si="52">C158*D158</f>
        <v>59030224</v>
      </c>
      <c r="G158" s="81">
        <v>42685</v>
      </c>
      <c r="H158" s="81">
        <v>42702</v>
      </c>
      <c r="I158" s="73" t="s">
        <v>130</v>
      </c>
      <c r="J158" s="73">
        <f t="shared" si="48"/>
        <v>18</v>
      </c>
      <c r="K158" s="73">
        <v>353</v>
      </c>
      <c r="L158" s="106">
        <f t="shared" si="49"/>
        <v>4589</v>
      </c>
      <c r="M158" s="75">
        <v>20000</v>
      </c>
      <c r="N158" s="75">
        <f t="shared" si="50"/>
        <v>1652040</v>
      </c>
      <c r="O158" s="76"/>
    </row>
    <row r="159" spans="1:15" ht="18.75" customHeight="1">
      <c r="A159" s="77">
        <f t="shared" si="51"/>
        <v>7</v>
      </c>
      <c r="B159" s="78" t="s">
        <v>47</v>
      </c>
      <c r="C159" s="115">
        <v>8</v>
      </c>
      <c r="D159" s="80">
        <v>5600000</v>
      </c>
      <c r="E159" s="120">
        <f t="shared" si="52"/>
        <v>44800000</v>
      </c>
      <c r="G159" s="81">
        <v>42685</v>
      </c>
      <c r="H159" s="81">
        <v>42702</v>
      </c>
      <c r="I159" s="73" t="s">
        <v>131</v>
      </c>
      <c r="J159" s="73">
        <f t="shared" si="48"/>
        <v>18</v>
      </c>
      <c r="K159" s="73">
        <f>900</f>
        <v>900</v>
      </c>
      <c r="L159" s="106">
        <f t="shared" si="49"/>
        <v>11700</v>
      </c>
      <c r="M159" s="75">
        <v>20000</v>
      </c>
      <c r="N159" s="75">
        <f t="shared" si="50"/>
        <v>4212000</v>
      </c>
      <c r="O159" s="76"/>
    </row>
    <row r="160" spans="1:15" ht="18.75" customHeight="1">
      <c r="A160" s="77">
        <f t="shared" si="51"/>
        <v>8</v>
      </c>
      <c r="B160" s="78" t="s">
        <v>48</v>
      </c>
      <c r="C160" s="115">
        <v>8</v>
      </c>
      <c r="D160" s="80">
        <f>88*22500</f>
        <v>1980000</v>
      </c>
      <c r="E160" s="120">
        <f t="shared" si="52"/>
        <v>15840000</v>
      </c>
      <c r="G160" s="81">
        <v>42685</v>
      </c>
      <c r="H160" s="81">
        <v>42702</v>
      </c>
      <c r="I160" s="73" t="s">
        <v>132</v>
      </c>
      <c r="J160" s="73">
        <f t="shared" si="48"/>
        <v>18</v>
      </c>
      <c r="K160" s="73">
        <v>900</v>
      </c>
      <c r="L160" s="106">
        <f t="shared" si="49"/>
        <v>11700</v>
      </c>
      <c r="M160" s="75">
        <v>20000</v>
      </c>
      <c r="N160" s="75">
        <f t="shared" si="50"/>
        <v>4212000</v>
      </c>
      <c r="O160" s="76"/>
    </row>
    <row r="161" spans="1:15" ht="18.75" customHeight="1">
      <c r="A161" s="77">
        <f t="shared" si="51"/>
        <v>9</v>
      </c>
      <c r="B161" s="78" t="s">
        <v>49</v>
      </c>
      <c r="C161" s="115">
        <v>8</v>
      </c>
      <c r="D161" s="80">
        <v>1350000</v>
      </c>
      <c r="E161" s="120">
        <f>C161*D161</f>
        <v>10800000</v>
      </c>
      <c r="G161" s="81">
        <v>42688</v>
      </c>
      <c r="H161" s="81">
        <v>42702</v>
      </c>
      <c r="I161" s="73" t="s">
        <v>92</v>
      </c>
      <c r="J161" s="73">
        <f t="shared" si="48"/>
        <v>15</v>
      </c>
      <c r="K161" s="73">
        <v>404</v>
      </c>
      <c r="L161" s="106">
        <f t="shared" si="49"/>
        <v>5252</v>
      </c>
      <c r="M161" s="75">
        <v>20000</v>
      </c>
      <c r="N161" s="75">
        <f t="shared" si="50"/>
        <v>1575600</v>
      </c>
      <c r="O161" s="76"/>
    </row>
    <row r="162" spans="1:15" ht="18.75" customHeight="1">
      <c r="A162" s="77">
        <f t="shared" si="51"/>
        <v>10</v>
      </c>
      <c r="B162" s="78" t="s">
        <v>84</v>
      </c>
      <c r="C162" s="115">
        <v>8</v>
      </c>
      <c r="D162" s="80">
        <v>2500000</v>
      </c>
      <c r="E162" s="120">
        <f t="shared" ref="E162" si="53">C162*D162</f>
        <v>20000000</v>
      </c>
      <c r="G162" s="81">
        <v>42693</v>
      </c>
      <c r="H162" s="81"/>
      <c r="I162" s="73" t="s">
        <v>153</v>
      </c>
      <c r="J162" s="73" t="str">
        <f t="shared" si="48"/>
        <v/>
      </c>
      <c r="K162" s="73">
        <v>-34</v>
      </c>
      <c r="L162" s="106">
        <f t="shared" si="49"/>
        <v>-442</v>
      </c>
      <c r="M162" s="75"/>
      <c r="N162" s="75" t="str">
        <f t="shared" si="50"/>
        <v/>
      </c>
      <c r="O162" s="76"/>
    </row>
    <row r="163" spans="1:15" ht="18.75" customHeight="1">
      <c r="A163" s="77">
        <f t="shared" si="51"/>
        <v>11</v>
      </c>
      <c r="B163" s="78" t="s">
        <v>50</v>
      </c>
      <c r="C163" s="115">
        <v>208</v>
      </c>
      <c r="D163" s="80">
        <v>50000</v>
      </c>
      <c r="E163" s="120">
        <f>C163*D163</f>
        <v>10400000</v>
      </c>
      <c r="G163" s="81">
        <v>42699</v>
      </c>
      <c r="H163" s="81">
        <v>42702</v>
      </c>
      <c r="I163" s="73" t="s">
        <v>96</v>
      </c>
      <c r="J163" s="73">
        <f t="shared" si="48"/>
        <v>4</v>
      </c>
      <c r="K163" s="73">
        <v>100</v>
      </c>
      <c r="L163" s="106">
        <f t="shared" si="49"/>
        <v>1300</v>
      </c>
      <c r="M163" s="75">
        <v>20000</v>
      </c>
      <c r="N163" s="75">
        <f t="shared" si="50"/>
        <v>104000</v>
      </c>
      <c r="O163" s="76"/>
    </row>
    <row r="164" spans="1:15" ht="18.75" customHeight="1">
      <c r="A164" s="77">
        <f t="shared" si="51"/>
        <v>12</v>
      </c>
      <c r="B164" s="78" t="s">
        <v>200</v>
      </c>
      <c r="C164" s="115">
        <v>10</v>
      </c>
      <c r="D164" s="80">
        <v>140000</v>
      </c>
      <c r="E164" s="120">
        <f>C164*D164</f>
        <v>1400000</v>
      </c>
      <c r="G164" s="81">
        <v>42705</v>
      </c>
      <c r="H164" s="81">
        <v>42705</v>
      </c>
      <c r="I164" s="73" t="s">
        <v>192</v>
      </c>
      <c r="J164" s="73">
        <f>IF(H164&lt;&gt;"",H164-G164,"")</f>
        <v>0</v>
      </c>
      <c r="K164" s="73">
        <v>2000</v>
      </c>
      <c r="L164" s="106">
        <f t="shared" si="49"/>
        <v>26000</v>
      </c>
      <c r="M164" s="75">
        <v>20000</v>
      </c>
      <c r="N164" s="75">
        <f t="shared" si="50"/>
        <v>0</v>
      </c>
      <c r="O164" s="76"/>
    </row>
    <row r="165" spans="1:15" ht="18.75" customHeight="1">
      <c r="A165" s="77">
        <f t="shared" si="51"/>
        <v>13</v>
      </c>
      <c r="B165" s="78" t="s">
        <v>201</v>
      </c>
      <c r="C165" s="115">
        <v>10</v>
      </c>
      <c r="D165" s="80">
        <v>110000</v>
      </c>
      <c r="E165" s="120">
        <f t="shared" ref="E165:E166" si="54">C165*D165</f>
        <v>1100000</v>
      </c>
      <c r="G165" s="81">
        <v>42705</v>
      </c>
      <c r="H165" s="81">
        <v>42705</v>
      </c>
      <c r="I165" s="73" t="s">
        <v>193</v>
      </c>
      <c r="J165" s="73">
        <f t="shared" ref="J165:J166" si="55">IF(H165&lt;&gt;"",H165-G165,"")</f>
        <v>0</v>
      </c>
      <c r="K165" s="73">
        <v>2000</v>
      </c>
      <c r="L165" s="106">
        <f t="shared" ref="L165:L171" si="56">K165*13</f>
        <v>26000</v>
      </c>
      <c r="M165" s="75">
        <v>20000</v>
      </c>
      <c r="N165" s="75">
        <f t="shared" ref="N165:N171" si="57">IF(J165&lt;&gt;"",M165*L165*J165/1000,"")</f>
        <v>0</v>
      </c>
      <c r="O165" s="76"/>
    </row>
    <row r="166" spans="1:15" ht="18.75" customHeight="1">
      <c r="A166" s="77">
        <f t="shared" si="51"/>
        <v>14</v>
      </c>
      <c r="B166" s="78" t="s">
        <v>202</v>
      </c>
      <c r="C166" s="115">
        <v>10</v>
      </c>
      <c r="D166" s="80">
        <v>110000</v>
      </c>
      <c r="E166" s="120">
        <f t="shared" si="54"/>
        <v>1100000</v>
      </c>
      <c r="G166" s="81">
        <v>42705</v>
      </c>
      <c r="H166" s="81">
        <v>42705</v>
      </c>
      <c r="I166" s="73" t="s">
        <v>194</v>
      </c>
      <c r="J166" s="73">
        <f t="shared" si="55"/>
        <v>0</v>
      </c>
      <c r="K166" s="73">
        <v>1999</v>
      </c>
      <c r="L166" s="106">
        <f t="shared" si="56"/>
        <v>25987</v>
      </c>
      <c r="M166" s="75">
        <v>20000</v>
      </c>
      <c r="N166" s="75">
        <f t="shared" si="57"/>
        <v>0</v>
      </c>
      <c r="O166" s="76"/>
    </row>
    <row r="167" spans="1:15" ht="18.75" customHeight="1">
      <c r="A167" s="77">
        <f t="shared" si="51"/>
        <v>15</v>
      </c>
      <c r="B167" s="78" t="s">
        <v>51</v>
      </c>
      <c r="C167" s="115"/>
      <c r="D167" s="80"/>
      <c r="E167" s="120">
        <f>N173</f>
        <v>21434660</v>
      </c>
      <c r="G167" s="81">
        <v>42699</v>
      </c>
      <c r="H167" s="81">
        <v>42706</v>
      </c>
      <c r="I167" s="73" t="s">
        <v>96</v>
      </c>
      <c r="J167" s="73">
        <f t="shared" ref="J167:J171" si="58">IF(H167&lt;&gt;"",H167-G167+1,"")</f>
        <v>8</v>
      </c>
      <c r="K167" s="73">
        <v>200</v>
      </c>
      <c r="L167" s="106">
        <f t="shared" si="56"/>
        <v>2600</v>
      </c>
      <c r="M167" s="75">
        <v>20000</v>
      </c>
      <c r="N167" s="75">
        <f t="shared" si="57"/>
        <v>416000</v>
      </c>
      <c r="O167" s="76"/>
    </row>
    <row r="168" spans="1:15" ht="18.75" customHeight="1">
      <c r="A168" s="77"/>
      <c r="B168" s="78"/>
      <c r="C168" s="115"/>
      <c r="D168" s="80"/>
      <c r="E168" s="120"/>
      <c r="G168" s="81">
        <v>42699</v>
      </c>
      <c r="H168" s="81">
        <v>42706</v>
      </c>
      <c r="I168" s="73" t="s">
        <v>89</v>
      </c>
      <c r="J168" s="73">
        <f t="shared" si="58"/>
        <v>8</v>
      </c>
      <c r="K168" s="73">
        <v>400</v>
      </c>
      <c r="L168" s="106">
        <f t="shared" si="56"/>
        <v>5200</v>
      </c>
      <c r="M168" s="75">
        <v>20000</v>
      </c>
      <c r="N168" s="75">
        <f t="shared" si="57"/>
        <v>832000</v>
      </c>
      <c r="O168" s="76"/>
    </row>
    <row r="169" spans="1:15" ht="18.75" customHeight="1">
      <c r="A169" s="77"/>
      <c r="B169" s="78"/>
      <c r="C169" s="115"/>
      <c r="D169" s="80"/>
      <c r="E169" s="120"/>
      <c r="G169" s="81">
        <v>42702</v>
      </c>
      <c r="H169" s="81">
        <v>42706</v>
      </c>
      <c r="I169" s="73" t="s">
        <v>91</v>
      </c>
      <c r="J169" s="73">
        <f t="shared" si="58"/>
        <v>5</v>
      </c>
      <c r="K169" s="73">
        <v>413</v>
      </c>
      <c r="L169" s="106">
        <f t="shared" si="56"/>
        <v>5369</v>
      </c>
      <c r="M169" s="75">
        <v>20000</v>
      </c>
      <c r="N169" s="75">
        <f t="shared" si="57"/>
        <v>536900</v>
      </c>
      <c r="O169" s="76"/>
    </row>
    <row r="170" spans="1:15" ht="18.75" customHeight="1">
      <c r="A170" s="77"/>
      <c r="B170" s="78"/>
      <c r="C170" s="115"/>
      <c r="D170" s="80"/>
      <c r="E170" s="120"/>
      <c r="G170" s="81">
        <v>42702</v>
      </c>
      <c r="H170" s="81">
        <v>42706</v>
      </c>
      <c r="I170" s="73" t="s">
        <v>185</v>
      </c>
      <c r="J170" s="73">
        <f t="shared" si="58"/>
        <v>5</v>
      </c>
      <c r="K170" s="73">
        <v>418</v>
      </c>
      <c r="L170" s="106">
        <f t="shared" si="56"/>
        <v>5434</v>
      </c>
      <c r="M170" s="75">
        <v>20000</v>
      </c>
      <c r="N170" s="75">
        <f t="shared" si="57"/>
        <v>543400</v>
      </c>
      <c r="O170" s="76"/>
    </row>
    <row r="171" spans="1:15" ht="18.75" customHeight="1">
      <c r="A171" s="77"/>
      <c r="B171" s="78"/>
      <c r="C171" s="115"/>
      <c r="D171" s="80"/>
      <c r="E171" s="120"/>
      <c r="G171" s="81">
        <v>42702</v>
      </c>
      <c r="H171" s="81">
        <v>42706</v>
      </c>
      <c r="I171" s="73" t="s">
        <v>186</v>
      </c>
      <c r="J171" s="73">
        <f t="shared" si="58"/>
        <v>5</v>
      </c>
      <c r="K171" s="73">
        <f>582-12</f>
        <v>570</v>
      </c>
      <c r="L171" s="106">
        <f t="shared" si="56"/>
        <v>7410</v>
      </c>
      <c r="M171" s="75">
        <v>20000</v>
      </c>
      <c r="N171" s="75">
        <f t="shared" si="57"/>
        <v>741000</v>
      </c>
      <c r="O171" s="76"/>
    </row>
    <row r="172" spans="1:15" ht="7.5" customHeight="1">
      <c r="A172" s="77"/>
      <c r="B172" s="78"/>
      <c r="C172" s="115"/>
      <c r="D172" s="80"/>
      <c r="E172" s="120"/>
      <c r="G172" s="83"/>
      <c r="H172" s="83"/>
      <c r="I172" s="84"/>
      <c r="J172" s="84"/>
      <c r="K172" s="84"/>
      <c r="L172" s="85"/>
      <c r="M172" s="86"/>
      <c r="N172" s="86"/>
    </row>
    <row r="173" spans="1:15" ht="18.75" customHeight="1">
      <c r="A173" s="87"/>
      <c r="B173" s="87" t="s">
        <v>53</v>
      </c>
      <c r="C173" s="116"/>
      <c r="D173" s="89"/>
      <c r="E173" s="91">
        <f>SUM(E153:E172)</f>
        <v>420704884</v>
      </c>
      <c r="F173" s="21"/>
      <c r="G173" s="90"/>
      <c r="H173" s="90"/>
      <c r="I173" s="90" t="s">
        <v>53</v>
      </c>
      <c r="J173" s="90"/>
      <c r="K173" s="107">
        <f>SUM(K153:K172)</f>
        <v>12000</v>
      </c>
      <c r="L173" s="107">
        <f>SUM(L153:L172)</f>
        <v>156000</v>
      </c>
      <c r="M173" s="107"/>
      <c r="N173" s="91">
        <f>SUM(N153:N172)</f>
        <v>21434660</v>
      </c>
    </row>
    <row r="174" spans="1:15" ht="7.5" customHeight="1"/>
    <row r="175" spans="1:15" s="20" customFormat="1">
      <c r="A175" s="22"/>
      <c r="B175" s="22"/>
      <c r="C175" s="117"/>
      <c r="D175" s="24" t="s">
        <v>54</v>
      </c>
      <c r="E175" s="121">
        <f>E173/C153</f>
        <v>2022.6196346153847</v>
      </c>
      <c r="F175" s="22"/>
    </row>
    <row r="176" spans="1:15" hidden="1"/>
    <row r="177" spans="1:14" ht="31.5" hidden="1" customHeight="1">
      <c r="A177" s="90" t="s">
        <v>1</v>
      </c>
      <c r="B177" s="150" t="s">
        <v>26</v>
      </c>
      <c r="C177" s="124" t="s">
        <v>55</v>
      </c>
      <c r="D177" s="125" t="s">
        <v>56</v>
      </c>
      <c r="E177" s="125" t="s">
        <v>12</v>
      </c>
      <c r="F177" s="237" t="s">
        <v>122</v>
      </c>
      <c r="G177" s="238"/>
      <c r="H177" s="239"/>
      <c r="I177" s="125" t="s">
        <v>57</v>
      </c>
    </row>
    <row r="178" spans="1:14" hidden="1">
      <c r="A178" s="77">
        <v>1</v>
      </c>
      <c r="B178" s="78" t="s">
        <v>181</v>
      </c>
      <c r="C178" s="115">
        <v>145588</v>
      </c>
      <c r="D178" s="80">
        <v>22620</v>
      </c>
      <c r="E178" s="80">
        <f>C178*D178</f>
        <v>3293200560</v>
      </c>
      <c r="F178" s="240"/>
      <c r="G178" s="241"/>
      <c r="H178" s="242"/>
      <c r="I178" s="80"/>
    </row>
    <row r="179" spans="1:14" hidden="1">
      <c r="A179" s="77">
        <v>2</v>
      </c>
      <c r="B179" s="78" t="s">
        <v>128</v>
      </c>
      <c r="C179" s="115"/>
      <c r="D179" s="80"/>
      <c r="E179" s="80"/>
      <c r="F179" s="240">
        <v>1825573</v>
      </c>
      <c r="G179" s="241"/>
      <c r="H179" s="242"/>
      <c r="I179" s="80"/>
    </row>
    <row r="180" spans="1:14" hidden="1">
      <c r="A180" s="77">
        <v>3</v>
      </c>
      <c r="B180" s="145" t="s">
        <v>157</v>
      </c>
      <c r="C180" s="80"/>
      <c r="D180" s="80"/>
      <c r="E180" s="80">
        <f t="shared" ref="E180:E181" si="59">C180*D180</f>
        <v>0</v>
      </c>
      <c r="F180" s="240">
        <f>ROUND(I180*0.033%,0)</f>
        <v>497640</v>
      </c>
      <c r="G180" s="241"/>
      <c r="H180" s="242"/>
      <c r="I180" s="80">
        <v>1508000000</v>
      </c>
    </row>
    <row r="181" spans="1:14" hidden="1">
      <c r="A181" s="77">
        <v>4</v>
      </c>
      <c r="B181" s="78" t="s">
        <v>147</v>
      </c>
      <c r="C181" s="79"/>
      <c r="D181" s="80"/>
      <c r="E181" s="80">
        <f t="shared" si="59"/>
        <v>0</v>
      </c>
      <c r="F181" s="240">
        <f>ROUND(I181*0.033%,0)</f>
        <v>552453</v>
      </c>
      <c r="G181" s="241"/>
      <c r="H181" s="242"/>
      <c r="I181" s="80">
        <v>1674100000</v>
      </c>
    </row>
    <row r="182" spans="1:14" hidden="1">
      <c r="A182" s="77">
        <v>5</v>
      </c>
      <c r="B182" s="78" t="s">
        <v>61</v>
      </c>
      <c r="C182" s="79"/>
      <c r="D182" s="80"/>
      <c r="E182" s="80">
        <f>C182*D182</f>
        <v>0</v>
      </c>
      <c r="F182" s="240"/>
      <c r="G182" s="241"/>
      <c r="H182" s="242"/>
      <c r="I182" s="80"/>
    </row>
    <row r="183" spans="1:14" ht="6" hidden="1" customHeight="1">
      <c r="A183" s="131"/>
      <c r="B183" s="134"/>
      <c r="C183" s="135"/>
      <c r="D183" s="132"/>
      <c r="E183" s="132"/>
      <c r="F183" s="243"/>
      <c r="G183" s="244"/>
      <c r="H183" s="245"/>
      <c r="I183" s="132"/>
    </row>
    <row r="184" spans="1:14" hidden="1">
      <c r="A184" s="87"/>
      <c r="B184" s="87" t="s">
        <v>62</v>
      </c>
      <c r="C184" s="88"/>
      <c r="D184" s="89"/>
      <c r="E184" s="89">
        <f>SUM(E178:E183)</f>
        <v>3293200560</v>
      </c>
      <c r="F184" s="246">
        <f>SUM(F178:H183)</f>
        <v>2875666</v>
      </c>
      <c r="G184" s="247"/>
      <c r="H184" s="248"/>
      <c r="I184" s="89">
        <f>SUM(I178:I183)</f>
        <v>3182100000</v>
      </c>
    </row>
    <row r="185" spans="1:14" ht="6.75" hidden="1" customHeight="1">
      <c r="I185" s="143"/>
    </row>
    <row r="186" spans="1:14" s="21" customFormat="1" hidden="1">
      <c r="C186" s="160"/>
      <c r="D186" s="98"/>
      <c r="E186" s="161"/>
      <c r="G186" s="25" t="s">
        <v>190</v>
      </c>
      <c r="H186" s="25"/>
      <c r="I186" s="162">
        <f>E184-F184-I184</f>
        <v>108224894</v>
      </c>
      <c r="J186" s="25"/>
      <c r="K186" s="25"/>
      <c r="L186" s="25"/>
      <c r="M186" s="25"/>
      <c r="N186" s="25"/>
    </row>
    <row r="187" spans="1:14" s="21" customFormat="1" hidden="1">
      <c r="C187" s="160"/>
      <c r="D187" s="98"/>
      <c r="E187" s="161"/>
      <c r="G187" s="25"/>
      <c r="H187" s="25"/>
      <c r="I187" s="162"/>
      <c r="J187" s="25"/>
      <c r="K187" s="25"/>
      <c r="L187" s="25"/>
      <c r="M187" s="25"/>
      <c r="N187" s="25"/>
    </row>
    <row r="188" spans="1:14" ht="31.5" customHeight="1">
      <c r="A188" s="90" t="s">
        <v>1</v>
      </c>
      <c r="B188" s="156" t="s">
        <v>26</v>
      </c>
      <c r="C188" s="124" t="s">
        <v>55</v>
      </c>
      <c r="D188" s="125" t="s">
        <v>56</v>
      </c>
      <c r="E188" s="125" t="s">
        <v>12</v>
      </c>
      <c r="F188" s="237" t="s">
        <v>122</v>
      </c>
      <c r="G188" s="238"/>
      <c r="H188" s="239"/>
      <c r="I188" s="125" t="s">
        <v>57</v>
      </c>
    </row>
    <row r="189" spans="1:14">
      <c r="A189" s="77">
        <v>1</v>
      </c>
      <c r="B189" s="78" t="s">
        <v>196</v>
      </c>
      <c r="C189" s="115">
        <v>291188</v>
      </c>
      <c r="D189" s="80">
        <v>22650</v>
      </c>
      <c r="E189" s="80">
        <f>C189*D189</f>
        <v>6595408200</v>
      </c>
      <c r="F189" s="240"/>
      <c r="G189" s="241"/>
      <c r="H189" s="242"/>
      <c r="I189" s="80"/>
    </row>
    <row r="190" spans="1:14">
      <c r="A190" s="77">
        <v>2</v>
      </c>
      <c r="B190" s="78" t="s">
        <v>199</v>
      </c>
      <c r="C190" s="115"/>
      <c r="D190" s="80"/>
      <c r="E190" s="80">
        <f>E184-I184-F184</f>
        <v>108224894</v>
      </c>
      <c r="F190" s="240"/>
      <c r="G190" s="241"/>
      <c r="H190" s="242"/>
      <c r="I190" s="80"/>
    </row>
    <row r="191" spans="1:14">
      <c r="A191" s="77">
        <v>3</v>
      </c>
      <c r="B191" s="78" t="s">
        <v>128</v>
      </c>
      <c r="C191" s="115"/>
      <c r="D191" s="80"/>
      <c r="E191" s="80"/>
      <c r="F191" s="240">
        <f>1825573*2</f>
        <v>3651146</v>
      </c>
      <c r="G191" s="241"/>
      <c r="H191" s="242"/>
      <c r="I191" s="80"/>
    </row>
    <row r="192" spans="1:14">
      <c r="A192" s="77">
        <v>4</v>
      </c>
      <c r="B192" s="78" t="s">
        <v>197</v>
      </c>
      <c r="C192" s="115"/>
      <c r="D192" s="80"/>
      <c r="E192" s="80"/>
      <c r="F192" s="157"/>
      <c r="G192" s="158"/>
      <c r="H192" s="159"/>
      <c r="I192" s="80">
        <f>E173</f>
        <v>420704884</v>
      </c>
    </row>
    <row r="193" spans="1:15">
      <c r="A193" s="77">
        <v>5</v>
      </c>
      <c r="B193" s="78" t="s">
        <v>198</v>
      </c>
      <c r="C193" s="115"/>
      <c r="D193" s="80"/>
      <c r="E193" s="80"/>
      <c r="F193" s="157"/>
      <c r="G193" s="158"/>
      <c r="H193" s="159"/>
      <c r="I193" s="80">
        <v>500000000</v>
      </c>
    </row>
    <row r="194" spans="1:15">
      <c r="A194" s="77">
        <v>6</v>
      </c>
      <c r="B194" s="78" t="s">
        <v>147</v>
      </c>
      <c r="C194" s="80"/>
      <c r="D194" s="80"/>
      <c r="E194" s="80">
        <f t="shared" ref="E194:E195" si="60">C194*D194</f>
        <v>0</v>
      </c>
      <c r="F194" s="240">
        <f>ROUND(I194*0.033%,0)</f>
        <v>963198</v>
      </c>
      <c r="G194" s="241"/>
      <c r="H194" s="242"/>
      <c r="I194" s="80">
        <f>2918480500+300000</f>
        <v>2918780500</v>
      </c>
    </row>
    <row r="195" spans="1:15">
      <c r="A195" s="77">
        <v>7</v>
      </c>
      <c r="B195" s="145" t="s">
        <v>157</v>
      </c>
      <c r="C195" s="79"/>
      <c r="D195" s="80"/>
      <c r="E195" s="80">
        <f t="shared" si="60"/>
        <v>0</v>
      </c>
      <c r="F195" s="240">
        <f>ROUND(I195*0.033%,0)</f>
        <v>602224</v>
      </c>
      <c r="G195" s="241"/>
      <c r="H195" s="242"/>
      <c r="I195" s="80">
        <v>1824920500</v>
      </c>
    </row>
    <row r="196" spans="1:15">
      <c r="A196" s="77">
        <v>8</v>
      </c>
      <c r="B196" s="145" t="s">
        <v>158</v>
      </c>
      <c r="C196" s="79"/>
      <c r="D196" s="80"/>
      <c r="E196" s="80"/>
      <c r="F196" s="240">
        <f>ROUND(I196*0.033%,0)</f>
        <v>182381</v>
      </c>
      <c r="G196" s="241"/>
      <c r="H196" s="242"/>
      <c r="I196" s="80">
        <v>552669000</v>
      </c>
    </row>
    <row r="197" spans="1:15">
      <c r="A197" s="77">
        <v>9</v>
      </c>
      <c r="B197" s="78" t="s">
        <v>61</v>
      </c>
      <c r="C197" s="79"/>
      <c r="D197" s="80"/>
      <c r="E197" s="80">
        <f>C197*D197</f>
        <v>0</v>
      </c>
      <c r="F197" s="240">
        <v>224782.55613005161</v>
      </c>
      <c r="G197" s="241"/>
      <c r="H197" s="242"/>
      <c r="I197" s="80">
        <v>480934478.44387001</v>
      </c>
    </row>
    <row r="198" spans="1:15" ht="6" customHeight="1">
      <c r="A198" s="131"/>
      <c r="B198" s="134"/>
      <c r="C198" s="135"/>
      <c r="D198" s="132"/>
      <c r="E198" s="132"/>
      <c r="F198" s="243"/>
      <c r="G198" s="244"/>
      <c r="H198" s="245"/>
      <c r="I198" s="132"/>
    </row>
    <row r="199" spans="1:15">
      <c r="A199" s="87"/>
      <c r="B199" s="87" t="s">
        <v>62</v>
      </c>
      <c r="C199" s="88"/>
      <c r="D199" s="89"/>
      <c r="E199" s="89">
        <f>SUM(E189:E198)</f>
        <v>6703633094</v>
      </c>
      <c r="F199" s="246">
        <f>SUM(F189:H198)</f>
        <v>5623731.5561300516</v>
      </c>
      <c r="G199" s="247"/>
      <c r="H199" s="248"/>
      <c r="I199" s="89">
        <f>SUM(I189:I198)</f>
        <v>6698009362.4438696</v>
      </c>
    </row>
    <row r="200" spans="1:15" ht="6.75" customHeight="1">
      <c r="I200" s="143"/>
    </row>
    <row r="201" spans="1:15" s="21" customFormat="1">
      <c r="C201" s="160"/>
      <c r="D201" s="98"/>
      <c r="E201" s="161"/>
      <c r="G201" s="25"/>
      <c r="H201" s="25"/>
      <c r="I201" s="162"/>
      <c r="J201" s="25"/>
      <c r="K201" s="25"/>
      <c r="L201" s="25"/>
      <c r="M201" s="25"/>
      <c r="N201" s="25"/>
    </row>
    <row r="202" spans="1:15" s="21" customFormat="1">
      <c r="C202" s="160"/>
      <c r="D202" s="98"/>
      <c r="E202" s="161"/>
      <c r="G202" s="25"/>
      <c r="H202" s="25"/>
      <c r="I202" s="162"/>
      <c r="J202" s="25"/>
      <c r="K202" s="25"/>
      <c r="L202" s="25"/>
      <c r="M202" s="25"/>
      <c r="N202" s="25"/>
    </row>
    <row r="205" spans="1:15" ht="43.5" customHeight="1">
      <c r="A205" s="236" t="s">
        <v>203</v>
      </c>
      <c r="B205" s="236"/>
      <c r="C205" s="236"/>
      <c r="D205" s="236"/>
      <c r="E205" s="236"/>
      <c r="F205" s="105"/>
      <c r="G205" s="19"/>
      <c r="H205" s="19"/>
    </row>
    <row r="206" spans="1:15" s="42" customFormat="1" ht="17.25" customHeight="1">
      <c r="B206" s="57"/>
      <c r="C206" s="112"/>
      <c r="D206" s="104"/>
      <c r="E206" s="118"/>
      <c r="F206" s="61"/>
      <c r="G206" s="62" t="s">
        <v>34</v>
      </c>
      <c r="I206" s="109"/>
    </row>
    <row r="207" spans="1:15" s="102" customFormat="1" ht="36.75" customHeight="1">
      <c r="A207" s="100" t="s">
        <v>1</v>
      </c>
      <c r="B207" s="100" t="s">
        <v>26</v>
      </c>
      <c r="C207" s="113" t="s">
        <v>10</v>
      </c>
      <c r="D207" s="101" t="s">
        <v>11</v>
      </c>
      <c r="E207" s="66" t="s">
        <v>12</v>
      </c>
      <c r="G207" s="64" t="s">
        <v>35</v>
      </c>
      <c r="H207" s="64" t="s">
        <v>36</v>
      </c>
      <c r="I207" s="64" t="s">
        <v>108</v>
      </c>
      <c r="J207" s="64" t="s">
        <v>37</v>
      </c>
      <c r="K207" s="64" t="s">
        <v>88</v>
      </c>
      <c r="L207" s="63" t="s">
        <v>38</v>
      </c>
      <c r="M207" s="66" t="s">
        <v>111</v>
      </c>
      <c r="N207" s="66" t="s">
        <v>12</v>
      </c>
    </row>
    <row r="208" spans="1:15" ht="18.75" customHeight="1">
      <c r="A208" s="77">
        <f>ROW()-207</f>
        <v>1</v>
      </c>
      <c r="B208" s="68" t="s">
        <v>40</v>
      </c>
      <c r="C208" s="114">
        <v>365755</v>
      </c>
      <c r="D208" s="70">
        <v>300</v>
      </c>
      <c r="E208" s="119">
        <f t="shared" ref="E208:E211" si="61">C208*D208</f>
        <v>109726500</v>
      </c>
      <c r="G208" s="81">
        <v>42710</v>
      </c>
      <c r="H208" s="81">
        <v>42710</v>
      </c>
      <c r="I208" s="73" t="s">
        <v>204</v>
      </c>
      <c r="J208" s="73"/>
      <c r="K208" s="73">
        <v>2027</v>
      </c>
      <c r="L208" s="106">
        <f t="shared" ref="L208:L218" si="62">K208*13</f>
        <v>26351</v>
      </c>
      <c r="M208" s="75">
        <v>20000</v>
      </c>
      <c r="N208" s="75" t="str">
        <f t="shared" ref="N208:N220" si="63">IF(J208&lt;&gt;"",M208*L208*J208/1000,"")</f>
        <v/>
      </c>
      <c r="O208" s="76"/>
    </row>
    <row r="209" spans="1:15" ht="18.75" customHeight="1">
      <c r="A209" s="77">
        <f t="shared" ref="A209:A218" si="64">ROW()-207</f>
        <v>2</v>
      </c>
      <c r="B209" s="78" t="s">
        <v>42</v>
      </c>
      <c r="C209" s="115">
        <v>14</v>
      </c>
      <c r="D209" s="80">
        <v>2000000</v>
      </c>
      <c r="E209" s="120">
        <f t="shared" si="61"/>
        <v>28000000</v>
      </c>
      <c r="G209" s="81">
        <v>42710</v>
      </c>
      <c r="H209" s="81">
        <v>42710</v>
      </c>
      <c r="I209" s="73" t="s">
        <v>205</v>
      </c>
      <c r="J209" s="73"/>
      <c r="K209" s="73">
        <v>2027</v>
      </c>
      <c r="L209" s="106">
        <f t="shared" si="62"/>
        <v>26351</v>
      </c>
      <c r="M209" s="75">
        <v>20000</v>
      </c>
      <c r="N209" s="75" t="str">
        <f t="shared" si="63"/>
        <v/>
      </c>
      <c r="O209" s="76"/>
    </row>
    <row r="210" spans="1:15" ht="18.75" customHeight="1">
      <c r="A210" s="77">
        <f t="shared" si="64"/>
        <v>3</v>
      </c>
      <c r="B210" s="78" t="s">
        <v>43</v>
      </c>
      <c r="C210" s="115">
        <v>14</v>
      </c>
      <c r="D210" s="80">
        <v>2000000</v>
      </c>
      <c r="E210" s="120">
        <f t="shared" si="61"/>
        <v>28000000</v>
      </c>
      <c r="G210" s="81">
        <v>42711</v>
      </c>
      <c r="H210" s="81">
        <v>42711</v>
      </c>
      <c r="I210" s="73" t="s">
        <v>207</v>
      </c>
      <c r="J210" s="73"/>
      <c r="K210" s="73">
        <v>2027</v>
      </c>
      <c r="L210" s="106">
        <f t="shared" si="62"/>
        <v>26351</v>
      </c>
      <c r="M210" s="75">
        <v>20000</v>
      </c>
      <c r="N210" s="75" t="str">
        <f t="shared" si="63"/>
        <v/>
      </c>
      <c r="O210" s="76"/>
    </row>
    <row r="211" spans="1:15" ht="18.75" customHeight="1">
      <c r="A211" s="77">
        <f t="shared" si="64"/>
        <v>4</v>
      </c>
      <c r="B211" s="78" t="s">
        <v>44</v>
      </c>
      <c r="C211" s="115">
        <v>14</v>
      </c>
      <c r="D211" s="80">
        <v>600000</v>
      </c>
      <c r="E211" s="120">
        <f t="shared" si="61"/>
        <v>8400000</v>
      </c>
      <c r="G211" s="81">
        <v>42702</v>
      </c>
      <c r="H211" s="81">
        <v>42711</v>
      </c>
      <c r="I211" s="73" t="s">
        <v>186</v>
      </c>
      <c r="J211" s="73">
        <f t="shared" ref="J211:J218" si="65">IF(H211&lt;&gt;"",H211-G211+1,"")</f>
        <v>10</v>
      </c>
      <c r="K211" s="73">
        <v>12</v>
      </c>
      <c r="L211" s="106">
        <f t="shared" si="62"/>
        <v>156</v>
      </c>
      <c r="M211" s="75">
        <v>20000</v>
      </c>
      <c r="N211" s="75">
        <f t="shared" si="63"/>
        <v>31200</v>
      </c>
      <c r="O211" s="76"/>
    </row>
    <row r="212" spans="1:15" ht="18.75" customHeight="1">
      <c r="A212" s="77">
        <f t="shared" si="64"/>
        <v>5</v>
      </c>
      <c r="B212" s="78" t="s">
        <v>80</v>
      </c>
      <c r="C212" s="115">
        <v>14</v>
      </c>
      <c r="D212" s="80">
        <v>16725000</v>
      </c>
      <c r="E212" s="120">
        <f>C212*D212</f>
        <v>234150000</v>
      </c>
      <c r="G212" s="81">
        <v>42702</v>
      </c>
      <c r="H212" s="81">
        <v>42711</v>
      </c>
      <c r="I212" s="73" t="s">
        <v>105</v>
      </c>
      <c r="J212" s="73">
        <f t="shared" si="65"/>
        <v>10</v>
      </c>
      <c r="K212" s="73">
        <v>500</v>
      </c>
      <c r="L212" s="106">
        <f t="shared" si="62"/>
        <v>6500</v>
      </c>
      <c r="M212" s="75">
        <v>20000</v>
      </c>
      <c r="N212" s="75">
        <f t="shared" si="63"/>
        <v>1300000</v>
      </c>
      <c r="O212" s="76"/>
    </row>
    <row r="213" spans="1:15" ht="18.75" customHeight="1">
      <c r="A213" s="77">
        <f t="shared" si="64"/>
        <v>6</v>
      </c>
      <c r="B213" s="78" t="s">
        <v>46</v>
      </c>
      <c r="C213" s="115">
        <v>14</v>
      </c>
      <c r="D213" s="80">
        <v>9358000</v>
      </c>
      <c r="E213" s="120">
        <f t="shared" ref="E213:E214" si="66">C213*D213</f>
        <v>131012000</v>
      </c>
      <c r="G213" s="81">
        <v>42702</v>
      </c>
      <c r="H213" s="81">
        <v>42711</v>
      </c>
      <c r="I213" s="73" t="s">
        <v>187</v>
      </c>
      <c r="J213" s="73">
        <f t="shared" si="65"/>
        <v>10</v>
      </c>
      <c r="K213" s="73">
        <v>500</v>
      </c>
      <c r="L213" s="106">
        <f t="shared" si="62"/>
        <v>6500</v>
      </c>
      <c r="M213" s="75">
        <v>20000</v>
      </c>
      <c r="N213" s="75">
        <f t="shared" si="63"/>
        <v>1300000</v>
      </c>
      <c r="O213" s="76"/>
    </row>
    <row r="214" spans="1:15" ht="18.75" customHeight="1">
      <c r="A214" s="77">
        <f t="shared" si="64"/>
        <v>7</v>
      </c>
      <c r="B214" s="78" t="s">
        <v>47</v>
      </c>
      <c r="C214" s="115">
        <v>14</v>
      </c>
      <c r="D214" s="80">
        <v>5600000</v>
      </c>
      <c r="E214" s="120">
        <f t="shared" si="66"/>
        <v>78400000</v>
      </c>
      <c r="G214" s="81">
        <v>42702</v>
      </c>
      <c r="H214" s="81">
        <v>42711</v>
      </c>
      <c r="I214" s="73" t="s">
        <v>188</v>
      </c>
      <c r="J214" s="73">
        <f t="shared" si="65"/>
        <v>10</v>
      </c>
      <c r="K214" s="73">
        <v>810</v>
      </c>
      <c r="L214" s="106">
        <f t="shared" si="62"/>
        <v>10530</v>
      </c>
      <c r="M214" s="75">
        <v>20000</v>
      </c>
      <c r="N214" s="75">
        <f t="shared" si="63"/>
        <v>2106000</v>
      </c>
      <c r="O214" s="76"/>
    </row>
    <row r="215" spans="1:15" ht="18.75" customHeight="1">
      <c r="A215" s="77">
        <f t="shared" si="64"/>
        <v>8</v>
      </c>
      <c r="B215" s="78" t="s">
        <v>49</v>
      </c>
      <c r="C215" s="115">
        <v>7</v>
      </c>
      <c r="D215" s="80">
        <v>1350000</v>
      </c>
      <c r="E215" s="120">
        <f>C215*D215</f>
        <v>9450000</v>
      </c>
      <c r="G215" s="81">
        <v>42702</v>
      </c>
      <c r="H215" s="81">
        <v>42711</v>
      </c>
      <c r="I215" s="73" t="s">
        <v>189</v>
      </c>
      <c r="J215" s="73">
        <f t="shared" si="65"/>
        <v>10</v>
      </c>
      <c r="K215" s="73">
        <v>682</v>
      </c>
      <c r="L215" s="106">
        <f t="shared" si="62"/>
        <v>8866</v>
      </c>
      <c r="M215" s="75">
        <v>20000</v>
      </c>
      <c r="N215" s="75">
        <f t="shared" si="63"/>
        <v>1773200</v>
      </c>
      <c r="O215" s="76"/>
    </row>
    <row r="216" spans="1:15" ht="18.75" customHeight="1">
      <c r="A216" s="77">
        <f t="shared" si="64"/>
        <v>9</v>
      </c>
      <c r="B216" s="78" t="s">
        <v>84</v>
      </c>
      <c r="C216" s="115">
        <v>12</v>
      </c>
      <c r="D216" s="80">
        <v>2500000</v>
      </c>
      <c r="E216" s="120">
        <f t="shared" ref="E216" si="67">C216*D216</f>
        <v>30000000</v>
      </c>
      <c r="G216" s="81">
        <v>42702</v>
      </c>
      <c r="H216" s="81">
        <v>42711</v>
      </c>
      <c r="I216" s="73" t="s">
        <v>126</v>
      </c>
      <c r="J216" s="73">
        <f t="shared" si="65"/>
        <v>10</v>
      </c>
      <c r="K216" s="73">
        <v>894</v>
      </c>
      <c r="L216" s="106">
        <f t="shared" si="62"/>
        <v>11622</v>
      </c>
      <c r="M216" s="75">
        <v>20000</v>
      </c>
      <c r="N216" s="75">
        <f t="shared" si="63"/>
        <v>2324400</v>
      </c>
      <c r="O216" s="76"/>
    </row>
    <row r="217" spans="1:15" ht="18.75" customHeight="1">
      <c r="A217" s="77">
        <f t="shared" si="64"/>
        <v>10</v>
      </c>
      <c r="B217" s="78" t="s">
        <v>50</v>
      </c>
      <c r="C217" s="115">
        <v>184</v>
      </c>
      <c r="D217" s="80">
        <v>50000</v>
      </c>
      <c r="E217" s="120">
        <f>C217*D217</f>
        <v>9200000</v>
      </c>
      <c r="G217" s="81">
        <v>42703</v>
      </c>
      <c r="H217" s="81">
        <v>42711</v>
      </c>
      <c r="I217" s="73" t="s">
        <v>90</v>
      </c>
      <c r="J217" s="73">
        <f t="shared" si="65"/>
        <v>9</v>
      </c>
      <c r="K217" s="73">
        <v>445</v>
      </c>
      <c r="L217" s="106">
        <f t="shared" si="62"/>
        <v>5785</v>
      </c>
      <c r="M217" s="75">
        <v>20000</v>
      </c>
      <c r="N217" s="75">
        <f t="shared" si="63"/>
        <v>1041300</v>
      </c>
      <c r="O217" s="76"/>
    </row>
    <row r="218" spans="1:15" ht="18.75" customHeight="1">
      <c r="A218" s="77">
        <f t="shared" si="64"/>
        <v>11</v>
      </c>
      <c r="B218" s="78" t="s">
        <v>51</v>
      </c>
      <c r="C218" s="115"/>
      <c r="D218" s="80"/>
      <c r="E218" s="120">
        <f>N222</f>
        <v>10369840</v>
      </c>
      <c r="G218" s="81">
        <v>42703</v>
      </c>
      <c r="H218" s="81">
        <v>42711</v>
      </c>
      <c r="I218" s="73" t="s">
        <v>191</v>
      </c>
      <c r="J218" s="73">
        <f t="shared" si="65"/>
        <v>9</v>
      </c>
      <c r="K218" s="73">
        <f>372-161</f>
        <v>211</v>
      </c>
      <c r="L218" s="106">
        <f t="shared" si="62"/>
        <v>2743</v>
      </c>
      <c r="M218" s="75">
        <v>20000</v>
      </c>
      <c r="N218" s="75">
        <f t="shared" si="63"/>
        <v>493740</v>
      </c>
      <c r="O218" s="76"/>
    </row>
    <row r="219" spans="1:15" ht="18.75" customHeight="1">
      <c r="A219" s="77"/>
      <c r="B219" s="78"/>
      <c r="C219" s="115"/>
      <c r="D219" s="80"/>
      <c r="E219" s="120"/>
      <c r="G219" s="81">
        <v>42716</v>
      </c>
      <c r="H219" s="81">
        <v>42716</v>
      </c>
      <c r="I219" s="73"/>
      <c r="J219" s="73"/>
      <c r="K219" s="73">
        <v>2000</v>
      </c>
      <c r="L219" s="106">
        <f t="shared" ref="L219:L220" si="68">K219*13</f>
        <v>26000</v>
      </c>
      <c r="M219" s="75">
        <v>20000</v>
      </c>
      <c r="N219" s="75" t="str">
        <f t="shared" si="63"/>
        <v/>
      </c>
      <c r="O219" s="76"/>
    </row>
    <row r="220" spans="1:15" ht="18.75" customHeight="1">
      <c r="A220" s="77"/>
      <c r="B220" s="78"/>
      <c r="C220" s="115"/>
      <c r="D220" s="80"/>
      <c r="E220" s="120"/>
      <c r="G220" s="81">
        <v>42716</v>
      </c>
      <c r="H220" s="81">
        <v>42716</v>
      </c>
      <c r="I220" s="73"/>
      <c r="J220" s="73"/>
      <c r="K220" s="73">
        <v>2000</v>
      </c>
      <c r="L220" s="106">
        <f t="shared" si="68"/>
        <v>26000</v>
      </c>
      <c r="M220" s="75">
        <v>20000</v>
      </c>
      <c r="N220" s="75" t="str">
        <f t="shared" si="63"/>
        <v/>
      </c>
      <c r="O220" s="76"/>
    </row>
    <row r="221" spans="1:15" ht="7.5" customHeight="1">
      <c r="A221" s="77"/>
      <c r="B221" s="78"/>
      <c r="C221" s="115"/>
      <c r="D221" s="80"/>
      <c r="E221" s="120"/>
      <c r="G221" s="83"/>
      <c r="H221" s="83"/>
      <c r="I221" s="84"/>
      <c r="J221" s="84"/>
      <c r="K221" s="84"/>
      <c r="L221" s="85"/>
      <c r="M221" s="86"/>
      <c r="N221" s="86"/>
    </row>
    <row r="222" spans="1:15" ht="18.75" customHeight="1">
      <c r="A222" s="87"/>
      <c r="B222" s="87" t="s">
        <v>53</v>
      </c>
      <c r="C222" s="116"/>
      <c r="D222" s="89"/>
      <c r="E222" s="91">
        <f>SUM(E208:E221)</f>
        <v>676708340</v>
      </c>
      <c r="F222" s="21"/>
      <c r="G222" s="90"/>
      <c r="H222" s="90"/>
      <c r="I222" s="90" t="s">
        <v>53</v>
      </c>
      <c r="J222" s="90"/>
      <c r="K222" s="107">
        <f>SUM(K208:K221)</f>
        <v>14135</v>
      </c>
      <c r="L222" s="107">
        <f>SUM(L208:L221)</f>
        <v>183755</v>
      </c>
      <c r="M222" s="107"/>
      <c r="N222" s="91">
        <f>SUM(N208:N221)</f>
        <v>10369840</v>
      </c>
    </row>
    <row r="223" spans="1:15" ht="7.5" customHeight="1"/>
    <row r="224" spans="1:15" s="20" customFormat="1">
      <c r="A224" s="22"/>
      <c r="B224" s="22"/>
      <c r="C224" s="117"/>
      <c r="D224" s="24" t="s">
        <v>54</v>
      </c>
      <c r="E224" s="121">
        <f>E222/C208</f>
        <v>1850.1683914095502</v>
      </c>
      <c r="F224" s="22"/>
    </row>
    <row r="226" spans="1:9" ht="31.5" customHeight="1">
      <c r="A226" s="90" t="s">
        <v>1</v>
      </c>
      <c r="B226" s="171" t="s">
        <v>26</v>
      </c>
      <c r="C226" s="124" t="s">
        <v>55</v>
      </c>
      <c r="D226" s="125" t="s">
        <v>56</v>
      </c>
      <c r="E226" s="125" t="s">
        <v>12</v>
      </c>
      <c r="F226" s="237" t="s">
        <v>122</v>
      </c>
      <c r="G226" s="238"/>
      <c r="H226" s="239"/>
      <c r="I226" s="125" t="s">
        <v>57</v>
      </c>
    </row>
    <row r="227" spans="1:9">
      <c r="A227" s="77">
        <v>1</v>
      </c>
      <c r="B227" s="78" t="s">
        <v>230</v>
      </c>
      <c r="C227" s="115">
        <v>291188</v>
      </c>
      <c r="D227" s="80">
        <v>22620</v>
      </c>
      <c r="E227" s="80">
        <f>C227*D227</f>
        <v>6586672560</v>
      </c>
      <c r="F227" s="240"/>
      <c r="G227" s="241"/>
      <c r="H227" s="242"/>
      <c r="I227" s="80"/>
    </row>
    <row r="228" spans="1:9">
      <c r="A228" s="77">
        <v>2</v>
      </c>
      <c r="B228" s="78" t="s">
        <v>128</v>
      </c>
      <c r="C228" s="115"/>
      <c r="D228" s="80"/>
      <c r="E228" s="80"/>
      <c r="F228" s="240">
        <f>1825573*2</f>
        <v>3651146</v>
      </c>
      <c r="G228" s="241"/>
      <c r="H228" s="242"/>
      <c r="I228" s="80"/>
    </row>
    <row r="229" spans="1:9">
      <c r="A229" s="77">
        <v>3</v>
      </c>
      <c r="B229" s="78" t="s">
        <v>231</v>
      </c>
      <c r="C229" s="115"/>
      <c r="D229" s="80"/>
      <c r="E229" s="80"/>
      <c r="F229" s="168"/>
      <c r="G229" s="169"/>
      <c r="H229" s="170"/>
      <c r="I229" s="80">
        <f>E222</f>
        <v>676708340</v>
      </c>
    </row>
    <row r="230" spans="1:9">
      <c r="A230" s="77">
        <v>4</v>
      </c>
      <c r="B230" s="78" t="s">
        <v>147</v>
      </c>
      <c r="C230" s="80"/>
      <c r="D230" s="80"/>
      <c r="E230" s="80">
        <f t="shared" ref="E230:E231" si="69">C230*D230</f>
        <v>0</v>
      </c>
      <c r="F230" s="240">
        <f>ROUND(I230*0.033%,0)</f>
        <v>476190</v>
      </c>
      <c r="G230" s="241"/>
      <c r="H230" s="242"/>
      <c r="I230" s="80">
        <v>1443000000</v>
      </c>
    </row>
    <row r="231" spans="1:9">
      <c r="A231" s="77">
        <v>5</v>
      </c>
      <c r="B231" s="145" t="s">
        <v>157</v>
      </c>
      <c r="C231" s="79"/>
      <c r="D231" s="80"/>
      <c r="E231" s="80">
        <f t="shared" si="69"/>
        <v>0</v>
      </c>
      <c r="F231" s="240">
        <f>ROUND(I231*0.033%,0)</f>
        <v>321557</v>
      </c>
      <c r="G231" s="241"/>
      <c r="H231" s="242"/>
      <c r="I231" s="80">
        <v>974415000</v>
      </c>
    </row>
    <row r="232" spans="1:9">
      <c r="A232" s="77">
        <v>6</v>
      </c>
      <c r="B232" s="145" t="s">
        <v>154</v>
      </c>
      <c r="C232" s="79"/>
      <c r="D232" s="80"/>
      <c r="E232" s="80"/>
      <c r="F232" s="240">
        <f>ROUND(I232*0.033%,0)</f>
        <v>155513</v>
      </c>
      <c r="G232" s="241"/>
      <c r="H232" s="242"/>
      <c r="I232" s="80">
        <v>471250000</v>
      </c>
    </row>
    <row r="233" spans="1:9">
      <c r="A233" s="77">
        <v>6</v>
      </c>
      <c r="B233" s="145" t="s">
        <v>232</v>
      </c>
      <c r="C233" s="79"/>
      <c r="D233" s="80"/>
      <c r="E233" s="80"/>
      <c r="F233" s="240">
        <f>ROUND(I233*0.033%,0)</f>
        <v>97190</v>
      </c>
      <c r="G233" s="241"/>
      <c r="H233" s="242"/>
      <c r="I233" s="80">
        <v>294515000</v>
      </c>
    </row>
    <row r="234" spans="1:9">
      <c r="A234" s="77">
        <v>7</v>
      </c>
      <c r="B234" s="78" t="s">
        <v>61</v>
      </c>
      <c r="C234" s="79"/>
      <c r="D234" s="80"/>
      <c r="E234" s="80">
        <f>C234*D234</f>
        <v>0</v>
      </c>
      <c r="F234" s="240">
        <f>ROUND(I234*0.033%,0)</f>
        <v>897991</v>
      </c>
      <c r="G234" s="241"/>
      <c r="H234" s="242"/>
      <c r="I234" s="80">
        <v>2721185000</v>
      </c>
    </row>
    <row r="235" spans="1:9" ht="6" customHeight="1">
      <c r="A235" s="131"/>
      <c r="B235" s="134"/>
      <c r="C235" s="135"/>
      <c r="D235" s="132"/>
      <c r="E235" s="132"/>
      <c r="F235" s="243"/>
      <c r="G235" s="244"/>
      <c r="H235" s="245"/>
      <c r="I235" s="132"/>
    </row>
    <row r="236" spans="1:9">
      <c r="A236" s="87"/>
      <c r="B236" s="87" t="s">
        <v>62</v>
      </c>
      <c r="C236" s="88"/>
      <c r="D236" s="89"/>
      <c r="E236" s="89">
        <f>SUM(E227:E235)</f>
        <v>6586672560</v>
      </c>
      <c r="F236" s="246">
        <f>SUM(F227:H235)</f>
        <v>5599587</v>
      </c>
      <c r="G236" s="247"/>
      <c r="H236" s="248"/>
      <c r="I236" s="89">
        <f>SUM(I227:I235)</f>
        <v>6581073340</v>
      </c>
    </row>
    <row r="237" spans="1:9">
      <c r="A237" s="128"/>
      <c r="B237" s="128"/>
      <c r="C237" s="129"/>
      <c r="D237" s="130"/>
      <c r="E237" s="130"/>
      <c r="F237" s="194"/>
      <c r="G237" s="194"/>
      <c r="H237" s="194"/>
      <c r="I237" s="130"/>
    </row>
    <row r="238" spans="1:9">
      <c r="A238" s="128"/>
      <c r="B238" s="128"/>
      <c r="C238" s="129"/>
      <c r="D238" s="130"/>
      <c r="E238" s="130"/>
      <c r="F238" s="194"/>
      <c r="G238" s="194"/>
      <c r="H238" s="194"/>
      <c r="I238" s="130"/>
    </row>
    <row r="239" spans="1:9">
      <c r="A239" s="128"/>
      <c r="B239" s="128"/>
      <c r="C239" s="129"/>
      <c r="D239" s="130"/>
      <c r="E239" s="130"/>
      <c r="F239" s="194"/>
      <c r="G239" s="194"/>
      <c r="H239" s="194"/>
      <c r="I239" s="130"/>
    </row>
    <row r="240" spans="1:9" ht="43.5" customHeight="1">
      <c r="A240" s="236" t="s">
        <v>282</v>
      </c>
      <c r="B240" s="236"/>
      <c r="C240" s="236"/>
      <c r="D240" s="236"/>
      <c r="E240" s="236"/>
      <c r="F240" s="105"/>
      <c r="G240" s="19"/>
      <c r="H240" s="19"/>
    </row>
    <row r="241" spans="1:15" s="42" customFormat="1" ht="17.25" customHeight="1">
      <c r="B241" s="57"/>
      <c r="C241" s="112"/>
      <c r="D241" s="104"/>
      <c r="E241" s="118"/>
      <c r="F241" s="61"/>
      <c r="G241" s="62" t="s">
        <v>34</v>
      </c>
      <c r="I241" s="109"/>
    </row>
    <row r="242" spans="1:15" s="102" customFormat="1" ht="36.75" customHeight="1">
      <c r="A242" s="100" t="s">
        <v>1</v>
      </c>
      <c r="B242" s="100" t="s">
        <v>26</v>
      </c>
      <c r="C242" s="113" t="s">
        <v>10</v>
      </c>
      <c r="D242" s="101" t="s">
        <v>11</v>
      </c>
      <c r="E242" s="66" t="s">
        <v>12</v>
      </c>
      <c r="G242" s="64" t="s">
        <v>35</v>
      </c>
      <c r="H242" s="64" t="s">
        <v>36</v>
      </c>
      <c r="I242" s="64" t="s">
        <v>108</v>
      </c>
      <c r="J242" s="64" t="s">
        <v>37</v>
      </c>
      <c r="K242" s="64" t="s">
        <v>88</v>
      </c>
      <c r="L242" s="63" t="s">
        <v>38</v>
      </c>
      <c r="M242" s="66" t="s">
        <v>111</v>
      </c>
      <c r="N242" s="66" t="s">
        <v>12</v>
      </c>
    </row>
    <row r="243" spans="1:15" ht="18.75" customHeight="1">
      <c r="A243" s="77">
        <f>ROW()-242</f>
        <v>1</v>
      </c>
      <c r="B243" s="68" t="s">
        <v>40</v>
      </c>
      <c r="C243" s="114">
        <v>314340</v>
      </c>
      <c r="D243" s="70">
        <v>300</v>
      </c>
      <c r="E243" s="119">
        <f t="shared" ref="E243:E246" si="70">C243*D243</f>
        <v>94302000</v>
      </c>
      <c r="G243" s="81">
        <v>42703</v>
      </c>
      <c r="H243" s="81">
        <v>42719</v>
      </c>
      <c r="I243" s="73" t="s">
        <v>191</v>
      </c>
      <c r="J243" s="73">
        <f t="shared" ref="J243:J255" si="71">IF(H243&lt;&gt;"",H243-G243+1,"")</f>
        <v>17</v>
      </c>
      <c r="K243" s="73">
        <v>161</v>
      </c>
      <c r="L243" s="106">
        <f t="shared" ref="L243:L256" si="72">K243*13</f>
        <v>2093</v>
      </c>
      <c r="M243" s="75">
        <v>20000</v>
      </c>
      <c r="N243" s="75">
        <f t="shared" ref="N243:N256" si="73">IF(J243&lt;&gt;"",M243*L243*J243/1000,"")</f>
        <v>711620</v>
      </c>
      <c r="O243" s="76"/>
    </row>
    <row r="244" spans="1:15" ht="18.75" customHeight="1">
      <c r="A244" s="77">
        <f t="shared" ref="A244:A253" si="74">ROW()-242</f>
        <v>2</v>
      </c>
      <c r="B244" s="78" t="s">
        <v>42</v>
      </c>
      <c r="C244" s="115">
        <v>12</v>
      </c>
      <c r="D244" s="80">
        <v>2000000</v>
      </c>
      <c r="E244" s="120">
        <f t="shared" si="70"/>
        <v>24000000</v>
      </c>
      <c r="G244" s="81">
        <v>42703</v>
      </c>
      <c r="H244" s="81">
        <v>42719</v>
      </c>
      <c r="I244" s="73" t="s">
        <v>95</v>
      </c>
      <c r="J244" s="73">
        <f t="shared" si="71"/>
        <v>17</v>
      </c>
      <c r="K244" s="73">
        <v>550</v>
      </c>
      <c r="L244" s="106">
        <f t="shared" si="72"/>
        <v>7150</v>
      </c>
      <c r="M244" s="75">
        <v>20000</v>
      </c>
      <c r="N244" s="75">
        <f t="shared" si="73"/>
        <v>2431000</v>
      </c>
      <c r="O244" s="76"/>
    </row>
    <row r="245" spans="1:15" ht="18.75" customHeight="1">
      <c r="A245" s="77">
        <f t="shared" si="74"/>
        <v>3</v>
      </c>
      <c r="B245" s="78" t="s">
        <v>43</v>
      </c>
      <c r="C245" s="115">
        <v>12</v>
      </c>
      <c r="D245" s="80">
        <v>2000000</v>
      </c>
      <c r="E245" s="120">
        <f t="shared" si="70"/>
        <v>24000000</v>
      </c>
      <c r="G245" s="81">
        <v>42703</v>
      </c>
      <c r="H245" s="81">
        <v>42719</v>
      </c>
      <c r="I245" s="73" t="s">
        <v>131</v>
      </c>
      <c r="J245" s="73">
        <f t="shared" si="71"/>
        <v>17</v>
      </c>
      <c r="K245" s="73">
        <v>683</v>
      </c>
      <c r="L245" s="106">
        <f t="shared" si="72"/>
        <v>8879</v>
      </c>
      <c r="M245" s="75">
        <v>20000</v>
      </c>
      <c r="N245" s="75">
        <f t="shared" si="73"/>
        <v>3018860</v>
      </c>
      <c r="O245" s="76"/>
    </row>
    <row r="246" spans="1:15" ht="18.75" customHeight="1">
      <c r="A246" s="77">
        <f t="shared" si="74"/>
        <v>4</v>
      </c>
      <c r="B246" s="78" t="s">
        <v>44</v>
      </c>
      <c r="C246" s="115">
        <v>12</v>
      </c>
      <c r="D246" s="80">
        <v>600000</v>
      </c>
      <c r="E246" s="120">
        <f t="shared" si="70"/>
        <v>7200000</v>
      </c>
      <c r="G246" s="81">
        <v>42710</v>
      </c>
      <c r="H246" s="81">
        <v>42719</v>
      </c>
      <c r="I246" s="73" t="s">
        <v>204</v>
      </c>
      <c r="J246" s="73">
        <f t="shared" si="71"/>
        <v>10</v>
      </c>
      <c r="K246" s="73">
        <v>2</v>
      </c>
      <c r="L246" s="106">
        <f t="shared" si="72"/>
        <v>26</v>
      </c>
      <c r="M246" s="75">
        <v>20000</v>
      </c>
      <c r="N246" s="75">
        <f t="shared" si="73"/>
        <v>5200</v>
      </c>
      <c r="O246" s="76"/>
    </row>
    <row r="247" spans="1:15" ht="18.75" customHeight="1">
      <c r="A247" s="77">
        <f t="shared" si="74"/>
        <v>5</v>
      </c>
      <c r="B247" s="78" t="s">
        <v>80</v>
      </c>
      <c r="C247" s="115">
        <v>12</v>
      </c>
      <c r="D247" s="80">
        <v>16725000</v>
      </c>
      <c r="E247" s="120">
        <f>C247*D247</f>
        <v>200700000</v>
      </c>
      <c r="G247" s="81">
        <v>42711</v>
      </c>
      <c r="H247" s="81">
        <v>42719</v>
      </c>
      <c r="I247" s="73" t="s">
        <v>208</v>
      </c>
      <c r="J247" s="73">
        <f t="shared" si="71"/>
        <v>9</v>
      </c>
      <c r="K247" s="73">
        <v>322</v>
      </c>
      <c r="L247" s="106">
        <f t="shared" si="72"/>
        <v>4186</v>
      </c>
      <c r="M247" s="75">
        <v>20000</v>
      </c>
      <c r="N247" s="75">
        <f t="shared" si="73"/>
        <v>753480</v>
      </c>
      <c r="O247" s="76"/>
    </row>
    <row r="248" spans="1:15" ht="18.75" customHeight="1">
      <c r="A248" s="77">
        <f t="shared" si="74"/>
        <v>6</v>
      </c>
      <c r="B248" s="78" t="s">
        <v>46</v>
      </c>
      <c r="C248" s="115">
        <v>12</v>
      </c>
      <c r="D248" s="80">
        <v>9358000</v>
      </c>
      <c r="E248" s="120">
        <f t="shared" ref="E248:E249" si="75">C248*D248</f>
        <v>112296000</v>
      </c>
      <c r="G248" s="81">
        <v>42716</v>
      </c>
      <c r="H248" s="81">
        <v>42719</v>
      </c>
      <c r="I248" s="73" t="s">
        <v>286</v>
      </c>
      <c r="J248" s="73">
        <f t="shared" si="71"/>
        <v>4</v>
      </c>
      <c r="K248" s="73">
        <v>450</v>
      </c>
      <c r="L248" s="106">
        <f t="shared" si="72"/>
        <v>5850</v>
      </c>
      <c r="M248" s="75">
        <v>20000</v>
      </c>
      <c r="N248" s="75">
        <f t="shared" si="73"/>
        <v>468000</v>
      </c>
      <c r="O248" s="76"/>
    </row>
    <row r="249" spans="1:15" ht="18.75" customHeight="1">
      <c r="A249" s="77">
        <f t="shared" si="74"/>
        <v>7</v>
      </c>
      <c r="B249" s="78" t="s">
        <v>47</v>
      </c>
      <c r="C249" s="115">
        <v>12</v>
      </c>
      <c r="D249" s="80">
        <v>5600000</v>
      </c>
      <c r="E249" s="120">
        <f t="shared" si="75"/>
        <v>67200000</v>
      </c>
      <c r="G249" s="81">
        <v>42716</v>
      </c>
      <c r="H249" s="81">
        <v>42719</v>
      </c>
      <c r="I249" s="73" t="s">
        <v>126</v>
      </c>
      <c r="J249" s="73">
        <f t="shared" si="71"/>
        <v>4</v>
      </c>
      <c r="K249" s="73">
        <v>900</v>
      </c>
      <c r="L249" s="106">
        <f t="shared" si="72"/>
        <v>11700</v>
      </c>
      <c r="M249" s="75">
        <v>20000</v>
      </c>
      <c r="N249" s="75">
        <f t="shared" si="73"/>
        <v>936000</v>
      </c>
      <c r="O249" s="76"/>
    </row>
    <row r="250" spans="1:15" ht="18.75" customHeight="1">
      <c r="A250" s="77">
        <f t="shared" si="74"/>
        <v>8</v>
      </c>
      <c r="B250" s="78" t="s">
        <v>49</v>
      </c>
      <c r="C250" s="115">
        <v>6</v>
      </c>
      <c r="D250" s="80">
        <v>1350000</v>
      </c>
      <c r="E250" s="120">
        <f>C250*D250</f>
        <v>8100000</v>
      </c>
      <c r="G250" s="81">
        <v>42716</v>
      </c>
      <c r="H250" s="81">
        <v>42719</v>
      </c>
      <c r="I250" s="73" t="s">
        <v>287</v>
      </c>
      <c r="J250" s="73">
        <f t="shared" si="71"/>
        <v>4</v>
      </c>
      <c r="K250" s="73">
        <v>660</v>
      </c>
      <c r="L250" s="106">
        <f t="shared" si="72"/>
        <v>8580</v>
      </c>
      <c r="M250" s="75">
        <v>20000</v>
      </c>
      <c r="N250" s="75">
        <f t="shared" si="73"/>
        <v>686400</v>
      </c>
      <c r="O250" s="76"/>
    </row>
    <row r="251" spans="1:15" ht="18.75" customHeight="1">
      <c r="A251" s="77">
        <f t="shared" si="74"/>
        <v>9</v>
      </c>
      <c r="B251" s="78" t="s">
        <v>84</v>
      </c>
      <c r="C251" s="115">
        <v>8</v>
      </c>
      <c r="D251" s="80">
        <v>2500000</v>
      </c>
      <c r="E251" s="120">
        <f t="shared" ref="E251" si="76">C251*D251</f>
        <v>20000000</v>
      </c>
      <c r="G251" s="81">
        <v>42716</v>
      </c>
      <c r="H251" s="81">
        <v>42719</v>
      </c>
      <c r="I251" s="73" t="s">
        <v>124</v>
      </c>
      <c r="J251" s="73">
        <f t="shared" ref="J251" si="77">IF(H251&lt;&gt;"",H251-G251+1,"")</f>
        <v>4</v>
      </c>
      <c r="K251" s="73">
        <v>272</v>
      </c>
      <c r="L251" s="106">
        <f t="shared" ref="L251" si="78">K251*13</f>
        <v>3536</v>
      </c>
      <c r="M251" s="75">
        <v>20000</v>
      </c>
      <c r="N251" s="75">
        <f t="shared" ref="N251" si="79">IF(J251&lt;&gt;"",M251*L251*J251/1000,"")</f>
        <v>282880</v>
      </c>
      <c r="O251" s="76"/>
    </row>
    <row r="252" spans="1:15" ht="18.75" customHeight="1">
      <c r="A252" s="77">
        <f t="shared" si="74"/>
        <v>10</v>
      </c>
      <c r="B252" s="78" t="s">
        <v>50</v>
      </c>
      <c r="C252" s="115">
        <v>105</v>
      </c>
      <c r="D252" s="80">
        <v>50000</v>
      </c>
      <c r="E252" s="120">
        <f>C252*D252</f>
        <v>5250000</v>
      </c>
      <c r="G252" s="81">
        <v>42716</v>
      </c>
      <c r="H252" s="81">
        <v>42723</v>
      </c>
      <c r="I252" s="73" t="s">
        <v>124</v>
      </c>
      <c r="J252" s="73">
        <f t="shared" si="71"/>
        <v>8</v>
      </c>
      <c r="K252" s="73">
        <f>834-K251</f>
        <v>562</v>
      </c>
      <c r="L252" s="106">
        <f t="shared" si="72"/>
        <v>7306</v>
      </c>
      <c r="M252" s="75">
        <v>20000</v>
      </c>
      <c r="N252" s="75">
        <f t="shared" si="73"/>
        <v>1168960</v>
      </c>
      <c r="O252" s="76"/>
    </row>
    <row r="253" spans="1:15" ht="18.75" customHeight="1">
      <c r="A253" s="77">
        <f t="shared" si="74"/>
        <v>11</v>
      </c>
      <c r="B253" s="78" t="s">
        <v>51</v>
      </c>
      <c r="C253" s="115"/>
      <c r="D253" s="80"/>
      <c r="E253" s="120">
        <f>N258</f>
        <v>12874420</v>
      </c>
      <c r="G253" s="81">
        <v>42717</v>
      </c>
      <c r="H253" s="81">
        <v>42723</v>
      </c>
      <c r="I253" s="73" t="s">
        <v>91</v>
      </c>
      <c r="J253" s="73">
        <f t="shared" si="71"/>
        <v>7</v>
      </c>
      <c r="K253" s="73">
        <v>469</v>
      </c>
      <c r="L253" s="106">
        <f t="shared" si="72"/>
        <v>6097</v>
      </c>
      <c r="M253" s="75">
        <v>20000</v>
      </c>
      <c r="N253" s="75">
        <f t="shared" si="73"/>
        <v>853580</v>
      </c>
      <c r="O253" s="76"/>
    </row>
    <row r="254" spans="1:15" ht="19.5" customHeight="1">
      <c r="A254" s="77"/>
      <c r="B254" s="78"/>
      <c r="C254" s="115"/>
      <c r="D254" s="80"/>
      <c r="E254" s="120"/>
      <c r="G254" s="81">
        <v>42718</v>
      </c>
      <c r="H254" s="81">
        <v>42723</v>
      </c>
      <c r="I254" s="73" t="s">
        <v>191</v>
      </c>
      <c r="J254" s="73">
        <f t="shared" si="71"/>
        <v>6</v>
      </c>
      <c r="K254" s="73">
        <v>625</v>
      </c>
      <c r="L254" s="106">
        <f t="shared" si="72"/>
        <v>8125</v>
      </c>
      <c r="M254" s="75">
        <v>20000</v>
      </c>
      <c r="N254" s="75">
        <f t="shared" si="73"/>
        <v>975000</v>
      </c>
      <c r="O254" s="76"/>
    </row>
    <row r="255" spans="1:15" ht="19.5" customHeight="1">
      <c r="A255" s="77"/>
      <c r="B255" s="78"/>
      <c r="C255" s="115"/>
      <c r="D255" s="80"/>
      <c r="E255" s="120"/>
      <c r="G255" s="81">
        <v>42718</v>
      </c>
      <c r="H255" s="81">
        <v>42723</v>
      </c>
      <c r="I255" s="73" t="s">
        <v>288</v>
      </c>
      <c r="J255" s="73">
        <f t="shared" si="71"/>
        <v>6</v>
      </c>
      <c r="K255" s="73">
        <f>394-20</f>
        <v>374</v>
      </c>
      <c r="L255" s="106">
        <f t="shared" si="72"/>
        <v>4862</v>
      </c>
      <c r="M255" s="75">
        <v>20000</v>
      </c>
      <c r="N255" s="75">
        <f t="shared" si="73"/>
        <v>583440</v>
      </c>
      <c r="O255" s="76"/>
    </row>
    <row r="256" spans="1:15" ht="19.5" customHeight="1">
      <c r="A256" s="77"/>
      <c r="B256" s="78"/>
      <c r="C256" s="115"/>
      <c r="D256" s="80"/>
      <c r="E256" s="120"/>
      <c r="G256" s="81">
        <v>42723</v>
      </c>
      <c r="H256" s="81">
        <v>42723</v>
      </c>
      <c r="I256" s="73" t="s">
        <v>289</v>
      </c>
      <c r="J256" s="73"/>
      <c r="K256" s="73">
        <v>2030</v>
      </c>
      <c r="L256" s="106">
        <f t="shared" si="72"/>
        <v>26390</v>
      </c>
      <c r="M256" s="75">
        <v>20000</v>
      </c>
      <c r="N256" s="75" t="str">
        <f t="shared" si="73"/>
        <v/>
      </c>
    </row>
    <row r="257" spans="1:14" ht="18.75" customHeight="1">
      <c r="A257" s="77"/>
      <c r="B257" s="78"/>
      <c r="C257" s="115"/>
      <c r="D257" s="80"/>
      <c r="E257" s="120"/>
      <c r="F257" s="21"/>
      <c r="G257" s="83"/>
      <c r="H257" s="83"/>
      <c r="I257" s="84"/>
      <c r="J257" s="84"/>
      <c r="K257" s="84"/>
      <c r="L257" s="85"/>
      <c r="M257" s="86"/>
      <c r="N257" s="86"/>
    </row>
    <row r="258" spans="1:14" ht="22.5" customHeight="1">
      <c r="A258" s="87"/>
      <c r="B258" s="87" t="s">
        <v>53</v>
      </c>
      <c r="C258" s="116"/>
      <c r="D258" s="89"/>
      <c r="E258" s="91">
        <f>SUM(E243:E257)</f>
        <v>575922420</v>
      </c>
      <c r="G258" s="90"/>
      <c r="H258" s="90"/>
      <c r="I258" s="90" t="s">
        <v>53</v>
      </c>
      <c r="J258" s="90"/>
      <c r="K258" s="107">
        <f>SUM(K243:K257)</f>
        <v>8060</v>
      </c>
      <c r="L258" s="107">
        <f>SUM(L243:L257)</f>
        <v>104780</v>
      </c>
      <c r="M258" s="107"/>
      <c r="N258" s="91">
        <f>SUM(N243:N257)</f>
        <v>12874420</v>
      </c>
    </row>
    <row r="259" spans="1:14" s="20" customFormat="1">
      <c r="A259" s="22"/>
      <c r="B259" s="22"/>
      <c r="C259" s="117"/>
      <c r="D259" s="24"/>
      <c r="E259" s="121"/>
      <c r="F259" s="22"/>
    </row>
    <row r="260" spans="1:14">
      <c r="D260" s="24" t="s">
        <v>54</v>
      </c>
      <c r="E260" s="121">
        <f>E258/C243</f>
        <v>1832.1639625882801</v>
      </c>
    </row>
    <row r="261" spans="1:14" ht="18" customHeight="1"/>
    <row r="262" spans="1:14" ht="31.5" customHeight="1">
      <c r="A262" s="90" t="s">
        <v>1</v>
      </c>
      <c r="B262" s="205" t="s">
        <v>26</v>
      </c>
      <c r="C262" s="124" t="s">
        <v>55</v>
      </c>
      <c r="D262" s="125" t="s">
        <v>56</v>
      </c>
      <c r="E262" s="125" t="s">
        <v>12</v>
      </c>
      <c r="F262" s="237" t="s">
        <v>122</v>
      </c>
      <c r="G262" s="238"/>
      <c r="H262" s="239"/>
      <c r="I262" s="125" t="s">
        <v>57</v>
      </c>
    </row>
    <row r="263" spans="1:14">
      <c r="A263" s="77">
        <v>1</v>
      </c>
      <c r="B263" s="78" t="s">
        <v>230</v>
      </c>
      <c r="C263" s="115">
        <v>291083</v>
      </c>
      <c r="D263" s="80">
        <v>22620</v>
      </c>
      <c r="E263" s="80">
        <f>C263*D263</f>
        <v>6584297460</v>
      </c>
      <c r="F263" s="240"/>
      <c r="G263" s="241"/>
      <c r="H263" s="242"/>
      <c r="I263" s="80"/>
    </row>
    <row r="264" spans="1:14">
      <c r="A264" s="77">
        <v>2</v>
      </c>
      <c r="B264" s="78" t="s">
        <v>283</v>
      </c>
      <c r="C264" s="115"/>
      <c r="D264" s="80"/>
      <c r="E264" s="80"/>
      <c r="F264" s="240"/>
      <c r="G264" s="241"/>
      <c r="H264" s="242"/>
      <c r="I264" s="80">
        <f>E258</f>
        <v>575922420</v>
      </c>
    </row>
    <row r="265" spans="1:14">
      <c r="A265" s="77">
        <v>3</v>
      </c>
      <c r="B265" s="78" t="s">
        <v>147</v>
      </c>
      <c r="C265" s="115"/>
      <c r="D265" s="80"/>
      <c r="E265" s="80"/>
      <c r="F265" s="240">
        <f>ROUND(I265*0.055%,0)</f>
        <v>577777</v>
      </c>
      <c r="G265" s="241"/>
      <c r="H265" s="242"/>
      <c r="I265" s="80">
        <v>1050504000</v>
      </c>
    </row>
    <row r="266" spans="1:14">
      <c r="A266" s="77">
        <v>4</v>
      </c>
      <c r="B266" s="145" t="s">
        <v>154</v>
      </c>
      <c r="C266" s="80"/>
      <c r="D266" s="80"/>
      <c r="E266" s="80">
        <f t="shared" ref="E266:E267" si="80">C266*D266</f>
        <v>0</v>
      </c>
      <c r="F266" s="240">
        <f>ROUND(I266*0.033%,0)</f>
        <v>158498</v>
      </c>
      <c r="G266" s="241"/>
      <c r="H266" s="242"/>
      <c r="I266" s="80">
        <v>480298000</v>
      </c>
    </row>
    <row r="267" spans="1:14">
      <c r="A267" s="77">
        <v>5</v>
      </c>
      <c r="B267" s="145" t="s">
        <v>284</v>
      </c>
      <c r="C267" s="79"/>
      <c r="D267" s="80"/>
      <c r="E267" s="80">
        <f t="shared" si="80"/>
        <v>0</v>
      </c>
      <c r="F267" s="240">
        <f>ROUND(I267*0.033%,0)</f>
        <v>221450</v>
      </c>
      <c r="G267" s="241"/>
      <c r="H267" s="242"/>
      <c r="I267" s="80">
        <v>671060000</v>
      </c>
    </row>
    <row r="268" spans="1:14">
      <c r="A268" s="77">
        <v>6</v>
      </c>
      <c r="B268" s="145" t="s">
        <v>60</v>
      </c>
      <c r="C268" s="79"/>
      <c r="D268" s="80"/>
      <c r="E268" s="80"/>
      <c r="F268" s="240">
        <f>ROUND(I268*0.033%,0)</f>
        <v>701499</v>
      </c>
      <c r="G268" s="241"/>
      <c r="H268" s="242"/>
      <c r="I268" s="80">
        <v>2125756000</v>
      </c>
    </row>
    <row r="269" spans="1:14">
      <c r="A269" s="77">
        <v>7</v>
      </c>
      <c r="B269" s="145" t="s">
        <v>285</v>
      </c>
      <c r="C269" s="79"/>
      <c r="D269" s="80"/>
      <c r="E269" s="80"/>
      <c r="F269" s="240">
        <f>ROUND(I269*0.033%,0)</f>
        <v>141021</v>
      </c>
      <c r="G269" s="241"/>
      <c r="H269" s="242"/>
      <c r="I269" s="80">
        <v>427336000</v>
      </c>
    </row>
    <row r="270" spans="1:14">
      <c r="A270" s="77">
        <v>8</v>
      </c>
      <c r="B270" s="78" t="s">
        <v>61</v>
      </c>
      <c r="C270" s="79"/>
      <c r="D270" s="80"/>
      <c r="E270" s="80">
        <f>C270*D270</f>
        <v>0</v>
      </c>
      <c r="F270" s="240">
        <f>ROUND(I270*0.033%,0)</f>
        <v>412914</v>
      </c>
      <c r="G270" s="241"/>
      <c r="H270" s="242"/>
      <c r="I270" s="80">
        <v>1251254000</v>
      </c>
    </row>
    <row r="271" spans="1:14" ht="6" customHeight="1">
      <c r="A271" s="77"/>
      <c r="B271" s="134"/>
      <c r="C271" s="135"/>
      <c r="D271" s="132"/>
      <c r="E271" s="132"/>
      <c r="F271" s="243"/>
      <c r="G271" s="244"/>
      <c r="H271" s="245"/>
      <c r="I271" s="132"/>
    </row>
    <row r="272" spans="1:14">
      <c r="A272" s="87"/>
      <c r="B272" s="87" t="s">
        <v>62</v>
      </c>
      <c r="C272" s="88"/>
      <c r="D272" s="89"/>
      <c r="E272" s="89">
        <f>SUM(E263:E271)</f>
        <v>6584297460</v>
      </c>
      <c r="F272" s="246">
        <f>SUM(F263:H271)</f>
        <v>2213159</v>
      </c>
      <c r="G272" s="247"/>
      <c r="H272" s="248"/>
      <c r="I272" s="89">
        <f>SUM(I263:I271)</f>
        <v>6582130420</v>
      </c>
    </row>
    <row r="273" spans="1:11">
      <c r="A273" s="128"/>
      <c r="B273" s="128"/>
      <c r="C273" s="129"/>
      <c r="D273" s="130"/>
      <c r="E273" s="130"/>
      <c r="F273" s="194"/>
      <c r="G273" s="194"/>
      <c r="H273" s="194"/>
      <c r="I273" s="130"/>
    </row>
    <row r="274" spans="1:11" ht="31.5" customHeight="1">
      <c r="A274" s="90" t="s">
        <v>1</v>
      </c>
      <c r="B274" s="208" t="s">
        <v>26</v>
      </c>
      <c r="C274" s="124" t="s">
        <v>55</v>
      </c>
      <c r="D274" s="125" t="s">
        <v>56</v>
      </c>
      <c r="E274" s="125" t="s">
        <v>12</v>
      </c>
      <c r="F274" s="237" t="s">
        <v>122</v>
      </c>
      <c r="G274" s="238"/>
      <c r="H274" s="239"/>
      <c r="I274" s="125" t="s">
        <v>57</v>
      </c>
    </row>
    <row r="275" spans="1:11">
      <c r="A275" s="77">
        <v>1</v>
      </c>
      <c r="B275" s="78" t="s">
        <v>294</v>
      </c>
      <c r="C275" s="115">
        <v>281723</v>
      </c>
      <c r="D275" s="80">
        <v>22650</v>
      </c>
      <c r="E275" s="80">
        <f>C275*D275</f>
        <v>6381025950</v>
      </c>
      <c r="F275" s="240"/>
      <c r="G275" s="241"/>
      <c r="H275" s="242"/>
      <c r="I275" s="80"/>
    </row>
    <row r="276" spans="1:11">
      <c r="A276" s="77">
        <v>2</v>
      </c>
      <c r="B276" s="78" t="s">
        <v>147</v>
      </c>
      <c r="C276" s="115"/>
      <c r="D276" s="80"/>
      <c r="E276" s="80"/>
      <c r="F276" s="240">
        <f>ROUND(I276*0.055%,0)</f>
        <v>812812</v>
      </c>
      <c r="G276" s="241"/>
      <c r="H276" s="242"/>
      <c r="I276" s="80">
        <v>1477840000</v>
      </c>
    </row>
    <row r="277" spans="1:11">
      <c r="A277" s="77">
        <v>3</v>
      </c>
      <c r="B277" s="145" t="s">
        <v>157</v>
      </c>
      <c r="C277" s="80"/>
      <c r="D277" s="80"/>
      <c r="E277" s="80">
        <f t="shared" ref="E277:E278" si="81">C277*D277</f>
        <v>0</v>
      </c>
      <c r="F277" s="240">
        <f>ROUND(I277*0.055%,0)</f>
        <v>482346</v>
      </c>
      <c r="G277" s="241"/>
      <c r="H277" s="242"/>
      <c r="I277" s="80">
        <v>876993000</v>
      </c>
    </row>
    <row r="278" spans="1:11">
      <c r="A278" s="77">
        <v>4</v>
      </c>
      <c r="B278" s="145" t="s">
        <v>136</v>
      </c>
      <c r="C278" s="79"/>
      <c r="D278" s="80"/>
      <c r="E278" s="80">
        <f t="shared" si="81"/>
        <v>0</v>
      </c>
      <c r="F278" s="240">
        <f>ROUND(I278*0.033%,0)</f>
        <v>984083</v>
      </c>
      <c r="G278" s="241"/>
      <c r="H278" s="242"/>
      <c r="I278" s="80">
        <v>2982070000</v>
      </c>
    </row>
    <row r="279" spans="1:11">
      <c r="A279" s="77">
        <v>5</v>
      </c>
      <c r="B279" s="78" t="s">
        <v>61</v>
      </c>
      <c r="C279" s="79"/>
      <c r="D279" s="80"/>
      <c r="E279" s="80">
        <f>C279*D279</f>
        <v>0</v>
      </c>
      <c r="F279" s="240">
        <f>ROUND(I279*0.033%,0)</f>
        <v>343695</v>
      </c>
      <c r="G279" s="241"/>
      <c r="H279" s="242"/>
      <c r="I279" s="80">
        <v>1041500000</v>
      </c>
    </row>
    <row r="280" spans="1:11" ht="6" customHeight="1">
      <c r="A280" s="77"/>
      <c r="B280" s="134"/>
      <c r="C280" s="135"/>
      <c r="D280" s="132"/>
      <c r="E280" s="132"/>
      <c r="F280" s="243"/>
      <c r="G280" s="244"/>
      <c r="H280" s="245"/>
      <c r="I280" s="132"/>
    </row>
    <row r="281" spans="1:11">
      <c r="A281" s="87"/>
      <c r="B281" s="87" t="s">
        <v>62</v>
      </c>
      <c r="C281" s="88"/>
      <c r="D281" s="89"/>
      <c r="E281" s="89">
        <f>SUM(E275:E280)</f>
        <v>6381025950</v>
      </c>
      <c r="F281" s="246">
        <f>SUM(F275:H280)</f>
        <v>2622936</v>
      </c>
      <c r="G281" s="247"/>
      <c r="H281" s="248"/>
      <c r="I281" s="89">
        <f>SUM(I275:I280)</f>
        <v>6378403000</v>
      </c>
    </row>
    <row r="282" spans="1:11">
      <c r="A282" s="211" t="s">
        <v>308</v>
      </c>
      <c r="K282" s="143"/>
    </row>
    <row r="283" spans="1:11">
      <c r="K283" s="143"/>
    </row>
    <row r="284" spans="1:11">
      <c r="K284" s="143"/>
    </row>
    <row r="285" spans="1:11">
      <c r="K285" s="143"/>
    </row>
    <row r="286" spans="1:11">
      <c r="K286" s="143"/>
    </row>
    <row r="288" spans="1:11" ht="41.25" customHeight="1">
      <c r="A288" s="236" t="s">
        <v>321</v>
      </c>
      <c r="B288" s="236"/>
      <c r="C288" s="236"/>
      <c r="D288" s="236"/>
      <c r="E288" s="236"/>
      <c r="F288" s="105"/>
      <c r="G288" s="19"/>
      <c r="H288" s="19"/>
    </row>
    <row r="289" spans="1:15" s="42" customFormat="1" ht="17.25" customHeight="1">
      <c r="B289" s="57"/>
      <c r="C289" s="112"/>
      <c r="D289" s="104"/>
      <c r="E289" s="118"/>
      <c r="F289" s="61"/>
      <c r="G289" s="62" t="s">
        <v>34</v>
      </c>
      <c r="I289" s="109"/>
    </row>
    <row r="290" spans="1:15" s="102" customFormat="1" ht="36.75" customHeight="1">
      <c r="A290" s="100" t="s">
        <v>1</v>
      </c>
      <c r="B290" s="100" t="s">
        <v>26</v>
      </c>
      <c r="C290" s="113" t="s">
        <v>10</v>
      </c>
      <c r="D290" s="101" t="s">
        <v>11</v>
      </c>
      <c r="E290" s="66" t="s">
        <v>12</v>
      </c>
      <c r="G290" s="64" t="s">
        <v>35</v>
      </c>
      <c r="H290" s="64" t="s">
        <v>36</v>
      </c>
      <c r="I290" s="64" t="s">
        <v>108</v>
      </c>
      <c r="J290" s="64" t="s">
        <v>37</v>
      </c>
      <c r="K290" s="64" t="s">
        <v>88</v>
      </c>
      <c r="L290" s="63" t="s">
        <v>38</v>
      </c>
      <c r="M290" s="66" t="s">
        <v>111</v>
      </c>
      <c r="N290" s="66" t="s">
        <v>12</v>
      </c>
    </row>
    <row r="291" spans="1:15" ht="18.75" customHeight="1">
      <c r="A291" s="77">
        <f>ROW()-290</f>
        <v>1</v>
      </c>
      <c r="B291" s="68" t="s">
        <v>40</v>
      </c>
      <c r="C291" s="114">
        <v>317436</v>
      </c>
      <c r="D291" s="70">
        <v>300</v>
      </c>
      <c r="E291" s="119">
        <f t="shared" ref="E291:E294" si="82">C291*D291</f>
        <v>95230800</v>
      </c>
      <c r="G291" s="81">
        <v>42726</v>
      </c>
      <c r="H291" s="81">
        <v>42726</v>
      </c>
      <c r="I291" s="73" t="s">
        <v>323</v>
      </c>
      <c r="J291" s="73"/>
      <c r="K291" s="73">
        <v>2020</v>
      </c>
      <c r="L291" s="106">
        <f t="shared" ref="L291" si="83">K291*13</f>
        <v>26260</v>
      </c>
      <c r="M291" s="75">
        <v>20000</v>
      </c>
      <c r="N291" s="75" t="str">
        <f t="shared" ref="N291:N303" si="84">IF(J291&lt;&gt;"",M291*L291*J291/1000,"")</f>
        <v/>
      </c>
      <c r="O291" s="76"/>
    </row>
    <row r="292" spans="1:15" ht="18.75" customHeight="1">
      <c r="A292" s="77">
        <f t="shared" ref="A292:A301" si="85">ROW()-290</f>
        <v>2</v>
      </c>
      <c r="B292" s="78" t="s">
        <v>42</v>
      </c>
      <c r="C292" s="115">
        <v>12</v>
      </c>
      <c r="D292" s="80">
        <v>2000000</v>
      </c>
      <c r="E292" s="120">
        <f t="shared" si="82"/>
        <v>24000000</v>
      </c>
      <c r="G292" s="81">
        <v>42726</v>
      </c>
      <c r="H292" s="81">
        <v>42726</v>
      </c>
      <c r="I292" s="73" t="s">
        <v>324</v>
      </c>
      <c r="J292" s="73"/>
      <c r="K292" s="73">
        <v>2030</v>
      </c>
      <c r="L292" s="106">
        <f t="shared" ref="L292:L303" si="86">K292*13</f>
        <v>26390</v>
      </c>
      <c r="M292" s="75">
        <v>20000</v>
      </c>
      <c r="N292" s="75" t="str">
        <f t="shared" si="84"/>
        <v/>
      </c>
      <c r="O292" s="76"/>
    </row>
    <row r="293" spans="1:15" ht="18.75" customHeight="1">
      <c r="A293" s="77">
        <f t="shared" si="85"/>
        <v>3</v>
      </c>
      <c r="B293" s="78" t="s">
        <v>43</v>
      </c>
      <c r="C293" s="115">
        <v>12</v>
      </c>
      <c r="D293" s="80">
        <v>2000000</v>
      </c>
      <c r="E293" s="120">
        <f t="shared" si="82"/>
        <v>24000000</v>
      </c>
      <c r="G293" s="81">
        <v>42726</v>
      </c>
      <c r="H293" s="81">
        <v>42726</v>
      </c>
      <c r="I293" s="73" t="s">
        <v>325</v>
      </c>
      <c r="J293" s="73"/>
      <c r="K293" s="73">
        <v>2040</v>
      </c>
      <c r="L293" s="106">
        <f t="shared" si="86"/>
        <v>26520</v>
      </c>
      <c r="M293" s="75">
        <v>20000</v>
      </c>
      <c r="N293" s="75" t="str">
        <f t="shared" si="84"/>
        <v/>
      </c>
      <c r="O293" s="76"/>
    </row>
    <row r="294" spans="1:15" ht="18.75" customHeight="1">
      <c r="A294" s="77">
        <f t="shared" si="85"/>
        <v>4</v>
      </c>
      <c r="B294" s="78" t="s">
        <v>44</v>
      </c>
      <c r="C294" s="115">
        <v>12</v>
      </c>
      <c r="D294" s="80">
        <v>600000</v>
      </c>
      <c r="E294" s="120">
        <f t="shared" si="82"/>
        <v>7200000</v>
      </c>
      <c r="G294" s="81">
        <v>42718</v>
      </c>
      <c r="H294" s="81">
        <v>42727</v>
      </c>
      <c r="I294" s="73" t="s">
        <v>288</v>
      </c>
      <c r="J294" s="73">
        <f t="shared" ref="J294:J298" si="87">IF(H294&lt;&gt;"",H294-G294+1,"")</f>
        <v>10</v>
      </c>
      <c r="K294" s="73">
        <v>20</v>
      </c>
      <c r="L294" s="106">
        <f t="shared" si="86"/>
        <v>260</v>
      </c>
      <c r="M294" s="75">
        <v>20000</v>
      </c>
      <c r="N294" s="75">
        <f t="shared" si="84"/>
        <v>52000</v>
      </c>
      <c r="O294" s="76"/>
    </row>
    <row r="295" spans="1:15" ht="18.75" customHeight="1">
      <c r="A295" s="77">
        <f t="shared" si="85"/>
        <v>5</v>
      </c>
      <c r="B295" s="78" t="s">
        <v>80</v>
      </c>
      <c r="C295" s="115">
        <v>12</v>
      </c>
      <c r="D295" s="80">
        <v>16725000</v>
      </c>
      <c r="E295" s="120">
        <f>C295*D295</f>
        <v>200700000</v>
      </c>
      <c r="G295" s="81">
        <v>42719</v>
      </c>
      <c r="H295" s="81">
        <v>42727</v>
      </c>
      <c r="I295" s="73" t="s">
        <v>91</v>
      </c>
      <c r="J295" s="73">
        <f t="shared" si="87"/>
        <v>9</v>
      </c>
      <c r="K295" s="73">
        <v>520</v>
      </c>
      <c r="L295" s="106">
        <f t="shared" si="86"/>
        <v>6760</v>
      </c>
      <c r="M295" s="75">
        <v>20000</v>
      </c>
      <c r="N295" s="75">
        <f t="shared" si="84"/>
        <v>1216800</v>
      </c>
      <c r="O295" s="76"/>
    </row>
    <row r="296" spans="1:15" ht="18.75" customHeight="1">
      <c r="A296" s="77">
        <f t="shared" si="85"/>
        <v>6</v>
      </c>
      <c r="B296" s="78" t="s">
        <v>46</v>
      </c>
      <c r="C296" s="115">
        <v>12</v>
      </c>
      <c r="D296" s="80">
        <v>9358000</v>
      </c>
      <c r="E296" s="120">
        <f t="shared" ref="E296:E297" si="88">C296*D296</f>
        <v>112296000</v>
      </c>
      <c r="G296" s="81">
        <v>42719</v>
      </c>
      <c r="H296" s="81">
        <v>42727</v>
      </c>
      <c r="I296" s="73" t="s">
        <v>290</v>
      </c>
      <c r="J296" s="73">
        <f t="shared" si="87"/>
        <v>9</v>
      </c>
      <c r="K296" s="73">
        <v>405</v>
      </c>
      <c r="L296" s="106">
        <f t="shared" si="86"/>
        <v>5265</v>
      </c>
      <c r="M296" s="75">
        <v>20000</v>
      </c>
      <c r="N296" s="75">
        <f t="shared" si="84"/>
        <v>947700</v>
      </c>
      <c r="O296" s="76"/>
    </row>
    <row r="297" spans="1:15" ht="18.75" customHeight="1">
      <c r="A297" s="77">
        <f t="shared" si="85"/>
        <v>7</v>
      </c>
      <c r="B297" s="78" t="s">
        <v>47</v>
      </c>
      <c r="C297" s="115">
        <v>12</v>
      </c>
      <c r="D297" s="80">
        <v>5600000</v>
      </c>
      <c r="E297" s="120">
        <f t="shared" si="88"/>
        <v>67200000</v>
      </c>
      <c r="G297" s="81">
        <v>42719</v>
      </c>
      <c r="H297" s="81">
        <v>42727</v>
      </c>
      <c r="I297" s="73" t="s">
        <v>291</v>
      </c>
      <c r="J297" s="73">
        <f t="shared" si="87"/>
        <v>9</v>
      </c>
      <c r="K297" s="73">
        <v>900</v>
      </c>
      <c r="L297" s="106">
        <f t="shared" si="86"/>
        <v>11700</v>
      </c>
      <c r="M297" s="75">
        <v>20000</v>
      </c>
      <c r="N297" s="75">
        <f t="shared" si="84"/>
        <v>2106000</v>
      </c>
      <c r="O297" s="76"/>
    </row>
    <row r="298" spans="1:15" ht="18.75" customHeight="1">
      <c r="A298" s="77">
        <f t="shared" si="85"/>
        <v>8</v>
      </c>
      <c r="B298" s="78" t="s">
        <v>49</v>
      </c>
      <c r="C298" s="115">
        <v>6</v>
      </c>
      <c r="D298" s="80">
        <v>1350000</v>
      </c>
      <c r="E298" s="120">
        <f>C298*D298</f>
        <v>8100000</v>
      </c>
      <c r="G298" s="81">
        <v>42719</v>
      </c>
      <c r="H298" s="81">
        <v>42727</v>
      </c>
      <c r="I298" s="73" t="s">
        <v>292</v>
      </c>
      <c r="J298" s="73">
        <f t="shared" si="87"/>
        <v>9</v>
      </c>
      <c r="K298" s="73">
        <f>445-260</f>
        <v>185</v>
      </c>
      <c r="L298" s="106">
        <f t="shared" si="86"/>
        <v>2405</v>
      </c>
      <c r="M298" s="75">
        <v>20000</v>
      </c>
      <c r="N298" s="75">
        <f t="shared" si="84"/>
        <v>432900</v>
      </c>
      <c r="O298" s="76"/>
    </row>
    <row r="299" spans="1:15" ht="18.75" customHeight="1">
      <c r="A299" s="77">
        <f t="shared" si="85"/>
        <v>9</v>
      </c>
      <c r="B299" s="78" t="s">
        <v>84</v>
      </c>
      <c r="C299" s="115">
        <v>12</v>
      </c>
      <c r="D299" s="80">
        <v>2500000</v>
      </c>
      <c r="E299" s="120">
        <f t="shared" ref="E299" si="89">C299*D299</f>
        <v>30000000</v>
      </c>
      <c r="G299" s="81">
        <v>42719</v>
      </c>
      <c r="H299" s="81">
        <v>42730</v>
      </c>
      <c r="I299" s="73" t="s">
        <v>292</v>
      </c>
      <c r="J299" s="73">
        <f t="shared" ref="J299:J308" si="90">IF(H299&lt;&gt;"",H299-G299+1,"")</f>
        <v>12</v>
      </c>
      <c r="K299" s="73">
        <v>260</v>
      </c>
      <c r="L299" s="106">
        <f t="shared" si="86"/>
        <v>3380</v>
      </c>
      <c r="M299" s="75">
        <v>20000</v>
      </c>
      <c r="N299" s="75">
        <f t="shared" si="84"/>
        <v>811200</v>
      </c>
      <c r="O299" s="76"/>
    </row>
    <row r="300" spans="1:15" ht="18.75" customHeight="1">
      <c r="A300" s="77">
        <f t="shared" si="85"/>
        <v>10</v>
      </c>
      <c r="B300" s="78" t="s">
        <v>50</v>
      </c>
      <c r="C300" s="115">
        <v>185</v>
      </c>
      <c r="D300" s="80">
        <v>50000</v>
      </c>
      <c r="E300" s="120">
        <f>C300*D300</f>
        <v>9250000</v>
      </c>
      <c r="G300" s="81">
        <v>42720</v>
      </c>
      <c r="H300" s="81">
        <v>42730</v>
      </c>
      <c r="I300" s="73" t="s">
        <v>293</v>
      </c>
      <c r="J300" s="73">
        <f t="shared" si="90"/>
        <v>11</v>
      </c>
      <c r="K300" s="73">
        <v>950</v>
      </c>
      <c r="L300" s="106">
        <f t="shared" si="86"/>
        <v>12350</v>
      </c>
      <c r="M300" s="75">
        <v>20000</v>
      </c>
      <c r="N300" s="75">
        <f t="shared" si="84"/>
        <v>2717000</v>
      </c>
      <c r="O300" s="76"/>
    </row>
    <row r="301" spans="1:15" ht="18.75" customHeight="1">
      <c r="A301" s="77">
        <f t="shared" si="85"/>
        <v>11</v>
      </c>
      <c r="B301" s="78" t="s">
        <v>51</v>
      </c>
      <c r="C301" s="115"/>
      <c r="D301" s="80"/>
      <c r="E301" s="120">
        <f>N312</f>
        <v>21426860</v>
      </c>
      <c r="G301" s="81">
        <v>42720</v>
      </c>
      <c r="H301" s="81">
        <v>42730</v>
      </c>
      <c r="I301" s="73" t="s">
        <v>106</v>
      </c>
      <c r="J301" s="73">
        <f t="shared" si="90"/>
        <v>11</v>
      </c>
      <c r="K301" s="73">
        <v>425</v>
      </c>
      <c r="L301" s="106">
        <f t="shared" si="86"/>
        <v>5525</v>
      </c>
      <c r="M301" s="75">
        <v>20000</v>
      </c>
      <c r="N301" s="75">
        <f t="shared" si="84"/>
        <v>1215500</v>
      </c>
      <c r="O301" s="76"/>
    </row>
    <row r="302" spans="1:15" ht="19.5" customHeight="1">
      <c r="A302" s="77"/>
      <c r="B302" s="78"/>
      <c r="C302" s="115"/>
      <c r="D302" s="80"/>
      <c r="E302" s="120"/>
      <c r="G302" s="81">
        <v>42720</v>
      </c>
      <c r="H302" s="81">
        <v>42730</v>
      </c>
      <c r="I302" s="73" t="s">
        <v>103</v>
      </c>
      <c r="J302" s="73">
        <f t="shared" si="90"/>
        <v>11</v>
      </c>
      <c r="K302" s="73">
        <v>422</v>
      </c>
      <c r="L302" s="106">
        <f t="shared" si="86"/>
        <v>5486</v>
      </c>
      <c r="M302" s="75">
        <v>20000</v>
      </c>
      <c r="N302" s="75">
        <f t="shared" si="84"/>
        <v>1206920</v>
      </c>
      <c r="O302" s="76"/>
    </row>
    <row r="303" spans="1:15" ht="19.5" customHeight="1">
      <c r="A303" s="77"/>
      <c r="B303" s="78"/>
      <c r="C303" s="115"/>
      <c r="D303" s="80"/>
      <c r="E303" s="120"/>
      <c r="G303" s="81">
        <v>42720</v>
      </c>
      <c r="H303" s="81">
        <v>42730</v>
      </c>
      <c r="I303" s="73" t="s">
        <v>288</v>
      </c>
      <c r="J303" s="73">
        <f t="shared" si="90"/>
        <v>11</v>
      </c>
      <c r="K303" s="73">
        <v>900</v>
      </c>
      <c r="L303" s="106">
        <f t="shared" si="86"/>
        <v>11700</v>
      </c>
      <c r="M303" s="75">
        <v>20000</v>
      </c>
      <c r="N303" s="75">
        <f t="shared" si="84"/>
        <v>2574000</v>
      </c>
      <c r="O303" s="76"/>
    </row>
    <row r="304" spans="1:15" ht="19.5" customHeight="1">
      <c r="A304" s="77"/>
      <c r="B304" s="78"/>
      <c r="C304" s="115"/>
      <c r="D304" s="80"/>
      <c r="E304" s="120"/>
      <c r="G304" s="81">
        <v>42720</v>
      </c>
      <c r="H304" s="81">
        <v>42730</v>
      </c>
      <c r="I304" s="73" t="s">
        <v>93</v>
      </c>
      <c r="J304" s="73">
        <f t="shared" si="90"/>
        <v>11</v>
      </c>
      <c r="K304" s="73">
        <v>375</v>
      </c>
      <c r="L304" s="106">
        <f t="shared" ref="L304:L308" si="91">K304*13</f>
        <v>4875</v>
      </c>
      <c r="M304" s="75">
        <v>20000</v>
      </c>
      <c r="N304" s="75">
        <f t="shared" ref="N304:N308" si="92">IF(J304&lt;&gt;"",M304*L304*J304/1000,"")</f>
        <v>1072500</v>
      </c>
      <c r="O304" s="76"/>
    </row>
    <row r="305" spans="1:15" ht="19.5" customHeight="1">
      <c r="A305" s="77"/>
      <c r="B305" s="78"/>
      <c r="C305" s="115"/>
      <c r="D305" s="80"/>
      <c r="E305" s="120"/>
      <c r="G305" s="81">
        <v>42720</v>
      </c>
      <c r="H305" s="81">
        <v>42730</v>
      </c>
      <c r="I305" s="73" t="s">
        <v>130</v>
      </c>
      <c r="J305" s="73">
        <f t="shared" si="90"/>
        <v>11</v>
      </c>
      <c r="K305" s="73">
        <v>500</v>
      </c>
      <c r="L305" s="106">
        <f t="shared" si="91"/>
        <v>6500</v>
      </c>
      <c r="M305" s="75">
        <v>20000</v>
      </c>
      <c r="N305" s="75">
        <f t="shared" si="92"/>
        <v>1430000</v>
      </c>
      <c r="O305" s="76"/>
    </row>
    <row r="306" spans="1:15" ht="19.5" customHeight="1">
      <c r="A306" s="77"/>
      <c r="B306" s="78"/>
      <c r="C306" s="115"/>
      <c r="D306" s="80"/>
      <c r="E306" s="120"/>
      <c r="G306" s="81">
        <v>42720</v>
      </c>
      <c r="H306" s="81">
        <v>42730</v>
      </c>
      <c r="I306" s="73" t="s">
        <v>131</v>
      </c>
      <c r="J306" s="73">
        <f t="shared" si="90"/>
        <v>11</v>
      </c>
      <c r="K306" s="73">
        <f>632-404</f>
        <v>228</v>
      </c>
      <c r="L306" s="106">
        <f t="shared" si="91"/>
        <v>2964</v>
      </c>
      <c r="M306" s="75">
        <v>20000</v>
      </c>
      <c r="N306" s="75">
        <f t="shared" si="92"/>
        <v>652080</v>
      </c>
      <c r="O306" s="76"/>
    </row>
    <row r="307" spans="1:15" ht="19.5" customHeight="1">
      <c r="A307" s="77"/>
      <c r="B307" s="78"/>
      <c r="C307" s="115"/>
      <c r="D307" s="80"/>
      <c r="E307" s="120"/>
      <c r="G307" s="81">
        <v>42720</v>
      </c>
      <c r="H307" s="81">
        <v>42731</v>
      </c>
      <c r="I307" s="73" t="s">
        <v>131</v>
      </c>
      <c r="J307" s="73">
        <f t="shared" ref="J307" si="93">IF(H307&lt;&gt;"",H307-G307+1,"")</f>
        <v>12</v>
      </c>
      <c r="K307" s="73">
        <v>404</v>
      </c>
      <c r="L307" s="106">
        <f t="shared" si="91"/>
        <v>5252</v>
      </c>
      <c r="M307" s="75">
        <v>20000</v>
      </c>
      <c r="N307" s="75">
        <f t="shared" si="92"/>
        <v>1260480</v>
      </c>
      <c r="O307" s="76"/>
    </row>
    <row r="308" spans="1:15" ht="19.5" customHeight="1">
      <c r="A308" s="77"/>
      <c r="B308" s="78"/>
      <c r="C308" s="115"/>
      <c r="D308" s="80"/>
      <c r="E308" s="120"/>
      <c r="G308" s="81">
        <v>42723</v>
      </c>
      <c r="H308" s="81">
        <v>42731</v>
      </c>
      <c r="I308" s="73" t="s">
        <v>90</v>
      </c>
      <c r="J308" s="73">
        <f t="shared" si="90"/>
        <v>9</v>
      </c>
      <c r="K308" s="73">
        <v>445</v>
      </c>
      <c r="L308" s="106">
        <f t="shared" si="91"/>
        <v>5785</v>
      </c>
      <c r="M308" s="75">
        <v>20000</v>
      </c>
      <c r="N308" s="75">
        <f t="shared" si="92"/>
        <v>1041300</v>
      </c>
      <c r="O308" s="76"/>
    </row>
    <row r="309" spans="1:15" ht="19.5" customHeight="1">
      <c r="A309" s="77"/>
      <c r="B309" s="78"/>
      <c r="C309" s="115"/>
      <c r="D309" s="80"/>
      <c r="E309" s="120"/>
      <c r="G309" s="81">
        <v>42723</v>
      </c>
      <c r="H309" s="81">
        <v>42731</v>
      </c>
      <c r="I309" s="73" t="s">
        <v>320</v>
      </c>
      <c r="J309" s="73">
        <f t="shared" ref="J309:J310" si="94">IF(H309&lt;&gt;"",H309-G309+1,"")</f>
        <v>9</v>
      </c>
      <c r="K309" s="73">
        <v>900</v>
      </c>
      <c r="L309" s="106">
        <f t="shared" ref="L309:L310" si="95">K309*13</f>
        <v>11700</v>
      </c>
      <c r="M309" s="75">
        <v>20000</v>
      </c>
      <c r="N309" s="75">
        <f t="shared" ref="N309:N310" si="96">IF(J309&lt;&gt;"",M309*L309*J309/1000,"")</f>
        <v>2106000</v>
      </c>
      <c r="O309" s="76"/>
    </row>
    <row r="310" spans="1:15" ht="19.5" customHeight="1">
      <c r="A310" s="77"/>
      <c r="B310" s="78"/>
      <c r="C310" s="115"/>
      <c r="D310" s="80"/>
      <c r="E310" s="120"/>
      <c r="G310" s="81">
        <v>42724</v>
      </c>
      <c r="H310" s="81">
        <v>42731</v>
      </c>
      <c r="I310" s="73" t="s">
        <v>100</v>
      </c>
      <c r="J310" s="73">
        <f t="shared" si="94"/>
        <v>8</v>
      </c>
      <c r="K310" s="73">
        <f>672-391</f>
        <v>281</v>
      </c>
      <c r="L310" s="106">
        <f t="shared" si="95"/>
        <v>3653</v>
      </c>
      <c r="M310" s="75">
        <v>20000</v>
      </c>
      <c r="N310" s="75">
        <f t="shared" si="96"/>
        <v>584480</v>
      </c>
      <c r="O310" s="76"/>
    </row>
    <row r="311" spans="1:15" ht="18.75" customHeight="1">
      <c r="A311" s="77"/>
      <c r="B311" s="78"/>
      <c r="C311" s="115"/>
      <c r="D311" s="80"/>
      <c r="E311" s="120"/>
      <c r="F311" s="21"/>
      <c r="G311" s="83"/>
      <c r="H311" s="83"/>
      <c r="I311" s="84"/>
      <c r="J311" s="84"/>
      <c r="K311" s="84"/>
      <c r="L311" s="85"/>
      <c r="M311" s="86"/>
      <c r="N311" s="86"/>
    </row>
    <row r="312" spans="1:15" ht="22.5" customHeight="1">
      <c r="A312" s="87"/>
      <c r="B312" s="87" t="s">
        <v>53</v>
      </c>
      <c r="C312" s="116"/>
      <c r="D312" s="89"/>
      <c r="E312" s="91">
        <f>SUM(E291:E311)</f>
        <v>599403660</v>
      </c>
      <c r="G312" s="90"/>
      <c r="H312" s="90"/>
      <c r="I312" s="90" t="s">
        <v>53</v>
      </c>
      <c r="J312" s="90"/>
      <c r="K312" s="107">
        <f>SUM(K291:K311)</f>
        <v>14210</v>
      </c>
      <c r="L312" s="107">
        <f>SUM(L291:L311)</f>
        <v>184730</v>
      </c>
      <c r="M312" s="107"/>
      <c r="N312" s="91">
        <f>SUM(N291:N311)</f>
        <v>21426860</v>
      </c>
    </row>
    <row r="313" spans="1:15" s="20" customFormat="1" ht="8.25" customHeight="1">
      <c r="A313" s="22"/>
      <c r="B313" s="22"/>
      <c r="C313" s="117"/>
      <c r="D313" s="24"/>
      <c r="E313" s="121"/>
      <c r="F313" s="22"/>
    </row>
    <row r="314" spans="1:15">
      <c r="D314" s="24" t="s">
        <v>54</v>
      </c>
      <c r="E314" s="121">
        <f>E312/C291</f>
        <v>1888.2661701886364</v>
      </c>
    </row>
    <row r="315" spans="1:15" ht="9.75" customHeight="1"/>
    <row r="316" spans="1:15" ht="31.5" customHeight="1">
      <c r="A316" s="90" t="s">
        <v>1</v>
      </c>
      <c r="B316" s="216" t="s">
        <v>26</v>
      </c>
      <c r="C316" s="124" t="s">
        <v>55</v>
      </c>
      <c r="D316" s="125" t="s">
        <v>56</v>
      </c>
      <c r="E316" s="125" t="s">
        <v>12</v>
      </c>
      <c r="F316" s="237" t="s">
        <v>122</v>
      </c>
      <c r="G316" s="238"/>
      <c r="H316" s="239"/>
      <c r="I316" s="125" t="s">
        <v>57</v>
      </c>
    </row>
    <row r="317" spans="1:15">
      <c r="A317" s="77">
        <v>1</v>
      </c>
      <c r="B317" s="78" t="s">
        <v>328</v>
      </c>
      <c r="C317" s="115">
        <v>282365</v>
      </c>
      <c r="D317" s="80">
        <v>22650</v>
      </c>
      <c r="E317" s="80">
        <f>C317*D317</f>
        <v>6395567250</v>
      </c>
      <c r="F317" s="240"/>
      <c r="G317" s="241"/>
      <c r="H317" s="242"/>
      <c r="I317" s="80"/>
    </row>
    <row r="318" spans="1:15">
      <c r="A318" s="77">
        <v>2</v>
      </c>
      <c r="B318" s="78" t="s">
        <v>329</v>
      </c>
      <c r="C318" s="115"/>
      <c r="D318" s="80"/>
      <c r="E318" s="80"/>
      <c r="F318" s="240"/>
      <c r="G318" s="241"/>
      <c r="H318" s="242"/>
      <c r="I318" s="80">
        <f>E312</f>
        <v>599403660</v>
      </c>
    </row>
    <row r="319" spans="1:15">
      <c r="A319" s="77">
        <v>3</v>
      </c>
      <c r="B319" s="78" t="s">
        <v>147</v>
      </c>
      <c r="C319" s="115"/>
      <c r="D319" s="80"/>
      <c r="E319" s="80"/>
      <c r="F319" s="240">
        <f>ROUND(I319*0.055%,0)</f>
        <v>120120</v>
      </c>
      <c r="G319" s="241"/>
      <c r="H319" s="242"/>
      <c r="I319" s="80">
        <v>218400000</v>
      </c>
    </row>
    <row r="320" spans="1:15">
      <c r="A320" s="77">
        <v>4</v>
      </c>
      <c r="B320" s="145" t="s">
        <v>330</v>
      </c>
      <c r="C320" s="80"/>
      <c r="D320" s="80"/>
      <c r="E320" s="80">
        <f t="shared" ref="E320:E321" si="97">C320*D320</f>
        <v>0</v>
      </c>
      <c r="F320" s="240">
        <f t="shared" ref="F320:F321" si="98">ROUND(I320*0.055%,0)</f>
        <v>15246</v>
      </c>
      <c r="G320" s="241"/>
      <c r="H320" s="242"/>
      <c r="I320" s="80">
        <v>27720000</v>
      </c>
    </row>
    <row r="321" spans="1:15">
      <c r="A321" s="77">
        <v>5</v>
      </c>
      <c r="B321" s="145" t="s">
        <v>136</v>
      </c>
      <c r="C321" s="79"/>
      <c r="D321" s="80"/>
      <c r="E321" s="80">
        <f t="shared" si="97"/>
        <v>0</v>
      </c>
      <c r="F321" s="240">
        <f t="shared" si="98"/>
        <v>647657</v>
      </c>
      <c r="G321" s="241"/>
      <c r="H321" s="242"/>
      <c r="I321" s="80">
        <v>1177559000</v>
      </c>
    </row>
    <row r="322" spans="1:15">
      <c r="A322" s="77">
        <v>6</v>
      </c>
      <c r="B322" s="78" t="s">
        <v>61</v>
      </c>
      <c r="C322" s="79"/>
      <c r="D322" s="80"/>
      <c r="E322" s="80">
        <f>C322*D322</f>
        <v>0</v>
      </c>
      <c r="F322" s="240">
        <f>ROUND(I322*0.055%,0)</f>
        <v>2403113</v>
      </c>
      <c r="G322" s="241"/>
      <c r="H322" s="242"/>
      <c r="I322" s="80">
        <v>4369297000</v>
      </c>
    </row>
    <row r="323" spans="1:15" ht="6" customHeight="1">
      <c r="A323" s="77"/>
      <c r="B323" s="134"/>
      <c r="C323" s="135"/>
      <c r="D323" s="132"/>
      <c r="E323" s="132"/>
      <c r="F323" s="243"/>
      <c r="G323" s="244"/>
      <c r="H323" s="245"/>
      <c r="I323" s="132"/>
    </row>
    <row r="324" spans="1:15">
      <c r="A324" s="87"/>
      <c r="B324" s="87" t="s">
        <v>62</v>
      </c>
      <c r="C324" s="88"/>
      <c r="D324" s="89"/>
      <c r="E324" s="89">
        <f>SUM(E317:E323)</f>
        <v>6395567250</v>
      </c>
      <c r="F324" s="246">
        <f>SUM(F317:H323)</f>
        <v>3186136</v>
      </c>
      <c r="G324" s="247"/>
      <c r="H324" s="248"/>
      <c r="I324" s="89">
        <f>SUM(I317:I323)</f>
        <v>6392379660</v>
      </c>
    </row>
    <row r="325" spans="1:15">
      <c r="A325" s="211" t="s">
        <v>308</v>
      </c>
      <c r="K325" s="143"/>
    </row>
    <row r="326" spans="1:15">
      <c r="H326" s="217"/>
      <c r="I326" s="143"/>
    </row>
    <row r="328" spans="1:15" ht="43.5" customHeight="1">
      <c r="A328" s="236" t="s">
        <v>331</v>
      </c>
      <c r="B328" s="236"/>
      <c r="C328" s="236"/>
      <c r="D328" s="236"/>
      <c r="E328" s="236"/>
      <c r="F328" s="105"/>
      <c r="G328" s="19"/>
      <c r="H328" s="19"/>
    </row>
    <row r="329" spans="1:15" s="42" customFormat="1" ht="17.25" customHeight="1">
      <c r="B329" s="57"/>
      <c r="C329" s="112"/>
      <c r="D329" s="104"/>
      <c r="E329" s="118"/>
      <c r="F329" s="61"/>
      <c r="G329" s="62" t="s">
        <v>34</v>
      </c>
      <c r="I329" s="109"/>
    </row>
    <row r="330" spans="1:15" s="102" customFormat="1" ht="36.75" customHeight="1">
      <c r="A330" s="100" t="s">
        <v>1</v>
      </c>
      <c r="B330" s="100" t="s">
        <v>26</v>
      </c>
      <c r="C330" s="113" t="s">
        <v>10</v>
      </c>
      <c r="D330" s="101" t="s">
        <v>11</v>
      </c>
      <c r="E330" s="66" t="s">
        <v>12</v>
      </c>
      <c r="G330" s="64" t="s">
        <v>35</v>
      </c>
      <c r="H330" s="64" t="s">
        <v>36</v>
      </c>
      <c r="I330" s="64" t="s">
        <v>108</v>
      </c>
      <c r="J330" s="64" t="s">
        <v>37</v>
      </c>
      <c r="K330" s="64" t="s">
        <v>88</v>
      </c>
      <c r="L330" s="63" t="s">
        <v>38</v>
      </c>
      <c r="M330" s="66" t="s">
        <v>111</v>
      </c>
      <c r="N330" s="66" t="s">
        <v>12</v>
      </c>
    </row>
    <row r="331" spans="1:15" ht="18.75" customHeight="1">
      <c r="A331" s="77">
        <f>ROW()-242</f>
        <v>89</v>
      </c>
      <c r="B331" s="68" t="s">
        <v>40</v>
      </c>
      <c r="C331" s="114">
        <v>52780</v>
      </c>
      <c r="D331" s="70">
        <v>300</v>
      </c>
      <c r="E331" s="119">
        <f t="shared" ref="E331:E334" si="99">C331*D331</f>
        <v>15834000</v>
      </c>
      <c r="G331" s="81">
        <v>42724</v>
      </c>
      <c r="H331" s="81">
        <v>42733</v>
      </c>
      <c r="I331" s="73" t="s">
        <v>100</v>
      </c>
      <c r="J331" s="73">
        <f t="shared" ref="J331" si="100">IF(H331&lt;&gt;"",H331-G331+1,"")</f>
        <v>10</v>
      </c>
      <c r="K331" s="73">
        <v>391</v>
      </c>
      <c r="L331" s="106">
        <f t="shared" ref="L331:L341" si="101">K331*13</f>
        <v>5083</v>
      </c>
      <c r="M331" s="75">
        <v>20000</v>
      </c>
      <c r="N331" s="75">
        <f t="shared" ref="N331:N341" si="102">IF(J331&lt;&gt;"",M331*L331*J331/1000,"")</f>
        <v>1016600</v>
      </c>
      <c r="O331" s="76"/>
    </row>
    <row r="332" spans="1:15" ht="18.75" customHeight="1">
      <c r="A332" s="77">
        <f t="shared" ref="A332:A341" si="103">ROW()-242</f>
        <v>90</v>
      </c>
      <c r="B332" s="78" t="s">
        <v>42</v>
      </c>
      <c r="C332" s="115">
        <v>2</v>
      </c>
      <c r="D332" s="80">
        <v>2000000</v>
      </c>
      <c r="E332" s="120">
        <f t="shared" si="99"/>
        <v>4000000</v>
      </c>
      <c r="G332" s="81">
        <v>42724</v>
      </c>
      <c r="H332" s="81">
        <v>42733</v>
      </c>
      <c r="I332" s="73" t="s">
        <v>326</v>
      </c>
      <c r="J332" s="73">
        <f t="shared" ref="J332:J335" si="104">IF(H332&lt;&gt;"",H332-G332+1,"")</f>
        <v>10</v>
      </c>
      <c r="K332" s="73">
        <v>445</v>
      </c>
      <c r="L332" s="106">
        <f t="shared" si="101"/>
        <v>5785</v>
      </c>
      <c r="M332" s="75">
        <v>20000</v>
      </c>
      <c r="N332" s="75">
        <f t="shared" si="102"/>
        <v>1157000</v>
      </c>
      <c r="O332" s="76"/>
    </row>
    <row r="333" spans="1:15" ht="18.75" customHeight="1">
      <c r="A333" s="77">
        <f t="shared" si="103"/>
        <v>91</v>
      </c>
      <c r="B333" s="78" t="s">
        <v>43</v>
      </c>
      <c r="C333" s="115">
        <v>2</v>
      </c>
      <c r="D333" s="80">
        <v>2000000</v>
      </c>
      <c r="E333" s="120">
        <f t="shared" si="99"/>
        <v>4000000</v>
      </c>
      <c r="G333" s="81">
        <v>42725</v>
      </c>
      <c r="H333" s="81">
        <v>42733</v>
      </c>
      <c r="I333" s="73" t="s">
        <v>96</v>
      </c>
      <c r="J333" s="73">
        <f t="shared" si="104"/>
        <v>9</v>
      </c>
      <c r="K333" s="73">
        <v>375</v>
      </c>
      <c r="L333" s="106">
        <f t="shared" si="101"/>
        <v>4875</v>
      </c>
      <c r="M333" s="75">
        <v>20000</v>
      </c>
      <c r="N333" s="75">
        <f t="shared" si="102"/>
        <v>877500</v>
      </c>
      <c r="O333" s="76"/>
    </row>
    <row r="334" spans="1:15" ht="18.75" customHeight="1">
      <c r="A334" s="77">
        <f t="shared" si="103"/>
        <v>92</v>
      </c>
      <c r="B334" s="78" t="s">
        <v>44</v>
      </c>
      <c r="C334" s="115">
        <v>2</v>
      </c>
      <c r="D334" s="80">
        <v>600000</v>
      </c>
      <c r="E334" s="120">
        <f t="shared" si="99"/>
        <v>1200000</v>
      </c>
      <c r="G334" s="81">
        <v>42726</v>
      </c>
      <c r="H334" s="81">
        <v>42733</v>
      </c>
      <c r="I334" s="73" t="s">
        <v>106</v>
      </c>
      <c r="J334" s="73">
        <f t="shared" si="104"/>
        <v>8</v>
      </c>
      <c r="K334" s="73">
        <v>440</v>
      </c>
      <c r="L334" s="106">
        <f t="shared" si="101"/>
        <v>5720</v>
      </c>
      <c r="M334" s="75">
        <v>20000</v>
      </c>
      <c r="N334" s="75">
        <f t="shared" si="102"/>
        <v>915200</v>
      </c>
      <c r="O334" s="76"/>
    </row>
    <row r="335" spans="1:15" ht="18.75" customHeight="1">
      <c r="A335" s="77">
        <f t="shared" si="103"/>
        <v>93</v>
      </c>
      <c r="B335" s="78" t="s">
        <v>80</v>
      </c>
      <c r="C335" s="115">
        <v>2</v>
      </c>
      <c r="D335" s="80">
        <v>16725000</v>
      </c>
      <c r="E335" s="120">
        <f>C335*D335</f>
        <v>33450000</v>
      </c>
      <c r="G335" s="81">
        <v>42726</v>
      </c>
      <c r="H335" s="81">
        <v>42733</v>
      </c>
      <c r="I335" s="73" t="s">
        <v>322</v>
      </c>
      <c r="J335" s="73">
        <f t="shared" si="104"/>
        <v>8</v>
      </c>
      <c r="K335" s="73">
        <f>444-65</f>
        <v>379</v>
      </c>
      <c r="L335" s="106">
        <f t="shared" si="101"/>
        <v>4927</v>
      </c>
      <c r="M335" s="75">
        <v>20000</v>
      </c>
      <c r="N335" s="75">
        <f t="shared" si="102"/>
        <v>788320</v>
      </c>
      <c r="O335" s="76"/>
    </row>
    <row r="336" spans="1:15" ht="18.75" customHeight="1">
      <c r="A336" s="77">
        <f t="shared" si="103"/>
        <v>94</v>
      </c>
      <c r="B336" s="78" t="s">
        <v>46</v>
      </c>
      <c r="C336" s="115">
        <v>2</v>
      </c>
      <c r="D336" s="80">
        <v>9358000</v>
      </c>
      <c r="E336" s="120">
        <f t="shared" ref="E336:E337" si="105">C336*D336</f>
        <v>18716000</v>
      </c>
      <c r="G336" s="81">
        <v>42726</v>
      </c>
      <c r="H336" s="81">
        <v>42732</v>
      </c>
      <c r="I336" s="73"/>
      <c r="J336" s="73"/>
      <c r="K336" s="73">
        <v>2030</v>
      </c>
      <c r="L336" s="106">
        <f t="shared" si="101"/>
        <v>26390</v>
      </c>
      <c r="M336" s="75"/>
      <c r="N336" s="75" t="str">
        <f t="shared" si="102"/>
        <v/>
      </c>
      <c r="O336" s="76"/>
    </row>
    <row r="337" spans="1:15" ht="18.75" customHeight="1">
      <c r="A337" s="77">
        <f t="shared" si="103"/>
        <v>95</v>
      </c>
      <c r="B337" s="78" t="s">
        <v>47</v>
      </c>
      <c r="C337" s="115">
        <v>2</v>
      </c>
      <c r="D337" s="80">
        <v>5600000</v>
      </c>
      <c r="E337" s="120">
        <f t="shared" si="105"/>
        <v>11200000</v>
      </c>
      <c r="G337" s="81"/>
      <c r="H337" s="81"/>
      <c r="I337" s="73"/>
      <c r="J337" s="73"/>
      <c r="K337" s="73"/>
      <c r="L337" s="106">
        <f t="shared" si="101"/>
        <v>0</v>
      </c>
      <c r="M337" s="75"/>
      <c r="N337" s="75" t="str">
        <f t="shared" si="102"/>
        <v/>
      </c>
      <c r="O337" s="76"/>
    </row>
    <row r="338" spans="1:15" ht="18.75" customHeight="1">
      <c r="A338" s="77">
        <f t="shared" si="103"/>
        <v>96</v>
      </c>
      <c r="B338" s="78" t="s">
        <v>49</v>
      </c>
      <c r="C338" s="115">
        <v>1</v>
      </c>
      <c r="D338" s="80">
        <v>1350000</v>
      </c>
      <c r="E338" s="120">
        <f>C338*D338</f>
        <v>1350000</v>
      </c>
      <c r="G338" s="81"/>
      <c r="H338" s="81"/>
      <c r="I338" s="73"/>
      <c r="J338" s="73"/>
      <c r="K338" s="73"/>
      <c r="L338" s="106">
        <f t="shared" si="101"/>
        <v>0</v>
      </c>
      <c r="M338" s="75"/>
      <c r="N338" s="75" t="str">
        <f t="shared" si="102"/>
        <v/>
      </c>
      <c r="O338" s="76"/>
    </row>
    <row r="339" spans="1:15" ht="18.75" customHeight="1">
      <c r="A339" s="77">
        <f t="shared" si="103"/>
        <v>97</v>
      </c>
      <c r="B339" s="78" t="s">
        <v>84</v>
      </c>
      <c r="C339" s="115">
        <v>2</v>
      </c>
      <c r="D339" s="80">
        <v>2500000</v>
      </c>
      <c r="E339" s="120">
        <f t="shared" ref="E339" si="106">C339*D339</f>
        <v>5000000</v>
      </c>
      <c r="G339" s="81"/>
      <c r="H339" s="81"/>
      <c r="I339" s="73"/>
      <c r="J339" s="73"/>
      <c r="K339" s="73"/>
      <c r="L339" s="106">
        <f t="shared" si="101"/>
        <v>0</v>
      </c>
      <c r="M339" s="75"/>
      <c r="N339" s="75" t="str">
        <f t="shared" si="102"/>
        <v/>
      </c>
      <c r="O339" s="76"/>
    </row>
    <row r="340" spans="1:15" ht="18.75" customHeight="1">
      <c r="A340" s="77">
        <f t="shared" si="103"/>
        <v>98</v>
      </c>
      <c r="B340" s="78" t="s">
        <v>50</v>
      </c>
      <c r="C340" s="115">
        <v>53</v>
      </c>
      <c r="D340" s="80">
        <v>50000</v>
      </c>
      <c r="E340" s="120">
        <f>C340*D340</f>
        <v>2650000</v>
      </c>
      <c r="G340" s="81"/>
      <c r="H340" s="81"/>
      <c r="I340" s="73"/>
      <c r="J340" s="73"/>
      <c r="K340" s="73"/>
      <c r="L340" s="106">
        <f t="shared" si="101"/>
        <v>0</v>
      </c>
      <c r="M340" s="75"/>
      <c r="N340" s="75" t="str">
        <f t="shared" si="102"/>
        <v/>
      </c>
      <c r="O340" s="76"/>
    </row>
    <row r="341" spans="1:15" ht="18.75" customHeight="1">
      <c r="A341" s="77">
        <f t="shared" si="103"/>
        <v>99</v>
      </c>
      <c r="B341" s="78" t="s">
        <v>51</v>
      </c>
      <c r="C341" s="115"/>
      <c r="D341" s="80"/>
      <c r="E341" s="120">
        <f>N343</f>
        <v>4754620</v>
      </c>
      <c r="G341" s="81"/>
      <c r="H341" s="81"/>
      <c r="I341" s="73"/>
      <c r="J341" s="73"/>
      <c r="K341" s="73"/>
      <c r="L341" s="106">
        <f t="shared" si="101"/>
        <v>0</v>
      </c>
      <c r="M341" s="75"/>
      <c r="N341" s="75" t="str">
        <f t="shared" si="102"/>
        <v/>
      </c>
      <c r="O341" s="76"/>
    </row>
    <row r="342" spans="1:15" ht="18.75" customHeight="1">
      <c r="A342" s="77"/>
      <c r="B342" s="78"/>
      <c r="C342" s="115"/>
      <c r="D342" s="80"/>
      <c r="E342" s="120"/>
      <c r="F342" s="21"/>
      <c r="G342" s="83"/>
      <c r="H342" s="83"/>
      <c r="I342" s="84"/>
      <c r="J342" s="84"/>
      <c r="K342" s="84"/>
      <c r="L342" s="85"/>
      <c r="M342" s="86"/>
      <c r="N342" s="86"/>
    </row>
    <row r="343" spans="1:15" ht="22.5" customHeight="1">
      <c r="A343" s="87"/>
      <c r="B343" s="87" t="s">
        <v>53</v>
      </c>
      <c r="C343" s="116"/>
      <c r="D343" s="89"/>
      <c r="E343" s="91">
        <f>SUM(E331:E342)</f>
        <v>102154620</v>
      </c>
      <c r="G343" s="90"/>
      <c r="H343" s="90"/>
      <c r="I343" s="90" t="s">
        <v>53</v>
      </c>
      <c r="J343" s="90"/>
      <c r="K343" s="107">
        <f>SUM(K331:K342)</f>
        <v>4060</v>
      </c>
      <c r="L343" s="107">
        <f>SUM(L331:L342)</f>
        <v>52780</v>
      </c>
      <c r="M343" s="107"/>
      <c r="N343" s="91">
        <f>SUM(N331:N342)</f>
        <v>4754620</v>
      </c>
    </row>
    <row r="344" spans="1:15" s="20" customFormat="1">
      <c r="A344" s="22"/>
      <c r="B344" s="22"/>
      <c r="C344" s="117"/>
      <c r="D344" s="24"/>
      <c r="E344" s="121"/>
      <c r="F344" s="22"/>
    </row>
    <row r="345" spans="1:15" ht="31.5" customHeight="1">
      <c r="A345" s="90" t="s">
        <v>1</v>
      </c>
      <c r="B345" s="221" t="s">
        <v>26</v>
      </c>
      <c r="C345" s="124" t="s">
        <v>55</v>
      </c>
      <c r="D345" s="125" t="s">
        <v>56</v>
      </c>
      <c r="E345" s="125" t="s">
        <v>12</v>
      </c>
      <c r="F345" s="237" t="s">
        <v>122</v>
      </c>
      <c r="G345" s="238"/>
      <c r="H345" s="239"/>
      <c r="I345" s="125" t="s">
        <v>57</v>
      </c>
    </row>
    <row r="346" spans="1:15">
      <c r="A346" s="77">
        <v>1</v>
      </c>
      <c r="B346" s="78" t="s">
        <v>328</v>
      </c>
      <c r="C346" s="115">
        <v>294308</v>
      </c>
      <c r="D346" s="80">
        <v>22650</v>
      </c>
      <c r="E346" s="80">
        <f>C346*D346</f>
        <v>6666076200</v>
      </c>
      <c r="F346" s="240"/>
      <c r="G346" s="241"/>
      <c r="H346" s="242"/>
      <c r="I346" s="80"/>
    </row>
    <row r="347" spans="1:15">
      <c r="A347" s="77">
        <v>2</v>
      </c>
      <c r="B347" s="78" t="s">
        <v>128</v>
      </c>
      <c r="C347" s="115"/>
      <c r="D347" s="80"/>
      <c r="E347" s="80"/>
      <c r="F347" s="240">
        <f>1825573*2</f>
        <v>3651146</v>
      </c>
      <c r="G347" s="241"/>
      <c r="H347" s="242"/>
      <c r="I347" s="80"/>
    </row>
    <row r="348" spans="1:15">
      <c r="A348" s="77">
        <v>3</v>
      </c>
      <c r="B348" s="78" t="s">
        <v>329</v>
      </c>
      <c r="C348" s="115"/>
      <c r="D348" s="80"/>
      <c r="E348" s="80"/>
      <c r="F348" s="240"/>
      <c r="G348" s="241"/>
      <c r="H348" s="242"/>
      <c r="I348" s="80">
        <f>E343</f>
        <v>102154620</v>
      </c>
    </row>
    <row r="349" spans="1:15">
      <c r="A349" s="77">
        <v>4</v>
      </c>
      <c r="B349" s="78" t="s">
        <v>147</v>
      </c>
      <c r="C349" s="115"/>
      <c r="D349" s="80"/>
      <c r="E349" s="80"/>
      <c r="F349" s="240">
        <f>ROUND(I349*0.055%,0)</f>
        <v>820069</v>
      </c>
      <c r="G349" s="241"/>
      <c r="H349" s="242"/>
      <c r="I349" s="80">
        <v>1491035000</v>
      </c>
    </row>
    <row r="350" spans="1:15">
      <c r="A350" s="77">
        <v>7</v>
      </c>
      <c r="B350" s="78" t="s">
        <v>61</v>
      </c>
      <c r="C350" s="79"/>
      <c r="D350" s="80"/>
      <c r="E350" s="80">
        <f>C350*D350</f>
        <v>0</v>
      </c>
      <c r="F350" s="240">
        <f>ROUND(I350*0.055%,0)</f>
        <v>2786095</v>
      </c>
      <c r="G350" s="241"/>
      <c r="H350" s="242"/>
      <c r="I350" s="80">
        <v>5065628000</v>
      </c>
    </row>
    <row r="351" spans="1:15" ht="6" customHeight="1">
      <c r="A351" s="77"/>
      <c r="B351" s="134"/>
      <c r="C351" s="135"/>
      <c r="D351" s="132"/>
      <c r="E351" s="132"/>
      <c r="F351" s="243"/>
      <c r="G351" s="244"/>
      <c r="H351" s="245"/>
      <c r="I351" s="132"/>
    </row>
    <row r="352" spans="1:15">
      <c r="A352" s="87"/>
      <c r="B352" s="87" t="s">
        <v>62</v>
      </c>
      <c r="C352" s="88"/>
      <c r="D352" s="89"/>
      <c r="E352" s="89">
        <f>SUM(E346:E351)</f>
        <v>6666076200</v>
      </c>
      <c r="F352" s="246">
        <f>SUM(F346:H351)</f>
        <v>7257310</v>
      </c>
      <c r="G352" s="247"/>
      <c r="H352" s="248"/>
      <c r="I352" s="89">
        <f>SUM(I346:I351)</f>
        <v>6658817620</v>
      </c>
    </row>
    <row r="353" spans="1:15">
      <c r="A353" s="211" t="s">
        <v>308</v>
      </c>
      <c r="K353" s="143"/>
    </row>
    <row r="354" spans="1:15">
      <c r="H354" s="217"/>
      <c r="I354" s="143"/>
    </row>
    <row r="358" spans="1:15" ht="43.5" customHeight="1">
      <c r="A358" s="236" t="s">
        <v>331</v>
      </c>
      <c r="B358" s="236"/>
      <c r="C358" s="236"/>
      <c r="D358" s="236"/>
      <c r="E358" s="236"/>
      <c r="F358" s="105"/>
      <c r="G358" s="19"/>
      <c r="H358" s="19"/>
    </row>
    <row r="359" spans="1:15" s="42" customFormat="1" ht="17.25" customHeight="1">
      <c r="B359" s="57"/>
      <c r="C359" s="112"/>
      <c r="D359" s="104"/>
      <c r="E359" s="118"/>
      <c r="F359" s="61"/>
      <c r="G359" s="62" t="s">
        <v>34</v>
      </c>
      <c r="I359" s="109"/>
    </row>
    <row r="360" spans="1:15" s="102" customFormat="1" ht="36.75" customHeight="1">
      <c r="A360" s="100" t="s">
        <v>1</v>
      </c>
      <c r="B360" s="100" t="s">
        <v>26</v>
      </c>
      <c r="C360" s="113" t="s">
        <v>10</v>
      </c>
      <c r="D360" s="101" t="s">
        <v>11</v>
      </c>
      <c r="E360" s="66" t="s">
        <v>12</v>
      </c>
      <c r="G360" s="64" t="s">
        <v>35</v>
      </c>
      <c r="H360" s="64" t="s">
        <v>36</v>
      </c>
      <c r="I360" s="64" t="s">
        <v>108</v>
      </c>
      <c r="J360" s="64" t="s">
        <v>37</v>
      </c>
      <c r="K360" s="64" t="s">
        <v>88</v>
      </c>
      <c r="L360" s="63" t="s">
        <v>38</v>
      </c>
      <c r="M360" s="66" t="s">
        <v>111</v>
      </c>
      <c r="N360" s="66" t="s">
        <v>12</v>
      </c>
    </row>
    <row r="361" spans="1:15" ht="18.75" customHeight="1">
      <c r="A361" s="77">
        <f>ROW()-242</f>
        <v>119</v>
      </c>
      <c r="B361" s="68" t="s">
        <v>40</v>
      </c>
      <c r="C361" s="114">
        <v>52780</v>
      </c>
      <c r="D361" s="70">
        <v>300</v>
      </c>
      <c r="E361" s="119">
        <f t="shared" ref="E361:E364" si="107">C361*D361</f>
        <v>15834000</v>
      </c>
      <c r="G361" s="81">
        <v>42726</v>
      </c>
      <c r="H361" s="81"/>
      <c r="I361" s="73" t="s">
        <v>322</v>
      </c>
      <c r="J361" s="73"/>
      <c r="K361" s="73">
        <v>65</v>
      </c>
      <c r="L361" s="106">
        <f t="shared" ref="L361:L380" si="108">K361*13</f>
        <v>845</v>
      </c>
      <c r="M361" s="75">
        <v>20000</v>
      </c>
      <c r="N361" s="75" t="str">
        <f t="shared" ref="N361:N380" si="109">IF(J361&lt;&gt;"",M361*L361*J361/1000,"")</f>
        <v/>
      </c>
      <c r="O361" s="76"/>
    </row>
    <row r="362" spans="1:15" ht="18.75" customHeight="1">
      <c r="A362" s="77">
        <f t="shared" ref="A362:A371" si="110">ROW()-242</f>
        <v>120</v>
      </c>
      <c r="B362" s="78" t="s">
        <v>42</v>
      </c>
      <c r="C362" s="115">
        <v>2</v>
      </c>
      <c r="D362" s="80">
        <v>2000000</v>
      </c>
      <c r="E362" s="120">
        <f t="shared" si="107"/>
        <v>4000000</v>
      </c>
      <c r="G362" s="81">
        <v>42726</v>
      </c>
      <c r="H362" s="81"/>
      <c r="I362" s="73" t="s">
        <v>327</v>
      </c>
      <c r="J362" s="73"/>
      <c r="K362" s="73">
        <v>1194</v>
      </c>
      <c r="L362" s="106">
        <f t="shared" si="108"/>
        <v>15522</v>
      </c>
      <c r="M362" s="75">
        <v>20000</v>
      </c>
      <c r="N362" s="75" t="str">
        <f t="shared" si="109"/>
        <v/>
      </c>
      <c r="O362" s="76"/>
    </row>
    <row r="363" spans="1:15" ht="18.75" customHeight="1">
      <c r="A363" s="77">
        <f t="shared" si="110"/>
        <v>121</v>
      </c>
      <c r="B363" s="78" t="s">
        <v>43</v>
      </c>
      <c r="C363" s="115">
        <v>2</v>
      </c>
      <c r="D363" s="80">
        <v>2000000</v>
      </c>
      <c r="E363" s="120">
        <f t="shared" si="107"/>
        <v>4000000</v>
      </c>
      <c r="G363" s="81"/>
      <c r="H363" s="81"/>
      <c r="I363" s="73"/>
      <c r="J363" s="73"/>
      <c r="K363" s="73"/>
      <c r="L363" s="106">
        <f t="shared" si="108"/>
        <v>0</v>
      </c>
      <c r="M363" s="75">
        <v>20000</v>
      </c>
      <c r="N363" s="75" t="str">
        <f t="shared" si="109"/>
        <v/>
      </c>
      <c r="O363" s="76"/>
    </row>
    <row r="364" spans="1:15" ht="18.75" customHeight="1">
      <c r="A364" s="77">
        <f t="shared" si="110"/>
        <v>122</v>
      </c>
      <c r="B364" s="78" t="s">
        <v>44</v>
      </c>
      <c r="C364" s="115">
        <v>2</v>
      </c>
      <c r="D364" s="80">
        <v>600000</v>
      </c>
      <c r="E364" s="120">
        <f t="shared" si="107"/>
        <v>1200000</v>
      </c>
      <c r="G364" s="81"/>
      <c r="H364" s="81"/>
      <c r="I364" s="73"/>
      <c r="J364" s="73"/>
      <c r="K364" s="73"/>
      <c r="L364" s="106">
        <f t="shared" si="108"/>
        <v>0</v>
      </c>
      <c r="M364" s="75">
        <v>20000</v>
      </c>
      <c r="N364" s="75" t="str">
        <f t="shared" si="109"/>
        <v/>
      </c>
      <c r="O364" s="76"/>
    </row>
    <row r="365" spans="1:15" ht="18.75" customHeight="1">
      <c r="A365" s="77">
        <f t="shared" si="110"/>
        <v>123</v>
      </c>
      <c r="B365" s="78" t="s">
        <v>80</v>
      </c>
      <c r="C365" s="115">
        <v>2</v>
      </c>
      <c r="D365" s="80">
        <v>16725000</v>
      </c>
      <c r="E365" s="120">
        <f>C365*D365</f>
        <v>33450000</v>
      </c>
      <c r="G365" s="81"/>
      <c r="H365" s="81"/>
      <c r="I365" s="73"/>
      <c r="J365" s="73"/>
      <c r="K365" s="73"/>
      <c r="L365" s="106">
        <f t="shared" si="108"/>
        <v>0</v>
      </c>
      <c r="M365" s="75">
        <v>20000</v>
      </c>
      <c r="N365" s="75" t="str">
        <f t="shared" si="109"/>
        <v/>
      </c>
      <c r="O365" s="76"/>
    </row>
    <row r="366" spans="1:15" ht="18.75" customHeight="1">
      <c r="A366" s="77">
        <f t="shared" si="110"/>
        <v>124</v>
      </c>
      <c r="B366" s="78" t="s">
        <v>46</v>
      </c>
      <c r="C366" s="115">
        <v>2</v>
      </c>
      <c r="D366" s="80">
        <v>9358000</v>
      </c>
      <c r="E366" s="120">
        <f t="shared" ref="E366:E367" si="111">C366*D366</f>
        <v>18716000</v>
      </c>
      <c r="G366" s="81"/>
      <c r="H366" s="81"/>
      <c r="I366" s="73"/>
      <c r="J366" s="73"/>
      <c r="K366" s="73"/>
      <c r="L366" s="106">
        <f t="shared" si="108"/>
        <v>0</v>
      </c>
      <c r="M366" s="75">
        <v>20000</v>
      </c>
      <c r="N366" s="75" t="str">
        <f t="shared" si="109"/>
        <v/>
      </c>
      <c r="O366" s="76"/>
    </row>
    <row r="367" spans="1:15" ht="18.75" customHeight="1">
      <c r="A367" s="77">
        <f t="shared" si="110"/>
        <v>125</v>
      </c>
      <c r="B367" s="78" t="s">
        <v>47</v>
      </c>
      <c r="C367" s="115">
        <v>2</v>
      </c>
      <c r="D367" s="80">
        <v>5600000</v>
      </c>
      <c r="E367" s="120">
        <f t="shared" si="111"/>
        <v>11200000</v>
      </c>
      <c r="G367" s="81"/>
      <c r="H367" s="81"/>
      <c r="I367" s="73"/>
      <c r="J367" s="73"/>
      <c r="K367" s="73"/>
      <c r="L367" s="106">
        <f t="shared" si="108"/>
        <v>0</v>
      </c>
      <c r="M367" s="75">
        <v>20000</v>
      </c>
      <c r="N367" s="75" t="str">
        <f t="shared" si="109"/>
        <v/>
      </c>
      <c r="O367" s="76"/>
    </row>
    <row r="368" spans="1:15" ht="18.75" customHeight="1">
      <c r="A368" s="77">
        <f t="shared" si="110"/>
        <v>126</v>
      </c>
      <c r="B368" s="78" t="s">
        <v>49</v>
      </c>
      <c r="C368" s="115">
        <v>1</v>
      </c>
      <c r="D368" s="80">
        <v>1350000</v>
      </c>
      <c r="E368" s="120">
        <f>C368*D368</f>
        <v>1350000</v>
      </c>
      <c r="G368" s="81"/>
      <c r="H368" s="81"/>
      <c r="I368" s="73"/>
      <c r="J368" s="73"/>
      <c r="K368" s="73"/>
      <c r="L368" s="106">
        <f t="shared" si="108"/>
        <v>0</v>
      </c>
      <c r="M368" s="75">
        <v>20000</v>
      </c>
      <c r="N368" s="75" t="str">
        <f t="shared" si="109"/>
        <v/>
      </c>
      <c r="O368" s="76"/>
    </row>
    <row r="369" spans="1:15" ht="18.75" customHeight="1">
      <c r="A369" s="77">
        <f t="shared" si="110"/>
        <v>127</v>
      </c>
      <c r="B369" s="78" t="s">
        <v>84</v>
      </c>
      <c r="C369" s="115">
        <v>2</v>
      </c>
      <c r="D369" s="80">
        <v>2500000</v>
      </c>
      <c r="E369" s="120">
        <f t="shared" ref="E369" si="112">C369*D369</f>
        <v>5000000</v>
      </c>
      <c r="G369" s="81"/>
      <c r="H369" s="81"/>
      <c r="I369" s="73"/>
      <c r="J369" s="73"/>
      <c r="K369" s="73"/>
      <c r="L369" s="106">
        <f t="shared" si="108"/>
        <v>0</v>
      </c>
      <c r="M369" s="75">
        <v>20000</v>
      </c>
      <c r="N369" s="75" t="str">
        <f t="shared" si="109"/>
        <v/>
      </c>
      <c r="O369" s="76"/>
    </row>
    <row r="370" spans="1:15" ht="18.75" customHeight="1">
      <c r="A370" s="77">
        <f t="shared" si="110"/>
        <v>128</v>
      </c>
      <c r="B370" s="78" t="s">
        <v>50</v>
      </c>
      <c r="C370" s="115">
        <v>53</v>
      </c>
      <c r="D370" s="80">
        <v>50000</v>
      </c>
      <c r="E370" s="120">
        <f>C370*D370</f>
        <v>2650000</v>
      </c>
      <c r="G370" s="81"/>
      <c r="H370" s="81"/>
      <c r="I370" s="73"/>
      <c r="J370" s="73" t="str">
        <f t="shared" ref="J370" si="113">IF(H370&lt;&gt;"",H370-G370+1,"")</f>
        <v/>
      </c>
      <c r="K370" s="73"/>
      <c r="L370" s="106">
        <f t="shared" si="108"/>
        <v>0</v>
      </c>
      <c r="M370" s="75">
        <v>20000</v>
      </c>
      <c r="N370" s="75" t="str">
        <f t="shared" si="109"/>
        <v/>
      </c>
      <c r="O370" s="76"/>
    </row>
    <row r="371" spans="1:15" ht="18.75" customHeight="1">
      <c r="A371" s="77">
        <f t="shared" si="110"/>
        <v>129</v>
      </c>
      <c r="B371" s="78" t="s">
        <v>51</v>
      </c>
      <c r="C371" s="115"/>
      <c r="D371" s="80"/>
      <c r="E371" s="120">
        <f>N382</f>
        <v>0</v>
      </c>
      <c r="G371" s="81"/>
      <c r="H371" s="81"/>
      <c r="I371" s="73"/>
      <c r="J371" s="73"/>
      <c r="K371" s="73"/>
      <c r="L371" s="106">
        <f t="shared" si="108"/>
        <v>0</v>
      </c>
      <c r="M371" s="75">
        <v>20000</v>
      </c>
      <c r="N371" s="75" t="str">
        <f t="shared" si="109"/>
        <v/>
      </c>
      <c r="O371" s="76"/>
    </row>
    <row r="372" spans="1:15" ht="19.5" customHeight="1">
      <c r="A372" s="77"/>
      <c r="B372" s="78"/>
      <c r="C372" s="115"/>
      <c r="D372" s="80"/>
      <c r="E372" s="120"/>
      <c r="G372" s="81"/>
      <c r="H372" s="81"/>
      <c r="I372" s="73"/>
      <c r="J372" s="73"/>
      <c r="K372" s="73"/>
      <c r="L372" s="106">
        <f t="shared" si="108"/>
        <v>0</v>
      </c>
      <c r="M372" s="75">
        <v>20000</v>
      </c>
      <c r="N372" s="75" t="str">
        <f t="shared" si="109"/>
        <v/>
      </c>
      <c r="O372" s="76"/>
    </row>
    <row r="373" spans="1:15" ht="19.5" customHeight="1">
      <c r="A373" s="77"/>
      <c r="B373" s="78"/>
      <c r="C373" s="115"/>
      <c r="D373" s="80"/>
      <c r="E373" s="120"/>
      <c r="G373" s="81"/>
      <c r="H373" s="81"/>
      <c r="I373" s="73"/>
      <c r="J373" s="73"/>
      <c r="K373" s="73"/>
      <c r="L373" s="106">
        <f t="shared" si="108"/>
        <v>0</v>
      </c>
      <c r="M373" s="75">
        <v>20000</v>
      </c>
      <c r="N373" s="75" t="str">
        <f t="shared" si="109"/>
        <v/>
      </c>
      <c r="O373" s="76"/>
    </row>
    <row r="374" spans="1:15" ht="19.5" customHeight="1">
      <c r="A374" s="77"/>
      <c r="B374" s="78"/>
      <c r="C374" s="115"/>
      <c r="D374" s="80"/>
      <c r="E374" s="120"/>
      <c r="G374" s="81"/>
      <c r="H374" s="81"/>
      <c r="I374" s="73"/>
      <c r="J374" s="73"/>
      <c r="K374" s="73"/>
      <c r="L374" s="106">
        <f t="shared" si="108"/>
        <v>0</v>
      </c>
      <c r="M374" s="75">
        <v>20000</v>
      </c>
      <c r="N374" s="75" t="str">
        <f t="shared" si="109"/>
        <v/>
      </c>
      <c r="O374" s="76"/>
    </row>
    <row r="375" spans="1:15" ht="19.5" customHeight="1">
      <c r="A375" s="77"/>
      <c r="B375" s="78"/>
      <c r="C375" s="115"/>
      <c r="D375" s="80"/>
      <c r="E375" s="120"/>
      <c r="G375" s="81"/>
      <c r="H375" s="81"/>
      <c r="I375" s="73"/>
      <c r="J375" s="73" t="str">
        <f t="shared" ref="J375:J380" si="114">IF(H375&lt;&gt;"",H375-G375+1,"")</f>
        <v/>
      </c>
      <c r="K375" s="73"/>
      <c r="L375" s="106">
        <f t="shared" si="108"/>
        <v>0</v>
      </c>
      <c r="M375" s="75">
        <v>20000</v>
      </c>
      <c r="N375" s="75" t="str">
        <f t="shared" si="109"/>
        <v/>
      </c>
      <c r="O375" s="76"/>
    </row>
    <row r="376" spans="1:15" ht="19.5" customHeight="1">
      <c r="A376" s="77"/>
      <c r="B376" s="78"/>
      <c r="C376" s="115"/>
      <c r="D376" s="80"/>
      <c r="E376" s="120"/>
      <c r="G376" s="81"/>
      <c r="H376" s="81"/>
      <c r="I376" s="73"/>
      <c r="J376" s="73" t="str">
        <f t="shared" si="114"/>
        <v/>
      </c>
      <c r="K376" s="73"/>
      <c r="L376" s="106">
        <f t="shared" si="108"/>
        <v>0</v>
      </c>
      <c r="M376" s="75">
        <v>20000</v>
      </c>
      <c r="N376" s="75" t="str">
        <f t="shared" si="109"/>
        <v/>
      </c>
      <c r="O376" s="76"/>
    </row>
    <row r="377" spans="1:15" ht="19.5" customHeight="1">
      <c r="A377" s="77"/>
      <c r="B377" s="78"/>
      <c r="C377" s="115"/>
      <c r="D377" s="80"/>
      <c r="E377" s="120"/>
      <c r="G377" s="81"/>
      <c r="H377" s="81"/>
      <c r="I377" s="73"/>
      <c r="J377" s="73" t="str">
        <f t="shared" si="114"/>
        <v/>
      </c>
      <c r="K377" s="73"/>
      <c r="L377" s="106">
        <f t="shared" si="108"/>
        <v>0</v>
      </c>
      <c r="M377" s="75">
        <v>20000</v>
      </c>
      <c r="N377" s="75" t="str">
        <f t="shared" si="109"/>
        <v/>
      </c>
      <c r="O377" s="76"/>
    </row>
    <row r="378" spans="1:15" ht="19.5" customHeight="1">
      <c r="A378" s="77"/>
      <c r="B378" s="78"/>
      <c r="C378" s="115"/>
      <c r="D378" s="80"/>
      <c r="E378" s="120"/>
      <c r="G378" s="81"/>
      <c r="H378" s="81"/>
      <c r="I378" s="73"/>
      <c r="J378" s="73" t="str">
        <f t="shared" si="114"/>
        <v/>
      </c>
      <c r="K378" s="73"/>
      <c r="L378" s="106">
        <f t="shared" si="108"/>
        <v>0</v>
      </c>
      <c r="M378" s="75">
        <v>20000</v>
      </c>
      <c r="N378" s="75" t="str">
        <f t="shared" si="109"/>
        <v/>
      </c>
      <c r="O378" s="76"/>
    </row>
    <row r="379" spans="1:15" ht="19.5" customHeight="1">
      <c r="A379" s="77"/>
      <c r="B379" s="78"/>
      <c r="C379" s="115"/>
      <c r="D379" s="80"/>
      <c r="E379" s="120"/>
      <c r="G379" s="81"/>
      <c r="H379" s="81"/>
      <c r="I379" s="73"/>
      <c r="J379" s="73" t="str">
        <f t="shared" si="114"/>
        <v/>
      </c>
      <c r="K379" s="73"/>
      <c r="L379" s="106">
        <f t="shared" si="108"/>
        <v>0</v>
      </c>
      <c r="M379" s="75">
        <v>20000</v>
      </c>
      <c r="N379" s="75" t="str">
        <f t="shared" si="109"/>
        <v/>
      </c>
      <c r="O379" s="76"/>
    </row>
    <row r="380" spans="1:15" ht="19.5" customHeight="1">
      <c r="A380" s="77"/>
      <c r="B380" s="78"/>
      <c r="C380" s="115"/>
      <c r="D380" s="80"/>
      <c r="E380" s="120"/>
      <c r="G380" s="81"/>
      <c r="H380" s="81"/>
      <c r="I380" s="73"/>
      <c r="J380" s="73" t="str">
        <f t="shared" si="114"/>
        <v/>
      </c>
      <c r="K380" s="73"/>
      <c r="L380" s="106">
        <f t="shared" si="108"/>
        <v>0</v>
      </c>
      <c r="M380" s="75">
        <v>20000</v>
      </c>
      <c r="N380" s="75" t="str">
        <f t="shared" si="109"/>
        <v/>
      </c>
      <c r="O380" s="76"/>
    </row>
    <row r="381" spans="1:15" ht="18.75" customHeight="1">
      <c r="A381" s="77"/>
      <c r="B381" s="78"/>
      <c r="C381" s="115"/>
      <c r="D381" s="80"/>
      <c r="E381" s="120"/>
      <c r="F381" s="21"/>
      <c r="G381" s="83"/>
      <c r="H381" s="83"/>
      <c r="I381" s="84"/>
      <c r="J381" s="84"/>
      <c r="K381" s="84"/>
      <c r="L381" s="85"/>
      <c r="M381" s="86"/>
      <c r="N381" s="86"/>
    </row>
    <row r="382" spans="1:15" ht="22.5" customHeight="1">
      <c r="A382" s="87"/>
      <c r="B382" s="87" t="s">
        <v>53</v>
      </c>
      <c r="C382" s="116"/>
      <c r="D382" s="89"/>
      <c r="E382" s="91">
        <f>SUM(E361:E381)</f>
        <v>97400000</v>
      </c>
      <c r="G382" s="90"/>
      <c r="H382" s="90"/>
      <c r="I382" s="90" t="s">
        <v>53</v>
      </c>
      <c r="J382" s="90"/>
      <c r="K382" s="107">
        <f>SUM(K361:K381)</f>
        <v>1259</v>
      </c>
      <c r="L382" s="107">
        <f>SUM(L361:L381)</f>
        <v>16367</v>
      </c>
      <c r="M382" s="107"/>
      <c r="N382" s="91">
        <f>SUM(N361:N381)</f>
        <v>0</v>
      </c>
    </row>
  </sheetData>
  <mergeCells count="116">
    <mergeCell ref="A358:E358"/>
    <mergeCell ref="F345:H345"/>
    <mergeCell ref="F346:H346"/>
    <mergeCell ref="F348:H348"/>
    <mergeCell ref="F349:H349"/>
    <mergeCell ref="F350:H350"/>
    <mergeCell ref="F351:H351"/>
    <mergeCell ref="F352:H352"/>
    <mergeCell ref="F347:H347"/>
    <mergeCell ref="F268:H268"/>
    <mergeCell ref="F262:H262"/>
    <mergeCell ref="F263:H263"/>
    <mergeCell ref="F264:H264"/>
    <mergeCell ref="F266:H266"/>
    <mergeCell ref="F267:H267"/>
    <mergeCell ref="F265:H265"/>
    <mergeCell ref="A288:E288"/>
    <mergeCell ref="F269:H269"/>
    <mergeCell ref="F270:H270"/>
    <mergeCell ref="F271:H271"/>
    <mergeCell ref="F281:H281"/>
    <mergeCell ref="F277:H277"/>
    <mergeCell ref="F278:H278"/>
    <mergeCell ref="F279:H279"/>
    <mergeCell ref="F274:H274"/>
    <mergeCell ref="F275:H275"/>
    <mergeCell ref="F276:H276"/>
    <mergeCell ref="F280:H280"/>
    <mergeCell ref="F272:H272"/>
    <mergeCell ref="A240:E240"/>
    <mergeCell ref="F227:H227"/>
    <mergeCell ref="F228:H228"/>
    <mergeCell ref="F230:H230"/>
    <mergeCell ref="F231:H231"/>
    <mergeCell ref="F233:H233"/>
    <mergeCell ref="F234:H234"/>
    <mergeCell ref="F235:H235"/>
    <mergeCell ref="F236:H236"/>
    <mergeCell ref="F136:H136"/>
    <mergeCell ref="F137:H137"/>
    <mergeCell ref="F131:H131"/>
    <mergeCell ref="F139:H139"/>
    <mergeCell ref="F134:H134"/>
    <mergeCell ref="F128:H128"/>
    <mergeCell ref="F129:H129"/>
    <mergeCell ref="F130:H130"/>
    <mergeCell ref="F132:H132"/>
    <mergeCell ref="F133:H133"/>
    <mergeCell ref="F94:H94"/>
    <mergeCell ref="F92:H92"/>
    <mergeCell ref="F93:H93"/>
    <mergeCell ref="F96:H96"/>
    <mergeCell ref="F98:H98"/>
    <mergeCell ref="F99:H99"/>
    <mergeCell ref="F95:H95"/>
    <mergeCell ref="F97:H97"/>
    <mergeCell ref="F135:H135"/>
    <mergeCell ref="F140:H140"/>
    <mergeCell ref="F141:H141"/>
    <mergeCell ref="F142:H142"/>
    <mergeCell ref="F143:H143"/>
    <mergeCell ref="F144:H144"/>
    <mergeCell ref="A1:E1"/>
    <mergeCell ref="A32:E32"/>
    <mergeCell ref="A21:E21"/>
    <mergeCell ref="A55:E55"/>
    <mergeCell ref="A105:E105"/>
    <mergeCell ref="B77:D77"/>
    <mergeCell ref="B78:D78"/>
    <mergeCell ref="B79:D79"/>
    <mergeCell ref="B80:D80"/>
    <mergeCell ref="B81:D81"/>
    <mergeCell ref="B82:D82"/>
    <mergeCell ref="B83:D83"/>
    <mergeCell ref="F89:H89"/>
    <mergeCell ref="F90:H90"/>
    <mergeCell ref="F85:H85"/>
    <mergeCell ref="F86:H86"/>
    <mergeCell ref="F87:H87"/>
    <mergeCell ref="F88:H88"/>
    <mergeCell ref="F100:H100"/>
    <mergeCell ref="A150:E150"/>
    <mergeCell ref="F188:H188"/>
    <mergeCell ref="F189:H189"/>
    <mergeCell ref="F194:H194"/>
    <mergeCell ref="F190:H190"/>
    <mergeCell ref="F191:H191"/>
    <mergeCell ref="F145:H145"/>
    <mergeCell ref="F146:H146"/>
    <mergeCell ref="F147:H147"/>
    <mergeCell ref="F226:H226"/>
    <mergeCell ref="F232:H232"/>
    <mergeCell ref="A205:E205"/>
    <mergeCell ref="F177:H177"/>
    <mergeCell ref="F178:H178"/>
    <mergeCell ref="F179:H179"/>
    <mergeCell ref="F180:H180"/>
    <mergeCell ref="F181:H181"/>
    <mergeCell ref="F195:H195"/>
    <mergeCell ref="F197:H197"/>
    <mergeCell ref="F196:H196"/>
    <mergeCell ref="F198:H198"/>
    <mergeCell ref="F199:H199"/>
    <mergeCell ref="F182:H182"/>
    <mergeCell ref="F183:H183"/>
    <mergeCell ref="F184:H184"/>
    <mergeCell ref="A328:E328"/>
    <mergeCell ref="F316:H316"/>
    <mergeCell ref="F317:H317"/>
    <mergeCell ref="F319:H319"/>
    <mergeCell ref="F320:H320"/>
    <mergeCell ref="F321:H321"/>
    <mergeCell ref="F322:H322"/>
    <mergeCell ref="F323:H323"/>
    <mergeCell ref="F324:H324"/>
    <mergeCell ref="F318:H318"/>
  </mergeCells>
  <pageMargins left="0.16" right="0.16" top="0.19" bottom="0.25" header="0" footer="0"/>
  <pageSetup paperSize="9"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62"/>
  <sheetViews>
    <sheetView topLeftCell="A50" workbookViewId="0">
      <selection activeCell="C53" sqref="C53"/>
    </sheetView>
  </sheetViews>
  <sheetFormatPr defaultRowHeight="15"/>
  <cols>
    <col min="1" max="1" width="6.85546875" style="185" customWidth="1"/>
    <col min="2" max="2" width="10.42578125" style="181" customWidth="1"/>
    <col min="3" max="3" width="9.140625" style="181"/>
    <col min="4" max="4" width="24.28515625" style="181" customWidth="1"/>
    <col min="5" max="5" width="10.85546875" style="181" customWidth="1"/>
    <col min="6" max="6" width="10.5703125" style="181" customWidth="1"/>
    <col min="7" max="7" width="13.7109375" style="181" customWidth="1"/>
    <col min="8" max="8" width="12.140625" style="181" customWidth="1"/>
    <col min="9" max="9" width="9.140625" style="181"/>
    <col min="10" max="10" width="11.28515625" style="181" bestFit="1" customWidth="1"/>
    <col min="11" max="16384" width="9.140625" style="181"/>
  </cols>
  <sheetData>
    <row r="2" spans="1:10" s="176" customFormat="1" ht="28.5" customHeight="1">
      <c r="A2" s="257" t="s">
        <v>209</v>
      </c>
      <c r="B2" s="257"/>
      <c r="C2" s="257"/>
      <c r="D2" s="257"/>
      <c r="E2" s="257"/>
      <c r="F2" s="257"/>
      <c r="G2" s="257"/>
      <c r="H2" s="257"/>
      <c r="I2" s="257"/>
    </row>
    <row r="3" spans="1:10" s="178" customFormat="1" ht="33.75" customHeight="1">
      <c r="A3" s="177" t="s">
        <v>1</v>
      </c>
      <c r="B3" s="177" t="s">
        <v>210</v>
      </c>
      <c r="C3" s="177" t="s">
        <v>211</v>
      </c>
      <c r="D3" s="177" t="s">
        <v>212</v>
      </c>
      <c r="E3" s="177" t="s">
        <v>10</v>
      </c>
      <c r="F3" s="177" t="s">
        <v>11</v>
      </c>
      <c r="G3" s="177" t="s">
        <v>12</v>
      </c>
      <c r="H3" s="177" t="s">
        <v>213</v>
      </c>
      <c r="I3" s="177" t="s">
        <v>87</v>
      </c>
    </row>
    <row r="4" spans="1:10" ht="21" customHeight="1">
      <c r="A4" s="179">
        <v>1</v>
      </c>
      <c r="B4" s="186">
        <v>42683</v>
      </c>
      <c r="C4" s="187" t="s">
        <v>214</v>
      </c>
      <c r="D4" s="180" t="s">
        <v>223</v>
      </c>
      <c r="E4" s="174">
        <v>4000</v>
      </c>
      <c r="F4" s="173">
        <v>4500</v>
      </c>
      <c r="G4" s="173">
        <f t="shared" ref="G4:G12" si="0">E4*F4</f>
        <v>18000000</v>
      </c>
      <c r="H4" s="173">
        <f t="shared" ref="H4:H13" si="1">G4*10%</f>
        <v>1800000</v>
      </c>
      <c r="I4" s="182"/>
      <c r="J4" s="192"/>
    </row>
    <row r="5" spans="1:10" ht="21" customHeight="1">
      <c r="A5" s="179">
        <v>2</v>
      </c>
      <c r="B5" s="186">
        <v>42684</v>
      </c>
      <c r="C5" s="187" t="s">
        <v>215</v>
      </c>
      <c r="D5" s="180" t="s">
        <v>223</v>
      </c>
      <c r="E5" s="174">
        <v>4000</v>
      </c>
      <c r="F5" s="173">
        <v>4500</v>
      </c>
      <c r="G5" s="173">
        <f t="shared" si="0"/>
        <v>18000000</v>
      </c>
      <c r="H5" s="173">
        <f t="shared" si="1"/>
        <v>1800000</v>
      </c>
      <c r="I5" s="182"/>
      <c r="J5" s="192"/>
    </row>
    <row r="6" spans="1:10" ht="21" customHeight="1">
      <c r="A6" s="179">
        <v>3</v>
      </c>
      <c r="B6" s="186">
        <v>42689</v>
      </c>
      <c r="C6" s="191" t="s">
        <v>229</v>
      </c>
      <c r="D6" s="180" t="s">
        <v>223</v>
      </c>
      <c r="E6" s="174">
        <v>3900</v>
      </c>
      <c r="F6" s="173">
        <v>4500</v>
      </c>
      <c r="G6" s="173">
        <f t="shared" si="0"/>
        <v>17550000</v>
      </c>
      <c r="H6" s="173">
        <f t="shared" si="1"/>
        <v>1755000</v>
      </c>
      <c r="I6" s="182"/>
      <c r="J6" s="192"/>
    </row>
    <row r="7" spans="1:10" ht="42" customHeight="1">
      <c r="A7" s="179">
        <v>4</v>
      </c>
      <c r="B7" s="186">
        <v>42693</v>
      </c>
      <c r="C7" s="191" t="s">
        <v>216</v>
      </c>
      <c r="D7" s="193" t="s">
        <v>224</v>
      </c>
      <c r="E7" s="174">
        <v>4000</v>
      </c>
      <c r="F7" s="173">
        <v>4500</v>
      </c>
      <c r="G7" s="173">
        <f t="shared" si="0"/>
        <v>18000000</v>
      </c>
      <c r="H7" s="173">
        <f t="shared" si="1"/>
        <v>1800000</v>
      </c>
      <c r="I7" s="182"/>
      <c r="J7" s="192"/>
    </row>
    <row r="8" spans="1:10" ht="21" customHeight="1">
      <c r="A8" s="179">
        <v>5</v>
      </c>
      <c r="B8" s="186">
        <v>42697</v>
      </c>
      <c r="C8" s="191" t="s">
        <v>217</v>
      </c>
      <c r="D8" s="180" t="s">
        <v>223</v>
      </c>
      <c r="E8" s="174">
        <v>3353</v>
      </c>
      <c r="F8" s="173">
        <v>4500</v>
      </c>
      <c r="G8" s="173">
        <f t="shared" si="0"/>
        <v>15088500</v>
      </c>
      <c r="H8" s="173">
        <f t="shared" si="1"/>
        <v>1508850</v>
      </c>
      <c r="I8" s="182"/>
      <c r="J8" s="192"/>
    </row>
    <row r="9" spans="1:10" ht="38.25" customHeight="1">
      <c r="A9" s="179">
        <v>6</v>
      </c>
      <c r="B9" s="186">
        <v>42701</v>
      </c>
      <c r="C9" s="191" t="s">
        <v>218</v>
      </c>
      <c r="D9" s="193" t="s">
        <v>225</v>
      </c>
      <c r="E9" s="174">
        <v>4000</v>
      </c>
      <c r="F9" s="173">
        <v>4500</v>
      </c>
      <c r="G9" s="173">
        <f t="shared" si="0"/>
        <v>18000000</v>
      </c>
      <c r="H9" s="173">
        <f t="shared" si="1"/>
        <v>1800000</v>
      </c>
      <c r="I9" s="182"/>
      <c r="J9" s="192"/>
    </row>
    <row r="10" spans="1:10" ht="21" customHeight="1">
      <c r="A10" s="179">
        <v>7</v>
      </c>
      <c r="B10" s="186">
        <v>42702</v>
      </c>
      <c r="C10" s="191" t="s">
        <v>219</v>
      </c>
      <c r="D10" s="180" t="s">
        <v>223</v>
      </c>
      <c r="E10" s="174">
        <v>1700</v>
      </c>
      <c r="F10" s="173">
        <v>4500</v>
      </c>
      <c r="G10" s="173">
        <f t="shared" si="0"/>
        <v>7650000</v>
      </c>
      <c r="H10" s="173">
        <f t="shared" si="1"/>
        <v>765000</v>
      </c>
      <c r="I10" s="182"/>
      <c r="J10" s="192"/>
    </row>
    <row r="11" spans="1:10" ht="21" customHeight="1">
      <c r="A11" s="179">
        <v>8</v>
      </c>
      <c r="B11" s="186">
        <v>42703</v>
      </c>
      <c r="C11" s="191" t="s">
        <v>220</v>
      </c>
      <c r="D11" s="180" t="s">
        <v>223</v>
      </c>
      <c r="E11" s="174">
        <v>4000</v>
      </c>
      <c r="F11" s="173">
        <v>4500</v>
      </c>
      <c r="G11" s="173">
        <f t="shared" si="0"/>
        <v>18000000</v>
      </c>
      <c r="H11" s="173">
        <f t="shared" si="1"/>
        <v>1800000</v>
      </c>
      <c r="I11" s="182"/>
      <c r="J11" s="192"/>
    </row>
    <row r="12" spans="1:10" ht="21" customHeight="1">
      <c r="A12" s="179">
        <v>9</v>
      </c>
      <c r="B12" s="186">
        <v>42705</v>
      </c>
      <c r="C12" s="191" t="s">
        <v>222</v>
      </c>
      <c r="D12" s="180" t="s">
        <v>223</v>
      </c>
      <c r="E12" s="174">
        <v>4000</v>
      </c>
      <c r="F12" s="173">
        <v>4500</v>
      </c>
      <c r="G12" s="173">
        <f t="shared" si="0"/>
        <v>18000000</v>
      </c>
      <c r="H12" s="173">
        <f t="shared" si="1"/>
        <v>1800000</v>
      </c>
      <c r="I12" s="182"/>
      <c r="J12" s="192"/>
    </row>
    <row r="13" spans="1:10" ht="21" customHeight="1">
      <c r="A13" s="179">
        <v>10</v>
      </c>
      <c r="B13" s="186">
        <v>42707</v>
      </c>
      <c r="C13" s="191" t="s">
        <v>221</v>
      </c>
      <c r="D13" s="180" t="s">
        <v>223</v>
      </c>
      <c r="E13" s="174">
        <v>4000</v>
      </c>
      <c r="F13" s="173">
        <v>4500</v>
      </c>
      <c r="G13" s="173">
        <f t="shared" ref="G13" si="2">E13*F13</f>
        <v>18000000</v>
      </c>
      <c r="H13" s="173">
        <f t="shared" si="1"/>
        <v>1800000</v>
      </c>
      <c r="I13" s="182"/>
      <c r="J13" s="192"/>
    </row>
    <row r="14" spans="1:10" ht="21" customHeight="1">
      <c r="A14" s="183"/>
      <c r="B14" s="184"/>
      <c r="C14" s="184"/>
      <c r="D14" s="184"/>
      <c r="E14" s="175"/>
      <c r="F14" s="175"/>
      <c r="G14" s="175"/>
      <c r="H14" s="175"/>
      <c r="I14" s="184"/>
    </row>
    <row r="15" spans="1:10" s="190" customFormat="1" ht="21" customHeight="1">
      <c r="A15" s="235" t="s">
        <v>24</v>
      </c>
      <c r="B15" s="235"/>
      <c r="C15" s="235"/>
      <c r="D15" s="235"/>
      <c r="E15" s="188"/>
      <c r="F15" s="188"/>
      <c r="G15" s="188">
        <f>SUM(G4:G14)</f>
        <v>166288500</v>
      </c>
      <c r="H15" s="188">
        <f>SUM(H4:H14)</f>
        <v>16628850</v>
      </c>
      <c r="I15" s="189"/>
    </row>
    <row r="17" spans="1:10" s="176" customFormat="1" ht="14.25">
      <c r="A17" s="176" t="s">
        <v>226</v>
      </c>
    </row>
    <row r="18" spans="1:10" s="176" customFormat="1" ht="14.25">
      <c r="A18" s="176" t="s">
        <v>227</v>
      </c>
    </row>
    <row r="19" spans="1:10" s="176" customFormat="1" ht="14.25">
      <c r="A19" s="176" t="s">
        <v>228</v>
      </c>
    </row>
    <row r="22" spans="1:10" s="176" customFormat="1" ht="28.5" customHeight="1">
      <c r="A22" s="257" t="s">
        <v>262</v>
      </c>
      <c r="B22" s="257"/>
      <c r="C22" s="257"/>
      <c r="D22" s="257"/>
      <c r="E22" s="257"/>
      <c r="F22" s="257"/>
      <c r="G22" s="257"/>
      <c r="H22" s="257"/>
      <c r="I22" s="257"/>
    </row>
    <row r="23" spans="1:10" s="178" customFormat="1" ht="33.75" customHeight="1">
      <c r="A23" s="177" t="s">
        <v>1</v>
      </c>
      <c r="B23" s="177" t="s">
        <v>210</v>
      </c>
      <c r="C23" s="177" t="s">
        <v>211</v>
      </c>
      <c r="D23" s="177" t="s">
        <v>212</v>
      </c>
      <c r="E23" s="177" t="s">
        <v>10</v>
      </c>
      <c r="F23" s="177" t="s">
        <v>11</v>
      </c>
      <c r="G23" s="177" t="s">
        <v>12</v>
      </c>
      <c r="H23" s="177" t="s">
        <v>274</v>
      </c>
      <c r="I23" s="177" t="s">
        <v>87</v>
      </c>
    </row>
    <row r="24" spans="1:10" ht="21" customHeight="1">
      <c r="A24" s="179">
        <v>1</v>
      </c>
      <c r="B24" s="186">
        <v>42705</v>
      </c>
      <c r="C24" s="187" t="s">
        <v>263</v>
      </c>
      <c r="D24" s="180" t="s">
        <v>223</v>
      </c>
      <c r="E24" s="174">
        <v>2400</v>
      </c>
      <c r="F24" s="173">
        <v>7500</v>
      </c>
      <c r="G24" s="173">
        <f t="shared" ref="G24:G30" si="3">E24*F24</f>
        <v>18000000</v>
      </c>
      <c r="H24" s="173">
        <f t="shared" ref="H24:H30" si="4">G24*10%</f>
        <v>1800000</v>
      </c>
      <c r="I24" s="182"/>
      <c r="J24" s="192"/>
    </row>
    <row r="25" spans="1:10" ht="21" customHeight="1">
      <c r="A25" s="179">
        <v>2</v>
      </c>
      <c r="B25" s="186">
        <v>42706</v>
      </c>
      <c r="C25" s="187" t="s">
        <v>265</v>
      </c>
      <c r="D25" s="180" t="s">
        <v>223</v>
      </c>
      <c r="E25" s="174">
        <v>1600</v>
      </c>
      <c r="F25" s="173">
        <v>7500</v>
      </c>
      <c r="G25" s="173">
        <f t="shared" si="3"/>
        <v>12000000</v>
      </c>
      <c r="H25" s="173">
        <f t="shared" si="4"/>
        <v>1200000</v>
      </c>
      <c r="I25" s="182"/>
      <c r="J25" s="192"/>
    </row>
    <row r="26" spans="1:10" ht="21.75" customHeight="1">
      <c r="A26" s="179">
        <v>3</v>
      </c>
      <c r="B26" s="186">
        <v>42710</v>
      </c>
      <c r="C26" s="187" t="s">
        <v>267</v>
      </c>
      <c r="D26" s="180" t="s">
        <v>223</v>
      </c>
      <c r="E26" s="174">
        <v>2400</v>
      </c>
      <c r="F26" s="173">
        <v>7500</v>
      </c>
      <c r="G26" s="173">
        <f t="shared" si="3"/>
        <v>18000000</v>
      </c>
      <c r="H26" s="173">
        <f t="shared" si="4"/>
        <v>1800000</v>
      </c>
      <c r="I26" s="182"/>
      <c r="J26" s="192"/>
    </row>
    <row r="27" spans="1:10" ht="21.75" customHeight="1">
      <c r="A27" s="179">
        <v>4</v>
      </c>
      <c r="B27" s="186">
        <v>42711</v>
      </c>
      <c r="C27" s="187" t="s">
        <v>266</v>
      </c>
      <c r="D27" s="180" t="s">
        <v>223</v>
      </c>
      <c r="E27" s="174">
        <v>2400</v>
      </c>
      <c r="F27" s="173">
        <v>7500</v>
      </c>
      <c r="G27" s="173">
        <f t="shared" si="3"/>
        <v>18000000</v>
      </c>
      <c r="H27" s="173">
        <f t="shared" si="4"/>
        <v>1800000</v>
      </c>
      <c r="I27" s="182"/>
      <c r="J27" s="192"/>
    </row>
    <row r="28" spans="1:10" ht="21.75" customHeight="1">
      <c r="A28" s="179">
        <v>5</v>
      </c>
      <c r="B28" s="186">
        <v>42709</v>
      </c>
      <c r="C28" s="191" t="s">
        <v>268</v>
      </c>
      <c r="D28" s="180" t="s">
        <v>223</v>
      </c>
      <c r="E28" s="174">
        <v>2400</v>
      </c>
      <c r="F28" s="173">
        <v>7500</v>
      </c>
      <c r="G28" s="173">
        <f t="shared" si="3"/>
        <v>18000000</v>
      </c>
      <c r="H28" s="173">
        <f t="shared" si="4"/>
        <v>1800000</v>
      </c>
      <c r="I28" s="182"/>
      <c r="J28" s="192"/>
    </row>
    <row r="29" spans="1:10" ht="21.75" customHeight="1">
      <c r="A29" s="179">
        <v>6</v>
      </c>
      <c r="B29" s="186">
        <v>42710</v>
      </c>
      <c r="C29" s="191" t="s">
        <v>264</v>
      </c>
      <c r="D29" s="180" t="s">
        <v>223</v>
      </c>
      <c r="E29" s="174">
        <v>2400</v>
      </c>
      <c r="F29" s="173">
        <v>7500</v>
      </c>
      <c r="G29" s="173">
        <f t="shared" si="3"/>
        <v>18000000</v>
      </c>
      <c r="H29" s="173">
        <f t="shared" si="4"/>
        <v>1800000</v>
      </c>
      <c r="I29" s="182"/>
      <c r="J29" s="192"/>
    </row>
    <row r="30" spans="1:10" ht="21.75" customHeight="1">
      <c r="A30" s="179">
        <v>7</v>
      </c>
      <c r="B30" s="186">
        <v>42713</v>
      </c>
      <c r="C30" s="191" t="s">
        <v>269</v>
      </c>
      <c r="D30" s="180" t="s">
        <v>223</v>
      </c>
      <c r="E30" s="174">
        <v>2400</v>
      </c>
      <c r="F30" s="173">
        <v>7500</v>
      </c>
      <c r="G30" s="173">
        <f t="shared" si="3"/>
        <v>18000000</v>
      </c>
      <c r="H30" s="173">
        <f t="shared" si="4"/>
        <v>1800000</v>
      </c>
      <c r="I30" s="182"/>
      <c r="J30" s="192"/>
    </row>
    <row r="31" spans="1:10" ht="21.75" customHeight="1">
      <c r="A31" s="179">
        <v>8</v>
      </c>
      <c r="B31" s="186">
        <v>42714</v>
      </c>
      <c r="C31" s="191" t="s">
        <v>270</v>
      </c>
      <c r="D31" s="180" t="s">
        <v>223</v>
      </c>
      <c r="E31" s="174">
        <v>2400</v>
      </c>
      <c r="F31" s="173">
        <v>7500</v>
      </c>
      <c r="G31" s="173">
        <f t="shared" ref="G31:G33" si="5">E31*F31</f>
        <v>18000000</v>
      </c>
      <c r="H31" s="173">
        <f t="shared" ref="H31:H33" si="6">G31*10%</f>
        <v>1800000</v>
      </c>
      <c r="I31" s="182"/>
      <c r="J31" s="192"/>
    </row>
    <row r="32" spans="1:10" ht="21.75" customHeight="1">
      <c r="A32" s="179">
        <v>9</v>
      </c>
      <c r="B32" s="186">
        <v>42715</v>
      </c>
      <c r="C32" s="191" t="s">
        <v>271</v>
      </c>
      <c r="D32" s="180" t="s">
        <v>223</v>
      </c>
      <c r="E32" s="174">
        <v>2400</v>
      </c>
      <c r="F32" s="173">
        <v>7500</v>
      </c>
      <c r="G32" s="173">
        <f t="shared" si="5"/>
        <v>18000000</v>
      </c>
      <c r="H32" s="173">
        <f t="shared" si="6"/>
        <v>1800000</v>
      </c>
      <c r="I32" s="182"/>
      <c r="J32" s="192"/>
    </row>
    <row r="33" spans="1:10" ht="21.75" customHeight="1">
      <c r="A33" s="179">
        <v>10</v>
      </c>
      <c r="B33" s="186">
        <v>42716</v>
      </c>
      <c r="C33" s="191" t="s">
        <v>272</v>
      </c>
      <c r="D33" s="180" t="s">
        <v>223</v>
      </c>
      <c r="E33" s="174">
        <v>2400</v>
      </c>
      <c r="F33" s="173">
        <v>7500</v>
      </c>
      <c r="G33" s="173">
        <f t="shared" si="5"/>
        <v>18000000</v>
      </c>
      <c r="H33" s="173">
        <f t="shared" si="6"/>
        <v>1800000</v>
      </c>
      <c r="I33" s="182"/>
      <c r="J33" s="192"/>
    </row>
    <row r="34" spans="1:10" ht="21.75" customHeight="1">
      <c r="A34" s="179">
        <v>11</v>
      </c>
      <c r="B34" s="186">
        <v>42716</v>
      </c>
      <c r="C34" s="191" t="s">
        <v>273</v>
      </c>
      <c r="D34" s="180" t="s">
        <v>223</v>
      </c>
      <c r="E34" s="174">
        <v>800</v>
      </c>
      <c r="F34" s="173">
        <v>7500</v>
      </c>
      <c r="G34" s="173">
        <f t="shared" ref="G34" si="7">E34*F34</f>
        <v>6000000</v>
      </c>
      <c r="H34" s="173">
        <f t="shared" ref="H34" si="8">G34*10%</f>
        <v>600000</v>
      </c>
      <c r="I34" s="182"/>
      <c r="J34" s="192"/>
    </row>
    <row r="35" spans="1:10" ht="21" customHeight="1">
      <c r="A35" s="179"/>
      <c r="B35" s="186"/>
      <c r="C35" s="191"/>
      <c r="D35" s="180"/>
      <c r="E35" s="174"/>
      <c r="F35" s="173"/>
      <c r="G35" s="173"/>
      <c r="H35" s="173"/>
      <c r="I35" s="182"/>
    </row>
    <row r="36" spans="1:10" s="190" customFormat="1" ht="21" customHeight="1">
      <c r="A36" s="235" t="s">
        <v>24</v>
      </c>
      <c r="B36" s="235"/>
      <c r="C36" s="235"/>
      <c r="D36" s="235"/>
      <c r="E36" s="188"/>
      <c r="F36" s="188"/>
      <c r="G36" s="188">
        <f>SUM(G24:G35)</f>
        <v>180000000</v>
      </c>
      <c r="H36" s="188">
        <f>SUM(H24:H35)</f>
        <v>18000000</v>
      </c>
      <c r="I36" s="189"/>
    </row>
    <row r="38" spans="1:10" s="176" customFormat="1" ht="14.25">
      <c r="A38" s="176" t="s">
        <v>226</v>
      </c>
    </row>
    <row r="39" spans="1:10" s="176" customFormat="1" ht="14.25">
      <c r="A39" s="176" t="s">
        <v>227</v>
      </c>
    </row>
    <row r="40" spans="1:10" s="176" customFormat="1" ht="14.25">
      <c r="A40" s="176" t="s">
        <v>228</v>
      </c>
    </row>
    <row r="45" spans="1:10" s="176" customFormat="1" ht="28.5" customHeight="1">
      <c r="A45" s="257" t="s">
        <v>319</v>
      </c>
      <c r="B45" s="257"/>
      <c r="C45" s="257"/>
      <c r="D45" s="257"/>
      <c r="E45" s="257"/>
      <c r="F45" s="257"/>
      <c r="G45" s="257"/>
      <c r="H45" s="257"/>
      <c r="I45" s="257"/>
    </row>
    <row r="46" spans="1:10" s="178" customFormat="1" ht="33.75" customHeight="1">
      <c r="A46" s="177" t="s">
        <v>1</v>
      </c>
      <c r="B46" s="177" t="s">
        <v>210</v>
      </c>
      <c r="C46" s="177" t="s">
        <v>211</v>
      </c>
      <c r="D46" s="177" t="s">
        <v>212</v>
      </c>
      <c r="E46" s="177" t="s">
        <v>10</v>
      </c>
      <c r="F46" s="177" t="s">
        <v>11</v>
      </c>
      <c r="G46" s="177" t="s">
        <v>12</v>
      </c>
      <c r="H46" s="177" t="s">
        <v>274</v>
      </c>
      <c r="I46" s="177" t="s">
        <v>87</v>
      </c>
    </row>
    <row r="47" spans="1:10" ht="21" customHeight="1">
      <c r="A47" s="179">
        <v>1</v>
      </c>
      <c r="B47" s="186">
        <v>42716</v>
      </c>
      <c r="C47" s="187" t="s">
        <v>314</v>
      </c>
      <c r="D47" s="180" t="s">
        <v>223</v>
      </c>
      <c r="E47" s="174">
        <v>2400</v>
      </c>
      <c r="F47" s="173">
        <v>7500</v>
      </c>
      <c r="G47" s="173">
        <f t="shared" ref="G47:G56" si="9">E47*F47</f>
        <v>18000000</v>
      </c>
      <c r="H47" s="173">
        <f t="shared" ref="H47:H56" si="10">G47*10%</f>
        <v>1800000</v>
      </c>
      <c r="I47" s="182"/>
      <c r="J47" s="192"/>
    </row>
    <row r="48" spans="1:10" ht="21" customHeight="1">
      <c r="A48" s="179">
        <v>2</v>
      </c>
      <c r="B48" s="186">
        <v>42717</v>
      </c>
      <c r="C48" s="187" t="s">
        <v>315</v>
      </c>
      <c r="D48" s="180" t="s">
        <v>223</v>
      </c>
      <c r="E48" s="174">
        <v>2400</v>
      </c>
      <c r="F48" s="173">
        <v>7500</v>
      </c>
      <c r="G48" s="173">
        <f t="shared" si="9"/>
        <v>18000000</v>
      </c>
      <c r="H48" s="173">
        <f t="shared" si="10"/>
        <v>1800000</v>
      </c>
      <c r="I48" s="182"/>
      <c r="J48" s="192"/>
    </row>
    <row r="49" spans="1:10" ht="21.75" customHeight="1">
      <c r="A49" s="179">
        <v>3</v>
      </c>
      <c r="B49" s="186">
        <v>42718</v>
      </c>
      <c r="C49" s="187" t="s">
        <v>316</v>
      </c>
      <c r="D49" s="180" t="s">
        <v>223</v>
      </c>
      <c r="E49" s="174">
        <v>2400</v>
      </c>
      <c r="F49" s="173">
        <v>7500</v>
      </c>
      <c r="G49" s="173">
        <f t="shared" si="9"/>
        <v>18000000</v>
      </c>
      <c r="H49" s="173">
        <f t="shared" si="10"/>
        <v>1800000</v>
      </c>
      <c r="I49" s="182"/>
      <c r="J49" s="192"/>
    </row>
    <row r="50" spans="1:10" ht="21.75" customHeight="1">
      <c r="A50" s="179">
        <v>4</v>
      </c>
      <c r="B50" s="186">
        <v>42719</v>
      </c>
      <c r="C50" s="187" t="s">
        <v>309</v>
      </c>
      <c r="D50" s="180" t="s">
        <v>223</v>
      </c>
      <c r="E50" s="174">
        <v>2400</v>
      </c>
      <c r="F50" s="173">
        <v>7500</v>
      </c>
      <c r="G50" s="173">
        <f t="shared" si="9"/>
        <v>18000000</v>
      </c>
      <c r="H50" s="173">
        <f t="shared" si="10"/>
        <v>1800000</v>
      </c>
      <c r="I50" s="182"/>
      <c r="J50" s="192"/>
    </row>
    <row r="51" spans="1:10" ht="21.75" customHeight="1">
      <c r="A51" s="179">
        <v>5</v>
      </c>
      <c r="B51" s="186">
        <v>42719</v>
      </c>
      <c r="C51" s="187" t="s">
        <v>317</v>
      </c>
      <c r="D51" s="180" t="s">
        <v>223</v>
      </c>
      <c r="E51" s="174">
        <v>2400</v>
      </c>
      <c r="F51" s="173">
        <v>7500</v>
      </c>
      <c r="G51" s="173">
        <f t="shared" si="9"/>
        <v>18000000</v>
      </c>
      <c r="H51" s="173">
        <f t="shared" si="10"/>
        <v>1800000</v>
      </c>
      <c r="I51" s="182"/>
      <c r="J51" s="192"/>
    </row>
    <row r="52" spans="1:10" ht="21.75" customHeight="1">
      <c r="A52" s="179">
        <v>6</v>
      </c>
      <c r="B52" s="186">
        <v>42720</v>
      </c>
      <c r="C52" s="191" t="s">
        <v>310</v>
      </c>
      <c r="D52" s="180" t="s">
        <v>223</v>
      </c>
      <c r="E52" s="174">
        <v>2400</v>
      </c>
      <c r="F52" s="173">
        <v>7500</v>
      </c>
      <c r="G52" s="173">
        <f t="shared" si="9"/>
        <v>18000000</v>
      </c>
      <c r="H52" s="173">
        <f t="shared" si="10"/>
        <v>1800000</v>
      </c>
      <c r="I52" s="182"/>
      <c r="J52" s="192"/>
    </row>
    <row r="53" spans="1:10" ht="21.75" customHeight="1">
      <c r="A53" s="179">
        <v>7</v>
      </c>
      <c r="B53" s="186">
        <v>42720</v>
      </c>
      <c r="C53" s="191" t="s">
        <v>318</v>
      </c>
      <c r="D53" s="180" t="s">
        <v>223</v>
      </c>
      <c r="E53" s="174">
        <v>2400</v>
      </c>
      <c r="F53" s="173">
        <v>7500</v>
      </c>
      <c r="G53" s="173">
        <f t="shared" si="9"/>
        <v>18000000</v>
      </c>
      <c r="H53" s="173">
        <f t="shared" si="10"/>
        <v>1800000</v>
      </c>
      <c r="I53" s="182"/>
      <c r="J53" s="192"/>
    </row>
    <row r="54" spans="1:10" ht="21.75" customHeight="1">
      <c r="A54" s="179">
        <v>8</v>
      </c>
      <c r="B54" s="186">
        <v>42721</v>
      </c>
      <c r="C54" s="191" t="s">
        <v>311</v>
      </c>
      <c r="D54" s="180" t="s">
        <v>223</v>
      </c>
      <c r="E54" s="174">
        <v>2400</v>
      </c>
      <c r="F54" s="173">
        <v>7500</v>
      </c>
      <c r="G54" s="173">
        <f t="shared" si="9"/>
        <v>18000000</v>
      </c>
      <c r="H54" s="173">
        <f t="shared" si="10"/>
        <v>1800000</v>
      </c>
      <c r="I54" s="182"/>
      <c r="J54" s="192"/>
    </row>
    <row r="55" spans="1:10" ht="21.75" customHeight="1">
      <c r="A55" s="179">
        <v>9</v>
      </c>
      <c r="B55" s="186">
        <v>42722</v>
      </c>
      <c r="C55" s="191" t="s">
        <v>312</v>
      </c>
      <c r="D55" s="180" t="s">
        <v>223</v>
      </c>
      <c r="E55" s="174">
        <v>2400</v>
      </c>
      <c r="F55" s="173">
        <v>7500</v>
      </c>
      <c r="G55" s="173">
        <f t="shared" si="9"/>
        <v>18000000</v>
      </c>
      <c r="H55" s="173">
        <f t="shared" si="10"/>
        <v>1800000</v>
      </c>
      <c r="I55" s="182"/>
      <c r="J55" s="192"/>
    </row>
    <row r="56" spans="1:10" ht="21.75" customHeight="1">
      <c r="A56" s="179">
        <v>10</v>
      </c>
      <c r="B56" s="186">
        <v>42723</v>
      </c>
      <c r="C56" s="191" t="s">
        <v>313</v>
      </c>
      <c r="D56" s="180" t="s">
        <v>223</v>
      </c>
      <c r="E56" s="174">
        <v>2400</v>
      </c>
      <c r="F56" s="173">
        <v>7500</v>
      </c>
      <c r="G56" s="173">
        <f t="shared" si="9"/>
        <v>18000000</v>
      </c>
      <c r="H56" s="173">
        <f t="shared" si="10"/>
        <v>1800000</v>
      </c>
      <c r="I56" s="182"/>
      <c r="J56" s="192"/>
    </row>
    <row r="57" spans="1:10" ht="21" customHeight="1">
      <c r="A57" s="179"/>
      <c r="B57" s="186"/>
      <c r="C57" s="191"/>
      <c r="D57" s="180"/>
      <c r="E57" s="174"/>
      <c r="F57" s="173"/>
      <c r="G57" s="173"/>
      <c r="H57" s="173"/>
      <c r="I57" s="182"/>
    </row>
    <row r="58" spans="1:10" s="190" customFormat="1" ht="21" customHeight="1">
      <c r="A58" s="235" t="s">
        <v>24</v>
      </c>
      <c r="B58" s="235"/>
      <c r="C58" s="235"/>
      <c r="D58" s="235"/>
      <c r="E58" s="188">
        <f>SUM(E47:E57)</f>
        <v>24000</v>
      </c>
      <c r="F58" s="188"/>
      <c r="G58" s="188">
        <f>SUM(G47:G57)</f>
        <v>180000000</v>
      </c>
      <c r="H58" s="188">
        <f>SUM(H47:H57)</f>
        <v>18000000</v>
      </c>
      <c r="I58" s="189"/>
    </row>
    <row r="60" spans="1:10" s="176" customFormat="1" ht="14.25">
      <c r="A60" s="176" t="s">
        <v>226</v>
      </c>
    </row>
    <row r="61" spans="1:10" s="176" customFormat="1" ht="14.25">
      <c r="A61" s="176" t="s">
        <v>227</v>
      </c>
    </row>
    <row r="62" spans="1:10" s="176" customFormat="1" ht="14.25">
      <c r="A62" s="176" t="s">
        <v>228</v>
      </c>
    </row>
  </sheetData>
  <sortState ref="A47:J56">
    <sortCondition ref="B47:B56"/>
  </sortState>
  <mergeCells count="6">
    <mergeCell ref="A58:D58"/>
    <mergeCell ref="A2:I2"/>
    <mergeCell ref="A15:D15"/>
    <mergeCell ref="A22:I22"/>
    <mergeCell ref="A36:D36"/>
    <mergeCell ref="A45:I45"/>
  </mergeCells>
  <pageMargins left="0.72" right="0.13" top="0.16" bottom="0.16" header="0.3" footer="0.3"/>
  <pageSetup scale="9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TD-TQ</vt:lpstr>
      <vt:lpstr>GC - TQ (T8)</vt:lpstr>
      <vt:lpstr>19-10</vt:lpstr>
      <vt:lpstr>BS - CARTON</vt:lpstr>
      <vt:lpstr>'19-10'!Print_Area</vt:lpstr>
      <vt:lpstr>'BS - CARTON'!Print_Area</vt:lpstr>
      <vt:lpstr>'TD-TQ'!Print_Titles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2016-12-30T08:44:09Z</cp:lastPrinted>
  <dcterms:created xsi:type="dcterms:W3CDTF">2016-10-31T06:49:38Z</dcterms:created>
  <dcterms:modified xsi:type="dcterms:W3CDTF">2016-12-30T09:00:37Z</dcterms:modified>
</cp:coreProperties>
</file>